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chartsheets/sheet1.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3.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4.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6.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drawings/drawing7.xml" ContentType="application/vnd.openxmlformats-officedocument.drawing+xml"/>
  <Override PartName="/xl/charts/chart4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bperez\Desktop\SEGUIMIENTO PLAN DE DESARROLLO A DIC 31 DE 2022 E INFORME TECNICO\"/>
    </mc:Choice>
  </mc:AlternateContent>
  <bookViews>
    <workbookView xWindow="0" yWindow="0" windowWidth="20490" windowHeight="7155" firstSheet="6" activeTab="7"/>
  </bookViews>
  <sheets>
    <sheet name="MATRIZ DE SEGUIMIENTO" sheetId="1" r:id="rId1"/>
    <sheet name="PONDERADORES" sheetId="2" state="hidden" r:id="rId2"/>
    <sheet name="PILAR RESILIENTE" sheetId="3" r:id="rId3"/>
    <sheet name="INCLUYENTE" sheetId="4" r:id="rId4"/>
    <sheet name="CONTINGENTE" sheetId="5" r:id="rId5"/>
    <sheet name="TRANSPARENTE" sheetId="6" r:id="rId6"/>
    <sheet name="TRANSVERSAL" sheetId="7" r:id="rId7"/>
    <sheet name="PLAN DE DESARROLLO " sheetId="8" r:id="rId8"/>
    <sheet name="EVALUACION DE EFICIENCIA CUADRO" sheetId="9" r:id="rId9"/>
    <sheet name="P. RESILIENTE" sheetId="11" r:id="rId10"/>
    <sheet name="P. INCLUYENTE" sheetId="12" r:id="rId11"/>
    <sheet name="P. CONTIGENTE" sheetId="13" r:id="rId12"/>
    <sheet name="P. TRANSPARENTE" sheetId="14" r:id="rId13"/>
    <sheet name="P. TRANSVERSAL" sheetId="15" r:id="rId14"/>
    <sheet name="Hoja1" sheetId="16" state="hidden" r:id="rId15"/>
    <sheet name="Gráfico1" sheetId="17" state="hidden" r:id="rId16"/>
  </sheets>
  <definedNames>
    <definedName name="_xlnm._FilterDatabase" localSheetId="4" hidden="1">CONTINGENTE!$A$1:$CV$88</definedName>
    <definedName name="_xlnm._FilterDatabase" localSheetId="3" hidden="1">INCLUYENTE!$A$1:$CY$267</definedName>
    <definedName name="_xlnm._FilterDatabase" localSheetId="2" hidden="1">'PILAR RESILIENTE'!$A$1:$CX$218</definedName>
    <definedName name="_xlnm._FilterDatabase" localSheetId="7" hidden="1">'PLAN DE DESARROLLO '!$A$3:$AJ$208</definedName>
    <definedName name="_xlnm._FilterDatabase" localSheetId="5" hidden="1">TRANSPARENTE!$A$1:$CX$145</definedName>
    <definedName name="_xlnm._FilterDatabase" localSheetId="6" hidden="1">TRANSVERSAL!$A$1:$CX$115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3" i="9" l="1"/>
  <c r="B24" i="9" s="1"/>
  <c r="B26" i="9" s="1"/>
  <c r="C27" i="9" l="1"/>
  <c r="B29" i="9"/>
  <c r="C26" i="9"/>
  <c r="BJ65" i="6"/>
  <c r="BL65" i="6" s="1"/>
  <c r="BJ59" i="6"/>
  <c r="C30" i="9" l="1"/>
  <c r="C29" i="9"/>
  <c r="B32" i="9"/>
  <c r="BJ128" i="6"/>
  <c r="BJ126" i="6"/>
  <c r="BJ124" i="6"/>
  <c r="BJ123" i="6"/>
  <c r="BJ122" i="6"/>
  <c r="BJ118" i="6"/>
  <c r="BK118" i="6" s="1"/>
  <c r="BH85" i="5"/>
  <c r="BK262" i="4"/>
  <c r="BK257" i="4"/>
  <c r="BJ211" i="3"/>
  <c r="BL211" i="3"/>
  <c r="BJ209" i="3"/>
  <c r="BL209" i="3" s="1"/>
  <c r="BK206" i="3"/>
  <c r="BL207" i="3"/>
  <c r="BJ207" i="3"/>
  <c r="BJ203" i="3"/>
  <c r="BL206" i="3"/>
  <c r="BJ206" i="3"/>
  <c r="BJ126" i="3"/>
  <c r="BL118" i="6" l="1"/>
  <c r="BM118" i="6"/>
  <c r="B35" i="9"/>
  <c r="C33" i="9"/>
  <c r="C32" i="9"/>
  <c r="BK209" i="3"/>
  <c r="BL215" i="3"/>
  <c r="BJ215" i="3"/>
  <c r="BJ49" i="3"/>
  <c r="BJ47" i="3"/>
  <c r="BH46" i="3"/>
  <c r="BJ46" i="3" s="1"/>
  <c r="BK46" i="3" s="1"/>
  <c r="BJ38" i="3"/>
  <c r="BJ37" i="3"/>
  <c r="BJ35" i="3"/>
  <c r="BJ34" i="3"/>
  <c r="BJ33" i="3"/>
  <c r="BJ29" i="3"/>
  <c r="BJ23" i="3"/>
  <c r="BJ22" i="3"/>
  <c r="BJ21" i="3"/>
  <c r="BJ20" i="3"/>
  <c r="BJ15" i="3"/>
  <c r="BJ14" i="3"/>
  <c r="BJ17" i="3"/>
  <c r="BJ13" i="3"/>
  <c r="BJ9" i="3"/>
  <c r="BJ3" i="3"/>
  <c r="BJ2" i="3"/>
  <c r="BJ64" i="6" l="1"/>
  <c r="BL64" i="6" s="1"/>
  <c r="BJ61" i="6"/>
  <c r="BJ60" i="6"/>
  <c r="BJ57" i="6"/>
  <c r="BJ56" i="6"/>
  <c r="BK25" i="7" l="1"/>
  <c r="BJ25" i="7"/>
  <c r="BL25" i="7" s="1"/>
  <c r="BM25" i="7" s="1"/>
  <c r="BJ26" i="7"/>
  <c r="BL26" i="7" s="1"/>
  <c r="BM26" i="7" s="1"/>
  <c r="BK89" i="4"/>
  <c r="BK88" i="4"/>
  <c r="BI85" i="4"/>
  <c r="BI83" i="4"/>
  <c r="BK83" i="4" s="1"/>
  <c r="BK82" i="4"/>
  <c r="BL82" i="4" s="1"/>
  <c r="BK81" i="4"/>
  <c r="BH79" i="4"/>
  <c r="BK79" i="4"/>
  <c r="BI77" i="4"/>
  <c r="BK76" i="4"/>
  <c r="BK75" i="4"/>
  <c r="BL75" i="4" s="1"/>
  <c r="BI73" i="4"/>
  <c r="BK70" i="4" l="1"/>
  <c r="BK68" i="4"/>
  <c r="BK66" i="4"/>
  <c r="BK65" i="4"/>
  <c r="BK64" i="4"/>
  <c r="BK63" i="4"/>
  <c r="BK60" i="4"/>
  <c r="BM60" i="4" s="1"/>
  <c r="BK59" i="4"/>
  <c r="BK56" i="4"/>
  <c r="BK53" i="4"/>
  <c r="BL53" i="4"/>
  <c r="BM53" i="4" s="1"/>
  <c r="BN53" i="4" s="1"/>
  <c r="BL51" i="4"/>
  <c r="BK51" i="4"/>
  <c r="BM51" i="4" s="1"/>
  <c r="BK50" i="4"/>
  <c r="BL50" i="4" s="1"/>
  <c r="BK49" i="4"/>
  <c r="BK46" i="4"/>
  <c r="BM50" i="4" l="1"/>
  <c r="BN50" i="4" s="1"/>
  <c r="BJ3" i="6"/>
  <c r="BH79" i="5"/>
  <c r="BH54" i="5"/>
  <c r="BJ54" i="5" s="1"/>
  <c r="BK3" i="6" l="1"/>
  <c r="BJ187" i="3"/>
  <c r="BJ185" i="3"/>
  <c r="BL181" i="3"/>
  <c r="BJ182" i="3"/>
  <c r="BJ175" i="3"/>
  <c r="BJ174" i="3"/>
  <c r="BJ173" i="3"/>
  <c r="BJ172" i="3"/>
  <c r="BJ171" i="3"/>
  <c r="BL171" i="3" s="1"/>
  <c r="BM171" i="3" s="1"/>
  <c r="BJ170" i="3"/>
  <c r="BL170" i="3" s="1"/>
  <c r="BJ169" i="3"/>
  <c r="BK93" i="4"/>
  <c r="BK91" i="4"/>
  <c r="BM91" i="4" s="1"/>
  <c r="BJ62" i="6"/>
  <c r="BK25" i="6"/>
  <c r="BJ24" i="6"/>
  <c r="BJ20" i="6"/>
  <c r="BK20" i="6" s="1"/>
  <c r="BJ2" i="6"/>
  <c r="BK2" i="6" s="1"/>
  <c r="BH76" i="5"/>
  <c r="BH74" i="5"/>
  <c r="BH72" i="5"/>
  <c r="BH55" i="5"/>
  <c r="BH42" i="5"/>
  <c r="BH41" i="5"/>
  <c r="BJ198" i="3"/>
  <c r="BJ197" i="3"/>
  <c r="BJ196" i="3"/>
  <c r="BJ55" i="5" l="1"/>
  <c r="BI55" i="5"/>
  <c r="BL2" i="6"/>
  <c r="BM2" i="6" s="1"/>
  <c r="BJ62" i="3"/>
  <c r="BK62" i="3" s="1"/>
  <c r="BJ71" i="3"/>
  <c r="BK71" i="3" s="1"/>
  <c r="BJ70" i="3"/>
  <c r="BJ68" i="3"/>
  <c r="BK68" i="3" s="1"/>
  <c r="BJ66" i="3"/>
  <c r="BK66" i="3" s="1"/>
  <c r="BK67" i="3" s="1"/>
  <c r="L17" i="8" s="1"/>
  <c r="BJ65" i="3"/>
  <c r="BJ64" i="3"/>
  <c r="BJ60" i="3"/>
  <c r="BJ59" i="3"/>
  <c r="BJ75" i="3"/>
  <c r="BL75" i="3" s="1"/>
  <c r="BJ73" i="3"/>
  <c r="BJ80" i="3"/>
  <c r="BJ142" i="6"/>
  <c r="BK142" i="6" s="1"/>
  <c r="BJ140" i="6"/>
  <c r="BJ139" i="6"/>
  <c r="BL139" i="6" s="1"/>
  <c r="BM139" i="6" s="1"/>
  <c r="BJ138" i="6"/>
  <c r="BJ137" i="6"/>
  <c r="BL137" i="6" s="1"/>
  <c r="BJ136" i="6"/>
  <c r="BJ135" i="6"/>
  <c r="BH60" i="5"/>
  <c r="BH39" i="5"/>
  <c r="BH37" i="5"/>
  <c r="BH34" i="5"/>
  <c r="BH31" i="5"/>
  <c r="BH22" i="5"/>
  <c r="BH21" i="5"/>
  <c r="BH17" i="5"/>
  <c r="BJ103" i="6"/>
  <c r="BJ99" i="6"/>
  <c r="BJ97" i="6"/>
  <c r="BL95" i="6"/>
  <c r="BJ95" i="6"/>
  <c r="BJ93" i="6"/>
  <c r="BJ212" i="3"/>
  <c r="BJ117" i="3"/>
  <c r="BJ115" i="3"/>
  <c r="BK115" i="3" s="1"/>
  <c r="BJ113" i="3"/>
  <c r="BJ111" i="3"/>
  <c r="BJ29" i="6"/>
  <c r="BK29" i="6" s="1"/>
  <c r="BL29" i="6" s="1"/>
  <c r="BM29" i="6" s="1"/>
  <c r="BM30" i="6" s="1"/>
  <c r="M139" i="8" s="1"/>
  <c r="D31" i="14" s="1"/>
  <c r="BM33" i="7"/>
  <c r="BK33" i="7"/>
  <c r="BJ30" i="7"/>
  <c r="BL30" i="7" s="1"/>
  <c r="BJ22" i="7"/>
  <c r="BJ21" i="7"/>
  <c r="BJ20" i="7"/>
  <c r="BJ2" i="7"/>
  <c r="BJ88" i="6"/>
  <c r="BK88" i="6" s="1"/>
  <c r="BJ86" i="6"/>
  <c r="BJ84" i="6"/>
  <c r="BJ83" i="6"/>
  <c r="BJ82" i="6"/>
  <c r="BJ77" i="6"/>
  <c r="BJ79" i="6"/>
  <c r="BJ78" i="6"/>
  <c r="BJ68" i="6"/>
  <c r="BJ49" i="6"/>
  <c r="BL49" i="6" s="1"/>
  <c r="BJ47" i="6"/>
  <c r="BJ46" i="6"/>
  <c r="BJ43" i="6"/>
  <c r="BJ41" i="6"/>
  <c r="BJ38" i="6"/>
  <c r="BJ32" i="6"/>
  <c r="BL32" i="6" s="1"/>
  <c r="BJ31" i="6"/>
  <c r="BL149" i="3"/>
  <c r="BJ144" i="3"/>
  <c r="BK144" i="3" s="1"/>
  <c r="BJ143" i="3"/>
  <c r="BJ142" i="3"/>
  <c r="BL141" i="3"/>
  <c r="BJ141" i="3"/>
  <c r="BJ140" i="3"/>
  <c r="BJ136" i="3"/>
  <c r="BJ137" i="3"/>
  <c r="BJ135" i="3"/>
  <c r="BJ131" i="3"/>
  <c r="BJ130" i="3"/>
  <c r="BJ119" i="3"/>
  <c r="BJ116" i="3"/>
  <c r="BM116" i="3" s="1"/>
  <c r="BK42" i="4"/>
  <c r="BK41" i="4"/>
  <c r="BK38" i="4"/>
  <c r="BK36" i="4"/>
  <c r="BK35" i="4"/>
  <c r="BK34" i="4"/>
  <c r="BK33" i="4"/>
  <c r="BK31" i="4"/>
  <c r="BK30" i="4"/>
  <c r="BK29" i="4"/>
  <c r="BK27" i="4"/>
  <c r="BK25" i="4"/>
  <c r="BL25" i="4" s="1"/>
  <c r="BK23" i="4"/>
  <c r="BK22" i="4"/>
  <c r="BK21" i="4"/>
  <c r="BK19" i="4"/>
  <c r="BK17" i="4"/>
  <c r="BL17" i="4" s="1"/>
  <c r="BK16" i="4"/>
  <c r="BK15" i="4"/>
  <c r="BK13" i="4"/>
  <c r="BK12" i="4"/>
  <c r="BK10" i="4"/>
  <c r="BK8" i="4"/>
  <c r="BK7" i="4"/>
  <c r="BK6" i="4"/>
  <c r="BK3" i="4"/>
  <c r="BK4" i="4"/>
  <c r="BK2" i="4"/>
  <c r="BJ166" i="3"/>
  <c r="BJ158" i="3"/>
  <c r="BK158" i="3" s="1"/>
  <c r="BK159" i="3" s="1"/>
  <c r="BJ155" i="3"/>
  <c r="BK155" i="3" s="1"/>
  <c r="BJ152" i="3"/>
  <c r="BK152" i="3" s="1"/>
  <c r="BK238" i="4"/>
  <c r="BJ108" i="3"/>
  <c r="BJ105" i="3"/>
  <c r="BJ103" i="3"/>
  <c r="BJ97" i="3"/>
  <c r="BJ95" i="3"/>
  <c r="BK95" i="3" s="1"/>
  <c r="BL94" i="3"/>
  <c r="BJ94" i="3"/>
  <c r="BK94" i="3" s="1"/>
  <c r="BJ93" i="3"/>
  <c r="BJ86" i="3"/>
  <c r="BJ84" i="3"/>
  <c r="BJ83" i="3"/>
  <c r="BK194" i="4"/>
  <c r="BK193" i="4"/>
  <c r="BK192" i="4"/>
  <c r="BK191" i="4"/>
  <c r="BK172" i="4"/>
  <c r="BL172" i="4" s="1"/>
  <c r="BN173" i="4"/>
  <c r="BK184" i="4"/>
  <c r="BL184" i="4" s="1"/>
  <c r="BK182" i="4"/>
  <c r="BL182" i="4" s="1"/>
  <c r="BK181" i="4"/>
  <c r="BM181" i="4" s="1"/>
  <c r="BK179" i="4"/>
  <c r="BL179" i="4" s="1"/>
  <c r="BK178" i="4"/>
  <c r="BK177" i="4"/>
  <c r="BL177" i="4" s="1"/>
  <c r="BK176" i="4"/>
  <c r="BM176" i="4" s="1"/>
  <c r="BK174" i="4"/>
  <c r="BL174" i="4" s="1"/>
  <c r="BK171" i="4"/>
  <c r="BK168" i="4"/>
  <c r="BL168" i="4" s="1"/>
  <c r="BK167" i="4"/>
  <c r="BK166" i="4"/>
  <c r="BL166" i="4" s="1"/>
  <c r="BK165" i="4"/>
  <c r="BK163" i="4"/>
  <c r="BK162" i="4"/>
  <c r="BK159" i="4"/>
  <c r="BK157" i="4"/>
  <c r="BK154" i="4"/>
  <c r="BL154" i="4" s="1"/>
  <c r="BK153" i="4"/>
  <c r="BK151" i="4"/>
  <c r="BK150" i="4"/>
  <c r="BM149" i="4"/>
  <c r="BN148" i="4"/>
  <c r="BK144" i="4"/>
  <c r="BK143" i="4"/>
  <c r="BK142" i="4"/>
  <c r="BK140" i="4"/>
  <c r="BK139" i="4"/>
  <c r="BK138" i="4"/>
  <c r="BM138" i="4" s="1"/>
  <c r="BK133" i="4"/>
  <c r="BL133" i="4" s="1"/>
  <c r="BK132" i="4"/>
  <c r="BK131" i="4"/>
  <c r="BL131" i="4" s="1"/>
  <c r="BK130" i="4"/>
  <c r="BK128" i="4"/>
  <c r="BL128" i="4" s="1"/>
  <c r="BK126" i="4"/>
  <c r="BK125" i="4"/>
  <c r="BM125" i="4" s="1"/>
  <c r="BK124" i="4"/>
  <c r="BM124" i="4" s="1"/>
  <c r="BK117" i="4"/>
  <c r="BK122" i="4"/>
  <c r="BK121" i="4"/>
  <c r="BK120" i="4"/>
  <c r="BK119" i="4"/>
  <c r="BL119" i="4" s="1"/>
  <c r="BN105" i="4"/>
  <c r="BK109" i="4"/>
  <c r="BK113" i="4"/>
  <c r="BM115" i="4"/>
  <c r="BK112" i="4"/>
  <c r="BK110" i="4"/>
  <c r="BK108" i="4"/>
  <c r="BL108" i="4" s="1"/>
  <c r="BK105" i="4"/>
  <c r="BM105" i="4" s="1"/>
  <c r="BK102" i="4"/>
  <c r="BK101" i="4"/>
  <c r="BL101" i="4" s="1"/>
  <c r="BK243" i="4"/>
  <c r="BK242" i="4"/>
  <c r="BK245" i="4"/>
  <c r="BK244" i="4"/>
  <c r="BK239" i="4"/>
  <c r="BK236" i="4"/>
  <c r="BK234" i="4"/>
  <c r="BK233" i="4"/>
  <c r="BL233" i="4" s="1"/>
  <c r="BL237" i="4" s="1"/>
  <c r="BK250" i="4"/>
  <c r="BM250" i="4" s="1"/>
  <c r="BN250" i="4" s="1"/>
  <c r="BN252" i="4" s="1"/>
  <c r="M99" i="8" s="1"/>
  <c r="D74" i="12" s="1"/>
  <c r="BK231" i="4"/>
  <c r="BK230" i="4"/>
  <c r="BK229" i="4"/>
  <c r="BK226" i="4"/>
  <c r="BK225" i="4"/>
  <c r="BK224" i="4"/>
  <c r="BK223" i="4"/>
  <c r="BK221" i="4"/>
  <c r="BK220" i="4"/>
  <c r="BK219" i="4"/>
  <c r="BK217" i="4"/>
  <c r="BK215" i="4"/>
  <c r="BK214" i="4"/>
  <c r="BK213" i="4"/>
  <c r="BK211" i="4"/>
  <c r="BK210" i="4"/>
  <c r="BK209" i="4"/>
  <c r="BK207" i="4"/>
  <c r="BM206" i="4"/>
  <c r="BK204" i="4"/>
  <c r="BK203" i="4"/>
  <c r="BK197" i="4"/>
  <c r="BJ37" i="7"/>
  <c r="BJ6" i="7"/>
  <c r="BH69" i="5"/>
  <c r="BH68" i="5"/>
  <c r="BH46" i="5"/>
  <c r="BJ51" i="3"/>
  <c r="BJ112" i="7"/>
  <c r="BJ111" i="7"/>
  <c r="BK111" i="7" s="1"/>
  <c r="BM103" i="7"/>
  <c r="BJ102" i="7"/>
  <c r="BJ97" i="7"/>
  <c r="BJ95" i="7"/>
  <c r="BJ94" i="7"/>
  <c r="BJ92" i="7"/>
  <c r="BJ91" i="7"/>
  <c r="BJ88" i="7"/>
  <c r="BJ79" i="7"/>
  <c r="BJ78" i="7"/>
  <c r="BJ77" i="7"/>
  <c r="BJ74" i="7"/>
  <c r="BJ73" i="7"/>
  <c r="BJ72" i="7"/>
  <c r="BJ71" i="7"/>
  <c r="BJ67" i="7"/>
  <c r="BJ66" i="7"/>
  <c r="BJ63" i="7"/>
  <c r="BJ62" i="7"/>
  <c r="BJ61" i="7"/>
  <c r="BJ60" i="7"/>
  <c r="BJ58" i="7"/>
  <c r="BJ57" i="7"/>
  <c r="BJ53" i="7"/>
  <c r="BJ52" i="7"/>
  <c r="BJ50" i="7"/>
  <c r="BJ43" i="7"/>
  <c r="BJ42" i="7"/>
  <c r="BJ40" i="7"/>
  <c r="BJ46" i="7"/>
  <c r="BJ45" i="7"/>
  <c r="BL43" i="7"/>
  <c r="BJ115" i="6"/>
  <c r="BJ111" i="6"/>
  <c r="BJ109" i="6"/>
  <c r="BJ108" i="6"/>
  <c r="BJ106" i="6"/>
  <c r="BH16" i="5"/>
  <c r="BI16" i="5" s="1"/>
  <c r="BH14" i="5"/>
  <c r="BH13" i="5"/>
  <c r="BH12" i="5"/>
  <c r="BH9" i="5"/>
  <c r="BH7" i="5"/>
  <c r="BH6" i="5"/>
  <c r="BH5" i="5"/>
  <c r="BH3" i="5"/>
  <c r="U74" i="8"/>
  <c r="U73" i="8"/>
  <c r="BK4" i="6"/>
  <c r="L181" i="8"/>
  <c r="L182" i="8"/>
  <c r="L169" i="8"/>
  <c r="L136" i="8"/>
  <c r="W80" i="8"/>
  <c r="U78" i="8"/>
  <c r="U76" i="8"/>
  <c r="U77" i="8"/>
  <c r="U75" i="8"/>
  <c r="BM5" i="6"/>
  <c r="BJ5" i="6"/>
  <c r="BD61" i="3"/>
  <c r="BJ61" i="3" s="1"/>
  <c r="BK75" i="3"/>
  <c r="BH82" i="5"/>
  <c r="BR211" i="3"/>
  <c r="BS211" i="3" s="1"/>
  <c r="BK126" i="3"/>
  <c r="BJ48" i="3"/>
  <c r="BJ44" i="3"/>
  <c r="BJ43" i="3"/>
  <c r="BJ42" i="3"/>
  <c r="BK42" i="3" s="1"/>
  <c r="BJ41" i="3"/>
  <c r="BJ39" i="3"/>
  <c r="BK17" i="3"/>
  <c r="BJ11" i="3"/>
  <c r="BK9" i="3"/>
  <c r="BJ6" i="3"/>
  <c r="BJ5" i="3"/>
  <c r="BJ4" i="3"/>
  <c r="BL3" i="3"/>
  <c r="BJ96" i="3"/>
  <c r="BM94" i="3"/>
  <c r="BJ92" i="3"/>
  <c r="BF80" i="7"/>
  <c r="BJ80" i="7" s="1"/>
  <c r="BG247" i="4"/>
  <c r="BK247" i="4" s="1"/>
  <c r="BL247" i="4" s="1"/>
  <c r="BL249" i="4" s="1"/>
  <c r="L98" i="8" s="1"/>
  <c r="BK235" i="4"/>
  <c r="BF183" i="3"/>
  <c r="BJ183" i="3" s="1"/>
  <c r="BJ181" i="3"/>
  <c r="BM181" i="3" s="1"/>
  <c r="BF188" i="3"/>
  <c r="BJ194" i="3"/>
  <c r="BK194" i="3" s="1"/>
  <c r="BK195" i="3" s="1"/>
  <c r="BK92" i="4"/>
  <c r="BJ17" i="6"/>
  <c r="BJ14" i="6"/>
  <c r="BH48" i="5"/>
  <c r="BD42" i="5"/>
  <c r="BJ3" i="7"/>
  <c r="BJ90" i="6"/>
  <c r="BJ69" i="6"/>
  <c r="BK69" i="6" s="1"/>
  <c r="BJ36" i="6"/>
  <c r="BK150" i="3"/>
  <c r="L34" i="8" s="1"/>
  <c r="BN184" i="4"/>
  <c r="BN186" i="4" s="1"/>
  <c r="BN164" i="4"/>
  <c r="BK164" i="4"/>
  <c r="BM164" i="4" s="1"/>
  <c r="BL157" i="4"/>
  <c r="BK147" i="4"/>
  <c r="BM147" i="4" s="1"/>
  <c r="BN147" i="4" s="1"/>
  <c r="Y139" i="4"/>
  <c r="BK118" i="4"/>
  <c r="BK107" i="4"/>
  <c r="BM107" i="4" s="1"/>
  <c r="BN107" i="4" s="1"/>
  <c r="BN103" i="4"/>
  <c r="BK104" i="4"/>
  <c r="BJ5" i="7"/>
  <c r="BH59" i="5"/>
  <c r="BH38" i="5"/>
  <c r="BJ38" i="5"/>
  <c r="BK38" i="5" s="1"/>
  <c r="BH35" i="5"/>
  <c r="BH26" i="5"/>
  <c r="BI26" i="5" s="1"/>
  <c r="BJ17" i="5"/>
  <c r="BK103" i="6"/>
  <c r="BJ165" i="3"/>
  <c r="BL165" i="3" s="1"/>
  <c r="BM165" i="3" s="1"/>
  <c r="BJ160" i="3"/>
  <c r="BK20" i="4"/>
  <c r="BK11" i="4"/>
  <c r="BL99" i="4"/>
  <c r="L73" i="8" s="1"/>
  <c r="BK98" i="4"/>
  <c r="BM98" i="4" s="1"/>
  <c r="BN98" i="4" s="1"/>
  <c r="BK97" i="4"/>
  <c r="BK96" i="4"/>
  <c r="BK95" i="4"/>
  <c r="BJ11" i="7"/>
  <c r="BJ112" i="3"/>
  <c r="BJ138" i="3"/>
  <c r="BK130" i="3"/>
  <c r="BK218" i="4"/>
  <c r="BK199" i="4"/>
  <c r="BJ110" i="6"/>
  <c r="BB18" i="5"/>
  <c r="BH18" i="5" s="1"/>
  <c r="BG183" i="4"/>
  <c r="BI183" i="4" s="1"/>
  <c r="BK175" i="4"/>
  <c r="BL153" i="4"/>
  <c r="BL144" i="4"/>
  <c r="BG140" i="4"/>
  <c r="BK141" i="4"/>
  <c r="BL141" i="4" s="1"/>
  <c r="BK134" i="4"/>
  <c r="BM134" i="4" s="1"/>
  <c r="Y128" i="4"/>
  <c r="BJ56" i="3"/>
  <c r="BK56" i="3" s="1"/>
  <c r="BJ53" i="3"/>
  <c r="BK53" i="3" s="1"/>
  <c r="BJ55" i="3"/>
  <c r="BK55" i="3" s="1"/>
  <c r="BJ106" i="7"/>
  <c r="BJ105" i="7"/>
  <c r="BJ103" i="7"/>
  <c r="BJ99" i="7"/>
  <c r="BJ98" i="7"/>
  <c r="BJ68" i="7"/>
  <c r="BK50" i="7"/>
  <c r="BK51" i="7" s="1"/>
  <c r="L187" i="8"/>
  <c r="BJ48" i="7"/>
  <c r="BJ47" i="7"/>
  <c r="BL42" i="7"/>
  <c r="BJ114" i="6"/>
  <c r="BJ116" i="6"/>
  <c r="BL116" i="6" s="1"/>
  <c r="BJ113" i="6"/>
  <c r="BK113" i="6" s="1"/>
  <c r="BJ107" i="6"/>
  <c r="BL53" i="3"/>
  <c r="BM53" i="3" s="1"/>
  <c r="BL88" i="4"/>
  <c r="BK87" i="4"/>
  <c r="BL87" i="4" s="1"/>
  <c r="BN83" i="4"/>
  <c r="BL70" i="4"/>
  <c r="BK69" i="4"/>
  <c r="BK71" i="4"/>
  <c r="BH59" i="4"/>
  <c r="BH65" i="4" s="1"/>
  <c r="BH66" i="4" s="1"/>
  <c r="BH68" i="4" s="1"/>
  <c r="BK48" i="4"/>
  <c r="BM48" i="4" s="1"/>
  <c r="BJ27" i="3"/>
  <c r="BJ12" i="3"/>
  <c r="BJ178" i="3"/>
  <c r="BL178" i="3" s="1"/>
  <c r="BJ78" i="3"/>
  <c r="BK22" i="6"/>
  <c r="L135" i="8" s="1"/>
  <c r="BJ11" i="6"/>
  <c r="BH78" i="5"/>
  <c r="BH56" i="5"/>
  <c r="BH43" i="5"/>
  <c r="BM21" i="6"/>
  <c r="BJ192" i="3"/>
  <c r="BJ191" i="3"/>
  <c r="BJ189" i="3"/>
  <c r="BJ188" i="3"/>
  <c r="BL185" i="3"/>
  <c r="BI82" i="5"/>
  <c r="BK256" i="4"/>
  <c r="BL256" i="4" s="1"/>
  <c r="BK255" i="4"/>
  <c r="BJ205" i="3"/>
  <c r="BK140" i="6"/>
  <c r="BK65" i="5"/>
  <c r="BK64" i="5"/>
  <c r="BJ23" i="5"/>
  <c r="BI23" i="5"/>
  <c r="BJ35" i="6"/>
  <c r="BD69" i="3"/>
  <c r="BJ69" i="3" s="1"/>
  <c r="BD101" i="6"/>
  <c r="BJ101" i="6" s="1"/>
  <c r="BL101" i="6" s="1"/>
  <c r="BM101" i="6" s="1"/>
  <c r="BM102" i="6" s="1"/>
  <c r="M161" i="8" s="1"/>
  <c r="D66" i="14" s="1"/>
  <c r="BD99" i="6"/>
  <c r="BD95" i="6"/>
  <c r="BD93" i="6"/>
  <c r="BL138" i="6"/>
  <c r="BM138" i="6" s="1"/>
  <c r="BK30" i="5"/>
  <c r="BH27" i="5"/>
  <c r="BI27" i="5"/>
  <c r="BI22" i="5"/>
  <c r="BK20" i="5"/>
  <c r="BJ31" i="5"/>
  <c r="BK31" i="5" s="1"/>
  <c r="BK33" i="5" s="1"/>
  <c r="M110" i="8" s="1"/>
  <c r="D19" i="13" s="1"/>
  <c r="BJ22" i="5"/>
  <c r="BK22" i="5" s="1"/>
  <c r="BK202" i="4"/>
  <c r="BJ99" i="3"/>
  <c r="BB42" i="4"/>
  <c r="BB41" i="4"/>
  <c r="BK39" i="4"/>
  <c r="BB39" i="4"/>
  <c r="BB38" i="4"/>
  <c r="BB36" i="4"/>
  <c r="BB33" i="4"/>
  <c r="BB29" i="4"/>
  <c r="BL89" i="4"/>
  <c r="BK86" i="4"/>
  <c r="BL86" i="4" s="1"/>
  <c r="BK77" i="4"/>
  <c r="BK61" i="4"/>
  <c r="BK55" i="4"/>
  <c r="BE186" i="4"/>
  <c r="BG186" i="4" s="1"/>
  <c r="BI186" i="4" s="1"/>
  <c r="BE173" i="4"/>
  <c r="BG173" i="4" s="1"/>
  <c r="BL159" i="4"/>
  <c r="BL162" i="4"/>
  <c r="BK156" i="4"/>
  <c r="BL145" i="4"/>
  <c r="BK136" i="4"/>
  <c r="BM136" i="4" s="1"/>
  <c r="BK135" i="4"/>
  <c r="BM135" i="4" s="1"/>
  <c r="BL132" i="4"/>
  <c r="AB122" i="4"/>
  <c r="BL102" i="4"/>
  <c r="BK111" i="4"/>
  <c r="BM113" i="4"/>
  <c r="BN113" i="4" s="1"/>
  <c r="BK201" i="4"/>
  <c r="BK240" i="4"/>
  <c r="BK251" i="4"/>
  <c r="BL219" i="4"/>
  <c r="BJ164" i="3"/>
  <c r="BK164" i="3"/>
  <c r="BJ156" i="3"/>
  <c r="BK156" i="3"/>
  <c r="BJ153" i="3"/>
  <c r="BK153" i="3"/>
  <c r="BL112" i="7"/>
  <c r="BM112" i="7" s="1"/>
  <c r="BJ16" i="5"/>
  <c r="BK16" i="5" s="1"/>
  <c r="AD16" i="5"/>
  <c r="AD79" i="7"/>
  <c r="AD66" i="7"/>
  <c r="BB27" i="4"/>
  <c r="BL27" i="4" s="1"/>
  <c r="AE26" i="4"/>
  <c r="BB16" i="4"/>
  <c r="AX13" i="4"/>
  <c r="AK13" i="4"/>
  <c r="AM13" i="4"/>
  <c r="AN13" i="4" s="1"/>
  <c r="BB11" i="4"/>
  <c r="BB8" i="4"/>
  <c r="AW103" i="3"/>
  <c r="AY103" i="3"/>
  <c r="AD101" i="3"/>
  <c r="BJ101" i="3"/>
  <c r="BK101" i="3" s="1"/>
  <c r="AW101" i="3"/>
  <c r="AY101" i="3" s="1"/>
  <c r="BK93" i="3"/>
  <c r="AW93" i="3"/>
  <c r="AY93" i="3" s="1"/>
  <c r="AZ93" i="3" s="1"/>
  <c r="AD92" i="3"/>
  <c r="AX91" i="4"/>
  <c r="AY91" i="4" s="1"/>
  <c r="AK91" i="4"/>
  <c r="AW42" i="5"/>
  <c r="BJ42" i="5" s="1"/>
  <c r="AW197" i="3"/>
  <c r="AX197" i="3" s="1"/>
  <c r="AX200" i="3" s="1"/>
  <c r="AJ197" i="3"/>
  <c r="AL197" i="3" s="1"/>
  <c r="AB34" i="4"/>
  <c r="BJ110" i="7"/>
  <c r="BK110" i="7"/>
  <c r="AW110" i="7"/>
  <c r="AY110" i="7"/>
  <c r="AW111" i="7"/>
  <c r="AJ111" i="7"/>
  <c r="AL111" i="7" s="1"/>
  <c r="AY105" i="7"/>
  <c r="BL105" i="7" s="1"/>
  <c r="BM105" i="7" s="1"/>
  <c r="AW106" i="7"/>
  <c r="AY106" i="7"/>
  <c r="AW98" i="7"/>
  <c r="AJ98" i="7"/>
  <c r="AL98" i="7" s="1"/>
  <c r="AM98" i="7" s="1"/>
  <c r="AW99" i="7"/>
  <c r="AJ99" i="7"/>
  <c r="AW94" i="7"/>
  <c r="AJ94" i="7"/>
  <c r="AL94" i="7" s="1"/>
  <c r="AW95" i="7"/>
  <c r="AL95" i="7"/>
  <c r="AM95" i="7"/>
  <c r="AW91" i="7"/>
  <c r="AJ91" i="7"/>
  <c r="AL91" i="7" s="1"/>
  <c r="AW92" i="7"/>
  <c r="BJ85" i="7"/>
  <c r="AW85" i="7"/>
  <c r="AJ85" i="7"/>
  <c r="AL85" i="7" s="1"/>
  <c r="AM85" i="7" s="1"/>
  <c r="X85" i="7"/>
  <c r="AW82" i="7"/>
  <c r="AJ82" i="7"/>
  <c r="AL82" i="7"/>
  <c r="AM82" i="7" s="1"/>
  <c r="AM83" i="7"/>
  <c r="D196" i="8" s="1"/>
  <c r="AW77" i="7"/>
  <c r="AJ77" i="7"/>
  <c r="AL77" i="7"/>
  <c r="AM77" i="7" s="1"/>
  <c r="AW80" i="7"/>
  <c r="AJ80" i="7"/>
  <c r="AL80" i="7"/>
  <c r="AM80" i="7" s="1"/>
  <c r="AJ71" i="7"/>
  <c r="AL71" i="7" s="1"/>
  <c r="AM71" i="7"/>
  <c r="AW71" i="7"/>
  <c r="AW72" i="7"/>
  <c r="AJ72" i="7"/>
  <c r="AL72" i="7"/>
  <c r="AM72" i="7" s="1"/>
  <c r="AW73" i="7"/>
  <c r="AJ73" i="7"/>
  <c r="AL73" i="7"/>
  <c r="AM73" i="7" s="1"/>
  <c r="AW66" i="7"/>
  <c r="AJ66" i="7"/>
  <c r="AL66" i="7"/>
  <c r="AM66" i="7" s="1"/>
  <c r="AW67" i="7"/>
  <c r="AJ67" i="7"/>
  <c r="AL67" i="7"/>
  <c r="AM67" i="7" s="1"/>
  <c r="BL68" i="7"/>
  <c r="BM68" i="7" s="1"/>
  <c r="AW68" i="7"/>
  <c r="AW60" i="7"/>
  <c r="AJ60" i="7"/>
  <c r="AL60" i="7" s="1"/>
  <c r="AM60" i="7"/>
  <c r="AW61" i="7"/>
  <c r="AY61" i="7"/>
  <c r="AW62" i="7"/>
  <c r="AJ62" i="7"/>
  <c r="AL62" i="7" s="1"/>
  <c r="AM62" i="7" s="1"/>
  <c r="AW63" i="7"/>
  <c r="AJ63" i="7"/>
  <c r="AL63" i="7" s="1"/>
  <c r="AM63" i="7" s="1"/>
  <c r="AW57" i="7"/>
  <c r="AJ57" i="7"/>
  <c r="AL57" i="7" s="1"/>
  <c r="AM57" i="7" s="1"/>
  <c r="AM59" i="7" s="1"/>
  <c r="D190" i="8"/>
  <c r="AW52" i="7"/>
  <c r="AY52" i="7"/>
  <c r="BL52" i="7" s="1"/>
  <c r="BM52" i="7"/>
  <c r="AW53" i="7"/>
  <c r="AJ53" i="7"/>
  <c r="AL53" i="7" s="1"/>
  <c r="AM53" i="7" s="1"/>
  <c r="AM54" i="7" s="1"/>
  <c r="D188" i="8" s="1"/>
  <c r="M187" i="8"/>
  <c r="D34" i="15"/>
  <c r="AW45" i="7"/>
  <c r="AJ45" i="7"/>
  <c r="AL45" i="7" s="1"/>
  <c r="AM45" i="7"/>
  <c r="AW46" i="7"/>
  <c r="AJ46" i="7"/>
  <c r="AL46" i="7" s="1"/>
  <c r="AW48" i="7"/>
  <c r="AJ48" i="7"/>
  <c r="AL48" i="7"/>
  <c r="AW40" i="7"/>
  <c r="AJ40" i="7"/>
  <c r="AL40" i="7" s="1"/>
  <c r="AM40" i="7" s="1"/>
  <c r="BM41" i="7"/>
  <c r="AW42" i="7"/>
  <c r="AY42" i="7" s="1"/>
  <c r="AJ37" i="7"/>
  <c r="AL37" i="7" s="1"/>
  <c r="AM37" i="7" s="1"/>
  <c r="AM38" i="7" s="1"/>
  <c r="D183" i="8" s="1"/>
  <c r="AW37" i="7"/>
  <c r="M182" i="8"/>
  <c r="D25" i="15" s="1"/>
  <c r="M181" i="8"/>
  <c r="D24" i="15" s="1"/>
  <c r="AW26" i="7"/>
  <c r="AY26" i="7" s="1"/>
  <c r="AZ26" i="7" s="1"/>
  <c r="AZ27" i="7" s="1"/>
  <c r="I180" i="8"/>
  <c r="AW19" i="7"/>
  <c r="AJ19" i="7"/>
  <c r="AL19" i="7" s="1"/>
  <c r="AM19" i="7" s="1"/>
  <c r="AM24" i="7" s="1"/>
  <c r="AW20" i="7"/>
  <c r="AY20" i="7" s="1"/>
  <c r="BL20" i="7"/>
  <c r="BM20" i="7" s="1"/>
  <c r="AW21" i="7"/>
  <c r="AY21" i="7" s="1"/>
  <c r="BL21" i="7" s="1"/>
  <c r="BM21" i="7" s="1"/>
  <c r="D21" i="15"/>
  <c r="D20" i="15"/>
  <c r="AW11" i="7"/>
  <c r="AY11" i="7" s="1"/>
  <c r="BL11" i="7" s="1"/>
  <c r="BM11" i="7" s="1"/>
  <c r="BM12" i="7" s="1"/>
  <c r="BA8" i="7"/>
  <c r="BB8" i="7"/>
  <c r="BJ8" i="7" s="1"/>
  <c r="AW8" i="7"/>
  <c r="AY8" i="7"/>
  <c r="AZ8" i="7" s="1"/>
  <c r="AZ9" i="7" s="1"/>
  <c r="I175" i="8" s="1"/>
  <c r="BM9" i="7"/>
  <c r="M175" i="8" s="1"/>
  <c r="D18" i="15" s="1"/>
  <c r="AW5" i="7"/>
  <c r="AY5" i="7"/>
  <c r="BL5" i="7" s="1"/>
  <c r="BM5" i="7" s="1"/>
  <c r="AW6" i="7"/>
  <c r="AL6" i="7"/>
  <c r="AM6" i="7" s="1"/>
  <c r="AM7" i="7" s="1"/>
  <c r="D174" i="8" s="1"/>
  <c r="AW2" i="7"/>
  <c r="AJ2" i="7"/>
  <c r="AL2" i="7"/>
  <c r="AW3" i="7"/>
  <c r="AY3" i="7"/>
  <c r="AZ3" i="7" s="1"/>
  <c r="BM18" i="7"/>
  <c r="BK143" i="6"/>
  <c r="L170" i="8" s="1"/>
  <c r="AW142" i="6"/>
  <c r="AL142" i="6"/>
  <c r="AM142" i="6" s="1"/>
  <c r="AM143" i="6" s="1"/>
  <c r="D170" i="8" s="1"/>
  <c r="AW135" i="6"/>
  <c r="AX135" i="6" s="1"/>
  <c r="AJ135" i="6"/>
  <c r="AW136" i="6"/>
  <c r="AW137" i="6"/>
  <c r="AW138" i="6"/>
  <c r="AZ139" i="6"/>
  <c r="BL140" i="6"/>
  <c r="BM140" i="6" s="1"/>
  <c r="D78" i="14"/>
  <c r="AJ128" i="6"/>
  <c r="AL128" i="6" s="1"/>
  <c r="AJ129" i="6"/>
  <c r="AL129" i="6" s="1"/>
  <c r="AY129" i="6" s="1"/>
  <c r="AZ129" i="6" s="1"/>
  <c r="AW122" i="6"/>
  <c r="AY122" i="6" s="1"/>
  <c r="AZ122" i="6" s="1"/>
  <c r="AW123" i="6"/>
  <c r="AY123" i="6" s="1"/>
  <c r="AZ123" i="6" s="1"/>
  <c r="AW124" i="6"/>
  <c r="AY124" i="6" s="1"/>
  <c r="AZ124" i="6" s="1"/>
  <c r="X124" i="6"/>
  <c r="AW106" i="6"/>
  <c r="AJ106" i="6"/>
  <c r="AW107" i="6"/>
  <c r="AJ107" i="6"/>
  <c r="AL107" i="6" s="1"/>
  <c r="AM107" i="6" s="1"/>
  <c r="AW108" i="6"/>
  <c r="AY108" i="6"/>
  <c r="AZ108" i="6" s="1"/>
  <c r="AW109" i="6"/>
  <c r="AJ109" i="6"/>
  <c r="AW111" i="6"/>
  <c r="AX111" i="6" s="1"/>
  <c r="AJ111" i="6"/>
  <c r="BM112" i="6"/>
  <c r="AX113" i="6"/>
  <c r="AL113" i="6"/>
  <c r="AM113" i="6" s="1"/>
  <c r="AW114" i="6"/>
  <c r="AX114" i="6" s="1"/>
  <c r="AJ114" i="6"/>
  <c r="BK115" i="6"/>
  <c r="AW115" i="6"/>
  <c r="AY115" i="6"/>
  <c r="AZ115" i="6" s="1"/>
  <c r="AW116" i="6"/>
  <c r="BL103" i="6"/>
  <c r="BM103" i="6" s="1"/>
  <c r="BM104" i="6" s="1"/>
  <c r="AW101" i="6"/>
  <c r="AW99" i="6"/>
  <c r="AL99" i="6"/>
  <c r="AW97" i="6"/>
  <c r="AY97" i="6" s="1"/>
  <c r="BM96" i="6"/>
  <c r="M158" i="8" s="1"/>
  <c r="D63" i="14"/>
  <c r="BM94" i="6"/>
  <c r="M157" i="8"/>
  <c r="D62" i="14" s="1"/>
  <c r="AW88" i="6"/>
  <c r="AY88" i="6" s="1"/>
  <c r="BL88" i="6"/>
  <c r="BM88" i="6" s="1"/>
  <c r="AW89" i="6"/>
  <c r="AJ89" i="6"/>
  <c r="AL89" i="6" s="1"/>
  <c r="AM89" i="6" s="1"/>
  <c r="AW90" i="6"/>
  <c r="AY90" i="6" s="1"/>
  <c r="AZ90" i="6" s="1"/>
  <c r="AJ82" i="6"/>
  <c r="AL82" i="6" s="1"/>
  <c r="AY82" i="6" s="1"/>
  <c r="BL82" i="6" s="1"/>
  <c r="BM82" i="6" s="1"/>
  <c r="AW83" i="6"/>
  <c r="AY83" i="6" s="1"/>
  <c r="AZ83" i="6" s="1"/>
  <c r="AJ84" i="6"/>
  <c r="X84" i="6"/>
  <c r="AW86" i="6"/>
  <c r="AX86" i="6" s="1"/>
  <c r="AJ86" i="6"/>
  <c r="AL86" i="6" s="1"/>
  <c r="AM86" i="6" s="1"/>
  <c r="AW68" i="6"/>
  <c r="AY68" i="6" s="1"/>
  <c r="AW69" i="6"/>
  <c r="AY69" i="6" s="1"/>
  <c r="BM71" i="6"/>
  <c r="BM73" i="6"/>
  <c r="AZ74" i="6"/>
  <c r="BM74" i="6" s="1"/>
  <c r="AW64" i="6"/>
  <c r="AY64" i="6" s="1"/>
  <c r="BM66" i="6"/>
  <c r="M149" i="8" s="1"/>
  <c r="D41" i="14" s="1"/>
  <c r="AW59" i="6"/>
  <c r="AY59" i="6" s="1"/>
  <c r="AL60" i="6"/>
  <c r="AY60" i="6" s="1"/>
  <c r="AZ60" i="6" s="1"/>
  <c r="BK61" i="6"/>
  <c r="AY61" i="6"/>
  <c r="BL61" i="6" s="1"/>
  <c r="BM61" i="6" s="1"/>
  <c r="BL62" i="6"/>
  <c r="BM62" i="6" s="1"/>
  <c r="AW56" i="6"/>
  <c r="AW57" i="6"/>
  <c r="AY57" i="6" s="1"/>
  <c r="BJ51" i="6"/>
  <c r="BK51" i="6" s="1"/>
  <c r="AW51" i="6"/>
  <c r="AY51" i="6" s="1"/>
  <c r="BJ52" i="6"/>
  <c r="BK52" i="6" s="1"/>
  <c r="AW52" i="6"/>
  <c r="AY52" i="6" s="1"/>
  <c r="BJ53" i="6"/>
  <c r="BK53" i="6" s="1"/>
  <c r="AW53" i="6"/>
  <c r="AY53" i="6" s="1"/>
  <c r="AZ53" i="6" s="1"/>
  <c r="AZ55" i="6" s="1"/>
  <c r="AW54" i="6"/>
  <c r="AX54" i="6" s="1"/>
  <c r="BM50" i="6"/>
  <c r="M145" i="8"/>
  <c r="D37" i="14" s="1"/>
  <c r="AW45" i="6"/>
  <c r="AW47" i="6"/>
  <c r="AY47" i="6" s="1"/>
  <c r="AZ47" i="6" s="1"/>
  <c r="BM44" i="6"/>
  <c r="M143" i="8" s="1"/>
  <c r="D35" i="14" s="1"/>
  <c r="AW38" i="6"/>
  <c r="AJ38" i="6"/>
  <c r="AL38" i="6" s="1"/>
  <c r="AM38" i="6" s="1"/>
  <c r="AM39" i="6" s="1"/>
  <c r="D142" i="8" s="1"/>
  <c r="BM37" i="6"/>
  <c r="M141" i="8" s="1"/>
  <c r="D33" i="14" s="1"/>
  <c r="BM33" i="6"/>
  <c r="M140" i="8" s="1"/>
  <c r="D32" i="14" s="1"/>
  <c r="BJ26" i="6"/>
  <c r="BK26" i="6" s="1"/>
  <c r="BK27" i="6" s="1"/>
  <c r="L137" i="8" s="1"/>
  <c r="AW26" i="6"/>
  <c r="AY26" i="6" s="1"/>
  <c r="AY24" i="6"/>
  <c r="BM19" i="6"/>
  <c r="M134" i="8" s="1"/>
  <c r="D23" i="14"/>
  <c r="AW3" i="6"/>
  <c r="AU76" i="5"/>
  <c r="AH76" i="5"/>
  <c r="AJ76" i="5"/>
  <c r="AU79" i="5"/>
  <c r="AW79" i="5"/>
  <c r="BJ79" i="5" s="1"/>
  <c r="BI74" i="5"/>
  <c r="BI75" i="5"/>
  <c r="L123" i="8" s="1"/>
  <c r="AU74" i="5"/>
  <c r="AH74" i="5"/>
  <c r="AJ74" i="5" s="1"/>
  <c r="AK74" i="5" s="1"/>
  <c r="AK75" i="5" s="1"/>
  <c r="D123" i="8" s="1"/>
  <c r="AU72" i="5"/>
  <c r="AW72" i="5"/>
  <c r="BJ72" i="5" s="1"/>
  <c r="AU68" i="5"/>
  <c r="AV68" i="5"/>
  <c r="AH68" i="5"/>
  <c r="AJ68" i="5"/>
  <c r="AU69" i="5"/>
  <c r="AV69" i="5"/>
  <c r="AH69" i="5"/>
  <c r="AJ69" i="5"/>
  <c r="AU64" i="5"/>
  <c r="AW64" i="5"/>
  <c r="AX64" i="5" s="1"/>
  <c r="AU65" i="5"/>
  <c r="AW65" i="5" s="1"/>
  <c r="AX65" i="5"/>
  <c r="AU66" i="5"/>
  <c r="AW66" i="5"/>
  <c r="AX66" i="5" s="1"/>
  <c r="BK66" i="5"/>
  <c r="AU59" i="5"/>
  <c r="AW59" i="5" s="1"/>
  <c r="AU60" i="5"/>
  <c r="AV60" i="5"/>
  <c r="AU62" i="5"/>
  <c r="AX62" i="5"/>
  <c r="BK62" i="5" s="1"/>
  <c r="AU55" i="5"/>
  <c r="BK55" i="5"/>
  <c r="BK57" i="5" s="1"/>
  <c r="M116" i="8" s="1"/>
  <c r="D25" i="13" s="1"/>
  <c r="AW56" i="5"/>
  <c r="AU46" i="5"/>
  <c r="AW46" i="5"/>
  <c r="AU37" i="5"/>
  <c r="AW37" i="5" s="1"/>
  <c r="AX37" i="5" s="1"/>
  <c r="AU38" i="5"/>
  <c r="AU39" i="5"/>
  <c r="AW39" i="5" s="1"/>
  <c r="BJ39" i="5" s="1"/>
  <c r="BK39" i="5" s="1"/>
  <c r="AU30" i="5"/>
  <c r="AW30" i="5" s="1"/>
  <c r="AX30" i="5"/>
  <c r="AU25" i="5"/>
  <c r="AW25" i="5" s="1"/>
  <c r="BJ25" i="5" s="1"/>
  <c r="BK25" i="5" s="1"/>
  <c r="AU26" i="5"/>
  <c r="AW26" i="5" s="1"/>
  <c r="AX26" i="5" s="1"/>
  <c r="BJ27" i="5"/>
  <c r="BK27" i="5"/>
  <c r="AU20" i="5"/>
  <c r="AW20" i="5" s="1"/>
  <c r="AX20" i="5" s="1"/>
  <c r="AU21" i="5"/>
  <c r="AW21" i="5" s="1"/>
  <c r="AX21" i="5" s="1"/>
  <c r="AU16" i="5"/>
  <c r="AH16" i="5"/>
  <c r="AJ16" i="5" s="1"/>
  <c r="BK17" i="5"/>
  <c r="AS17" i="5"/>
  <c r="AU17" i="5"/>
  <c r="AV17" i="5" s="1"/>
  <c r="AU18" i="5"/>
  <c r="AW18" i="5" s="1"/>
  <c r="BJ18" i="5"/>
  <c r="BK18" i="5" s="1"/>
  <c r="AU12" i="5"/>
  <c r="AV12" i="5" s="1"/>
  <c r="AH12" i="5"/>
  <c r="AJ12" i="5" s="1"/>
  <c r="AU13" i="5"/>
  <c r="AH13" i="5"/>
  <c r="AJ13" i="5" s="1"/>
  <c r="AK13" i="5" s="1"/>
  <c r="AU14" i="5"/>
  <c r="AW14" i="5" s="1"/>
  <c r="AU3" i="5"/>
  <c r="AH3" i="5"/>
  <c r="AJ3" i="5" s="1"/>
  <c r="AK3" i="5" s="1"/>
  <c r="BJ3" i="5"/>
  <c r="BK3" i="5" s="1"/>
  <c r="AU4" i="5"/>
  <c r="AH4" i="5"/>
  <c r="AJ4" i="5" s="1"/>
  <c r="AU5" i="5"/>
  <c r="AH5" i="5"/>
  <c r="AJ5" i="5"/>
  <c r="AU6" i="5"/>
  <c r="AW6" i="5" s="1"/>
  <c r="BJ6" i="5" s="1"/>
  <c r="BK6" i="5" s="1"/>
  <c r="AU7" i="5"/>
  <c r="AW7" i="5" s="1"/>
  <c r="BJ7" i="5" s="1"/>
  <c r="BK7" i="5"/>
  <c r="AU8" i="5"/>
  <c r="AW8" i="5" s="1"/>
  <c r="BJ8" i="5" s="1"/>
  <c r="BK8" i="5" s="1"/>
  <c r="AU9" i="5"/>
  <c r="AW9" i="5" s="1"/>
  <c r="BJ9" i="5" s="1"/>
  <c r="BK9" i="5"/>
  <c r="AU10" i="5"/>
  <c r="AV10" i="5" s="1"/>
  <c r="AJ10" i="5"/>
  <c r="AK10" i="5"/>
  <c r="AU82" i="5"/>
  <c r="AW82" i="5" s="1"/>
  <c r="BJ82" i="5" s="1"/>
  <c r="BK82" i="5"/>
  <c r="BK84" i="5" s="1"/>
  <c r="M126" i="8" s="1"/>
  <c r="D48" i="13" s="1"/>
  <c r="AU85" i="5"/>
  <c r="AW85" i="5" s="1"/>
  <c r="AX262" i="4"/>
  <c r="AZ262" i="4" s="1"/>
  <c r="BA262" i="4" s="1"/>
  <c r="BL262" i="4"/>
  <c r="AX263" i="4"/>
  <c r="AY263" i="4" s="1"/>
  <c r="AY264" i="4" s="1"/>
  <c r="H102" i="8" s="1"/>
  <c r="AK263" i="4"/>
  <c r="AM263" i="4" s="1"/>
  <c r="AX254" i="4"/>
  <c r="AK254" i="4"/>
  <c r="AM254" i="4"/>
  <c r="AN254" i="4" s="1"/>
  <c r="BK254" i="4"/>
  <c r="BL254" i="4" s="1"/>
  <c r="AX255" i="4"/>
  <c r="AZ255" i="4" s="1"/>
  <c r="AX256" i="4"/>
  <c r="AZ256" i="4" s="1"/>
  <c r="BN259" i="4"/>
  <c r="BN260" i="4"/>
  <c r="AX248" i="4"/>
  <c r="AK248" i="4"/>
  <c r="AX244" i="4"/>
  <c r="AK244" i="4"/>
  <c r="AX245" i="4"/>
  <c r="AK245" i="4"/>
  <c r="AM245" i="4" s="1"/>
  <c r="AX240" i="4"/>
  <c r="AZ240" i="4" s="1"/>
  <c r="BA240" i="4" s="1"/>
  <c r="BN240" i="4" s="1"/>
  <c r="BN241" i="4" s="1"/>
  <c r="M96" i="8" s="1"/>
  <c r="D71" i="12" s="1"/>
  <c r="AX233" i="4"/>
  <c r="AK233" i="4"/>
  <c r="AM233" i="4" s="1"/>
  <c r="AN233" i="4" s="1"/>
  <c r="AX236" i="4"/>
  <c r="AY236" i="4" s="1"/>
  <c r="AY237" i="4" s="1"/>
  <c r="H95" i="8" s="1"/>
  <c r="AK236" i="4"/>
  <c r="AM236" i="4" s="1"/>
  <c r="AX229" i="4"/>
  <c r="AX230" i="4"/>
  <c r="BM230" i="4"/>
  <c r="BN230" i="4" s="1"/>
  <c r="AX223" i="4"/>
  <c r="AK223" i="4"/>
  <c r="AX224" i="4"/>
  <c r="AK224" i="4"/>
  <c r="AX226" i="4"/>
  <c r="AY226" i="4" s="1"/>
  <c r="AY227" i="4" s="1"/>
  <c r="H92" i="8" s="1"/>
  <c r="AK226" i="4"/>
  <c r="AM226" i="4" s="1"/>
  <c r="AN226" i="4" s="1"/>
  <c r="AX217" i="4"/>
  <c r="AK217" i="4"/>
  <c r="AX219" i="4"/>
  <c r="AY219" i="4" s="1"/>
  <c r="AK219" i="4"/>
  <c r="AX220" i="4"/>
  <c r="AX221" i="4"/>
  <c r="AK221" i="4"/>
  <c r="AX214" i="4"/>
  <c r="AY214" i="4" s="1"/>
  <c r="AK214" i="4"/>
  <c r="AX215" i="4"/>
  <c r="AK215" i="4"/>
  <c r="AM215" i="4" s="1"/>
  <c r="AK210" i="4"/>
  <c r="AX210" i="4"/>
  <c r="AY210" i="4" s="1"/>
  <c r="AX211" i="4"/>
  <c r="AK211" i="4"/>
  <c r="AM211" i="4" s="1"/>
  <c r="AN211" i="4" s="1"/>
  <c r="AX206" i="4"/>
  <c r="AY206" i="4" s="1"/>
  <c r="AK206" i="4"/>
  <c r="AM206" i="4" s="1"/>
  <c r="AN206" i="4" s="1"/>
  <c r="AX207" i="4"/>
  <c r="AK207" i="4"/>
  <c r="AM207" i="4"/>
  <c r="AN207" i="4" s="1"/>
  <c r="AX201" i="4"/>
  <c r="AY201" i="4" s="1"/>
  <c r="AY205" i="4" s="1"/>
  <c r="H87" i="8" s="1"/>
  <c r="AK201" i="4"/>
  <c r="AM201" i="4" s="1"/>
  <c r="AN201" i="4" s="1"/>
  <c r="BK198" i="4"/>
  <c r="BM198" i="4" s="1"/>
  <c r="BN198" i="4" s="1"/>
  <c r="BN200" i="4" s="1"/>
  <c r="AX199" i="4"/>
  <c r="AK199" i="4"/>
  <c r="AX191" i="4"/>
  <c r="AK191" i="4"/>
  <c r="AX192" i="4"/>
  <c r="AY192" i="4" s="1"/>
  <c r="AY195" i="4" s="1"/>
  <c r="H84" i="8" s="1"/>
  <c r="AK192" i="4"/>
  <c r="AM192" i="4" s="1"/>
  <c r="AN192" i="4" s="1"/>
  <c r="BN193" i="4"/>
  <c r="AX170" i="4"/>
  <c r="AM170" i="4"/>
  <c r="Y170" i="4"/>
  <c r="AX171" i="4"/>
  <c r="AZ171" i="4"/>
  <c r="Y171" i="4"/>
  <c r="AX172" i="4"/>
  <c r="AK172" i="4"/>
  <c r="AM172" i="4" s="1"/>
  <c r="Y172" i="4"/>
  <c r="AX178" i="4"/>
  <c r="AY178" i="4" s="1"/>
  <c r="AK178" i="4"/>
  <c r="AM178" i="4" s="1"/>
  <c r="Y178" i="4"/>
  <c r="BN182" i="4"/>
  <c r="AX159" i="4"/>
  <c r="AK159" i="4"/>
  <c r="AM159" i="4" s="1"/>
  <c r="AX162" i="4"/>
  <c r="AY162" i="4" s="1"/>
  <c r="AK162" i="4"/>
  <c r="AM162" i="4"/>
  <c r="Y162" i="4"/>
  <c r="AX163" i="4"/>
  <c r="AK163" i="4"/>
  <c r="AM163" i="4"/>
  <c r="AN163" i="4" s="1"/>
  <c r="AX166" i="4"/>
  <c r="AZ166" i="4" s="1"/>
  <c r="Y166" i="4"/>
  <c r="AX168" i="4"/>
  <c r="AZ168" i="4" s="1"/>
  <c r="AX153" i="4"/>
  <c r="AK153" i="4"/>
  <c r="AM153" i="4" s="1"/>
  <c r="Y153" i="4"/>
  <c r="AX157" i="4"/>
  <c r="AK157" i="4"/>
  <c r="AM157" i="4" s="1"/>
  <c r="AN157" i="4" s="1"/>
  <c r="AX150" i="4"/>
  <c r="AZ150" i="4" s="1"/>
  <c r="BM150" i="4" s="1"/>
  <c r="Y150" i="4"/>
  <c r="AX151" i="4"/>
  <c r="AZ151" i="4" s="1"/>
  <c r="Y151" i="4"/>
  <c r="AK131" i="4"/>
  <c r="AM131" i="4" s="1"/>
  <c r="AX131" i="4"/>
  <c r="Y131" i="4"/>
  <c r="AK132" i="4"/>
  <c r="AM132" i="4" s="1"/>
  <c r="AZ132" i="4" s="1"/>
  <c r="BM132" i="4" s="1"/>
  <c r="Y132" i="4"/>
  <c r="AE132" i="4" s="1"/>
  <c r="AM133" i="4"/>
  <c r="Y133" i="4"/>
  <c r="AK139" i="4"/>
  <c r="AM139" i="4" s="1"/>
  <c r="AX139" i="4"/>
  <c r="AY139" i="4" s="1"/>
  <c r="AK140" i="4"/>
  <c r="AM140" i="4" s="1"/>
  <c r="AN140" i="4" s="1"/>
  <c r="AX140" i="4"/>
  <c r="AK141" i="4"/>
  <c r="AM141" i="4" s="1"/>
  <c r="AX141" i="4"/>
  <c r="AK142" i="4"/>
  <c r="AM142" i="4"/>
  <c r="AX142" i="4"/>
  <c r="Y142" i="4"/>
  <c r="AX143" i="4"/>
  <c r="AZ143" i="4"/>
  <c r="Y143" i="4"/>
  <c r="AE143" i="4" s="1"/>
  <c r="AK144" i="4"/>
  <c r="AM144" i="4" s="1"/>
  <c r="AN144" i="4" s="1"/>
  <c r="AX144" i="4"/>
  <c r="Y144" i="4"/>
  <c r="AZ125" i="4"/>
  <c r="AX126" i="4"/>
  <c r="AK126" i="4"/>
  <c r="Y126" i="4"/>
  <c r="AX128" i="4"/>
  <c r="AK128" i="4"/>
  <c r="AM128" i="4" s="1"/>
  <c r="BM118" i="4"/>
  <c r="AX119" i="4"/>
  <c r="AK119" i="4"/>
  <c r="AX120" i="4"/>
  <c r="AZ120" i="4"/>
  <c r="BM120" i="4" s="1"/>
  <c r="BN120" i="4" s="1"/>
  <c r="AX121" i="4"/>
  <c r="AZ121" i="4" s="1"/>
  <c r="BA121" i="4" s="1"/>
  <c r="AX102" i="4"/>
  <c r="Y102" i="4"/>
  <c r="AX108" i="4"/>
  <c r="AZ108" i="4" s="1"/>
  <c r="BM108" i="4" s="1"/>
  <c r="AX109" i="4"/>
  <c r="AK109" i="4"/>
  <c r="AM109" i="4" s="1"/>
  <c r="AN109" i="4" s="1"/>
  <c r="AX110" i="4"/>
  <c r="AY110" i="4" s="1"/>
  <c r="AK110" i="4"/>
  <c r="AM110" i="4" s="1"/>
  <c r="AN110" i="4" s="1"/>
  <c r="Y110" i="4"/>
  <c r="AX111" i="4"/>
  <c r="AK111" i="4"/>
  <c r="AM111" i="4" s="1"/>
  <c r="AN111" i="4" s="1"/>
  <c r="AX112" i="4"/>
  <c r="AK112" i="4"/>
  <c r="Y112" i="4"/>
  <c r="AX95" i="4"/>
  <c r="AZ95" i="4" s="1"/>
  <c r="BA95" i="4" s="1"/>
  <c r="BN95" i="4" s="1"/>
  <c r="AX96" i="4"/>
  <c r="AZ96" i="4" s="1"/>
  <c r="BA96" i="4" s="1"/>
  <c r="AX86" i="4"/>
  <c r="AM86" i="4"/>
  <c r="AN86" i="4" s="1"/>
  <c r="AX87" i="4"/>
  <c r="AZ87" i="4" s="1"/>
  <c r="BA87" i="4" s="1"/>
  <c r="AK88" i="4"/>
  <c r="AM88" i="4" s="1"/>
  <c r="AN88" i="4" s="1"/>
  <c r="AZ88" i="4" s="1"/>
  <c r="AX88" i="4"/>
  <c r="AX89" i="4"/>
  <c r="AY89" i="4"/>
  <c r="AK89" i="4"/>
  <c r="AM89" i="4" s="1"/>
  <c r="AX79" i="4"/>
  <c r="AY79" i="4"/>
  <c r="AK79" i="4"/>
  <c r="AM79" i="4" s="1"/>
  <c r="BK80" i="4"/>
  <c r="BM80" i="4"/>
  <c r="BN80" i="4" s="1"/>
  <c r="AX81" i="4"/>
  <c r="AY81" i="4" s="1"/>
  <c r="AK81" i="4"/>
  <c r="AM81" i="4" s="1"/>
  <c r="AN81" i="4" s="1"/>
  <c r="AX82" i="4"/>
  <c r="AK82" i="4"/>
  <c r="AM82" i="4" s="1"/>
  <c r="AX76" i="4"/>
  <c r="AK76" i="4"/>
  <c r="AV77" i="4"/>
  <c r="AX77" i="4" s="1"/>
  <c r="AK77" i="4"/>
  <c r="AM77" i="4" s="1"/>
  <c r="AX68" i="4"/>
  <c r="AK68" i="4"/>
  <c r="AX70" i="4"/>
  <c r="AZ70" i="4" s="1"/>
  <c r="AX71" i="4"/>
  <c r="AK71" i="4"/>
  <c r="AM71" i="4" s="1"/>
  <c r="AX63" i="4"/>
  <c r="AY63" i="4" s="1"/>
  <c r="AK63" i="4"/>
  <c r="AM63" i="4"/>
  <c r="AN63" i="4" s="1"/>
  <c r="AX64" i="4"/>
  <c r="AK64" i="4"/>
  <c r="AX65" i="4"/>
  <c r="AM65" i="4"/>
  <c r="AN65" i="4" s="1"/>
  <c r="AX66" i="4"/>
  <c r="AK66" i="4"/>
  <c r="AM66" i="4" s="1"/>
  <c r="AX58" i="4"/>
  <c r="AZ58" i="4" s="1"/>
  <c r="BA58" i="4" s="1"/>
  <c r="AX59" i="4"/>
  <c r="AK59" i="4"/>
  <c r="AM59" i="4" s="1"/>
  <c r="AX60" i="4"/>
  <c r="AZ60" i="4" s="1"/>
  <c r="BA60" i="4" s="1"/>
  <c r="BN60" i="4"/>
  <c r="AM61" i="4"/>
  <c r="AZ61" i="4" s="1"/>
  <c r="AX53" i="4"/>
  <c r="AZ53" i="4"/>
  <c r="BA53" i="4" s="1"/>
  <c r="AX55" i="4"/>
  <c r="AZ55" i="4" s="1"/>
  <c r="AX56" i="4"/>
  <c r="AZ56" i="4" s="1"/>
  <c r="BN45" i="4"/>
  <c r="AX46" i="4"/>
  <c r="AZ46" i="4" s="1"/>
  <c r="BM46" i="4" s="1"/>
  <c r="BN46" i="4" s="1"/>
  <c r="AX48" i="4"/>
  <c r="AK48" i="4"/>
  <c r="AM48" i="4" s="1"/>
  <c r="Y48" i="4"/>
  <c r="AE48" i="4"/>
  <c r="AX51" i="4"/>
  <c r="AK51" i="4"/>
  <c r="AM51" i="4" s="1"/>
  <c r="BN51" i="4"/>
  <c r="AX41" i="4"/>
  <c r="AK41" i="4"/>
  <c r="AM41" i="4" s="1"/>
  <c r="AN41" i="4" s="1"/>
  <c r="AX42" i="4"/>
  <c r="AK42" i="4"/>
  <c r="AM42" i="4" s="1"/>
  <c r="AN42" i="4" s="1"/>
  <c r="AX38" i="4"/>
  <c r="AK38" i="4"/>
  <c r="AM38" i="4" s="1"/>
  <c r="AX39" i="4"/>
  <c r="AK39" i="4"/>
  <c r="AM39" i="4" s="1"/>
  <c r="AN39" i="4" s="1"/>
  <c r="AX33" i="4"/>
  <c r="AK33" i="4"/>
  <c r="AM33" i="4" s="1"/>
  <c r="AX34" i="4"/>
  <c r="AK34" i="4"/>
  <c r="AM34" i="4" s="1"/>
  <c r="AX35" i="4"/>
  <c r="AK35" i="4"/>
  <c r="AM35" i="4"/>
  <c r="AN35" i="4" s="1"/>
  <c r="AX36" i="4"/>
  <c r="AK36" i="4"/>
  <c r="AM36" i="4" s="1"/>
  <c r="AX29" i="4"/>
  <c r="AK29" i="4"/>
  <c r="AM29" i="4" s="1"/>
  <c r="AX30" i="4"/>
  <c r="AK30" i="4"/>
  <c r="AM30" i="4" s="1"/>
  <c r="AX31" i="4"/>
  <c r="AK31" i="4"/>
  <c r="AM31" i="4" s="1"/>
  <c r="AX25" i="4"/>
  <c r="AK25" i="4"/>
  <c r="AM25" i="4" s="1"/>
  <c r="AX27" i="4"/>
  <c r="AK27" i="4"/>
  <c r="AM27" i="4" s="1"/>
  <c r="AN27" i="4" s="1"/>
  <c r="AK19" i="4"/>
  <c r="AX19" i="4"/>
  <c r="AY19" i="4" s="1"/>
  <c r="AX20" i="4"/>
  <c r="AK20" i="4"/>
  <c r="AM20" i="4" s="1"/>
  <c r="AN20" i="4" s="1"/>
  <c r="AX21" i="4"/>
  <c r="AK21" i="4"/>
  <c r="AM21" i="4"/>
  <c r="AX22" i="4"/>
  <c r="AY22" i="4" s="1"/>
  <c r="AK22" i="4"/>
  <c r="AM22" i="4" s="1"/>
  <c r="AN22" i="4" s="1"/>
  <c r="AX23" i="4"/>
  <c r="AK23" i="4"/>
  <c r="AM23" i="4" s="1"/>
  <c r="AX15" i="4"/>
  <c r="AM15" i="4"/>
  <c r="AX16" i="4"/>
  <c r="AM16" i="4"/>
  <c r="AX17" i="4"/>
  <c r="AY17" i="4" s="1"/>
  <c r="AM17" i="4"/>
  <c r="AX2" i="4"/>
  <c r="AK2" i="4"/>
  <c r="AM2" i="4" s="1"/>
  <c r="AX3" i="4"/>
  <c r="AY3" i="4" s="1"/>
  <c r="AK3" i="4"/>
  <c r="AM3" i="4" s="1"/>
  <c r="AX4" i="4"/>
  <c r="AY4" i="4" s="1"/>
  <c r="AK4" i="4"/>
  <c r="AM4" i="4" s="1"/>
  <c r="AW211" i="3"/>
  <c r="BM211" i="3"/>
  <c r="AW212" i="3"/>
  <c r="AY212" i="3" s="1"/>
  <c r="BL212" i="3" s="1"/>
  <c r="AW213" i="3"/>
  <c r="AW209" i="3"/>
  <c r="AW202" i="3"/>
  <c r="AW203" i="3"/>
  <c r="AY203" i="3" s="1"/>
  <c r="AW205" i="3"/>
  <c r="AY205" i="3" s="1"/>
  <c r="BL205" i="3" s="1"/>
  <c r="BM205" i="3" s="1"/>
  <c r="AW206" i="3"/>
  <c r="AX206" i="3"/>
  <c r="AW207" i="3"/>
  <c r="AJ207" i="3"/>
  <c r="AL207" i="3" s="1"/>
  <c r="AM207" i="3" s="1"/>
  <c r="D87" i="11"/>
  <c r="H104" i="11" s="1"/>
  <c r="AY185" i="3"/>
  <c r="AZ185" i="3" s="1"/>
  <c r="AZ193" i="3" s="1"/>
  <c r="I44" i="8" s="1"/>
  <c r="BL187" i="3"/>
  <c r="BM188" i="3"/>
  <c r="BL191" i="3"/>
  <c r="BM191" i="3" s="1"/>
  <c r="BL192" i="3"/>
  <c r="BM192" i="3" s="1"/>
  <c r="AW181" i="3"/>
  <c r="AX181" i="3" s="1"/>
  <c r="AW182" i="3"/>
  <c r="AX182" i="3" s="1"/>
  <c r="AY183" i="3"/>
  <c r="AY169" i="3"/>
  <c r="AZ169" i="3"/>
  <c r="AY172" i="3"/>
  <c r="BL172" i="3" s="1"/>
  <c r="BL173" i="3"/>
  <c r="BM173" i="3" s="1"/>
  <c r="BL174" i="3"/>
  <c r="BM174" i="3"/>
  <c r="AW175" i="3"/>
  <c r="AX175" i="3"/>
  <c r="AY175" i="3" s="1"/>
  <c r="BL175" i="3" s="1"/>
  <c r="BJ176" i="3"/>
  <c r="AW176" i="3"/>
  <c r="AY164" i="3"/>
  <c r="BL164" i="3" s="1"/>
  <c r="BM164" i="3" s="1"/>
  <c r="BL166" i="3"/>
  <c r="BM166" i="3" s="1"/>
  <c r="AW160" i="3"/>
  <c r="AY160" i="3" s="1"/>
  <c r="AW158" i="3"/>
  <c r="AY158" i="3" s="1"/>
  <c r="AW155" i="3"/>
  <c r="AW156" i="3"/>
  <c r="AX156" i="3" s="1"/>
  <c r="AJ156" i="3"/>
  <c r="AL156" i="3" s="1"/>
  <c r="AW152" i="3"/>
  <c r="AX152" i="3" s="1"/>
  <c r="AX154" i="3" s="1"/>
  <c r="H36" i="8" s="1"/>
  <c r="AJ152" i="3"/>
  <c r="AL152" i="3" s="1"/>
  <c r="AW153" i="3"/>
  <c r="AL153" i="3"/>
  <c r="AW147" i="3"/>
  <c r="AY147" i="3" s="1"/>
  <c r="BL147" i="3" s="1"/>
  <c r="BM147" i="3" s="1"/>
  <c r="BM150" i="3" s="1"/>
  <c r="AW140" i="3"/>
  <c r="AX140" i="3"/>
  <c r="AY140" i="3" s="1"/>
  <c r="AW141" i="3"/>
  <c r="AJ141" i="3"/>
  <c r="AL141" i="3" s="1"/>
  <c r="AW142" i="3"/>
  <c r="AJ142" i="3"/>
  <c r="AL142" i="3" s="1"/>
  <c r="AW143" i="3"/>
  <c r="AY143" i="3" s="1"/>
  <c r="AW144" i="3"/>
  <c r="AY144" i="3" s="1"/>
  <c r="BM145" i="3"/>
  <c r="AW135" i="3"/>
  <c r="AY135" i="3"/>
  <c r="BM136" i="3"/>
  <c r="AW137" i="3"/>
  <c r="AL137" i="3"/>
  <c r="AW138" i="3"/>
  <c r="AJ138" i="3"/>
  <c r="AL138" i="3" s="1"/>
  <c r="AM138" i="3" s="1"/>
  <c r="AW130" i="3"/>
  <c r="AW131" i="3"/>
  <c r="AJ131" i="3"/>
  <c r="AL131" i="3" s="1"/>
  <c r="AM131" i="3" s="1"/>
  <c r="AW132" i="3"/>
  <c r="AY132" i="3" s="1"/>
  <c r="BL132" i="3" s="1"/>
  <c r="BM132" i="3" s="1"/>
  <c r="BL133" i="3"/>
  <c r="AW126" i="3"/>
  <c r="AJ126" i="3"/>
  <c r="AL126" i="3" s="1"/>
  <c r="AM126" i="3" s="1"/>
  <c r="AM128" i="3" s="1"/>
  <c r="D29" i="8" s="1"/>
  <c r="AW127" i="3"/>
  <c r="AY127" i="3" s="1"/>
  <c r="BL127" i="3" s="1"/>
  <c r="BM127" i="3" s="1"/>
  <c r="AW121" i="3"/>
  <c r="AY121" i="3"/>
  <c r="AW122" i="3"/>
  <c r="AY122" i="3" s="1"/>
  <c r="BL122" i="3" s="1"/>
  <c r="BM122" i="3" s="1"/>
  <c r="AW123" i="3"/>
  <c r="AY123" i="3" s="1"/>
  <c r="BL123" i="3" s="1"/>
  <c r="BM123" i="3" s="1"/>
  <c r="AW124" i="3"/>
  <c r="AY124" i="3" s="1"/>
  <c r="AW119" i="3"/>
  <c r="AY119" i="3" s="1"/>
  <c r="BL119" i="3" s="1"/>
  <c r="BM119" i="3" s="1"/>
  <c r="BM120" i="3" s="1"/>
  <c r="M27" i="8" s="1"/>
  <c r="AW115" i="3"/>
  <c r="AJ115" i="3"/>
  <c r="AL115" i="3" s="1"/>
  <c r="AM115" i="3" s="1"/>
  <c r="AM118" i="3" s="1"/>
  <c r="D26" i="8" s="1"/>
  <c r="AW111" i="3"/>
  <c r="AJ111" i="3"/>
  <c r="AL111" i="3" s="1"/>
  <c r="AW112" i="3"/>
  <c r="AY112" i="3" s="1"/>
  <c r="AW113" i="3"/>
  <c r="AY113" i="3" s="1"/>
  <c r="BL113" i="3" s="1"/>
  <c r="AW83" i="3"/>
  <c r="AJ83" i="3"/>
  <c r="AL83" i="3" s="1"/>
  <c r="AM83" i="3" s="1"/>
  <c r="AW84" i="3"/>
  <c r="AJ84" i="3"/>
  <c r="AL84" i="3" s="1"/>
  <c r="AM84" i="3" s="1"/>
  <c r="BJ85" i="3"/>
  <c r="BK85" i="3" s="1"/>
  <c r="AW85" i="3"/>
  <c r="AJ85" i="3"/>
  <c r="AL85" i="3" s="1"/>
  <c r="AM85" i="3" s="1"/>
  <c r="AW86" i="3"/>
  <c r="AX86" i="3" s="1"/>
  <c r="AJ86" i="3"/>
  <c r="AL86" i="3" s="1"/>
  <c r="BJ87" i="3"/>
  <c r="BK87" i="3" s="1"/>
  <c r="AW87" i="3"/>
  <c r="AY87" i="3" s="1"/>
  <c r="BJ88" i="3"/>
  <c r="BK88" i="3" s="1"/>
  <c r="AW88" i="3"/>
  <c r="AJ88" i="3"/>
  <c r="AL88" i="3" s="1"/>
  <c r="AM88" i="3"/>
  <c r="BJ89" i="3"/>
  <c r="AW89" i="3"/>
  <c r="AX89" i="3" s="1"/>
  <c r="AJ89" i="3"/>
  <c r="AL89" i="3" s="1"/>
  <c r="BJ90" i="3"/>
  <c r="AW90" i="3"/>
  <c r="AY90" i="3" s="1"/>
  <c r="BL78" i="3"/>
  <c r="BM78" i="3"/>
  <c r="AW80" i="3"/>
  <c r="AX80" i="3" s="1"/>
  <c r="AJ80" i="3"/>
  <c r="AL80" i="3"/>
  <c r="AY80" i="3" s="1"/>
  <c r="AW74" i="3"/>
  <c r="AX74" i="3" s="1"/>
  <c r="AY74" i="3" s="1"/>
  <c r="AW68" i="3"/>
  <c r="AW69" i="3"/>
  <c r="AJ69" i="3"/>
  <c r="AL69" i="3" s="1"/>
  <c r="AW70" i="3"/>
  <c r="X70" i="3"/>
  <c r="AD70" i="3" s="1"/>
  <c r="AW71" i="3"/>
  <c r="AW64" i="3"/>
  <c r="AJ64" i="3"/>
  <c r="AL64" i="3" s="1"/>
  <c r="AW65" i="3"/>
  <c r="AY65" i="3" s="1"/>
  <c r="BL65" i="3" s="1"/>
  <c r="BM65" i="3" s="1"/>
  <c r="AW66" i="3"/>
  <c r="AJ66" i="3"/>
  <c r="AW59" i="3"/>
  <c r="AJ59" i="3"/>
  <c r="AL59" i="3" s="1"/>
  <c r="AM59" i="3" s="1"/>
  <c r="AW60" i="3"/>
  <c r="AY60" i="3"/>
  <c r="AZ60" i="3" s="1"/>
  <c r="AW61" i="3"/>
  <c r="AW51" i="3"/>
  <c r="AJ51" i="3"/>
  <c r="AL51" i="3" s="1"/>
  <c r="X51" i="3"/>
  <c r="AJ52" i="3"/>
  <c r="AL52" i="3" s="1"/>
  <c r="AY52" i="3" s="1"/>
  <c r="AZ52" i="3" s="1"/>
  <c r="AJ53" i="3"/>
  <c r="AL53" i="3" s="1"/>
  <c r="AY53" i="3" s="1"/>
  <c r="AW54" i="3"/>
  <c r="AY54" i="3" s="1"/>
  <c r="AZ54" i="3" s="1"/>
  <c r="BL54" i="3" s="1"/>
  <c r="BM54" i="3" s="1"/>
  <c r="AW55" i="3"/>
  <c r="AJ55" i="3"/>
  <c r="AL55" i="3"/>
  <c r="AM55" i="3" s="1"/>
  <c r="AW56" i="3"/>
  <c r="AY56" i="3" s="1"/>
  <c r="AZ56" i="3" s="1"/>
  <c r="BL56" i="3" s="1"/>
  <c r="AW46" i="3"/>
  <c r="AY46" i="3"/>
  <c r="AZ46" i="3" s="1"/>
  <c r="AW47" i="3"/>
  <c r="AY47" i="3" s="1"/>
  <c r="AZ47" i="3" s="1"/>
  <c r="AW41" i="3"/>
  <c r="AY41" i="3"/>
  <c r="AZ41" i="3" s="1"/>
  <c r="AW42" i="3"/>
  <c r="AJ42" i="3"/>
  <c r="AL42" i="3" s="1"/>
  <c r="AM42" i="3" s="1"/>
  <c r="AW43" i="3"/>
  <c r="AY43" i="3" s="1"/>
  <c r="AZ43" i="3" s="1"/>
  <c r="AW44" i="3"/>
  <c r="AY44" i="3" s="1"/>
  <c r="AO37" i="3"/>
  <c r="AW37" i="3" s="1"/>
  <c r="AY37" i="3" s="1"/>
  <c r="AZ37" i="3" s="1"/>
  <c r="AO38" i="3"/>
  <c r="AW38" i="3"/>
  <c r="AJ38" i="3"/>
  <c r="AL38" i="3" s="1"/>
  <c r="AW39" i="3"/>
  <c r="BJ25" i="3"/>
  <c r="AW25" i="3"/>
  <c r="AX25" i="3" s="1"/>
  <c r="AJ25" i="3"/>
  <c r="AL25" i="3" s="1"/>
  <c r="AM25" i="3" s="1"/>
  <c r="BJ26" i="3"/>
  <c r="BK26" i="3" s="1"/>
  <c r="AW26" i="3"/>
  <c r="AJ26" i="3"/>
  <c r="AL26" i="3" s="1"/>
  <c r="AM26" i="3" s="1"/>
  <c r="AW27" i="3"/>
  <c r="AJ27" i="3"/>
  <c r="AL27" i="3" s="1"/>
  <c r="AM27" i="3" s="1"/>
  <c r="BJ28" i="3"/>
  <c r="BK28" i="3" s="1"/>
  <c r="AW28" i="3"/>
  <c r="AJ28" i="3"/>
  <c r="AL28" i="3" s="1"/>
  <c r="AM28" i="3" s="1"/>
  <c r="BK29" i="3"/>
  <c r="AW29" i="3"/>
  <c r="AY29" i="3" s="1"/>
  <c r="AZ29" i="3" s="1"/>
  <c r="BJ30" i="3"/>
  <c r="AW30" i="3"/>
  <c r="AY30" i="3" s="1"/>
  <c r="AZ30" i="3" s="1"/>
  <c r="BJ31" i="3"/>
  <c r="AW31" i="3"/>
  <c r="AJ31" i="3"/>
  <c r="AL31" i="3" s="1"/>
  <c r="AM31" i="3" s="1"/>
  <c r="BJ32" i="3"/>
  <c r="AW32" i="3"/>
  <c r="AX32" i="3" s="1"/>
  <c r="AJ32" i="3"/>
  <c r="BK33" i="3"/>
  <c r="AW33" i="3"/>
  <c r="AX33" i="3" s="1"/>
  <c r="AJ33" i="3"/>
  <c r="AW34" i="3"/>
  <c r="AX34" i="3" s="1"/>
  <c r="AJ34" i="3"/>
  <c r="AL34" i="3" s="1"/>
  <c r="AM34" i="3" s="1"/>
  <c r="BJ19" i="3"/>
  <c r="BK19" i="3" s="1"/>
  <c r="AJ19" i="3"/>
  <c r="AL19" i="3" s="1"/>
  <c r="AY19" i="3" s="1"/>
  <c r="AZ19" i="3" s="1"/>
  <c r="BL21" i="3"/>
  <c r="BM21" i="3" s="1"/>
  <c r="AW22" i="3"/>
  <c r="AY22" i="3" s="1"/>
  <c r="BL22" i="3" s="1"/>
  <c r="BM22" i="3" s="1"/>
  <c r="AW23" i="3"/>
  <c r="AY23" i="3" s="1"/>
  <c r="AZ23" i="3" s="1"/>
  <c r="AW9" i="3"/>
  <c r="AJ9" i="3"/>
  <c r="BJ10" i="3"/>
  <c r="AW10" i="3"/>
  <c r="AY10" i="3" s="1"/>
  <c r="AW11" i="3"/>
  <c r="AX11" i="3" s="1"/>
  <c r="AJ11" i="3"/>
  <c r="AL11" i="3" s="1"/>
  <c r="AM11" i="3" s="1"/>
  <c r="AJ12" i="3"/>
  <c r="AY12" i="3" s="1"/>
  <c r="BL12" i="3" s="1"/>
  <c r="BM12" i="3" s="1"/>
  <c r="BL13" i="3"/>
  <c r="BM13" i="3" s="1"/>
  <c r="BL14" i="3"/>
  <c r="BL15" i="3"/>
  <c r="BM15" i="3" s="1"/>
  <c r="AW16" i="3"/>
  <c r="AY16" i="3" s="1"/>
  <c r="BJ16" i="3"/>
  <c r="BK16" i="3" s="1"/>
  <c r="BL17" i="3"/>
  <c r="BM17" i="3" s="1"/>
  <c r="AW2" i="3"/>
  <c r="AJ2" i="3"/>
  <c r="BM3" i="3"/>
  <c r="AW4" i="3"/>
  <c r="AJ4" i="3"/>
  <c r="AL4" i="3" s="1"/>
  <c r="AW5" i="3"/>
  <c r="AX5" i="3" s="1"/>
  <c r="AJ5" i="3"/>
  <c r="AK5" i="3" s="1"/>
  <c r="BL6" i="3"/>
  <c r="BM6" i="3" s="1"/>
  <c r="BL7" i="3"/>
  <c r="BM7" i="3" s="1"/>
  <c r="AK97" i="4"/>
  <c r="AW41" i="5"/>
  <c r="BJ43" i="5"/>
  <c r="BK43" i="5" s="1"/>
  <c r="AW85" i="6"/>
  <c r="AX85" i="6" s="1"/>
  <c r="AJ85" i="6"/>
  <c r="AL85" i="6" s="1"/>
  <c r="AD29" i="6"/>
  <c r="BA29" i="6" s="1"/>
  <c r="BK30" i="6"/>
  <c r="L139" i="8" s="1"/>
  <c r="B129" i="8"/>
  <c r="C15" i="14" s="1"/>
  <c r="AZ48" i="3"/>
  <c r="AW49" i="3"/>
  <c r="AY49" i="3" s="1"/>
  <c r="AZ49" i="3" s="1"/>
  <c r="AZ21" i="3"/>
  <c r="AZ13" i="3"/>
  <c r="AZ15" i="3"/>
  <c r="AW3" i="3"/>
  <c r="AX3" i="3" s="1"/>
  <c r="AZ3" i="3"/>
  <c r="AZ6" i="3"/>
  <c r="AZ7" i="3"/>
  <c r="AD113" i="7"/>
  <c r="AD114" i="7"/>
  <c r="K207" i="8" s="1"/>
  <c r="AD105" i="7"/>
  <c r="AD106" i="7"/>
  <c r="AD107" i="7"/>
  <c r="AD104" i="7"/>
  <c r="K204" i="8"/>
  <c r="AD100" i="7"/>
  <c r="K202" i="8"/>
  <c r="AD94" i="7"/>
  <c r="AD95" i="7"/>
  <c r="AD91" i="7"/>
  <c r="AD92" i="7"/>
  <c r="AD85" i="7"/>
  <c r="AD86" i="7"/>
  <c r="AD83" i="7"/>
  <c r="AD77" i="7"/>
  <c r="AD80" i="7"/>
  <c r="AD71" i="7"/>
  <c r="AD72" i="7"/>
  <c r="AD67" i="7"/>
  <c r="AD68" i="7"/>
  <c r="AD60" i="7"/>
  <c r="AD61" i="7"/>
  <c r="AD62" i="7"/>
  <c r="AD63" i="7"/>
  <c r="AD57" i="7"/>
  <c r="AD59" i="7" s="1"/>
  <c r="K190" i="8"/>
  <c r="AD52" i="7"/>
  <c r="AD53" i="7"/>
  <c r="K187" i="8"/>
  <c r="AD46" i="7"/>
  <c r="AD48" i="7"/>
  <c r="AD42" i="7"/>
  <c r="AD44" i="7" s="1"/>
  <c r="AD37" i="7"/>
  <c r="AD38" i="7" s="1"/>
  <c r="K183" i="8"/>
  <c r="K182" i="8"/>
  <c r="AD29" i="7"/>
  <c r="K181" i="8" s="1"/>
  <c r="AD26" i="7"/>
  <c r="AD27" i="7"/>
  <c r="K180" i="8"/>
  <c r="AD19" i="7"/>
  <c r="AD20" i="7"/>
  <c r="AD21" i="7"/>
  <c r="AD18" i="7"/>
  <c r="K178" i="8" s="1"/>
  <c r="K177" i="8"/>
  <c r="AD11" i="7"/>
  <c r="AD12" i="7"/>
  <c r="K176" i="8" s="1"/>
  <c r="AD8" i="7"/>
  <c r="AD9" i="7"/>
  <c r="K175" i="8"/>
  <c r="K174" i="8"/>
  <c r="K173" i="8"/>
  <c r="K167" i="8"/>
  <c r="K158" i="8"/>
  <c r="K157" i="8"/>
  <c r="K143" i="8"/>
  <c r="K140" i="8"/>
  <c r="K134" i="8"/>
  <c r="AD68" i="5"/>
  <c r="AD69" i="5"/>
  <c r="AD63" i="5"/>
  <c r="K118" i="8"/>
  <c r="AD3" i="5"/>
  <c r="AD4" i="5"/>
  <c r="AD5" i="5"/>
  <c r="AD6" i="5"/>
  <c r="AD7" i="5"/>
  <c r="AD8" i="5"/>
  <c r="AD9" i="5"/>
  <c r="AD12" i="5"/>
  <c r="AD13" i="5"/>
  <c r="AD14" i="5"/>
  <c r="AD17" i="5"/>
  <c r="AD18" i="5"/>
  <c r="AD24" i="5"/>
  <c r="K108" i="8"/>
  <c r="AD25" i="5"/>
  <c r="AD29" i="5"/>
  <c r="K109" i="8" s="1"/>
  <c r="AD33" i="5"/>
  <c r="K110" i="8"/>
  <c r="AD38" i="5"/>
  <c r="AD40" i="5" s="1"/>
  <c r="K112" i="8" s="1"/>
  <c r="AD41" i="5"/>
  <c r="AD44" i="5"/>
  <c r="AD46" i="5"/>
  <c r="AD47" i="5"/>
  <c r="K114" i="8"/>
  <c r="AD48" i="5"/>
  <c r="AD49" i="5"/>
  <c r="AD54" i="5"/>
  <c r="AD55" i="5"/>
  <c r="AD82" i="5"/>
  <c r="AD73" i="5"/>
  <c r="K122" i="8" s="1"/>
  <c r="AD75" i="5"/>
  <c r="AD80" i="5"/>
  <c r="K124" i="8"/>
  <c r="K119" i="8"/>
  <c r="K111" i="8"/>
  <c r="AE153" i="4"/>
  <c r="AE154" i="4"/>
  <c r="AE155" i="4"/>
  <c r="AE157" i="4"/>
  <c r="AE91" i="4"/>
  <c r="AE92" i="4"/>
  <c r="AE87" i="4"/>
  <c r="AE90" i="4" s="1"/>
  <c r="K71" i="8" s="1"/>
  <c r="AE79" i="4"/>
  <c r="AE80" i="4"/>
  <c r="AE81" i="4"/>
  <c r="AE82" i="4"/>
  <c r="AE83" i="4"/>
  <c r="AE76" i="4"/>
  <c r="AE77" i="4"/>
  <c r="AE68" i="4"/>
  <c r="AE69" i="4"/>
  <c r="AE70" i="4"/>
  <c r="AE71" i="4"/>
  <c r="AE63" i="4"/>
  <c r="AE64" i="4"/>
  <c r="AE65" i="4"/>
  <c r="AE66" i="4"/>
  <c r="AE59" i="4"/>
  <c r="AE60" i="4"/>
  <c r="AE61" i="4"/>
  <c r="AE55" i="4"/>
  <c r="AE57" i="4" s="1"/>
  <c r="K65" i="8" s="1"/>
  <c r="AE46" i="4"/>
  <c r="AE49" i="4"/>
  <c r="AE50" i="4"/>
  <c r="AE51" i="4"/>
  <c r="AE223" i="4"/>
  <c r="AE227" i="4" s="1"/>
  <c r="K92" i="8"/>
  <c r="AE222" i="4"/>
  <c r="K91" i="8" s="1"/>
  <c r="AE214" i="4"/>
  <c r="AE215" i="4"/>
  <c r="AE210" i="4"/>
  <c r="AE211" i="4"/>
  <c r="AE206" i="4"/>
  <c r="AE207" i="4"/>
  <c r="AE198" i="4"/>
  <c r="AE199" i="4"/>
  <c r="AE201" i="4"/>
  <c r="AE205" i="4"/>
  <c r="K87" i="8" s="1"/>
  <c r="AE251" i="4"/>
  <c r="AE252" i="4" s="1"/>
  <c r="AE249" i="4"/>
  <c r="K98" i="8" s="1"/>
  <c r="AE235" i="4"/>
  <c r="AE237" i="4"/>
  <c r="K95" i="8" s="1"/>
  <c r="AE229" i="4"/>
  <c r="AE230" i="4"/>
  <c r="AE244" i="4"/>
  <c r="AE245" i="4"/>
  <c r="AE262" i="4"/>
  <c r="AE264" i="4" s="1"/>
  <c r="AE257" i="4"/>
  <c r="AE259" i="4"/>
  <c r="AE260" i="4"/>
  <c r="K96" i="8"/>
  <c r="AE191" i="4"/>
  <c r="AE192" i="4"/>
  <c r="AE194" i="4"/>
  <c r="Y187" i="4"/>
  <c r="AE187" i="4" s="1"/>
  <c r="Y188" i="4"/>
  <c r="AE188" i="4"/>
  <c r="AE170" i="4"/>
  <c r="AE171" i="4"/>
  <c r="Y175" i="4"/>
  <c r="AE175" i="4"/>
  <c r="AE177" i="4"/>
  <c r="AE178" i="4"/>
  <c r="AB180" i="4"/>
  <c r="Y180" i="4"/>
  <c r="AE159" i="4"/>
  <c r="AE162" i="4"/>
  <c r="AE163" i="4"/>
  <c r="AE166" i="4"/>
  <c r="AE168" i="4"/>
  <c r="AE147" i="4"/>
  <c r="AE150" i="4"/>
  <c r="AE151" i="4"/>
  <c r="AE130" i="4"/>
  <c r="AE131" i="4"/>
  <c r="AE133" i="4"/>
  <c r="AE139" i="4"/>
  <c r="AE140" i="4"/>
  <c r="AE141" i="4"/>
  <c r="AE142" i="4"/>
  <c r="AE144" i="4"/>
  <c r="Y145" i="4"/>
  <c r="AE145" i="4" s="1"/>
  <c r="K77" i="8"/>
  <c r="AB119" i="4"/>
  <c r="AE119" i="4" s="1"/>
  <c r="AB120" i="4"/>
  <c r="AE120" i="4" s="1"/>
  <c r="AB121" i="4"/>
  <c r="AE121" i="4" s="1"/>
  <c r="AB102" i="4"/>
  <c r="AE102" i="4" s="1"/>
  <c r="AB109" i="4"/>
  <c r="AE109" i="4" s="1"/>
  <c r="AB111" i="4"/>
  <c r="AE111" i="4" s="1"/>
  <c r="AE112" i="4"/>
  <c r="K73" i="8"/>
  <c r="AD209" i="3"/>
  <c r="AD210" i="3" s="1"/>
  <c r="K49" i="8" s="1"/>
  <c r="K48" i="8"/>
  <c r="AD196" i="3"/>
  <c r="AD197" i="3"/>
  <c r="AD198" i="3"/>
  <c r="AD185" i="3"/>
  <c r="AD186" i="3"/>
  <c r="AD187" i="3"/>
  <c r="AD188" i="3"/>
  <c r="AD191" i="3"/>
  <c r="AD192" i="3"/>
  <c r="AD182" i="3"/>
  <c r="AD183" i="3"/>
  <c r="AD164" i="3"/>
  <c r="AD166" i="3"/>
  <c r="AD167" i="3" s="1"/>
  <c r="AD160" i="3"/>
  <c r="AD162" i="3" s="1"/>
  <c r="K39" i="8" s="1"/>
  <c r="AD158" i="3"/>
  <c r="AD159" i="3" s="1"/>
  <c r="K38" i="8"/>
  <c r="AD155" i="3"/>
  <c r="AD156" i="3"/>
  <c r="AD152" i="3"/>
  <c r="AD153" i="3"/>
  <c r="AD154" i="3" s="1"/>
  <c r="AD150" i="3"/>
  <c r="K34" i="8" s="1"/>
  <c r="AD121" i="3"/>
  <c r="AD122" i="3"/>
  <c r="AD123" i="3"/>
  <c r="AD124" i="3"/>
  <c r="AD115" i="3"/>
  <c r="AD116" i="3"/>
  <c r="AD117" i="3"/>
  <c r="AD111" i="3"/>
  <c r="AD112" i="3"/>
  <c r="AD113" i="3"/>
  <c r="AD83" i="3"/>
  <c r="AD84" i="3"/>
  <c r="AD85" i="3"/>
  <c r="AD86" i="3"/>
  <c r="AD87" i="3"/>
  <c r="AD88" i="3"/>
  <c r="AD89" i="3"/>
  <c r="AD78" i="3"/>
  <c r="AD80" i="3"/>
  <c r="AD41" i="3"/>
  <c r="AD42" i="3"/>
  <c r="AD43" i="3"/>
  <c r="AD44" i="3"/>
  <c r="AD2" i="3"/>
  <c r="AD3" i="3"/>
  <c r="AD4" i="3"/>
  <c r="AD5" i="3"/>
  <c r="AD6" i="3"/>
  <c r="AD7" i="3"/>
  <c r="AJ12" i="8"/>
  <c r="AJ13" i="8"/>
  <c r="AD98" i="6"/>
  <c r="K159" i="8" s="1"/>
  <c r="AD69" i="6"/>
  <c r="AD68" i="6"/>
  <c r="AD50" i="6"/>
  <c r="K145" i="8" s="1"/>
  <c r="AE128" i="4"/>
  <c r="Y125" i="4"/>
  <c r="AE125" i="4"/>
  <c r="AE126" i="4"/>
  <c r="AE124" i="4"/>
  <c r="AB118" i="4"/>
  <c r="AB117" i="4"/>
  <c r="AB114" i="4"/>
  <c r="AB113" i="4"/>
  <c r="AB105" i="4"/>
  <c r="AB103" i="4"/>
  <c r="AE42" i="4"/>
  <c r="AE41" i="4"/>
  <c r="AE39" i="4"/>
  <c r="AE38" i="4"/>
  <c r="AE35" i="4"/>
  <c r="AE36" i="4"/>
  <c r="AE33" i="4"/>
  <c r="AE30" i="4"/>
  <c r="AE31" i="4"/>
  <c r="AE29" i="4"/>
  <c r="AE25" i="4"/>
  <c r="AE22" i="4"/>
  <c r="AE23" i="4"/>
  <c r="AE20" i="4"/>
  <c r="AE21" i="4"/>
  <c r="AE19" i="4"/>
  <c r="AE10" i="4"/>
  <c r="AE8" i="4"/>
  <c r="AE7" i="4"/>
  <c r="AE6" i="4"/>
  <c r="AE9" i="4"/>
  <c r="K54" i="8" s="1"/>
  <c r="AE3" i="4"/>
  <c r="AE4" i="4"/>
  <c r="D196" i="15"/>
  <c r="C196" i="15"/>
  <c r="D195" i="15"/>
  <c r="C195" i="15"/>
  <c r="D194" i="15"/>
  <c r="C194" i="15"/>
  <c r="B207" i="8"/>
  <c r="C92" i="15" s="1"/>
  <c r="B206" i="8"/>
  <c r="C91" i="15"/>
  <c r="E205" i="8"/>
  <c r="D205" i="8"/>
  <c r="C205" i="8"/>
  <c r="B205" i="8"/>
  <c r="C84" i="15" s="1"/>
  <c r="G204" i="8"/>
  <c r="B204" i="8"/>
  <c r="C83" i="15"/>
  <c r="B203" i="8"/>
  <c r="C11" i="15" s="1"/>
  <c r="B202" i="8"/>
  <c r="C73" i="15"/>
  <c r="B201" i="8"/>
  <c r="C72" i="15" s="1"/>
  <c r="B200" i="8"/>
  <c r="C71" i="15"/>
  <c r="B199" i="8"/>
  <c r="C70" i="15" s="1"/>
  <c r="B198" i="8"/>
  <c r="C63" i="15"/>
  <c r="B197" i="8"/>
  <c r="C62" i="15" s="1"/>
  <c r="B196" i="8"/>
  <c r="C55" i="15"/>
  <c r="B195" i="8"/>
  <c r="C54" i="15" s="1"/>
  <c r="B194" i="8"/>
  <c r="C53" i="15"/>
  <c r="B193" i="8"/>
  <c r="C46" i="15" s="1"/>
  <c r="B192" i="8"/>
  <c r="C45" i="15"/>
  <c r="B191" i="8"/>
  <c r="C44" i="15" s="1"/>
  <c r="B190" i="8"/>
  <c r="C43" i="15"/>
  <c r="B189" i="8"/>
  <c r="C7" i="15" s="1"/>
  <c r="B188" i="8"/>
  <c r="C35" i="15"/>
  <c r="G187" i="8"/>
  <c r="E187" i="8"/>
  <c r="B187" i="8"/>
  <c r="C34" i="15"/>
  <c r="B186" i="8"/>
  <c r="C33" i="15" s="1"/>
  <c r="B185" i="8"/>
  <c r="C32" i="15"/>
  <c r="B184" i="8"/>
  <c r="C31" i="15" s="1"/>
  <c r="B183" i="8"/>
  <c r="C26" i="15"/>
  <c r="G182" i="8"/>
  <c r="E182" i="8"/>
  <c r="D182" i="8"/>
  <c r="C182" i="8"/>
  <c r="B182" i="8"/>
  <c r="C25" i="15" s="1"/>
  <c r="G181" i="8"/>
  <c r="E181" i="8"/>
  <c r="D181" i="8"/>
  <c r="J181" i="8" s="1"/>
  <c r="C181" i="8"/>
  <c r="B181" i="8"/>
  <c r="C24" i="15" s="1"/>
  <c r="E180" i="8"/>
  <c r="D180" i="8"/>
  <c r="C180" i="8"/>
  <c r="B180" i="8"/>
  <c r="C23" i="15" s="1"/>
  <c r="B179" i="8"/>
  <c r="C22" i="15"/>
  <c r="G178" i="8"/>
  <c r="E178" i="8"/>
  <c r="D178" i="8"/>
  <c r="J178" i="8"/>
  <c r="C178" i="8"/>
  <c r="B178" i="8"/>
  <c r="C21" i="15"/>
  <c r="G177" i="8"/>
  <c r="E177" i="8"/>
  <c r="D177" i="8"/>
  <c r="J177" i="8"/>
  <c r="C177" i="8"/>
  <c r="B177" i="8"/>
  <c r="C20" i="15" s="1"/>
  <c r="G176" i="8"/>
  <c r="E176" i="8"/>
  <c r="D176" i="8"/>
  <c r="C176" i="8"/>
  <c r="B176" i="8"/>
  <c r="C19" i="15"/>
  <c r="E175" i="8"/>
  <c r="D175" i="8"/>
  <c r="C175" i="8"/>
  <c r="B175" i="8"/>
  <c r="C18" i="15" s="1"/>
  <c r="B174" i="8"/>
  <c r="C17" i="15"/>
  <c r="B173" i="8"/>
  <c r="C16" i="15" s="1"/>
  <c r="B172" i="8"/>
  <c r="C15" i="15"/>
  <c r="B171" i="8"/>
  <c r="C4" i="15" s="1"/>
  <c r="C17" i="2"/>
  <c r="B170" i="8"/>
  <c r="C85" i="14" s="1"/>
  <c r="B169" i="8"/>
  <c r="C84" i="14" s="1"/>
  <c r="B168" i="8"/>
  <c r="G167" i="8"/>
  <c r="E167" i="8"/>
  <c r="D167" i="8"/>
  <c r="J167" i="8" s="1"/>
  <c r="C167" i="8"/>
  <c r="B167" i="8"/>
  <c r="C78" i="14" s="1"/>
  <c r="B166" i="8"/>
  <c r="C77" i="14" s="1"/>
  <c r="B165" i="8"/>
  <c r="C76" i="14" s="1"/>
  <c r="B164" i="8"/>
  <c r="C75" i="14" s="1"/>
  <c r="B163" i="8"/>
  <c r="C74" i="14" s="1"/>
  <c r="B162" i="8"/>
  <c r="C67" i="14" s="1"/>
  <c r="E161" i="8"/>
  <c r="D161" i="8"/>
  <c r="C161" i="8"/>
  <c r="B161" i="8"/>
  <c r="C66" i="14" s="1"/>
  <c r="B160" i="8"/>
  <c r="C65" i="14" s="1"/>
  <c r="B159" i="8"/>
  <c r="C64" i="14" s="1"/>
  <c r="B158" i="8"/>
  <c r="C63" i="14" s="1"/>
  <c r="B157" i="8"/>
  <c r="C62" i="14" s="1"/>
  <c r="B156" i="8"/>
  <c r="C10" i="14" s="1"/>
  <c r="B155" i="8"/>
  <c r="C55" i="14" s="1"/>
  <c r="B154" i="8"/>
  <c r="C54" i="14" s="1"/>
  <c r="B153" i="8"/>
  <c r="B152" i="8"/>
  <c r="C46" i="14" s="1"/>
  <c r="E151" i="8"/>
  <c r="B151" i="8"/>
  <c r="C45" i="14"/>
  <c r="B150" i="8"/>
  <c r="C8" i="14" s="1"/>
  <c r="G149" i="8"/>
  <c r="E149" i="8"/>
  <c r="D149" i="8"/>
  <c r="J149" i="8" s="1"/>
  <c r="C149" i="8"/>
  <c r="B149" i="8"/>
  <c r="C41" i="14" s="1"/>
  <c r="G148" i="8"/>
  <c r="B148" i="8"/>
  <c r="C40" i="14" s="1"/>
  <c r="E147" i="8"/>
  <c r="D147" i="8"/>
  <c r="J147" i="8" s="1"/>
  <c r="C147" i="8"/>
  <c r="B147" i="8"/>
  <c r="C39" i="14"/>
  <c r="E146" i="8"/>
  <c r="D146" i="8"/>
  <c r="J146" i="8" s="1"/>
  <c r="C146" i="8"/>
  <c r="B146" i="8"/>
  <c r="C38" i="14" s="1"/>
  <c r="B145" i="8"/>
  <c r="C37" i="14" s="1"/>
  <c r="B144" i="8"/>
  <c r="C36" i="14" s="1"/>
  <c r="B143" i="8"/>
  <c r="C35" i="14" s="1"/>
  <c r="B142" i="8"/>
  <c r="C34" i="14" s="1"/>
  <c r="E141" i="8"/>
  <c r="D141" i="8"/>
  <c r="C141" i="8"/>
  <c r="B141" i="8"/>
  <c r="C33" i="14" s="1"/>
  <c r="B140" i="8"/>
  <c r="C32" i="14" s="1"/>
  <c r="B139" i="8"/>
  <c r="C31" i="14" s="1"/>
  <c r="B138" i="8"/>
  <c r="B137" i="8"/>
  <c r="C26" i="14"/>
  <c r="C136" i="8"/>
  <c r="B136" i="8"/>
  <c r="C25" i="14" s="1"/>
  <c r="B135" i="8"/>
  <c r="C24" i="14" s="1"/>
  <c r="B134" i="8"/>
  <c r="C23" i="14" s="1"/>
  <c r="B133" i="8"/>
  <c r="C22" i="14" s="1"/>
  <c r="B132" i="8"/>
  <c r="C6" i="14" s="1"/>
  <c r="G131" i="8"/>
  <c r="B131" i="8"/>
  <c r="C17" i="14" s="1"/>
  <c r="B130" i="8"/>
  <c r="C16" i="14" s="1"/>
  <c r="B128" i="8"/>
  <c r="C4" i="14" s="1"/>
  <c r="E127" i="8"/>
  <c r="D127" i="8"/>
  <c r="C127" i="8"/>
  <c r="B127" i="8"/>
  <c r="C49" i="13" s="1"/>
  <c r="B126" i="8"/>
  <c r="C48" i="13"/>
  <c r="B125" i="8"/>
  <c r="C47" i="13" s="1"/>
  <c r="B124" i="8"/>
  <c r="C42" i="13"/>
  <c r="B123" i="8"/>
  <c r="C41" i="13" s="1"/>
  <c r="B122" i="8"/>
  <c r="C40" i="13"/>
  <c r="B121" i="8"/>
  <c r="C7" i="13" s="1"/>
  <c r="B120" i="8"/>
  <c r="C33" i="13"/>
  <c r="D119" i="8"/>
  <c r="C119" i="8"/>
  <c r="B119" i="8"/>
  <c r="C32" i="13"/>
  <c r="B118" i="8"/>
  <c r="C31" i="13" s="1"/>
  <c r="B117" i="8"/>
  <c r="C6" i="13"/>
  <c r="B116" i="8"/>
  <c r="C25" i="13" s="1"/>
  <c r="C115" i="8"/>
  <c r="B115" i="8"/>
  <c r="C24" i="13" s="1"/>
  <c r="B114" i="8"/>
  <c r="C23" i="13"/>
  <c r="E113" i="8"/>
  <c r="B113" i="8"/>
  <c r="C22" i="13" s="1"/>
  <c r="E112" i="8"/>
  <c r="D112" i="8"/>
  <c r="C112" i="8"/>
  <c r="B112" i="8"/>
  <c r="C21" i="13"/>
  <c r="E111" i="8"/>
  <c r="D111" i="8"/>
  <c r="C111" i="8"/>
  <c r="B111" i="8"/>
  <c r="C20" i="13"/>
  <c r="E110" i="8"/>
  <c r="D110" i="8"/>
  <c r="C110" i="8"/>
  <c r="B110" i="8"/>
  <c r="C19" i="13" s="1"/>
  <c r="B109" i="8"/>
  <c r="C18" i="13"/>
  <c r="G108" i="8"/>
  <c r="D108" i="8"/>
  <c r="C108" i="8"/>
  <c r="B108" i="8"/>
  <c r="C17" i="13"/>
  <c r="B107" i="8"/>
  <c r="C16" i="13" s="1"/>
  <c r="B106" i="8"/>
  <c r="C15" i="13"/>
  <c r="B105" i="8"/>
  <c r="C14" i="13" s="1"/>
  <c r="B104" i="8"/>
  <c r="C13" i="13"/>
  <c r="B103" i="8"/>
  <c r="C4" i="13" s="1"/>
  <c r="B102" i="8"/>
  <c r="C80" i="12" s="1"/>
  <c r="B101" i="8"/>
  <c r="C79" i="12" s="1"/>
  <c r="B100" i="8"/>
  <c r="C10" i="12" s="1"/>
  <c r="B99" i="8"/>
  <c r="C74" i="12" s="1"/>
  <c r="B98" i="8"/>
  <c r="C73" i="12" s="1"/>
  <c r="B97" i="8"/>
  <c r="C72" i="12" s="1"/>
  <c r="B96" i="8"/>
  <c r="C71" i="12" s="1"/>
  <c r="B95" i="8"/>
  <c r="C70" i="12" s="1"/>
  <c r="B94" i="8"/>
  <c r="C69" i="12" s="1"/>
  <c r="B93" i="8"/>
  <c r="C68" i="12" s="1"/>
  <c r="B92" i="8"/>
  <c r="C64" i="12" s="1"/>
  <c r="B91" i="8"/>
  <c r="C63" i="12" s="1"/>
  <c r="B90" i="8"/>
  <c r="C62" i="12" s="1"/>
  <c r="B89" i="8"/>
  <c r="C61" i="12" s="1"/>
  <c r="B88" i="8"/>
  <c r="C60" i="12" s="1"/>
  <c r="G87" i="8"/>
  <c r="E87" i="8"/>
  <c r="B87" i="8"/>
  <c r="C59" i="12" s="1"/>
  <c r="B86" i="8"/>
  <c r="C58" i="12" s="1"/>
  <c r="B85" i="8"/>
  <c r="C57" i="12" s="1"/>
  <c r="G84" i="8"/>
  <c r="B84" i="8"/>
  <c r="C53" i="12" s="1"/>
  <c r="G83" i="8"/>
  <c r="B83" i="8"/>
  <c r="C52" i="12" s="1"/>
  <c r="G82" i="8"/>
  <c r="B82" i="8"/>
  <c r="C51" i="12" s="1"/>
  <c r="G81" i="8"/>
  <c r="B81" i="8"/>
  <c r="C50" i="12" s="1"/>
  <c r="B80" i="8"/>
  <c r="C49" i="12" s="1"/>
  <c r="G79" i="8"/>
  <c r="B79" i="8"/>
  <c r="C48" i="12" s="1"/>
  <c r="G78" i="8"/>
  <c r="B78" i="8"/>
  <c r="C47" i="12" s="1"/>
  <c r="B77" i="8"/>
  <c r="C46" i="12" s="1"/>
  <c r="B76" i="8"/>
  <c r="C45" i="12" s="1"/>
  <c r="B75" i="8"/>
  <c r="C44" i="12" s="1"/>
  <c r="B74" i="8"/>
  <c r="B73" i="8"/>
  <c r="C39" i="12" s="1"/>
  <c r="B72" i="8"/>
  <c r="C38" i="12" s="1"/>
  <c r="B71" i="8"/>
  <c r="C37" i="12" s="1"/>
  <c r="B70" i="8"/>
  <c r="C36" i="12" s="1"/>
  <c r="B69" i="8"/>
  <c r="C35" i="12" s="1"/>
  <c r="B68" i="8"/>
  <c r="C34" i="12" s="1"/>
  <c r="B67" i="8"/>
  <c r="C33" i="12" s="1"/>
  <c r="B66" i="8"/>
  <c r="C32" i="12" s="1"/>
  <c r="B65" i="8"/>
  <c r="C31" i="12" s="1"/>
  <c r="B64" i="8"/>
  <c r="C30" i="12" s="1"/>
  <c r="B63" i="8"/>
  <c r="B62" i="8"/>
  <c r="C26" i="12" s="1"/>
  <c r="B61" i="8"/>
  <c r="C25" i="12" s="1"/>
  <c r="B60" i="8"/>
  <c r="C24" i="12" s="1"/>
  <c r="B59" i="8"/>
  <c r="C23" i="12" s="1"/>
  <c r="B58" i="8"/>
  <c r="C22" i="12" s="1"/>
  <c r="B57" i="8"/>
  <c r="C21" i="12" s="1"/>
  <c r="B56" i="8"/>
  <c r="C20" i="12" s="1"/>
  <c r="B55" i="8"/>
  <c r="C19" i="12" s="1"/>
  <c r="B54" i="8"/>
  <c r="C18" i="12" s="1"/>
  <c r="B53" i="8"/>
  <c r="C17" i="12" s="1"/>
  <c r="B52" i="8"/>
  <c r="C16" i="12" s="1"/>
  <c r="B51" i="8"/>
  <c r="C4" i="12" s="1"/>
  <c r="B50" i="8"/>
  <c r="C97" i="11" s="1"/>
  <c r="B49" i="8"/>
  <c r="C96" i="11" s="1"/>
  <c r="B48" i="8"/>
  <c r="C95" i="11" s="1"/>
  <c r="B47" i="8"/>
  <c r="C11" i="11" s="1"/>
  <c r="B46" i="8"/>
  <c r="C88" i="11" s="1"/>
  <c r="G45" i="8"/>
  <c r="E45" i="8"/>
  <c r="D45" i="8"/>
  <c r="J45" i="8" s="1"/>
  <c r="C45" i="8"/>
  <c r="B45" i="8"/>
  <c r="C87" i="11" s="1"/>
  <c r="G104" i="11" s="1"/>
  <c r="G44" i="8"/>
  <c r="B44" i="8"/>
  <c r="C86" i="11" s="1"/>
  <c r="G43" i="8"/>
  <c r="B43" i="8"/>
  <c r="C85" i="11" s="1"/>
  <c r="B42" i="8"/>
  <c r="C84" i="11" s="1"/>
  <c r="G107" i="11" s="1"/>
  <c r="B41" i="8"/>
  <c r="C10" i="11" s="1"/>
  <c r="B40" i="8"/>
  <c r="C74" i="11" s="1"/>
  <c r="C105" i="11" s="1"/>
  <c r="B39" i="8"/>
  <c r="C73" i="11" s="1"/>
  <c r="C104" i="11" s="1"/>
  <c r="B38" i="8"/>
  <c r="C72" i="11" s="1"/>
  <c r="G110" i="11" s="1"/>
  <c r="B37" i="8"/>
  <c r="C71" i="11" s="1"/>
  <c r="G109" i="11" s="1"/>
  <c r="B36" i="8"/>
  <c r="C70" i="11" s="1"/>
  <c r="B35" i="8"/>
  <c r="E34" i="8"/>
  <c r="D34" i="8"/>
  <c r="C34" i="8"/>
  <c r="B34" i="8"/>
  <c r="C59" i="11" s="1"/>
  <c r="G108" i="11" s="1"/>
  <c r="B33" i="8"/>
  <c r="C58" i="11" s="1"/>
  <c r="B32" i="8"/>
  <c r="C57" i="11" s="1"/>
  <c r="B31" i="8"/>
  <c r="C56" i="11" s="1"/>
  <c r="B30" i="8"/>
  <c r="C55" i="11" s="1"/>
  <c r="B29" i="8"/>
  <c r="C50" i="11" s="1"/>
  <c r="C106" i="11" s="1"/>
  <c r="B28" i="8"/>
  <c r="C49" i="11" s="1"/>
  <c r="G105" i="11" s="1"/>
  <c r="B27" i="8"/>
  <c r="C48" i="11" s="1"/>
  <c r="B26" i="8"/>
  <c r="C47" i="11" s="1"/>
  <c r="C107" i="11" s="1"/>
  <c r="B25" i="8"/>
  <c r="C46" i="11" s="1"/>
  <c r="B24" i="8"/>
  <c r="C7" i="11" s="1"/>
  <c r="B23" i="8"/>
  <c r="C35" i="11" s="1"/>
  <c r="B22" i="8"/>
  <c r="C34" i="11" s="1"/>
  <c r="B21" i="8"/>
  <c r="C33" i="11" s="1"/>
  <c r="B20" i="8"/>
  <c r="C32" i="11" s="1"/>
  <c r="G106" i="11" s="1"/>
  <c r="E19" i="8"/>
  <c r="D19" i="8"/>
  <c r="C19" i="8"/>
  <c r="B19" i="8"/>
  <c r="C31" i="11"/>
  <c r="B18" i="8"/>
  <c r="C30" i="11" s="1"/>
  <c r="B17" i="8"/>
  <c r="C29" i="11"/>
  <c r="B16" i="8"/>
  <c r="C28" i="11" s="1"/>
  <c r="B15" i="8"/>
  <c r="C6" i="11"/>
  <c r="B14" i="8"/>
  <c r="C23" i="11" s="1"/>
  <c r="B13" i="8"/>
  <c r="C22" i="11"/>
  <c r="B12" i="8"/>
  <c r="C21" i="11" s="1"/>
  <c r="B11" i="8"/>
  <c r="C20" i="11"/>
  <c r="B10" i="8"/>
  <c r="C19" i="11" s="1"/>
  <c r="B9" i="8"/>
  <c r="C18" i="11"/>
  <c r="B8" i="8"/>
  <c r="C17" i="11" s="1"/>
  <c r="B7" i="8"/>
  <c r="C16" i="11"/>
  <c r="B6" i="8"/>
  <c r="C5" i="11" s="1"/>
  <c r="B5" i="8"/>
  <c r="D1" i="8"/>
  <c r="AK111" i="7"/>
  <c r="AK113" i="7" s="1"/>
  <c r="AK114" i="7" s="1"/>
  <c r="BK112" i="7"/>
  <c r="AW112" i="7"/>
  <c r="AY112" i="7" s="1"/>
  <c r="AN112" i="7"/>
  <c r="AN111" i="7"/>
  <c r="AC111" i="7"/>
  <c r="AB111" i="7"/>
  <c r="AB113" i="7"/>
  <c r="AB114" i="7"/>
  <c r="E207" i="8" s="1"/>
  <c r="AN110" i="7"/>
  <c r="AX110" i="7"/>
  <c r="AX113" i="7"/>
  <c r="AX114" i="7" s="1"/>
  <c r="H206" i="8" s="1"/>
  <c r="AC110" i="7"/>
  <c r="AC113" i="7"/>
  <c r="AC114" i="7" s="1"/>
  <c r="G206" i="8" s="1"/>
  <c r="BJ107" i="7"/>
  <c r="BK107" i="7"/>
  <c r="AY107" i="7"/>
  <c r="AN107" i="7"/>
  <c r="AC107" i="7"/>
  <c r="BK106" i="7"/>
  <c r="BK108" i="7" s="1"/>
  <c r="AN106" i="7"/>
  <c r="AX106" i="7" s="1"/>
  <c r="AX108" i="7" s="1"/>
  <c r="H205" i="8"/>
  <c r="AC106" i="7"/>
  <c r="AN105" i="7"/>
  <c r="AC105" i="7"/>
  <c r="AZ104" i="7"/>
  <c r="I204" i="8" s="1"/>
  <c r="AB104" i="7"/>
  <c r="E204" i="8"/>
  <c r="BK103" i="7"/>
  <c r="AX103" i="7"/>
  <c r="AX104" i="7" s="1"/>
  <c r="H204" i="8" s="1"/>
  <c r="AW103" i="7"/>
  <c r="AJ103" i="7"/>
  <c r="AL103" i="7" s="1"/>
  <c r="AM103" i="7" s="1"/>
  <c r="AM104" i="7" s="1"/>
  <c r="AN103" i="7"/>
  <c r="AK103" i="7"/>
  <c r="BK102" i="7"/>
  <c r="AW102" i="7"/>
  <c r="AN102" i="7"/>
  <c r="AJ102" i="7"/>
  <c r="AL102" i="7"/>
  <c r="AN99" i="7"/>
  <c r="AC99" i="7"/>
  <c r="AB99" i="7"/>
  <c r="AN98" i="7"/>
  <c r="AC98" i="7"/>
  <c r="AB98" i="7"/>
  <c r="AW97" i="7"/>
  <c r="AN97" i="7"/>
  <c r="AJ97" i="7"/>
  <c r="BK95" i="7"/>
  <c r="AN95" i="7"/>
  <c r="AJ95" i="7"/>
  <c r="AK95" i="7" s="1"/>
  <c r="AC95" i="7"/>
  <c r="AB95" i="7"/>
  <c r="BK94" i="7"/>
  <c r="AN94" i="7"/>
  <c r="AM94" i="7"/>
  <c r="AC94" i="7"/>
  <c r="AB94" i="7"/>
  <c r="AC91" i="7"/>
  <c r="AC93" i="7" s="1"/>
  <c r="G200" i="8" s="1"/>
  <c r="BK92" i="7"/>
  <c r="AN92" i="7"/>
  <c r="AC92" i="7"/>
  <c r="BK91" i="7"/>
  <c r="AN91" i="7"/>
  <c r="AX91" i="7" s="1"/>
  <c r="AK91" i="7"/>
  <c r="AK93" i="7" s="1"/>
  <c r="C200" i="8" s="1"/>
  <c r="AM91" i="7"/>
  <c r="AM93" i="7"/>
  <c r="D200" i="8" s="1"/>
  <c r="AB91" i="7"/>
  <c r="AB93" i="7"/>
  <c r="E200" i="8"/>
  <c r="AW88" i="7"/>
  <c r="AN88" i="7"/>
  <c r="AJ88" i="7"/>
  <c r="AK88" i="7"/>
  <c r="AC88" i="7"/>
  <c r="AB88" i="7"/>
  <c r="AW87" i="7"/>
  <c r="AN87" i="7"/>
  <c r="AJ87" i="7"/>
  <c r="AL87" i="7" s="1"/>
  <c r="AM87" i="7" s="1"/>
  <c r="AC87" i="7"/>
  <c r="AB87" i="7"/>
  <c r="BK86" i="7"/>
  <c r="BK89" i="7"/>
  <c r="BJ86" i="7"/>
  <c r="AW86" i="7"/>
  <c r="AN86" i="7"/>
  <c r="AJ86" i="7"/>
  <c r="AK86" i="7"/>
  <c r="AC86" i="7"/>
  <c r="AQ85" i="7"/>
  <c r="AN85" i="7"/>
  <c r="AB85" i="7"/>
  <c r="BK83" i="7"/>
  <c r="L196" i="8"/>
  <c r="AC83" i="7"/>
  <c r="G196" i="8"/>
  <c r="BA82" i="7"/>
  <c r="AN82" i="7"/>
  <c r="AX82" i="7"/>
  <c r="AX83" i="7"/>
  <c r="AK82" i="7"/>
  <c r="AK83" i="7"/>
  <c r="C196" i="8"/>
  <c r="AB82" i="7"/>
  <c r="AB83" i="7" s="1"/>
  <c r="E196" i="8" s="1"/>
  <c r="BK80" i="7"/>
  <c r="AN80" i="7"/>
  <c r="AX80" i="7" s="1"/>
  <c r="AK80" i="7"/>
  <c r="AC80" i="7"/>
  <c r="AB80" i="7"/>
  <c r="BK79" i="7"/>
  <c r="AW79" i="7"/>
  <c r="AN79" i="7"/>
  <c r="AJ79" i="7"/>
  <c r="AK79" i="7" s="1"/>
  <c r="AF79" i="7"/>
  <c r="AC79" i="7"/>
  <c r="AB79" i="7"/>
  <c r="BK78" i="7"/>
  <c r="AW78" i="7"/>
  <c r="AJ78" i="7"/>
  <c r="AL78" i="7"/>
  <c r="AM78" i="7" s="1"/>
  <c r="AN78" i="7"/>
  <c r="AK78" i="7"/>
  <c r="AC78" i="7"/>
  <c r="AB78" i="7"/>
  <c r="AB77" i="7"/>
  <c r="AN77" i="7"/>
  <c r="AF77" i="7"/>
  <c r="AC77" i="7"/>
  <c r="BK74" i="7"/>
  <c r="BK75" i="7" s="1"/>
  <c r="AW74" i="7"/>
  <c r="AN74" i="7"/>
  <c r="AJ74" i="7"/>
  <c r="AL74" i="7"/>
  <c r="AC74" i="7"/>
  <c r="AC71" i="7"/>
  <c r="AC72" i="7"/>
  <c r="AC73" i="7"/>
  <c r="AN73" i="7"/>
  <c r="AX73" i="7"/>
  <c r="AX75" i="7" s="1"/>
  <c r="H193" i="8" s="1"/>
  <c r="AB73" i="7"/>
  <c r="AN72" i="7"/>
  <c r="AB72" i="7"/>
  <c r="AN71" i="7"/>
  <c r="AB71" i="7"/>
  <c r="BA69" i="7"/>
  <c r="AW69" i="7"/>
  <c r="AY69" i="7"/>
  <c r="AZ69" i="7"/>
  <c r="AN69" i="7"/>
  <c r="AC69" i="7"/>
  <c r="BA68" i="7"/>
  <c r="AN68" i="7"/>
  <c r="AC68" i="7"/>
  <c r="BA67" i="7"/>
  <c r="AN67" i="7"/>
  <c r="AC67" i="7"/>
  <c r="AB67" i="7"/>
  <c r="AN66" i="7"/>
  <c r="AC66" i="7"/>
  <c r="AB66" i="7"/>
  <c r="BA64" i="7"/>
  <c r="AN64" i="7"/>
  <c r="AX64" i="7"/>
  <c r="AJ64" i="7"/>
  <c r="AL64" i="7"/>
  <c r="AY64" i="7" s="1"/>
  <c r="AZ64" i="7" s="1"/>
  <c r="AE64" i="7"/>
  <c r="AC64" i="7"/>
  <c r="AB64" i="7"/>
  <c r="BA63" i="7"/>
  <c r="BK63" i="7"/>
  <c r="AN63" i="7"/>
  <c r="AC63" i="7"/>
  <c r="AB63" i="7"/>
  <c r="BA62" i="7"/>
  <c r="AN62" i="7"/>
  <c r="AC62" i="7"/>
  <c r="AB62" i="7"/>
  <c r="BA61" i="7"/>
  <c r="AN61" i="7"/>
  <c r="AC61" i="7"/>
  <c r="AC60" i="7"/>
  <c r="BA60" i="7"/>
  <c r="BK60" i="7"/>
  <c r="AN60" i="7"/>
  <c r="AB60" i="7"/>
  <c r="AX59" i="7"/>
  <c r="H190" i="8"/>
  <c r="BK58" i="7"/>
  <c r="AW58" i="7"/>
  <c r="AN58" i="7"/>
  <c r="AJ58" i="7"/>
  <c r="AL58" i="7" s="1"/>
  <c r="AN57" i="7"/>
  <c r="AK57" i="7"/>
  <c r="AC57" i="7"/>
  <c r="AC59" i="7" s="1"/>
  <c r="G190" i="8" s="1"/>
  <c r="AB57" i="7"/>
  <c r="AB59" i="7"/>
  <c r="E190" i="8" s="1"/>
  <c r="AN56" i="7"/>
  <c r="BK53" i="7"/>
  <c r="AN53" i="7"/>
  <c r="AK53" i="7"/>
  <c r="AK54" i="7" s="1"/>
  <c r="C188" i="8" s="1"/>
  <c r="AC53" i="7"/>
  <c r="AB53" i="7"/>
  <c r="BK52" i="7"/>
  <c r="AN52" i="7"/>
  <c r="AJ52" i="7"/>
  <c r="AC52" i="7"/>
  <c r="AB52" i="7"/>
  <c r="AZ51" i="7"/>
  <c r="I187" i="8"/>
  <c r="AM51" i="7"/>
  <c r="D187" i="8" s="1"/>
  <c r="AK51" i="7"/>
  <c r="C187" i="8"/>
  <c r="AW50" i="7"/>
  <c r="AX50" i="7" s="1"/>
  <c r="AX51" i="7" s="1"/>
  <c r="H187" i="8" s="1"/>
  <c r="AN50" i="7"/>
  <c r="AJ50" i="7"/>
  <c r="AX49" i="7"/>
  <c r="H186" i="8"/>
  <c r="AN48" i="7"/>
  <c r="AM48" i="7"/>
  <c r="AC48" i="7"/>
  <c r="AB48" i="7"/>
  <c r="AW47" i="7"/>
  <c r="AY47" i="7" s="1"/>
  <c r="BL47" i="7" s="1"/>
  <c r="AN47" i="7"/>
  <c r="AC47" i="7"/>
  <c r="AN46" i="7"/>
  <c r="AC46" i="7"/>
  <c r="AB46" i="7"/>
  <c r="BA45" i="7"/>
  <c r="AN45" i="7"/>
  <c r="AK45" i="7"/>
  <c r="AD45" i="7"/>
  <c r="AC45" i="7"/>
  <c r="AB45" i="7"/>
  <c r="AW43" i="7"/>
  <c r="AZ43" i="7"/>
  <c r="AN43" i="7"/>
  <c r="AC43" i="7"/>
  <c r="AZ42" i="7"/>
  <c r="AN42" i="7"/>
  <c r="AC42" i="7"/>
  <c r="AW41" i="7"/>
  <c r="AN41" i="7"/>
  <c r="AJ41" i="7"/>
  <c r="AK41" i="7" s="1"/>
  <c r="AC41" i="7"/>
  <c r="AB41" i="7"/>
  <c r="BK44" i="7"/>
  <c r="L185" i="8" s="1"/>
  <c r="AN40" i="7"/>
  <c r="AK40" i="7"/>
  <c r="AC40" i="7"/>
  <c r="AB40" i="7"/>
  <c r="BK38" i="7"/>
  <c r="L183" i="8"/>
  <c r="AK38" i="7"/>
  <c r="C183" i="8" s="1"/>
  <c r="AC37" i="7"/>
  <c r="AC38" i="7"/>
  <c r="G183" i="8"/>
  <c r="BB37" i="7"/>
  <c r="BA37" i="7"/>
  <c r="AN37" i="7"/>
  <c r="AB37" i="7"/>
  <c r="AB38" i="7" s="1"/>
  <c r="E183" i="8" s="1"/>
  <c r="AN36" i="7"/>
  <c r="AN35" i="7"/>
  <c r="AN34" i="7"/>
  <c r="AZ33" i="7"/>
  <c r="I182" i="8"/>
  <c r="AN32" i="7"/>
  <c r="AN31" i="7"/>
  <c r="AW30" i="7"/>
  <c r="AY30" i="7"/>
  <c r="AN30" i="7"/>
  <c r="AX30" i="7" s="1"/>
  <c r="AX33" i="7" s="1"/>
  <c r="BL28" i="7"/>
  <c r="BA28" i="7"/>
  <c r="AN28" i="7"/>
  <c r="BA26" i="7"/>
  <c r="BK26" i="7" s="1"/>
  <c r="BK27" i="7" s="1"/>
  <c r="L180" i="8" s="1"/>
  <c r="AN26" i="7"/>
  <c r="AC26" i="7"/>
  <c r="AC27" i="7" s="1"/>
  <c r="G180" i="8" s="1"/>
  <c r="AN25" i="7"/>
  <c r="BK24" i="7"/>
  <c r="L179" i="8"/>
  <c r="AN23" i="7"/>
  <c r="AW22" i="7"/>
  <c r="AY22" i="7"/>
  <c r="BL22" i="7" s="1"/>
  <c r="AN22" i="7"/>
  <c r="AN20" i="7"/>
  <c r="AX20" i="7" s="1"/>
  <c r="AC20" i="7"/>
  <c r="AN19" i="7"/>
  <c r="AX19" i="7" s="1"/>
  <c r="AC19" i="7"/>
  <c r="AB19" i="7"/>
  <c r="AB24" i="7"/>
  <c r="E179" i="8" s="1"/>
  <c r="BK18" i="7"/>
  <c r="L178" i="8"/>
  <c r="AZ18" i="7"/>
  <c r="AN17" i="7"/>
  <c r="BA16" i="7"/>
  <c r="AW16" i="7"/>
  <c r="AN16" i="7"/>
  <c r="AN14" i="7"/>
  <c r="AN13" i="7"/>
  <c r="AN10" i="7"/>
  <c r="AC8" i="7"/>
  <c r="AC9" i="7" s="1"/>
  <c r="G175" i="8" s="1"/>
  <c r="AN8" i="7"/>
  <c r="AX8" i="7" s="1"/>
  <c r="AX9" i="7" s="1"/>
  <c r="AK7" i="7"/>
  <c r="C174" i="8"/>
  <c r="AC6" i="7"/>
  <c r="AC7" i="7" s="1"/>
  <c r="G174" i="8" s="1"/>
  <c r="BA6" i="7"/>
  <c r="AN6" i="7"/>
  <c r="AD6" i="7"/>
  <c r="AB6" i="7"/>
  <c r="AB7" i="7"/>
  <c r="E174" i="8"/>
  <c r="BA5" i="7"/>
  <c r="BK5" i="7" s="1"/>
  <c r="BK7" i="7"/>
  <c r="L174" i="8" s="1"/>
  <c r="AD5" i="7"/>
  <c r="AC2" i="7"/>
  <c r="AC3" i="7"/>
  <c r="BK2" i="7"/>
  <c r="AN2" i="7"/>
  <c r="AM2" i="7"/>
  <c r="AM4" i="7"/>
  <c r="D173" i="8" s="1"/>
  <c r="AH2" i="7"/>
  <c r="AD2" i="7"/>
  <c r="AB2" i="7"/>
  <c r="AB4" i="7" s="1"/>
  <c r="AB39" i="7" s="1"/>
  <c r="AX143" i="6"/>
  <c r="H170" i="8" s="1"/>
  <c r="AK142" i="6"/>
  <c r="AK143" i="6" s="1"/>
  <c r="C170" i="8" s="1"/>
  <c r="AD142" i="6"/>
  <c r="AD143" i="6" s="1"/>
  <c r="K170" i="8" s="1"/>
  <c r="AC142" i="6"/>
  <c r="AC143" i="6" s="1"/>
  <c r="AB142" i="6"/>
  <c r="AB143" i="6" s="1"/>
  <c r="E170" i="8" s="1"/>
  <c r="AZ140" i="6"/>
  <c r="AW140" i="6"/>
  <c r="AX140" i="6" s="1"/>
  <c r="AM140" i="6"/>
  <c r="AJ140" i="6"/>
  <c r="AK140" i="6" s="1"/>
  <c r="AC140" i="6"/>
  <c r="AB140" i="6"/>
  <c r="AX139" i="6"/>
  <c r="AJ139" i="6"/>
  <c r="AL139" i="6" s="1"/>
  <c r="AM139" i="6" s="1"/>
  <c r="AC139" i="6"/>
  <c r="AB139" i="6"/>
  <c r="BA138" i="6"/>
  <c r="BK138" i="6" s="1"/>
  <c r="AZ138" i="6"/>
  <c r="AM138" i="6"/>
  <c r="AJ138" i="6"/>
  <c r="AK138" i="6" s="1"/>
  <c r="AC138" i="6"/>
  <c r="AB138" i="6"/>
  <c r="AZ137" i="6"/>
  <c r="AM137" i="6"/>
  <c r="AJ137" i="6"/>
  <c r="AD137" i="6"/>
  <c r="AC137" i="6"/>
  <c r="AB137" i="6"/>
  <c r="AZ136" i="6"/>
  <c r="AM136" i="6"/>
  <c r="AJ136" i="6"/>
  <c r="AK136" i="6" s="1"/>
  <c r="AD136" i="6"/>
  <c r="AC136" i="6"/>
  <c r="AB136" i="6"/>
  <c r="BA135" i="6"/>
  <c r="AD135" i="6"/>
  <c r="AD141" i="6" s="1"/>
  <c r="AC135" i="6"/>
  <c r="AB135" i="6"/>
  <c r="BK129" i="6"/>
  <c r="BK130" i="6" s="1"/>
  <c r="L166" i="8" s="1"/>
  <c r="AX129" i="6"/>
  <c r="AD129" i="6"/>
  <c r="AD130" i="6" s="1"/>
  <c r="AC129" i="6"/>
  <c r="AB129" i="6"/>
  <c r="BK128" i="6"/>
  <c r="AX128" i="6"/>
  <c r="AD128" i="6"/>
  <c r="AC128" i="6"/>
  <c r="AC130" i="6" s="1"/>
  <c r="G166" i="8" s="1"/>
  <c r="AB128" i="6"/>
  <c r="BK126" i="6"/>
  <c r="AX126" i="6"/>
  <c r="AJ126" i="6"/>
  <c r="AL126" i="6" s="1"/>
  <c r="AC126" i="6"/>
  <c r="AB126" i="6"/>
  <c r="BJ125" i="6"/>
  <c r="BK125" i="6" s="1"/>
  <c r="AW125" i="6"/>
  <c r="AX125" i="6" s="1"/>
  <c r="AJ125" i="6"/>
  <c r="X125" i="6"/>
  <c r="AB125" i="6" s="1"/>
  <c r="AJ124" i="6"/>
  <c r="AK124" i="6" s="1"/>
  <c r="AD124" i="6"/>
  <c r="AC124" i="6"/>
  <c r="BK123" i="6"/>
  <c r="AD123" i="6"/>
  <c r="AC123" i="6"/>
  <c r="AM122" i="6"/>
  <c r="AJ122" i="6"/>
  <c r="AK122" i="6" s="1"/>
  <c r="AD122" i="6"/>
  <c r="AC122" i="6"/>
  <c r="AB122" i="6"/>
  <c r="AJ121" i="6"/>
  <c r="AL121" i="6" s="1"/>
  <c r="AJ120" i="6"/>
  <c r="AK120" i="6" s="1"/>
  <c r="BJ119" i="6"/>
  <c r="AZ119" i="6"/>
  <c r="AW119" i="6"/>
  <c r="AX119" i="6" s="1"/>
  <c r="AJ119" i="6"/>
  <c r="AL119" i="6" s="1"/>
  <c r="AM119" i="6" s="1"/>
  <c r="AC119" i="6"/>
  <c r="AB119" i="6"/>
  <c r="AW118" i="6"/>
  <c r="AX118" i="6" s="1"/>
  <c r="AD118" i="6"/>
  <c r="AC118" i="6"/>
  <c r="AC116" i="6"/>
  <c r="AD114" i="6"/>
  <c r="AC114" i="6"/>
  <c r="AB114" i="6"/>
  <c r="AW113" i="6"/>
  <c r="AB113" i="6"/>
  <c r="AW112" i="6"/>
  <c r="AJ112" i="6"/>
  <c r="AK112" i="6" s="1"/>
  <c r="BA111" i="6"/>
  <c r="AD111" i="6"/>
  <c r="AC111" i="6"/>
  <c r="AX109" i="6"/>
  <c r="AD109" i="6"/>
  <c r="AC109" i="6"/>
  <c r="AB109" i="6"/>
  <c r="BA108" i="6"/>
  <c r="AD108" i="6"/>
  <c r="AC108" i="6"/>
  <c r="AB108" i="6"/>
  <c r="AD107" i="6"/>
  <c r="AC107" i="6"/>
  <c r="AB107" i="6"/>
  <c r="AD106" i="6"/>
  <c r="AC106" i="6"/>
  <c r="AB106" i="6"/>
  <c r="AZ104" i="6"/>
  <c r="I162" i="8"/>
  <c r="AM104" i="6"/>
  <c r="D162" i="8" s="1"/>
  <c r="AK104" i="6"/>
  <c r="AC104" i="6"/>
  <c r="G162" i="8" s="1"/>
  <c r="AB104" i="6"/>
  <c r="E162" i="8" s="1"/>
  <c r="AW103" i="6"/>
  <c r="AX103" i="6" s="1"/>
  <c r="AD103" i="6"/>
  <c r="AD104" i="6"/>
  <c r="K162" i="8" s="1"/>
  <c r="AX102" i="6"/>
  <c r="BK101" i="6"/>
  <c r="BK102" i="6" s="1"/>
  <c r="L161" i="8" s="1"/>
  <c r="AZ102" i="6"/>
  <c r="I161" i="8" s="1"/>
  <c r="J161" i="8" s="1"/>
  <c r="AD101" i="6"/>
  <c r="AD102" i="6" s="1"/>
  <c r="K161" i="8" s="1"/>
  <c r="AC101" i="6"/>
  <c r="AC102" i="6" s="1"/>
  <c r="G161" i="8" s="1"/>
  <c r="AK100" i="6"/>
  <c r="AN99" i="6"/>
  <c r="AC99" i="6"/>
  <c r="AC100" i="6" s="1"/>
  <c r="G160" i="8" s="1"/>
  <c r="AX98" i="6"/>
  <c r="H159" i="8" s="1"/>
  <c r="AK98" i="6"/>
  <c r="C159" i="8" s="1"/>
  <c r="AC98" i="6"/>
  <c r="G159" i="8" s="1"/>
  <c r="BK97" i="6"/>
  <c r="BK98" i="6" s="1"/>
  <c r="L159" i="8" s="1"/>
  <c r="AM97" i="6"/>
  <c r="AM98" i="6" s="1"/>
  <c r="D159" i="8" s="1"/>
  <c r="AB97" i="6"/>
  <c r="AB98" i="6" s="1"/>
  <c r="E159" i="8" s="1"/>
  <c r="AZ96" i="6"/>
  <c r="I158" i="8" s="1"/>
  <c r="AX96" i="6"/>
  <c r="H158" i="8" s="1"/>
  <c r="AK96" i="6"/>
  <c r="C158" i="8" s="1"/>
  <c r="AW95" i="6"/>
  <c r="AL95" i="6"/>
  <c r="AM95" i="6" s="1"/>
  <c r="AM96" i="6"/>
  <c r="D158" i="8" s="1"/>
  <c r="AC95" i="6"/>
  <c r="AC96" i="6" s="1"/>
  <c r="G158" i="8" s="1"/>
  <c r="AB95" i="6"/>
  <c r="AB96" i="6"/>
  <c r="E158" i="8" s="1"/>
  <c r="AZ94" i="6"/>
  <c r="I157" i="8" s="1"/>
  <c r="AX94" i="6"/>
  <c r="H157" i="8" s="1"/>
  <c r="AM94" i="6"/>
  <c r="D157" i="8" s="1"/>
  <c r="AK94" i="6"/>
  <c r="C157" i="8" s="1"/>
  <c r="AW93" i="6"/>
  <c r="AJ93" i="6"/>
  <c r="AL93" i="6" s="1"/>
  <c r="BL93" i="6"/>
  <c r="AC93" i="6"/>
  <c r="AC94" i="6" s="1"/>
  <c r="G157" i="8"/>
  <c r="AB93" i="6"/>
  <c r="AB94" i="6" s="1"/>
  <c r="E157" i="8" s="1"/>
  <c r="AB91" i="6"/>
  <c r="BK91" i="6"/>
  <c r="L155" i="8" s="1"/>
  <c r="AD90" i="6"/>
  <c r="AD91" i="6" s="1"/>
  <c r="AC90" i="6"/>
  <c r="AM91" i="6"/>
  <c r="AC88" i="6"/>
  <c r="BA86" i="6"/>
  <c r="BK86" i="6" s="1"/>
  <c r="AD86" i="6"/>
  <c r="AC86" i="6"/>
  <c r="AB86" i="6"/>
  <c r="AD83" i="6"/>
  <c r="AC83" i="6"/>
  <c r="AW82" i="6"/>
  <c r="AX82" i="6" s="1"/>
  <c r="AD82" i="6"/>
  <c r="AC82" i="6"/>
  <c r="AB82" i="6"/>
  <c r="AZ80" i="6"/>
  <c r="I152" i="8" s="1"/>
  <c r="AW79" i="6"/>
  <c r="AX79" i="6" s="1"/>
  <c r="AK79" i="6"/>
  <c r="AJ79" i="6"/>
  <c r="AL79" i="6"/>
  <c r="AM79" i="6" s="1"/>
  <c r="AM80" i="6" s="1"/>
  <c r="AB79" i="6"/>
  <c r="AW78" i="6"/>
  <c r="AJ78" i="6"/>
  <c r="AL78" i="6" s="1"/>
  <c r="BL78" i="6"/>
  <c r="AB78" i="6"/>
  <c r="AW77" i="6"/>
  <c r="AX77" i="6" s="1"/>
  <c r="AL77" i="6"/>
  <c r="AK77" i="6"/>
  <c r="AK80" i="6" s="1"/>
  <c r="AW76" i="6"/>
  <c r="AD76" i="6"/>
  <c r="AD80" i="6" s="1"/>
  <c r="K152" i="8" s="1"/>
  <c r="AC76" i="6"/>
  <c r="AC80" i="6" s="1"/>
  <c r="AW74" i="6"/>
  <c r="AX74" i="6" s="1"/>
  <c r="AL74" i="6"/>
  <c r="AK74" i="6"/>
  <c r="AM74" i="6" s="1"/>
  <c r="AM75" i="6" s="1"/>
  <c r="D151" i="8" s="1"/>
  <c r="AW73" i="6"/>
  <c r="AJ73" i="6"/>
  <c r="AW72" i="6"/>
  <c r="AX72" i="6" s="1"/>
  <c r="AK72" i="6"/>
  <c r="AJ72" i="6"/>
  <c r="AL72" i="6" s="1"/>
  <c r="AY71" i="6"/>
  <c r="BL71" i="6" s="1"/>
  <c r="AC71" i="6"/>
  <c r="AW70" i="6"/>
  <c r="AC70" i="6"/>
  <c r="AZ69" i="6"/>
  <c r="AC69" i="6"/>
  <c r="AC68" i="6"/>
  <c r="AX66" i="6"/>
  <c r="AW65" i="6"/>
  <c r="AD65" i="6"/>
  <c r="AZ64" i="6"/>
  <c r="AZ66" i="6" s="1"/>
  <c r="AD64" i="6"/>
  <c r="AK63" i="6"/>
  <c r="C148" i="8" s="1"/>
  <c r="AD62" i="6"/>
  <c r="AW61" i="6"/>
  <c r="AX61" i="6" s="1"/>
  <c r="AM61" i="6"/>
  <c r="AZ61" i="6" s="1"/>
  <c r="AD61" i="6"/>
  <c r="AC61" i="6"/>
  <c r="AB61" i="6"/>
  <c r="AW60" i="6"/>
  <c r="AX60" i="6" s="1"/>
  <c r="AD60" i="6"/>
  <c r="AC60" i="6"/>
  <c r="AB60" i="6"/>
  <c r="AD59" i="6"/>
  <c r="AC59" i="6"/>
  <c r="AZ57" i="6"/>
  <c r="AD57" i="6"/>
  <c r="AC57" i="6"/>
  <c r="AC58" i="6" s="1"/>
  <c r="G147" i="8" s="1"/>
  <c r="BK56" i="6"/>
  <c r="BK58" i="6" s="1"/>
  <c r="L147" i="8" s="1"/>
  <c r="AD56" i="6"/>
  <c r="AC56" i="6"/>
  <c r="AC54" i="6"/>
  <c r="AX53" i="6"/>
  <c r="AD53" i="6"/>
  <c r="AC53" i="6"/>
  <c r="AD52" i="6"/>
  <c r="AC52" i="6"/>
  <c r="AC51" i="6"/>
  <c r="AX51" i="6"/>
  <c r="AD51" i="6"/>
  <c r="BK50" i="6"/>
  <c r="L145" i="8" s="1"/>
  <c r="AK50" i="6"/>
  <c r="C145" i="8" s="1"/>
  <c r="AB50" i="6"/>
  <c r="E145" i="8" s="1"/>
  <c r="AW49" i="6"/>
  <c r="AJ49" i="6"/>
  <c r="AL49" i="6" s="1"/>
  <c r="AM49" i="6" s="1"/>
  <c r="AM50" i="6" s="1"/>
  <c r="AC49" i="6"/>
  <c r="AC50" i="6" s="1"/>
  <c r="G145" i="8" s="1"/>
  <c r="AK48" i="6"/>
  <c r="C144" i="8" s="1"/>
  <c r="BA47" i="6"/>
  <c r="BK47" i="6" s="1"/>
  <c r="BK48" i="6" s="1"/>
  <c r="L144" i="8" s="1"/>
  <c r="AD47" i="6"/>
  <c r="AD48" i="6" s="1"/>
  <c r="K144" i="8" s="1"/>
  <c r="AC47" i="6"/>
  <c r="BA46" i="6"/>
  <c r="AW46" i="6"/>
  <c r="AJ46" i="6"/>
  <c r="AL46" i="6" s="1"/>
  <c r="AC46" i="6"/>
  <c r="AC48" i="6" s="1"/>
  <c r="G144" i="8" s="1"/>
  <c r="AB46" i="6"/>
  <c r="AB48" i="6" s="1"/>
  <c r="E144" i="8" s="1"/>
  <c r="AC45" i="6"/>
  <c r="AM44" i="6"/>
  <c r="D143" i="8"/>
  <c r="AK44" i="6"/>
  <c r="C143" i="8"/>
  <c r="AB44" i="6"/>
  <c r="E143" i="8"/>
  <c r="BA43" i="6"/>
  <c r="AW43" i="6"/>
  <c r="AY43" i="6" s="1"/>
  <c r="BL43" i="6" s="1"/>
  <c r="AC43" i="6"/>
  <c r="BJ42" i="6"/>
  <c r="BL42" i="6" s="1"/>
  <c r="BA42" i="6"/>
  <c r="AC42" i="6"/>
  <c r="BA41" i="6"/>
  <c r="AW41" i="6"/>
  <c r="AY41" i="6" s="1"/>
  <c r="AC41" i="6"/>
  <c r="BJ40" i="6"/>
  <c r="BA40" i="6"/>
  <c r="AW40" i="6"/>
  <c r="AJ40" i="6"/>
  <c r="AC40" i="6"/>
  <c r="AK39" i="6"/>
  <c r="C142" i="8" s="1"/>
  <c r="BA38" i="6"/>
  <c r="AX38" i="6"/>
  <c r="AX39" i="6" s="1"/>
  <c r="H142" i="8" s="1"/>
  <c r="AD38" i="6"/>
  <c r="AD39" i="6" s="1"/>
  <c r="K142" i="8" s="1"/>
  <c r="AC38" i="6"/>
  <c r="AC39" i="6"/>
  <c r="G142" i="8" s="1"/>
  <c r="AB38" i="6"/>
  <c r="AB39" i="6" s="1"/>
  <c r="E142" i="8" s="1"/>
  <c r="BK37" i="6"/>
  <c r="L141" i="8" s="1"/>
  <c r="AW36" i="6"/>
  <c r="AY36" i="6" s="1"/>
  <c r="AD36" i="6"/>
  <c r="AD37" i="6" s="1"/>
  <c r="K141" i="8" s="1"/>
  <c r="AC36" i="6"/>
  <c r="AW35" i="6"/>
  <c r="AY35" i="6" s="1"/>
  <c r="BL35" i="6" s="1"/>
  <c r="AC35" i="6"/>
  <c r="AW34" i="6"/>
  <c r="AY34" i="6" s="1"/>
  <c r="AZ34" i="6" s="1"/>
  <c r="AZ37" i="6" s="1"/>
  <c r="I141" i="8" s="1"/>
  <c r="J141" i="8" s="1"/>
  <c r="AC34" i="6"/>
  <c r="AZ33" i="6"/>
  <c r="I140" i="8" s="1"/>
  <c r="AX33" i="6"/>
  <c r="H140" i="8" s="1"/>
  <c r="AK33" i="6"/>
  <c r="C140" i="8" s="1"/>
  <c r="BK33" i="6"/>
  <c r="L140" i="8" s="1"/>
  <c r="AW32" i="6"/>
  <c r="AM32" i="6"/>
  <c r="AM33" i="6" s="1"/>
  <c r="D140" i="8" s="1"/>
  <c r="AJ32" i="6"/>
  <c r="AC32" i="6"/>
  <c r="AB32" i="6"/>
  <c r="AW31" i="6"/>
  <c r="AJ31" i="6"/>
  <c r="AL31" i="6" s="1"/>
  <c r="AC31" i="6"/>
  <c r="AC33" i="6" s="1"/>
  <c r="G140" i="8" s="1"/>
  <c r="AB31" i="6"/>
  <c r="AZ30" i="6"/>
  <c r="I139" i="8" s="1"/>
  <c r="AX30" i="6"/>
  <c r="H139" i="8" s="1"/>
  <c r="AM30" i="6"/>
  <c r="D139" i="8" s="1"/>
  <c r="AK30" i="6"/>
  <c r="C139" i="8" s="1"/>
  <c r="AC30" i="6"/>
  <c r="G139" i="8" s="1"/>
  <c r="AB30" i="6"/>
  <c r="E139" i="8" s="1"/>
  <c r="AW29" i="6"/>
  <c r="AJ29" i="6"/>
  <c r="AM27" i="6"/>
  <c r="D137" i="8" s="1"/>
  <c r="AK27" i="6"/>
  <c r="C137" i="8" s="1"/>
  <c r="AZ26" i="6"/>
  <c r="AZ27" i="6" s="1"/>
  <c r="I137" i="8" s="1"/>
  <c r="AD26" i="6"/>
  <c r="AD27" i="6" s="1"/>
  <c r="K137" i="8" s="1"/>
  <c r="AC26" i="6"/>
  <c r="AC27" i="6" s="1"/>
  <c r="AB26" i="6"/>
  <c r="AB27" i="6" s="1"/>
  <c r="E137" i="8" s="1"/>
  <c r="AX25" i="6"/>
  <c r="H136" i="8" s="1"/>
  <c r="AM25" i="6"/>
  <c r="D136" i="8" s="1"/>
  <c r="AC25" i="6"/>
  <c r="G136" i="8" s="1"/>
  <c r="AD24" i="6"/>
  <c r="AD25" i="6" s="1"/>
  <c r="AB24" i="6"/>
  <c r="AB25" i="6" s="1"/>
  <c r="E136" i="8"/>
  <c r="BJ23" i="6"/>
  <c r="BL23" i="6"/>
  <c r="AD23" i="6"/>
  <c r="AX22" i="6"/>
  <c r="H135" i="8" s="1"/>
  <c r="BL21" i="6"/>
  <c r="AD21" i="6"/>
  <c r="AW20" i="6"/>
  <c r="AU20" i="6"/>
  <c r="AJ20" i="6"/>
  <c r="AL20" i="6" s="1"/>
  <c r="AD20" i="6"/>
  <c r="AC20" i="6"/>
  <c r="AC22" i="6"/>
  <c r="G135" i="8" s="1"/>
  <c r="AB20" i="6"/>
  <c r="AB22" i="6" s="1"/>
  <c r="E135" i="8"/>
  <c r="AZ19" i="6"/>
  <c r="I134" i="8"/>
  <c r="AX19" i="6"/>
  <c r="H134" i="8"/>
  <c r="BJ18" i="6"/>
  <c r="BL18" i="6"/>
  <c r="AW17" i="6"/>
  <c r="AJ17" i="6"/>
  <c r="AL17" i="6" s="1"/>
  <c r="AC17" i="6"/>
  <c r="AC19" i="6" s="1"/>
  <c r="G134" i="8" s="1"/>
  <c r="AB17" i="6"/>
  <c r="AB19" i="6" s="1"/>
  <c r="E134" i="8" s="1"/>
  <c r="AC16" i="6"/>
  <c r="G133" i="8" s="1"/>
  <c r="BM15" i="6"/>
  <c r="BJ15" i="6"/>
  <c r="BK15" i="6" s="1"/>
  <c r="BK16" i="6" s="1"/>
  <c r="L133" i="8"/>
  <c r="AY15" i="6"/>
  <c r="AX15" i="6"/>
  <c r="AW14" i="6"/>
  <c r="AJ14" i="6"/>
  <c r="AL14" i="6" s="1"/>
  <c r="AY14" i="6" s="1"/>
  <c r="AB14" i="6"/>
  <c r="AB16" i="6"/>
  <c r="E133" i="8" s="1"/>
  <c r="BM13" i="6"/>
  <c r="BJ13" i="6"/>
  <c r="AW13" i="6"/>
  <c r="AX13" i="6" s="1"/>
  <c r="BJ12" i="6"/>
  <c r="BL12" i="6" s="1"/>
  <c r="AD12" i="6"/>
  <c r="AW11" i="6"/>
  <c r="AY11" i="6" s="1"/>
  <c r="BL11" i="6" s="1"/>
  <c r="BJ10" i="6"/>
  <c r="AW10" i="6"/>
  <c r="AY10" i="6" s="1"/>
  <c r="AD10" i="6"/>
  <c r="BJ9" i="6"/>
  <c r="AW9" i="6"/>
  <c r="AY9" i="6" s="1"/>
  <c r="AZ9" i="6" s="1"/>
  <c r="AD9" i="6"/>
  <c r="AX7" i="6"/>
  <c r="H131" i="8" s="1"/>
  <c r="AB7" i="6"/>
  <c r="E131" i="8" s="1"/>
  <c r="BJ6" i="6"/>
  <c r="AL6" i="6"/>
  <c r="AY6" i="6" s="1"/>
  <c r="AK6" i="6"/>
  <c r="AD6" i="6"/>
  <c r="BK7" i="6"/>
  <c r="L131" i="8" s="1"/>
  <c r="AW5" i="6"/>
  <c r="AL5" i="6"/>
  <c r="AM5" i="6" s="1"/>
  <c r="AM7" i="6" s="1"/>
  <c r="AK5" i="6"/>
  <c r="AD5" i="6"/>
  <c r="AC5" i="6"/>
  <c r="AB5" i="6"/>
  <c r="AM4" i="6"/>
  <c r="D130" i="8" s="1"/>
  <c r="AJ3" i="6"/>
  <c r="AD3" i="6"/>
  <c r="AD4" i="6" s="1"/>
  <c r="K130" i="8" s="1"/>
  <c r="AB3" i="6"/>
  <c r="AJ2" i="6"/>
  <c r="AC2" i="6"/>
  <c r="AC4" i="6" s="1"/>
  <c r="G130" i="8" s="1"/>
  <c r="AB2" i="6"/>
  <c r="AI84" i="5"/>
  <c r="AI87" i="5"/>
  <c r="C125" i="8" s="1"/>
  <c r="BI85" i="5"/>
  <c r="BI86" i="5"/>
  <c r="L127" i="8" s="1"/>
  <c r="AC85" i="5"/>
  <c r="AC86" i="5" s="1"/>
  <c r="G127" i="8" s="1"/>
  <c r="AK84" i="5"/>
  <c r="D126" i="8" s="1"/>
  <c r="AC84" i="5"/>
  <c r="G126" i="8"/>
  <c r="BI83" i="5"/>
  <c r="AB82" i="5"/>
  <c r="AB84" i="5" s="1"/>
  <c r="AC79" i="5"/>
  <c r="AC80" i="5"/>
  <c r="AC81" i="5"/>
  <c r="G121" i="8" s="1"/>
  <c r="BI78" i="5"/>
  <c r="AU78" i="5"/>
  <c r="AH78" i="5"/>
  <c r="BI77" i="5"/>
  <c r="AU77" i="5"/>
  <c r="AV77" i="5"/>
  <c r="AV80" i="5" s="1"/>
  <c r="AH77" i="5"/>
  <c r="AI77" i="5" s="1"/>
  <c r="AV76" i="5"/>
  <c r="AK76" i="5"/>
  <c r="AB76" i="5"/>
  <c r="AB80" i="5" s="1"/>
  <c r="AV75" i="5"/>
  <c r="H123" i="8" s="1"/>
  <c r="AC75" i="5"/>
  <c r="G123" i="8"/>
  <c r="AB75" i="5"/>
  <c r="E123" i="8" s="1"/>
  <c r="AV73" i="5"/>
  <c r="H122" i="8"/>
  <c r="AK72" i="5"/>
  <c r="AK73" i="5" s="1"/>
  <c r="D122" i="8" s="1"/>
  <c r="AC72" i="5"/>
  <c r="AC73" i="5"/>
  <c r="G122" i="8"/>
  <c r="BI73" i="5"/>
  <c r="L122" i="8" s="1"/>
  <c r="AX72" i="5"/>
  <c r="AX73" i="5"/>
  <c r="I122" i="8"/>
  <c r="AH72" i="5"/>
  <c r="AI72" i="5"/>
  <c r="AI73" i="5" s="1"/>
  <c r="AB72" i="5"/>
  <c r="AB73" i="5" s="1"/>
  <c r="E122" i="8" s="1"/>
  <c r="AB68" i="5"/>
  <c r="AB70" i="5" s="1"/>
  <c r="AB69" i="5"/>
  <c r="AY69" i="5"/>
  <c r="AK69" i="5"/>
  <c r="AC69" i="5"/>
  <c r="AC70" i="5" s="1"/>
  <c r="AC71" i="5" s="1"/>
  <c r="G117" i="8" s="1"/>
  <c r="AY68" i="5"/>
  <c r="BI59" i="5"/>
  <c r="BI60" i="5"/>
  <c r="BI63" i="5"/>
  <c r="L118" i="8" s="1"/>
  <c r="AK68" i="5"/>
  <c r="AI68" i="5"/>
  <c r="AI70" i="5" s="1"/>
  <c r="C120" i="8" s="1"/>
  <c r="AC68" i="5"/>
  <c r="AB67" i="5"/>
  <c r="E119" i="8" s="1"/>
  <c r="AC66" i="5"/>
  <c r="AV65" i="5"/>
  <c r="AC64" i="5"/>
  <c r="AK63" i="5"/>
  <c r="D118" i="8" s="1"/>
  <c r="AI63" i="5"/>
  <c r="C118" i="8" s="1"/>
  <c r="AC62" i="5"/>
  <c r="AC63" i="5" s="1"/>
  <c r="G118" i="8" s="1"/>
  <c r="AX63" i="5"/>
  <c r="I118" i="8" s="1"/>
  <c r="AV62" i="5"/>
  <c r="AB62" i="5"/>
  <c r="AB63" i="5"/>
  <c r="E118" i="8" s="1"/>
  <c r="AV59" i="5"/>
  <c r="AI56" i="5"/>
  <c r="AI57" i="5"/>
  <c r="C116" i="8" s="1"/>
  <c r="AX56" i="5"/>
  <c r="AV56" i="5"/>
  <c r="AK56" i="5"/>
  <c r="AK57" i="5" s="1"/>
  <c r="D116" i="8" s="1"/>
  <c r="BI57" i="5"/>
  <c r="L116" i="8" s="1"/>
  <c r="AV55" i="5"/>
  <c r="AK55" i="5"/>
  <c r="AC55" i="5"/>
  <c r="AC57" i="5" s="1"/>
  <c r="G116" i="8" s="1"/>
  <c r="AB55" i="5"/>
  <c r="AB57" i="5"/>
  <c r="E116" i="8" s="1"/>
  <c r="AU54" i="5"/>
  <c r="AX54" i="5"/>
  <c r="AK54" i="5"/>
  <c r="AG54" i="5"/>
  <c r="AH54" i="5"/>
  <c r="AF54" i="5"/>
  <c r="AV53" i="5"/>
  <c r="H115" i="8" s="1"/>
  <c r="AK53" i="5"/>
  <c r="D115" i="8" s="1"/>
  <c r="BH49" i="5"/>
  <c r="BI49" i="5" s="1"/>
  <c r="AU49" i="5"/>
  <c r="AW49" i="5" s="1"/>
  <c r="AX49" i="5" s="1"/>
  <c r="AX53" i="5" s="1"/>
  <c r="I115" i="8" s="1"/>
  <c r="J115" i="8" s="1"/>
  <c r="AC49" i="5"/>
  <c r="AC53" i="5" s="1"/>
  <c r="G115" i="8" s="1"/>
  <c r="AB49" i="5"/>
  <c r="AB53" i="5"/>
  <c r="E115" i="8" s="1"/>
  <c r="AK46" i="5"/>
  <c r="AK47" i="5" s="1"/>
  <c r="D114" i="8"/>
  <c r="AI47" i="5"/>
  <c r="C114" i="8"/>
  <c r="AC46" i="5"/>
  <c r="AC47" i="5"/>
  <c r="G114" i="8" s="1"/>
  <c r="AY46" i="5"/>
  <c r="AV46" i="5"/>
  <c r="AV47" i="5"/>
  <c r="H114" i="8" s="1"/>
  <c r="AB46" i="5"/>
  <c r="AB47" i="5" s="1"/>
  <c r="E114" i="8" s="1"/>
  <c r="AK45" i="5"/>
  <c r="D113" i="8"/>
  <c r="AI45" i="5"/>
  <c r="C113" i="8"/>
  <c r="BH44" i="5"/>
  <c r="BJ44" i="5"/>
  <c r="AP43" i="5"/>
  <c r="AM43" i="5"/>
  <c r="AN43" i="5" s="1"/>
  <c r="AH43" i="5"/>
  <c r="BI42" i="5"/>
  <c r="BI45" i="5" s="1"/>
  <c r="AU42" i="5"/>
  <c r="AC42" i="5"/>
  <c r="AX41" i="5"/>
  <c r="AU41" i="5"/>
  <c r="AV41" i="5"/>
  <c r="AV45" i="5" s="1"/>
  <c r="H113" i="8" s="1"/>
  <c r="AC41" i="5"/>
  <c r="BI39" i="5"/>
  <c r="AV39" i="5"/>
  <c r="AC39" i="5"/>
  <c r="AV38" i="5"/>
  <c r="AC38" i="5"/>
  <c r="AC40" i="5" s="1"/>
  <c r="BI37" i="5"/>
  <c r="AC37" i="5"/>
  <c r="AY35" i="5"/>
  <c r="BI35" i="5"/>
  <c r="AU35" i="5"/>
  <c r="AV35" i="5"/>
  <c r="AD35" i="5"/>
  <c r="AC35" i="5"/>
  <c r="AC36" i="5" s="1"/>
  <c r="AY34" i="5"/>
  <c r="AU34" i="5"/>
  <c r="AV34" i="5" s="1"/>
  <c r="AV36" i="5" s="1"/>
  <c r="H111" i="8" s="1"/>
  <c r="AC34" i="5"/>
  <c r="BI33" i="5"/>
  <c r="L110" i="8"/>
  <c r="AU32" i="5"/>
  <c r="AV32" i="5"/>
  <c r="AC32" i="5"/>
  <c r="AC33" i="5"/>
  <c r="G110" i="8" s="1"/>
  <c r="AC25" i="5"/>
  <c r="AC29" i="5" s="1"/>
  <c r="G109" i="8"/>
  <c r="AB29" i="5"/>
  <c r="E109" i="8"/>
  <c r="BJ28" i="5"/>
  <c r="AY26" i="5"/>
  <c r="BI29" i="5"/>
  <c r="L109" i="8"/>
  <c r="AK26" i="5"/>
  <c r="AK29" i="5"/>
  <c r="D109" i="8" s="1"/>
  <c r="AH26" i="5"/>
  <c r="AI26" i="5" s="1"/>
  <c r="AI29" i="5"/>
  <c r="C109" i="8" s="1"/>
  <c r="AY25" i="5"/>
  <c r="AV25" i="5"/>
  <c r="AV29" i="5"/>
  <c r="H109" i="8" s="1"/>
  <c r="AC24" i="5"/>
  <c r="E108" i="8" s="1"/>
  <c r="AU22" i="5"/>
  <c r="AV22" i="5" s="1"/>
  <c r="AY21" i="5"/>
  <c r="BI21" i="5" s="1"/>
  <c r="BI24" i="5" s="1"/>
  <c r="L108" i="8" s="1"/>
  <c r="AV21" i="5"/>
  <c r="AC16" i="5"/>
  <c r="AC17" i="5"/>
  <c r="AC19" i="5" s="1"/>
  <c r="G107" i="8" s="1"/>
  <c r="AC18" i="5"/>
  <c r="AY18" i="5"/>
  <c r="AK18" i="5"/>
  <c r="AH18" i="5"/>
  <c r="AI18" i="5" s="1"/>
  <c r="AI19" i="5" s="1"/>
  <c r="C107" i="8" s="1"/>
  <c r="AB18" i="5"/>
  <c r="E107" i="8"/>
  <c r="AY17" i="5"/>
  <c r="AX17" i="5"/>
  <c r="AK17" i="5"/>
  <c r="AH17" i="5"/>
  <c r="AI17" i="5" s="1"/>
  <c r="AB17" i="5"/>
  <c r="AB19" i="5" s="1"/>
  <c r="AV16" i="5"/>
  <c r="AK16" i="5"/>
  <c r="AB16" i="5"/>
  <c r="AY14" i="5"/>
  <c r="AV14" i="5"/>
  <c r="AK14" i="5"/>
  <c r="AH14" i="5"/>
  <c r="AC14" i="5"/>
  <c r="AC12" i="5"/>
  <c r="AC13" i="5"/>
  <c r="AB14" i="5"/>
  <c r="AY13" i="5"/>
  <c r="BI13" i="5" s="1"/>
  <c r="AV13" i="5"/>
  <c r="AB13" i="5"/>
  <c r="AY12" i="5"/>
  <c r="BI12" i="5" s="1"/>
  <c r="AK12" i="5"/>
  <c r="AB12" i="5"/>
  <c r="AB2" i="5"/>
  <c r="AB3" i="5"/>
  <c r="AB4" i="5"/>
  <c r="AB5" i="5"/>
  <c r="AB10" i="5"/>
  <c r="AC10" i="5"/>
  <c r="AY9" i="5"/>
  <c r="AV9" i="5"/>
  <c r="AC9" i="5"/>
  <c r="AY8" i="5"/>
  <c r="AV8" i="5"/>
  <c r="AC8" i="5"/>
  <c r="AY7" i="5"/>
  <c r="BI7" i="5" s="1"/>
  <c r="AV7" i="5"/>
  <c r="AC7" i="5"/>
  <c r="AY6" i="5"/>
  <c r="AC6" i="5"/>
  <c r="AY5" i="5"/>
  <c r="BI5" i="5" s="1"/>
  <c r="BI11" i="5" s="1"/>
  <c r="AI5" i="5"/>
  <c r="AC5" i="5"/>
  <c r="AY4" i="5"/>
  <c r="BI4" i="5" s="1"/>
  <c r="AV4" i="5"/>
  <c r="AK4" i="5"/>
  <c r="AC4" i="5"/>
  <c r="AC11" i="5" s="1"/>
  <c r="AC58" i="5" s="1"/>
  <c r="G104" i="8" s="1"/>
  <c r="G103" i="8" s="1"/>
  <c r="AY3" i="5"/>
  <c r="AV3" i="5"/>
  <c r="AC3" i="5"/>
  <c r="BJ2" i="5"/>
  <c r="AX2" i="5"/>
  <c r="AU2" i="5"/>
  <c r="AH2" i="5"/>
  <c r="AI2" i="5"/>
  <c r="AI11" i="5" s="1"/>
  <c r="AI58" i="5" s="1"/>
  <c r="C104" i="8" s="1"/>
  <c r="AD264" i="4"/>
  <c r="G102" i="8" s="1"/>
  <c r="BK263" i="4"/>
  <c r="BL263" i="4" s="1"/>
  <c r="AN263" i="4"/>
  <c r="AK262" i="4"/>
  <c r="AC262" i="4"/>
  <c r="AC264" i="4" s="1"/>
  <c r="BK260" i="4"/>
  <c r="BL260" i="4" s="1"/>
  <c r="AX260" i="4"/>
  <c r="BK259" i="4"/>
  <c r="BL259" i="4" s="1"/>
  <c r="AX259" i="4"/>
  <c r="AX258" i="4"/>
  <c r="AY258" i="4" s="1"/>
  <c r="AK258" i="4"/>
  <c r="AL258" i="4" s="1"/>
  <c r="AX257" i="4"/>
  <c r="AZ257" i="4" s="1"/>
  <c r="AY257" i="4"/>
  <c r="AN257" i="4"/>
  <c r="AK257" i="4"/>
  <c r="AL257" i="4" s="1"/>
  <c r="AC257" i="4"/>
  <c r="AN256" i="4"/>
  <c r="AK256" i="4"/>
  <c r="AL256" i="4" s="1"/>
  <c r="BL255" i="4"/>
  <c r="AD255" i="4"/>
  <c r="AL254" i="4"/>
  <c r="AD254" i="4"/>
  <c r="AC254" i="4"/>
  <c r="BL252" i="4"/>
  <c r="L99" i="8" s="1"/>
  <c r="AD250" i="4"/>
  <c r="AD252" i="4" s="1"/>
  <c r="G99" i="8" s="1"/>
  <c r="AX251" i="4"/>
  <c r="AK251" i="4"/>
  <c r="AL251" i="4" s="1"/>
  <c r="AX250" i="4"/>
  <c r="AK250" i="4"/>
  <c r="AM250" i="4" s="1"/>
  <c r="AN250" i="4" s="1"/>
  <c r="AC250" i="4"/>
  <c r="AC252" i="4" s="1"/>
  <c r="AD249" i="4"/>
  <c r="G98" i="8" s="1"/>
  <c r="BM248" i="4"/>
  <c r="AC248" i="4"/>
  <c r="AC247" i="4"/>
  <c r="AC249" i="4" s="1"/>
  <c r="AX247" i="4"/>
  <c r="AY247" i="4"/>
  <c r="AY249" i="4" s="1"/>
  <c r="H98" i="8" s="1"/>
  <c r="AK247" i="4"/>
  <c r="AL247" i="4"/>
  <c r="AL245" i="4"/>
  <c r="AD245" i="4"/>
  <c r="AC245" i="4"/>
  <c r="AD244" i="4"/>
  <c r="AC244" i="4"/>
  <c r="BL243" i="4"/>
  <c r="BL246" i="4" s="1"/>
  <c r="L97" i="8" s="1"/>
  <c r="BB243" i="4"/>
  <c r="AX243" i="4"/>
  <c r="AY243" i="4" s="1"/>
  <c r="AY246" i="4" s="1"/>
  <c r="H97" i="8" s="1"/>
  <c r="AK243" i="4"/>
  <c r="AM243" i="4" s="1"/>
  <c r="AN243" i="4" s="1"/>
  <c r="AD243" i="4"/>
  <c r="AC243" i="4"/>
  <c r="AX242" i="4"/>
  <c r="AK242" i="4"/>
  <c r="AL242" i="4" s="1"/>
  <c r="AD242" i="4"/>
  <c r="AD246" i="4" s="1"/>
  <c r="G97" i="8" s="1"/>
  <c r="AC242" i="4"/>
  <c r="AY241" i="4"/>
  <c r="H96" i="8" s="1"/>
  <c r="AD240" i="4"/>
  <c r="AX239" i="4"/>
  <c r="AK239" i="4"/>
  <c r="AL239" i="4" s="1"/>
  <c r="AL241" i="4"/>
  <c r="C96" i="8" s="1"/>
  <c r="AD239" i="4"/>
  <c r="AD238" i="4"/>
  <c r="AD241" i="4" s="1"/>
  <c r="G96" i="8" s="1"/>
  <c r="AC239" i="4"/>
  <c r="AX238" i="4"/>
  <c r="AK238" i="4"/>
  <c r="AM238" i="4" s="1"/>
  <c r="AN238" i="4"/>
  <c r="AC238" i="4"/>
  <c r="AC241" i="4"/>
  <c r="E96" i="8" s="1"/>
  <c r="AL236" i="4"/>
  <c r="AL237" i="4" s="1"/>
  <c r="C95" i="8"/>
  <c r="AD236" i="4"/>
  <c r="AC236" i="4"/>
  <c r="AX235" i="4"/>
  <c r="AK235" i="4"/>
  <c r="AM235" i="4" s="1"/>
  <c r="AN235" i="4" s="1"/>
  <c r="AD235" i="4"/>
  <c r="AC235" i="4"/>
  <c r="AX234" i="4"/>
  <c r="AK234" i="4"/>
  <c r="AM234" i="4" s="1"/>
  <c r="AD234" i="4"/>
  <c r="AD233" i="4"/>
  <c r="AC234" i="4"/>
  <c r="AC233" i="4"/>
  <c r="AD229" i="4"/>
  <c r="AD230" i="4"/>
  <c r="AD231" i="4"/>
  <c r="AX231" i="4"/>
  <c r="AK231" i="4"/>
  <c r="AM231" i="4" s="1"/>
  <c r="AN231" i="4" s="1"/>
  <c r="AC231" i="4"/>
  <c r="BB230" i="4"/>
  <c r="BL230" i="4"/>
  <c r="BA230" i="4"/>
  <c r="AN230" i="4"/>
  <c r="AL230" i="4"/>
  <c r="AL232" i="4"/>
  <c r="C94" i="8" s="1"/>
  <c r="AC230" i="4"/>
  <c r="BB229" i="4"/>
  <c r="AN229" i="4"/>
  <c r="AK229" i="4"/>
  <c r="AC229" i="4"/>
  <c r="AC226" i="4"/>
  <c r="AC227" i="4" s="1"/>
  <c r="E92" i="8" s="1"/>
  <c r="BB226" i="4"/>
  <c r="AD226" i="4"/>
  <c r="AD227" i="4" s="1"/>
  <c r="BB225" i="4"/>
  <c r="AX225" i="4"/>
  <c r="AK225" i="4"/>
  <c r="AL225" i="4" s="1"/>
  <c r="Y225" i="4"/>
  <c r="BB224" i="4"/>
  <c r="BB223" i="4"/>
  <c r="AY221" i="4"/>
  <c r="AD221" i="4"/>
  <c r="AC221" i="4"/>
  <c r="AC217" i="4"/>
  <c r="AC219" i="4"/>
  <c r="AD220" i="4"/>
  <c r="AK218" i="4"/>
  <c r="AL218" i="4" s="1"/>
  <c r="AD219" i="4"/>
  <c r="BB218" i="4"/>
  <c r="BL218" i="4"/>
  <c r="BL222" i="4" s="1"/>
  <c r="L91" i="8" s="1"/>
  <c r="AX218" i="4"/>
  <c r="AY218" i="4" s="1"/>
  <c r="AY217" i="4"/>
  <c r="AM217" i="4"/>
  <c r="AN217" i="4" s="1"/>
  <c r="AD217" i="4"/>
  <c r="AD222" i="4" s="1"/>
  <c r="G91" i="8" s="1"/>
  <c r="AD215" i="4"/>
  <c r="AD216" i="4"/>
  <c r="G90" i="8" s="1"/>
  <c r="BB215" i="4"/>
  <c r="AL215" i="4"/>
  <c r="AG215" i="4"/>
  <c r="AC215" i="4"/>
  <c r="AC216" i="4" s="1"/>
  <c r="E90" i="8" s="1"/>
  <c r="BB214" i="4"/>
  <c r="AG214" i="4"/>
  <c r="BB213" i="4"/>
  <c r="AX213" i="4"/>
  <c r="AY213" i="4" s="1"/>
  <c r="AK213" i="4"/>
  <c r="AY211" i="4"/>
  <c r="BB211" i="4"/>
  <c r="AD211" i="4"/>
  <c r="AD212" i="4" s="1"/>
  <c r="G89" i="8" s="1"/>
  <c r="AC211" i="4"/>
  <c r="AC212" i="4" s="1"/>
  <c r="E89" i="8" s="1"/>
  <c r="BB210" i="4"/>
  <c r="AN210" i="4"/>
  <c r="AG210" i="4"/>
  <c r="BB209" i="4"/>
  <c r="AX209" i="4"/>
  <c r="AZ209" i="4" s="1"/>
  <c r="BM209" i="4" s="1"/>
  <c r="AM209" i="4"/>
  <c r="AN209" i="4" s="1"/>
  <c r="AN212" i="4" s="1"/>
  <c r="D89" i="8" s="1"/>
  <c r="AF209" i="4"/>
  <c r="AD206" i="4"/>
  <c r="AD207" i="4"/>
  <c r="AD208" i="4" s="1"/>
  <c r="G88" i="8" s="1"/>
  <c r="AC207" i="4"/>
  <c r="BB206" i="4"/>
  <c r="BL208" i="4"/>
  <c r="L88" i="8"/>
  <c r="AY208" i="4"/>
  <c r="H88" i="8" s="1"/>
  <c r="AC206" i="4"/>
  <c r="BB204" i="4"/>
  <c r="AX204" i="4"/>
  <c r="AZ204" i="4" s="1"/>
  <c r="BM204" i="4" s="1"/>
  <c r="BB203" i="4"/>
  <c r="AX203" i="4"/>
  <c r="AK203" i="4"/>
  <c r="AM203" i="4" s="1"/>
  <c r="AN203" i="4" s="1"/>
  <c r="AC203" i="4"/>
  <c r="BB202" i="4"/>
  <c r="AX202" i="4"/>
  <c r="AK202" i="4"/>
  <c r="AM202" i="4"/>
  <c r="AC202" i="4"/>
  <c r="BB201" i="4"/>
  <c r="BL201" i="4" s="1"/>
  <c r="BL205" i="4" s="1"/>
  <c r="L87" i="8" s="1"/>
  <c r="AL201" i="4"/>
  <c r="AL205" i="4" s="1"/>
  <c r="C87" i="8" s="1"/>
  <c r="AC201" i="4"/>
  <c r="AC208" i="4" s="1"/>
  <c r="E88" i="8" s="1"/>
  <c r="BB199" i="4"/>
  <c r="BL200" i="4"/>
  <c r="L86" i="8" s="1"/>
  <c r="AY199" i="4"/>
  <c r="AY200" i="4" s="1"/>
  <c r="H86" i="8" s="1"/>
  <c r="AR199" i="4"/>
  <c r="AX198" i="4"/>
  <c r="BA198" i="4"/>
  <c r="AK198" i="4"/>
  <c r="AL198" i="4"/>
  <c r="AX197" i="4"/>
  <c r="AK197" i="4"/>
  <c r="AM197" i="4" s="1"/>
  <c r="AN197" i="4" s="1"/>
  <c r="AC195" i="4"/>
  <c r="AK194" i="4"/>
  <c r="AX193" i="4"/>
  <c r="AK193" i="4"/>
  <c r="BL192" i="4"/>
  <c r="AL192" i="4"/>
  <c r="BL191" i="4"/>
  <c r="BK190" i="4"/>
  <c r="BM190" i="4" s="1"/>
  <c r="AM190" i="4"/>
  <c r="BL189" i="4"/>
  <c r="L83" i="8" s="1"/>
  <c r="BA189" i="4"/>
  <c r="I83" i="8" s="1"/>
  <c r="AX188" i="4"/>
  <c r="AK188" i="4"/>
  <c r="AM188" i="4" s="1"/>
  <c r="AN188" i="4" s="1"/>
  <c r="AC188" i="4"/>
  <c r="AX187" i="4"/>
  <c r="AZ187" i="4" s="1"/>
  <c r="BM187" i="4" s="1"/>
  <c r="BN187" i="4" s="1"/>
  <c r="AK187" i="4"/>
  <c r="AL187" i="4" s="1"/>
  <c r="AL189" i="4" s="1"/>
  <c r="C83" i="8" s="1"/>
  <c r="AC187" i="4"/>
  <c r="AR186" i="4"/>
  <c r="AK186" i="4"/>
  <c r="AM186" i="4"/>
  <c r="AX183" i="4"/>
  <c r="AK183" i="4"/>
  <c r="AM182" i="4"/>
  <c r="AK182" i="4"/>
  <c r="AX181" i="4"/>
  <c r="AZ181" i="4"/>
  <c r="AK181" i="4"/>
  <c r="AM181" i="4"/>
  <c r="AX180" i="4"/>
  <c r="AY180" i="4"/>
  <c r="AK180" i="4"/>
  <c r="AM180" i="4"/>
  <c r="AZ180" i="4" s="1"/>
  <c r="BB180" i="4" s="1"/>
  <c r="BC180" i="4" s="1"/>
  <c r="BK180" i="4" s="1"/>
  <c r="BM179" i="4"/>
  <c r="AX179" i="4"/>
  <c r="AY179" i="4" s="1"/>
  <c r="AK179" i="4"/>
  <c r="AL179" i="4" s="1"/>
  <c r="AL178" i="4"/>
  <c r="AC178" i="4"/>
  <c r="AX177" i="4"/>
  <c r="AY177" i="4" s="1"/>
  <c r="AK177" i="4"/>
  <c r="AL177" i="4" s="1"/>
  <c r="AC177" i="4"/>
  <c r="AX176" i="4"/>
  <c r="AZ176" i="4" s="1"/>
  <c r="AK176" i="4"/>
  <c r="AM176" i="4" s="1"/>
  <c r="AX175" i="4"/>
  <c r="AY175" i="4" s="1"/>
  <c r="AK175" i="4"/>
  <c r="AL175" i="4" s="1"/>
  <c r="AX174" i="4"/>
  <c r="AK174" i="4"/>
  <c r="AM174" i="4" s="1"/>
  <c r="AK173" i="4"/>
  <c r="AM173" i="4" s="1"/>
  <c r="AC172" i="4"/>
  <c r="AY171" i="4"/>
  <c r="BA171" i="4"/>
  <c r="AN171" i="4"/>
  <c r="AL171" i="4"/>
  <c r="AC171" i="4"/>
  <c r="AY170" i="4"/>
  <c r="AN170" i="4"/>
  <c r="AL170" i="4"/>
  <c r="AC170" i="4"/>
  <c r="AY168" i="4"/>
  <c r="AK168" i="4"/>
  <c r="AN167" i="4"/>
  <c r="AL167" i="4"/>
  <c r="AY166" i="4"/>
  <c r="AK166" i="4"/>
  <c r="AL166" i="4" s="1"/>
  <c r="AK165" i="4"/>
  <c r="AV164" i="4"/>
  <c r="AY163" i="4"/>
  <c r="AY169" i="4" s="1"/>
  <c r="H81" i="8" s="1"/>
  <c r="AL162" i="4"/>
  <c r="AN162" i="4"/>
  <c r="AC162" i="4"/>
  <c r="AM161" i="4"/>
  <c r="AK161" i="4"/>
  <c r="BK160" i="4"/>
  <c r="BM160" i="4" s="1"/>
  <c r="AK160" i="4"/>
  <c r="AM160" i="4" s="1"/>
  <c r="AL159" i="4"/>
  <c r="AC159" i="4"/>
  <c r="AC169" i="4"/>
  <c r="E81" i="8" s="1"/>
  <c r="AY157" i="4"/>
  <c r="AY158" i="4" s="1"/>
  <c r="H80" i="8" s="1"/>
  <c r="AL157" i="4"/>
  <c r="AC157" i="4"/>
  <c r="BM156" i="4"/>
  <c r="AZ156" i="4"/>
  <c r="AK156" i="4"/>
  <c r="AM156" i="4" s="1"/>
  <c r="AX155" i="4"/>
  <c r="AK155" i="4"/>
  <c r="AL155" i="4" s="1"/>
  <c r="AD155" i="4"/>
  <c r="AD154" i="4"/>
  <c r="AD158" i="4" s="1"/>
  <c r="G80" i="8" s="1"/>
  <c r="AC155" i="4"/>
  <c r="AX154" i="4"/>
  <c r="AK154" i="4"/>
  <c r="AM154" i="4"/>
  <c r="AN154" i="4" s="1"/>
  <c r="AC154" i="4"/>
  <c r="AL153" i="4"/>
  <c r="AC153" i="4"/>
  <c r="AY152" i="4"/>
  <c r="H79" i="8" s="1"/>
  <c r="BA151" i="4"/>
  <c r="AN151" i="4"/>
  <c r="AL151" i="4"/>
  <c r="AC151" i="4"/>
  <c r="AC152" i="4" s="1"/>
  <c r="E79" i="8" s="1"/>
  <c r="AK150" i="4"/>
  <c r="AL150" i="4" s="1"/>
  <c r="AC150" i="4"/>
  <c r="AN150" i="4"/>
  <c r="AX149" i="4"/>
  <c r="AZ149" i="4" s="1"/>
  <c r="AK149" i="4"/>
  <c r="BA148" i="4"/>
  <c r="AX148" i="4"/>
  <c r="AK148" i="4"/>
  <c r="AM148" i="4" s="1"/>
  <c r="AX147" i="4"/>
  <c r="AP147" i="4"/>
  <c r="AK147" i="4"/>
  <c r="AX145" i="4"/>
  <c r="AK145" i="4"/>
  <c r="AM145" i="4" s="1"/>
  <c r="AC145" i="4"/>
  <c r="AY144" i="4"/>
  <c r="AL144" i="4"/>
  <c r="AC144" i="4"/>
  <c r="BL143" i="4"/>
  <c r="AK143" i="4"/>
  <c r="AL143" i="4" s="1"/>
  <c r="AC143" i="4"/>
  <c r="AY142" i="4"/>
  <c r="AL142" i="4"/>
  <c r="AC142" i="4"/>
  <c r="AL141" i="4"/>
  <c r="AC141" i="4"/>
  <c r="AY140" i="4"/>
  <c r="AL140" i="4"/>
  <c r="AC140" i="4"/>
  <c r="AC130" i="4"/>
  <c r="AC131" i="4"/>
  <c r="AC133" i="4"/>
  <c r="AC139" i="4"/>
  <c r="AL139" i="4"/>
  <c r="AX138" i="4"/>
  <c r="AZ138" i="4" s="1"/>
  <c r="AX137" i="4"/>
  <c r="AZ137" i="4" s="1"/>
  <c r="AV137" i="4"/>
  <c r="AK137" i="4"/>
  <c r="AM137" i="4" s="1"/>
  <c r="AX136" i="4"/>
  <c r="AZ136" i="4" s="1"/>
  <c r="AV136" i="4"/>
  <c r="AK136" i="4"/>
  <c r="AM136" i="4" s="1"/>
  <c r="AX135" i="4"/>
  <c r="AZ135" i="4" s="1"/>
  <c r="AV135" i="4"/>
  <c r="AK135" i="4"/>
  <c r="AM135" i="4" s="1"/>
  <c r="AX134" i="4"/>
  <c r="AZ134" i="4" s="1"/>
  <c r="AV134" i="4"/>
  <c r="AK134" i="4"/>
  <c r="AM134" i="4" s="1"/>
  <c r="AX133" i="4"/>
  <c r="AY133" i="4" s="1"/>
  <c r="AK133" i="4"/>
  <c r="AX132" i="4"/>
  <c r="AL131" i="4"/>
  <c r="BL130" i="4"/>
  <c r="AX130" i="4"/>
  <c r="AK130" i="4"/>
  <c r="AM130" i="4" s="1"/>
  <c r="AN130" i="4" s="1"/>
  <c r="BL129" i="4"/>
  <c r="L77" i="8" s="1"/>
  <c r="AD129" i="4"/>
  <c r="G77" i="8" s="1"/>
  <c r="AY128" i="4"/>
  <c r="AY129" i="4" s="1"/>
  <c r="H77" i="8" s="1"/>
  <c r="AN128" i="4"/>
  <c r="AC126" i="4"/>
  <c r="AC125" i="4"/>
  <c r="BA125" i="4"/>
  <c r="AZ124" i="4"/>
  <c r="AD120" i="4"/>
  <c r="AD123" i="4" s="1"/>
  <c r="G76" i="8" s="1"/>
  <c r="AZ122" i="4"/>
  <c r="BA122" i="4" s="1"/>
  <c r="AY122" i="4"/>
  <c r="AC122" i="4"/>
  <c r="BL121" i="4"/>
  <c r="AY121" i="4"/>
  <c r="AC121" i="4"/>
  <c r="BA120" i="4"/>
  <c r="AC120" i="4"/>
  <c r="AY119" i="4"/>
  <c r="AC119" i="4"/>
  <c r="BL118" i="4"/>
  <c r="AX118" i="4"/>
  <c r="AY118" i="4" s="1"/>
  <c r="AN118" i="4"/>
  <c r="AK118" i="4"/>
  <c r="AX117" i="4"/>
  <c r="AK117" i="4"/>
  <c r="AM117" i="4" s="1"/>
  <c r="AL117" i="4"/>
  <c r="AC117" i="4"/>
  <c r="AK115" i="4"/>
  <c r="AL115" i="4" s="1"/>
  <c r="AX114" i="4"/>
  <c r="AZ114" i="4" s="1"/>
  <c r="AM114" i="4"/>
  <c r="AL114" i="4"/>
  <c r="AX113" i="4"/>
  <c r="AM113" i="4"/>
  <c r="AD113" i="4"/>
  <c r="AD116" i="4" s="1"/>
  <c r="BB112" i="4"/>
  <c r="BL112" i="4" s="1"/>
  <c r="AY111" i="4"/>
  <c r="BL110" i="4"/>
  <c r="AC110" i="4"/>
  <c r="AY109" i="4"/>
  <c r="AC109" i="4"/>
  <c r="AN108" i="4"/>
  <c r="AC108" i="4"/>
  <c r="AX107" i="4"/>
  <c r="AK107" i="4"/>
  <c r="AM107" i="4" s="1"/>
  <c r="AC107" i="4"/>
  <c r="BK106" i="4"/>
  <c r="BL106" i="4" s="1"/>
  <c r="AX106" i="4"/>
  <c r="AK106" i="4"/>
  <c r="AM106" i="4" s="1"/>
  <c r="Y106" i="4"/>
  <c r="AC106" i="4"/>
  <c r="AX105" i="4"/>
  <c r="AK105" i="4"/>
  <c r="AM105" i="4" s="1"/>
  <c r="BL104" i="4"/>
  <c r="AX104" i="4"/>
  <c r="AL104" i="4"/>
  <c r="AK104" i="4"/>
  <c r="AM104" i="4" s="1"/>
  <c r="Y104" i="4"/>
  <c r="AX103" i="4"/>
  <c r="AY103" i="4" s="1"/>
  <c r="AM103" i="4"/>
  <c r="AL102" i="4"/>
  <c r="BM101" i="4"/>
  <c r="AM101" i="4"/>
  <c r="AN101" i="4" s="1"/>
  <c r="AY96" i="4"/>
  <c r="AY99" i="4" s="1"/>
  <c r="H73" i="8" s="1"/>
  <c r="AX97" i="4"/>
  <c r="AY97" i="4" s="1"/>
  <c r="AC96" i="4"/>
  <c r="AC98" i="4"/>
  <c r="AK98" i="4"/>
  <c r="AL98" i="4" s="1"/>
  <c r="AD97" i="4"/>
  <c r="AD99" i="4" s="1"/>
  <c r="G73" i="8" s="1"/>
  <c r="AK96" i="4"/>
  <c r="AM96" i="4" s="1"/>
  <c r="AD91" i="4"/>
  <c r="AD92" i="4"/>
  <c r="AD94" i="4" s="1"/>
  <c r="G72" i="8" s="1"/>
  <c r="AD93" i="4"/>
  <c r="AX93" i="4"/>
  <c r="AZ93" i="4" s="1"/>
  <c r="BM93" i="4" s="1"/>
  <c r="BN93" i="4" s="1"/>
  <c r="BN94" i="4" s="1"/>
  <c r="AX92" i="4"/>
  <c r="BL94" i="4"/>
  <c r="L72" i="8" s="1"/>
  <c r="AC91" i="4"/>
  <c r="AC94" i="4" s="1"/>
  <c r="E72" i="8" s="1"/>
  <c r="AN89" i="4"/>
  <c r="AL89" i="4"/>
  <c r="AD89" i="4"/>
  <c r="AC89" i="4"/>
  <c r="AD88" i="4"/>
  <c r="AC88" i="4"/>
  <c r="AL87" i="4"/>
  <c r="AL86" i="4"/>
  <c r="AL90" i="4" s="1"/>
  <c r="C71" i="8" s="1"/>
  <c r="AD87" i="4"/>
  <c r="AC87" i="4"/>
  <c r="AC86" i="4"/>
  <c r="BL90" i="4"/>
  <c r="L71" i="8" s="1"/>
  <c r="AY86" i="4"/>
  <c r="AY90" i="4" s="1"/>
  <c r="H71" i="8" s="1"/>
  <c r="AD86" i="4"/>
  <c r="AX85" i="4"/>
  <c r="AK85" i="4"/>
  <c r="AM85" i="4" s="1"/>
  <c r="AD85" i="4"/>
  <c r="AX83" i="4"/>
  <c r="AY83" i="4" s="1"/>
  <c r="AZ83" i="4" s="1"/>
  <c r="AK83" i="4"/>
  <c r="AL83" i="4" s="1"/>
  <c r="AD83" i="4"/>
  <c r="AC83" i="4"/>
  <c r="AC82" i="4"/>
  <c r="BL81" i="4"/>
  <c r="AD81" i="4"/>
  <c r="AC81" i="4"/>
  <c r="AC84" i="4" s="1"/>
  <c r="E70" i="8" s="1"/>
  <c r="AC79" i="4"/>
  <c r="AX80" i="4"/>
  <c r="AY80" i="4" s="1"/>
  <c r="BL79" i="4"/>
  <c r="AL79" i="4"/>
  <c r="AF79" i="4"/>
  <c r="AD79" i="4"/>
  <c r="AY78" i="4"/>
  <c r="H69" i="8" s="1"/>
  <c r="AD77" i="4"/>
  <c r="AC77" i="4"/>
  <c r="BL76" i="4"/>
  <c r="AD76" i="4"/>
  <c r="AD73" i="4"/>
  <c r="AD75" i="4"/>
  <c r="AC76" i="4"/>
  <c r="AC78" i="4" s="1"/>
  <c r="E69" i="8" s="1"/>
  <c r="AX75" i="4"/>
  <c r="AK75" i="4"/>
  <c r="AC75" i="4"/>
  <c r="BK73" i="4"/>
  <c r="BL73" i="4" s="1"/>
  <c r="BN73" i="4" s="1"/>
  <c r="AZ73" i="4"/>
  <c r="AX73" i="4"/>
  <c r="AK73" i="4"/>
  <c r="AN71" i="4"/>
  <c r="AD71" i="4"/>
  <c r="AC71" i="4"/>
  <c r="AD70" i="4"/>
  <c r="AX69" i="4"/>
  <c r="AK69" i="4"/>
  <c r="AM69" i="4" s="1"/>
  <c r="AN69" i="4" s="1"/>
  <c r="AD69" i="4"/>
  <c r="AC69" i="4"/>
  <c r="BL72" i="4"/>
  <c r="L68" i="8" s="1"/>
  <c r="AY68" i="4"/>
  <c r="AD68" i="4"/>
  <c r="AD72" i="4" s="1"/>
  <c r="G68" i="8" s="1"/>
  <c r="AC68" i="4"/>
  <c r="AN66" i="4"/>
  <c r="AD66" i="4"/>
  <c r="AC66" i="4"/>
  <c r="AO65" i="4"/>
  <c r="AD65" i="4"/>
  <c r="AD63" i="4"/>
  <c r="AD64" i="4"/>
  <c r="AY64" i="4"/>
  <c r="AC64" i="4"/>
  <c r="BL63" i="4"/>
  <c r="BL67" i="4" s="1"/>
  <c r="AL63" i="4"/>
  <c r="AC63" i="4"/>
  <c r="AY61" i="4"/>
  <c r="AN61" i="4"/>
  <c r="AD61" i="4"/>
  <c r="AC61" i="4"/>
  <c r="AN60" i="4"/>
  <c r="AL60" i="4"/>
  <c r="AD60" i="4"/>
  <c r="AC60" i="4"/>
  <c r="BL62" i="4"/>
  <c r="L66" i="8" s="1"/>
  <c r="AY59" i="4"/>
  <c r="AD59" i="4"/>
  <c r="AC59" i="4"/>
  <c r="AC58" i="4"/>
  <c r="AK58" i="4"/>
  <c r="AL58" i="4" s="1"/>
  <c r="AD58" i="4"/>
  <c r="AD62" i="4" s="1"/>
  <c r="G66" i="8" s="1"/>
  <c r="BL57" i="4"/>
  <c r="L65" i="8" s="1"/>
  <c r="AN57" i="4"/>
  <c r="D65" i="8" s="1"/>
  <c r="AD57" i="4"/>
  <c r="G65" i="8" s="1"/>
  <c r="AC57" i="4"/>
  <c r="E65" i="8" s="1"/>
  <c r="AY56" i="4"/>
  <c r="AK54" i="4"/>
  <c r="AM54" i="4" s="1"/>
  <c r="AY53" i="4"/>
  <c r="AM53" i="4"/>
  <c r="AL53" i="4"/>
  <c r="AL57" i="4" s="1"/>
  <c r="C65" i="8" s="1"/>
  <c r="AX49" i="4"/>
  <c r="AX50" i="4"/>
  <c r="AY50" i="4" s="1"/>
  <c r="AD51" i="4"/>
  <c r="AC51" i="4"/>
  <c r="AK50" i="4"/>
  <c r="AM50" i="4" s="1"/>
  <c r="AD50" i="4"/>
  <c r="AC50" i="4"/>
  <c r="AK49" i="4"/>
  <c r="AM49" i="4" s="1"/>
  <c r="AD49" i="4"/>
  <c r="AC49" i="4"/>
  <c r="AC48" i="4"/>
  <c r="AD48" i="4"/>
  <c r="BK47" i="4"/>
  <c r="AX47" i="4"/>
  <c r="AK47" i="4"/>
  <c r="AD47" i="4"/>
  <c r="AC47" i="4"/>
  <c r="AC46" i="4"/>
  <c r="AK46" i="4"/>
  <c r="AD46" i="4"/>
  <c r="AX45" i="4"/>
  <c r="AZ45" i="4" s="1"/>
  <c r="AL43" i="4"/>
  <c r="C62" i="8" s="1"/>
  <c r="AD41" i="4"/>
  <c r="AD43" i="4" s="1"/>
  <c r="G62" i="8" s="1"/>
  <c r="AD42" i="4"/>
  <c r="AY42" i="4"/>
  <c r="AY43" i="4" s="1"/>
  <c r="H62" i="8" s="1"/>
  <c r="AC42" i="4"/>
  <c r="AN43" i="4"/>
  <c r="D62" i="8" s="1"/>
  <c r="AC41" i="4"/>
  <c r="BL40" i="4"/>
  <c r="L61" i="8" s="1"/>
  <c r="AY40" i="4"/>
  <c r="H61" i="8" s="1"/>
  <c r="AC38" i="4"/>
  <c r="AC39" i="4"/>
  <c r="AL38" i="4"/>
  <c r="AL40" i="4" s="1"/>
  <c r="C61" i="8" s="1"/>
  <c r="AD38" i="4"/>
  <c r="AD40" i="4" s="1"/>
  <c r="G61" i="8" s="1"/>
  <c r="AY37" i="4"/>
  <c r="H60" i="8" s="1"/>
  <c r="AD34" i="4"/>
  <c r="AD36" i="4"/>
  <c r="AL36" i="4"/>
  <c r="AN36" i="4"/>
  <c r="AC36" i="4"/>
  <c r="BL35" i="4"/>
  <c r="BL37" i="4" s="1"/>
  <c r="L60" i="8" s="1"/>
  <c r="AC35" i="4"/>
  <c r="AC34" i="4"/>
  <c r="AL33" i="4"/>
  <c r="AC33" i="4"/>
  <c r="AY32" i="4"/>
  <c r="H59" i="8" s="1"/>
  <c r="AN31" i="4"/>
  <c r="AD31" i="4"/>
  <c r="AD29" i="4"/>
  <c r="AD30" i="4"/>
  <c r="AC31" i="4"/>
  <c r="BL30" i="4"/>
  <c r="AN30" i="4"/>
  <c r="AC30" i="4"/>
  <c r="BL29" i="4"/>
  <c r="AN29" i="4"/>
  <c r="AN32" i="4" s="1"/>
  <c r="D59" i="8" s="1"/>
  <c r="AC29" i="4"/>
  <c r="AC32" i="4" s="1"/>
  <c r="E59" i="8" s="1"/>
  <c r="AY27" i="4"/>
  <c r="AY28" i="4"/>
  <c r="H58" i="8" s="1"/>
  <c r="AL27" i="4"/>
  <c r="AD27" i="4"/>
  <c r="AD25" i="4"/>
  <c r="AD26" i="4"/>
  <c r="AC27" i="4"/>
  <c r="BK26" i="4"/>
  <c r="AX26" i="4"/>
  <c r="AK26" i="4"/>
  <c r="AL26" i="4" s="1"/>
  <c r="AL28" i="4" s="1"/>
  <c r="C58" i="8" s="1"/>
  <c r="AC26" i="4"/>
  <c r="AC25" i="4"/>
  <c r="AC28" i="4" s="1"/>
  <c r="E58" i="8" s="1"/>
  <c r="AL24" i="4"/>
  <c r="C57" i="8" s="1"/>
  <c r="BL23" i="4"/>
  <c r="AY23" i="4"/>
  <c r="AN23" i="4"/>
  <c r="AD23" i="4"/>
  <c r="AC23" i="4"/>
  <c r="BL22" i="4"/>
  <c r="AD22" i="4"/>
  <c r="AC22" i="4"/>
  <c r="BL21" i="4"/>
  <c r="BL24" i="4" s="1"/>
  <c r="L57" i="8" s="1"/>
  <c r="AN21" i="4"/>
  <c r="AD21" i="4"/>
  <c r="AC21" i="4"/>
  <c r="AD20" i="4"/>
  <c r="AC20" i="4"/>
  <c r="AM19" i="4"/>
  <c r="AN19" i="4" s="1"/>
  <c r="AN24" i="4" s="1"/>
  <c r="D57" i="8" s="1"/>
  <c r="AD19" i="4"/>
  <c r="AC19" i="4"/>
  <c r="AL18" i="4"/>
  <c r="C56" i="8" s="1"/>
  <c r="AN17" i="4"/>
  <c r="AN18" i="4" s="1"/>
  <c r="D56" i="8" s="1"/>
  <c r="AK17" i="4"/>
  <c r="AE17" i="4"/>
  <c r="AD17" i="4"/>
  <c r="AC17" i="4"/>
  <c r="AY16" i="4"/>
  <c r="AY18" i="4" s="1"/>
  <c r="H56" i="8"/>
  <c r="AN16" i="4"/>
  <c r="AK16" i="4"/>
  <c r="AE16" i="4"/>
  <c r="AD16" i="4"/>
  <c r="AC16" i="4"/>
  <c r="AC15" i="4"/>
  <c r="AC18" i="4" s="1"/>
  <c r="E56" i="8" s="1"/>
  <c r="AN15" i="4"/>
  <c r="AK15" i="4"/>
  <c r="AE15" i="4"/>
  <c r="AD15" i="4"/>
  <c r="AC10" i="4"/>
  <c r="AC11" i="4"/>
  <c r="AC12" i="4"/>
  <c r="AC13" i="4"/>
  <c r="AY13" i="4"/>
  <c r="AD13" i="4"/>
  <c r="AX12" i="4"/>
  <c r="AM12" i="4"/>
  <c r="AK12" i="4"/>
  <c r="AD12" i="4"/>
  <c r="AX11" i="4"/>
  <c r="AK11" i="4"/>
  <c r="AL11" i="4"/>
  <c r="AL14" i="4" s="1"/>
  <c r="C55" i="8" s="1"/>
  <c r="AD11" i="4"/>
  <c r="AX10" i="4"/>
  <c r="AK10" i="4"/>
  <c r="AM10" i="4" s="1"/>
  <c r="AD10" i="4"/>
  <c r="AL9" i="4"/>
  <c r="C54" i="8"/>
  <c r="BL8" i="4"/>
  <c r="AX8" i="4"/>
  <c r="AY8" i="4" s="1"/>
  <c r="AK8" i="4"/>
  <c r="AM8" i="4" s="1"/>
  <c r="AD8" i="4"/>
  <c r="AC8" i="4"/>
  <c r="BL7" i="4"/>
  <c r="AX7" i="4"/>
  <c r="AK7" i="4"/>
  <c r="AM7" i="4" s="1"/>
  <c r="AN7" i="4" s="1"/>
  <c r="AD7" i="4"/>
  <c r="AC7" i="4"/>
  <c r="AX6" i="4"/>
  <c r="AY6" i="4"/>
  <c r="AK6" i="4"/>
  <c r="AM6" i="4"/>
  <c r="AD6" i="4"/>
  <c r="AC6" i="4"/>
  <c r="AL5" i="4"/>
  <c r="C53" i="8" s="1"/>
  <c r="AN4" i="4"/>
  <c r="AG4" i="4"/>
  <c r="AD4" i="4"/>
  <c r="AC4" i="4"/>
  <c r="BL3" i="4"/>
  <c r="AY2" i="4"/>
  <c r="AN3" i="4"/>
  <c r="AD3" i="4"/>
  <c r="AC3" i="4"/>
  <c r="AC5" i="4" s="1"/>
  <c r="E53" i="8" s="1"/>
  <c r="BL2" i="4"/>
  <c r="AN2" i="4"/>
  <c r="AN5" i="4" s="1"/>
  <c r="D53" i="8" s="1"/>
  <c r="AG2" i="4"/>
  <c r="AE2" i="4"/>
  <c r="AE5" i="4" s="1"/>
  <c r="AD2" i="4"/>
  <c r="AD5" i="4"/>
  <c r="AC2" i="4"/>
  <c r="AK216" i="3"/>
  <c r="AC211" i="3"/>
  <c r="AC215" i="3"/>
  <c r="BK215" i="3"/>
  <c r="AW215" i="3"/>
  <c r="AM215" i="3"/>
  <c r="AJ215" i="3"/>
  <c r="AB215" i="3"/>
  <c r="BJ213" i="3"/>
  <c r="BK213" i="3" s="1"/>
  <c r="AD213" i="3"/>
  <c r="AD216" i="3" s="1"/>
  <c r="K50" i="8" s="1"/>
  <c r="BK210" i="3"/>
  <c r="L49" i="8" s="1"/>
  <c r="BK203" i="3"/>
  <c r="BJ204" i="3"/>
  <c r="BK204" i="3" s="1"/>
  <c r="BK207" i="3"/>
  <c r="AN211" i="3"/>
  <c r="AJ211" i="3"/>
  <c r="AL211" i="3" s="1"/>
  <c r="AM211" i="3" s="1"/>
  <c r="AM216" i="3" s="1"/>
  <c r="AB211" i="3"/>
  <c r="AK210" i="3"/>
  <c r="C49" i="8" s="1"/>
  <c r="AC209" i="3"/>
  <c r="AC210" i="3" s="1"/>
  <c r="G49" i="8" s="1"/>
  <c r="AM209" i="3"/>
  <c r="AM210" i="3" s="1"/>
  <c r="D49" i="8" s="1"/>
  <c r="AJ209" i="3"/>
  <c r="AB209" i="3"/>
  <c r="AB210" i="3" s="1"/>
  <c r="E49" i="8" s="1"/>
  <c r="AC203" i="3"/>
  <c r="AC205" i="3"/>
  <c r="AC206" i="3"/>
  <c r="AC207" i="3"/>
  <c r="AX207" i="3"/>
  <c r="AB207" i="3"/>
  <c r="AM206" i="3"/>
  <c r="AJ206" i="3"/>
  <c r="AK206" i="3" s="1"/>
  <c r="AD206" i="3"/>
  <c r="AB206" i="3"/>
  <c r="AX205" i="3"/>
  <c r="AM205" i="3"/>
  <c r="AB205" i="3"/>
  <c r="BL204" i="3"/>
  <c r="AJ204" i="3"/>
  <c r="AK204" i="3" s="1"/>
  <c r="AB204" i="3"/>
  <c r="AD203" i="3"/>
  <c r="AJ202" i="3"/>
  <c r="AK202" i="3" s="1"/>
  <c r="AM202" i="3"/>
  <c r="AB202" i="3"/>
  <c r="AM200" i="3"/>
  <c r="D46" i="8" s="1"/>
  <c r="AC200" i="3"/>
  <c r="G46" i="8" s="1"/>
  <c r="BK198" i="3"/>
  <c r="AW198" i="3"/>
  <c r="AY198" i="3" s="1"/>
  <c r="AZ198" i="3" s="1"/>
  <c r="AB198" i="3"/>
  <c r="BK197" i="3"/>
  <c r="AB197" i="3"/>
  <c r="AW196" i="3"/>
  <c r="BL196" i="3"/>
  <c r="AK196" i="3"/>
  <c r="AK200" i="3" s="1"/>
  <c r="C46" i="8" s="1"/>
  <c r="AB196" i="3"/>
  <c r="L45" i="8"/>
  <c r="AW194" i="3"/>
  <c r="AY194" i="3" s="1"/>
  <c r="AZ194" i="3" s="1"/>
  <c r="AZ195" i="3" s="1"/>
  <c r="AD195" i="3"/>
  <c r="K45" i="8" s="1"/>
  <c r="AX193" i="3"/>
  <c r="H44" i="8" s="1"/>
  <c r="AM193" i="3"/>
  <c r="D44" i="8" s="1"/>
  <c r="AK193" i="3"/>
  <c r="C44" i="8" s="1"/>
  <c r="AB185" i="3"/>
  <c r="AB193" i="3" s="1"/>
  <c r="E44" i="8" s="1"/>
  <c r="BK192" i="3"/>
  <c r="BK191" i="3"/>
  <c r="AM181" i="3"/>
  <c r="AM184" i="3" s="1"/>
  <c r="D43" i="8" s="1"/>
  <c r="AZ182" i="3"/>
  <c r="AJ181" i="3"/>
  <c r="AK181" i="3" s="1"/>
  <c r="AK184" i="3" s="1"/>
  <c r="C43" i="8" s="1"/>
  <c r="AB181" i="3"/>
  <c r="AB184" i="3" s="1"/>
  <c r="E43" i="8" s="1"/>
  <c r="AC172" i="3"/>
  <c r="AC180" i="3" s="1"/>
  <c r="AZ178" i="3"/>
  <c r="AW178" i="3"/>
  <c r="AM178" i="3"/>
  <c r="AB178" i="3"/>
  <c r="AD176" i="3"/>
  <c r="AZ175" i="3"/>
  <c r="BK173" i="3"/>
  <c r="AD173" i="3"/>
  <c r="AB172" i="3"/>
  <c r="AL171" i="3"/>
  <c r="AM171" i="3" s="1"/>
  <c r="AK171" i="3"/>
  <c r="AB171" i="3"/>
  <c r="AX169" i="3"/>
  <c r="AH169" i="3"/>
  <c r="AJ169" i="3"/>
  <c r="AD169" i="3"/>
  <c r="AB169" i="3"/>
  <c r="AX167" i="3"/>
  <c r="AB167" i="3"/>
  <c r="E40" i="8" s="1"/>
  <c r="BK166" i="3"/>
  <c r="AZ166" i="3"/>
  <c r="AW166" i="3"/>
  <c r="AC166" i="3"/>
  <c r="AC167" i="3" s="1"/>
  <c r="G40" i="8" s="1"/>
  <c r="BK165" i="3"/>
  <c r="BK167" i="3" s="1"/>
  <c r="L40" i="8" s="1"/>
  <c r="AD165" i="3"/>
  <c r="AC165" i="3"/>
  <c r="AW164" i="3"/>
  <c r="AC164" i="3"/>
  <c r="AH163" i="3"/>
  <c r="AJ163" i="3" s="1"/>
  <c r="AL163" i="3" s="1"/>
  <c r="AM163" i="3" s="1"/>
  <c r="AM167" i="3" s="1"/>
  <c r="D40" i="8" s="1"/>
  <c r="AX162" i="3"/>
  <c r="AM162" i="3"/>
  <c r="D39" i="8" s="1"/>
  <c r="J39" i="8" s="1"/>
  <c r="AK162" i="3"/>
  <c r="C39" i="8" s="1"/>
  <c r="AZ160" i="3"/>
  <c r="AZ162" i="3" s="1"/>
  <c r="AC160" i="3"/>
  <c r="AC162" i="3" s="1"/>
  <c r="G39" i="8" s="1"/>
  <c r="AB160" i="3"/>
  <c r="AB162" i="3" s="1"/>
  <c r="E39" i="8" s="1"/>
  <c r="AM158" i="3"/>
  <c r="AM159" i="3" s="1"/>
  <c r="D38" i="8" s="1"/>
  <c r="AB158" i="3"/>
  <c r="AB159" i="3" s="1"/>
  <c r="E38" i="8" s="1"/>
  <c r="L38" i="8"/>
  <c r="AK158" i="3"/>
  <c r="AK159" i="3"/>
  <c r="C38" i="8" s="1"/>
  <c r="AC158" i="3"/>
  <c r="AC159" i="3" s="1"/>
  <c r="G38" i="8"/>
  <c r="AK156" i="3"/>
  <c r="AK157" i="3"/>
  <c r="C37" i="8" s="1"/>
  <c r="AM156" i="3"/>
  <c r="AC156" i="3"/>
  <c r="AB156" i="3"/>
  <c r="AM155" i="3"/>
  <c r="AJ155" i="3"/>
  <c r="AC155" i="3"/>
  <c r="AC157" i="3" s="1"/>
  <c r="G37" i="8" s="1"/>
  <c r="AB155" i="3"/>
  <c r="AB157" i="3" s="1"/>
  <c r="E37" i="8" s="1"/>
  <c r="AK154" i="3"/>
  <c r="C36" i="8" s="1"/>
  <c r="AC153" i="3"/>
  <c r="AM152" i="3"/>
  <c r="AM154" i="3" s="1"/>
  <c r="D36" i="8" s="1"/>
  <c r="AC152" i="3"/>
  <c r="AC154" i="3" s="1"/>
  <c r="G36" i="8" s="1"/>
  <c r="AB152" i="3"/>
  <c r="AB154" i="3" s="1"/>
  <c r="AC147" i="3"/>
  <c r="AC150" i="3" s="1"/>
  <c r="G34" i="8" s="1"/>
  <c r="BJ145" i="3"/>
  <c r="BK145" i="3" s="1"/>
  <c r="AW145" i="3"/>
  <c r="AX145" i="3" s="1"/>
  <c r="AJ145" i="3"/>
  <c r="AK145" i="3" s="1"/>
  <c r="AC145" i="3"/>
  <c r="AX144" i="3"/>
  <c r="AC144" i="3"/>
  <c r="AJ143" i="3"/>
  <c r="BK142" i="3"/>
  <c r="AD141" i="3"/>
  <c r="AD146" i="3" s="1"/>
  <c r="AC142" i="3"/>
  <c r="AB142" i="3"/>
  <c r="AB141" i="3"/>
  <c r="AC141" i="3"/>
  <c r="BK140" i="3"/>
  <c r="AJ140" i="3"/>
  <c r="AK140" i="3" s="1"/>
  <c r="AM140" i="3" s="1"/>
  <c r="AC138" i="3"/>
  <c r="AB138" i="3"/>
  <c r="BK137" i="3"/>
  <c r="BK139" i="3" s="1"/>
  <c r="L32" i="8" s="1"/>
  <c r="AJ137" i="3"/>
  <c r="AC137" i="3"/>
  <c r="AB137" i="3"/>
  <c r="AB136" i="3"/>
  <c r="AW136" i="3"/>
  <c r="AJ136" i="3"/>
  <c r="AC136" i="3"/>
  <c r="AD135" i="3"/>
  <c r="AD139" i="3" s="1"/>
  <c r="K32" i="8" s="1"/>
  <c r="BJ133" i="3"/>
  <c r="BK133" i="3" s="1"/>
  <c r="AD133" i="3"/>
  <c r="BJ132" i="3"/>
  <c r="AX132" i="3"/>
  <c r="AC132" i="3"/>
  <c r="AC131" i="3"/>
  <c r="AB131" i="3"/>
  <c r="AM130" i="3"/>
  <c r="AJ130" i="3"/>
  <c r="AK130" i="3" s="1"/>
  <c r="AD130" i="3"/>
  <c r="AC130" i="3"/>
  <c r="AB130" i="3"/>
  <c r="BL129" i="3"/>
  <c r="BL128" i="3"/>
  <c r="BJ127" i="3"/>
  <c r="BK127" i="3" s="1"/>
  <c r="AC127" i="3"/>
  <c r="AX126" i="3"/>
  <c r="AX128" i="3" s="1"/>
  <c r="AD126" i="3"/>
  <c r="AD128" i="3" s="1"/>
  <c r="K29" i="8" s="1"/>
  <c r="AC126" i="3"/>
  <c r="AB126" i="3"/>
  <c r="AB128" i="3"/>
  <c r="E29" i="8" s="1"/>
  <c r="BL125" i="3"/>
  <c r="AM125" i="3"/>
  <c r="D28" i="8" s="1"/>
  <c r="AK125" i="3"/>
  <c r="C28" i="8" s="1"/>
  <c r="BJ124" i="3"/>
  <c r="BK124" i="3" s="1"/>
  <c r="AX124" i="3"/>
  <c r="AJ124" i="3"/>
  <c r="AC124" i="3"/>
  <c r="AB124" i="3"/>
  <c r="BJ123" i="3"/>
  <c r="BK123" i="3" s="1"/>
  <c r="AJ123" i="3"/>
  <c r="AC123" i="3"/>
  <c r="AB123" i="3"/>
  <c r="BJ122" i="3"/>
  <c r="BK122" i="3" s="1"/>
  <c r="AX122" i="3"/>
  <c r="AJ122" i="3"/>
  <c r="AC122" i="3"/>
  <c r="AB122" i="3"/>
  <c r="BJ121" i="3"/>
  <c r="BK121" i="3" s="1"/>
  <c r="AJ121" i="3"/>
  <c r="AB121" i="3"/>
  <c r="BL120" i="3"/>
  <c r="AM120" i="3"/>
  <c r="D27" i="8" s="1"/>
  <c r="AK120" i="3"/>
  <c r="C27" i="8" s="1"/>
  <c r="BK119" i="3"/>
  <c r="BK120" i="3" s="1"/>
  <c r="L27" i="8" s="1"/>
  <c r="AJ119" i="3"/>
  <c r="AD120" i="3"/>
  <c r="K27" i="8" s="1"/>
  <c r="AC119" i="3"/>
  <c r="AC120" i="3" s="1"/>
  <c r="G27" i="8" s="1"/>
  <c r="AB119" i="3"/>
  <c r="AB120" i="3" s="1"/>
  <c r="E27" i="8" s="1"/>
  <c r="BL118" i="3"/>
  <c r="AK118" i="3"/>
  <c r="C26" i="8" s="1"/>
  <c r="AW117" i="3"/>
  <c r="AX117" i="3" s="1"/>
  <c r="AJ117" i="3"/>
  <c r="AL117" i="3" s="1"/>
  <c r="AB117" i="3"/>
  <c r="BK116" i="3"/>
  <c r="AW116" i="3"/>
  <c r="AX116" i="3" s="1"/>
  <c r="AJ116" i="3"/>
  <c r="AL116" i="3" s="1"/>
  <c r="AC116" i="3"/>
  <c r="AB116" i="3"/>
  <c r="AX115" i="3"/>
  <c r="AC115" i="3"/>
  <c r="AB115" i="3"/>
  <c r="BL114" i="3"/>
  <c r="AM111" i="3"/>
  <c r="AM114" i="3" s="1"/>
  <c r="AB111" i="3"/>
  <c r="AB114" i="3" s="1"/>
  <c r="E25" i="8" s="1"/>
  <c r="AX113" i="3"/>
  <c r="AX114" i="3" s="1"/>
  <c r="H25" i="8" s="1"/>
  <c r="AC113" i="3"/>
  <c r="AC112" i="3"/>
  <c r="AK111" i="3"/>
  <c r="AK114" i="3" s="1"/>
  <c r="C25" i="8" s="1"/>
  <c r="AC111" i="3"/>
  <c r="BK108" i="3"/>
  <c r="AD108" i="3"/>
  <c r="AC108" i="3"/>
  <c r="BJ107" i="3"/>
  <c r="AD107" i="3"/>
  <c r="BJ106" i="3"/>
  <c r="AD106" i="3"/>
  <c r="AC106" i="3"/>
  <c r="AW105" i="3"/>
  <c r="AX105" i="3" s="1"/>
  <c r="AJ105" i="3"/>
  <c r="AD105" i="3"/>
  <c r="AC105" i="3"/>
  <c r="AB105" i="3"/>
  <c r="BJ104" i="3"/>
  <c r="BL104" i="3" s="1"/>
  <c r="AJ104" i="3"/>
  <c r="AK104" i="3" s="1"/>
  <c r="AD104" i="3"/>
  <c r="AC104" i="3"/>
  <c r="AB104" i="3"/>
  <c r="AC103" i="3"/>
  <c r="BJ102" i="3"/>
  <c r="AW102" i="3"/>
  <c r="AX102" i="3" s="1"/>
  <c r="AY102" i="3" s="1"/>
  <c r="AC102" i="3"/>
  <c r="AC101" i="3"/>
  <c r="BJ100" i="3"/>
  <c r="AW100" i="3"/>
  <c r="AY100" i="3"/>
  <c r="BL100" i="3" s="1"/>
  <c r="AD100" i="3"/>
  <c r="AC100" i="3"/>
  <c r="AC99" i="3"/>
  <c r="BK99" i="3"/>
  <c r="AW99" i="3"/>
  <c r="AX99" i="3"/>
  <c r="AJ99" i="3"/>
  <c r="AL99" i="3"/>
  <c r="AD99" i="3"/>
  <c r="AB99" i="3"/>
  <c r="AW97" i="3"/>
  <c r="AX97" i="3"/>
  <c r="AD97" i="3"/>
  <c r="AC97" i="3"/>
  <c r="AW96" i="3"/>
  <c r="AJ96" i="3"/>
  <c r="AK96" i="3" s="1"/>
  <c r="AC96" i="3"/>
  <c r="AC92" i="3"/>
  <c r="AC93" i="3"/>
  <c r="AC94" i="3"/>
  <c r="AC95" i="3"/>
  <c r="AB96" i="3"/>
  <c r="AW95" i="3"/>
  <c r="AW94" i="3"/>
  <c r="AX94" i="3" s="1"/>
  <c r="AL94" i="3"/>
  <c r="AH94" i="3"/>
  <c r="AD94" i="3"/>
  <c r="AB94" i="3"/>
  <c r="AD93" i="3"/>
  <c r="AD98" i="3" s="1"/>
  <c r="K22" i="8" s="1"/>
  <c r="AW92" i="3"/>
  <c r="AX92" i="3" s="1"/>
  <c r="AJ92" i="3"/>
  <c r="AK92" i="3" s="1"/>
  <c r="AB92" i="3"/>
  <c r="AB98" i="3" s="1"/>
  <c r="AZ90" i="3"/>
  <c r="AC90" i="3"/>
  <c r="BK89" i="3"/>
  <c r="AK89" i="3"/>
  <c r="AC89" i="3"/>
  <c r="AB89" i="3"/>
  <c r="AX88" i="3"/>
  <c r="AC88" i="3"/>
  <c r="AB88" i="3"/>
  <c r="AX87" i="3"/>
  <c r="AM87" i="3"/>
  <c r="AJ87" i="3"/>
  <c r="AK87" i="3" s="1"/>
  <c r="AC87" i="3"/>
  <c r="AB87" i="3"/>
  <c r="BK86" i="3"/>
  <c r="AK86" i="3"/>
  <c r="AC86" i="3"/>
  <c r="AB86" i="3"/>
  <c r="AX85" i="3"/>
  <c r="AC85" i="3"/>
  <c r="AB85" i="3"/>
  <c r="BK84" i="3"/>
  <c r="AC84" i="3"/>
  <c r="AC83" i="3"/>
  <c r="AB84" i="3"/>
  <c r="AB83" i="3"/>
  <c r="AC80" i="3"/>
  <c r="AC82" i="3" s="1"/>
  <c r="G20" i="8" s="1"/>
  <c r="BK80" i="3"/>
  <c r="BK82" i="3" s="1"/>
  <c r="L20" i="8" s="1"/>
  <c r="H20" i="8"/>
  <c r="AK80" i="3"/>
  <c r="AK82" i="3" s="1"/>
  <c r="C20" i="8" s="1"/>
  <c r="AM80" i="3"/>
  <c r="AM82" i="3" s="1"/>
  <c r="D20" i="8" s="1"/>
  <c r="AB80" i="3"/>
  <c r="AB82" i="3" s="1"/>
  <c r="E20" i="8" s="1"/>
  <c r="BK78" i="3"/>
  <c r="AZ75" i="3"/>
  <c r="AX75" i="3"/>
  <c r="AD75" i="3"/>
  <c r="AD76" i="3" s="1"/>
  <c r="K19" i="8" s="1"/>
  <c r="AC75" i="3"/>
  <c r="AC74" i="3"/>
  <c r="AZ73" i="3"/>
  <c r="AW73" i="3"/>
  <c r="AX73" i="3" s="1"/>
  <c r="AC73" i="3"/>
  <c r="AJ71" i="3"/>
  <c r="AK71" i="3" s="1"/>
  <c r="AD71" i="3"/>
  <c r="AC71" i="3"/>
  <c r="AB71" i="3"/>
  <c r="BK70" i="3"/>
  <c r="AJ70" i="3"/>
  <c r="AK70" i="3" s="1"/>
  <c r="AC69" i="3"/>
  <c r="AB69" i="3"/>
  <c r="AJ68" i="3"/>
  <c r="AD68" i="3"/>
  <c r="AC68" i="3"/>
  <c r="AB68" i="3"/>
  <c r="AX67" i="3"/>
  <c r="H17" i="8" s="1"/>
  <c r="AF66" i="3"/>
  <c r="AC66" i="3"/>
  <c r="AB66" i="3"/>
  <c r="AJ65" i="3"/>
  <c r="AD65" i="3"/>
  <c r="AC65" i="3"/>
  <c r="AB65" i="3"/>
  <c r="AD64" i="3"/>
  <c r="AD67" i="3" s="1"/>
  <c r="AC64" i="3"/>
  <c r="AB64" i="3"/>
  <c r="AW62" i="3"/>
  <c r="AX62" i="3" s="1"/>
  <c r="AJ62" i="3"/>
  <c r="AK62" i="3"/>
  <c r="AC62" i="3"/>
  <c r="AB62" i="3"/>
  <c r="AD61" i="3"/>
  <c r="AD63" i="3" s="1"/>
  <c r="K16" i="8" s="1"/>
  <c r="AC61" i="3"/>
  <c r="AM60" i="3"/>
  <c r="AJ60" i="3"/>
  <c r="AC60" i="3"/>
  <c r="AB60" i="3"/>
  <c r="AC59" i="3"/>
  <c r="AB59" i="3"/>
  <c r="BK57" i="3"/>
  <c r="L14" i="8" s="1"/>
  <c r="AX57" i="3"/>
  <c r="H14" i="8" s="1"/>
  <c r="AM56" i="3"/>
  <c r="AC56" i="3"/>
  <c r="AB56" i="3"/>
  <c r="AC55" i="3"/>
  <c r="AB55" i="3"/>
  <c r="AM54" i="3"/>
  <c r="AC54" i="3"/>
  <c r="AC53" i="3"/>
  <c r="AB53" i="3"/>
  <c r="AB57" i="3" s="1"/>
  <c r="AB52" i="3"/>
  <c r="BA51" i="3"/>
  <c r="AK51" i="3"/>
  <c r="AK57" i="3" s="1"/>
  <c r="AD51" i="3"/>
  <c r="AD57" i="3" s="1"/>
  <c r="BL49" i="3"/>
  <c r="AM49" i="3"/>
  <c r="AJ49" i="3"/>
  <c r="AD49" i="3"/>
  <c r="AD50" i="3" s="1"/>
  <c r="K13" i="8" s="1"/>
  <c r="AC49" i="3"/>
  <c r="AB49" i="3"/>
  <c r="BK48" i="3"/>
  <c r="BL48" i="3"/>
  <c r="AW48" i="3"/>
  <c r="AH48" i="3"/>
  <c r="AJ48" i="3" s="1"/>
  <c r="AL48" i="3" s="1"/>
  <c r="AC48" i="3"/>
  <c r="AM47" i="3"/>
  <c r="AJ47" i="3"/>
  <c r="AK47" i="3" s="1"/>
  <c r="AK50" i="3" s="1"/>
  <c r="C13" i="8" s="1"/>
  <c r="AD47" i="3"/>
  <c r="AC47" i="3"/>
  <c r="AB47" i="3"/>
  <c r="AB50" i="3" s="1"/>
  <c r="E13" i="8" s="1"/>
  <c r="AM46" i="3"/>
  <c r="AJ46" i="3"/>
  <c r="AC46" i="3"/>
  <c r="AC50" i="3" s="1"/>
  <c r="G13" i="8" s="1"/>
  <c r="AM44" i="3"/>
  <c r="AJ44" i="3"/>
  <c r="AK44" i="3" s="1"/>
  <c r="AC44" i="3"/>
  <c r="AB44" i="3"/>
  <c r="BK43" i="3"/>
  <c r="AC43" i="3"/>
  <c r="AC42" i="3"/>
  <c r="AB42" i="3"/>
  <c r="AM41" i="3"/>
  <c r="AM45" i="3" s="1"/>
  <c r="D12" i="8" s="1"/>
  <c r="AJ41" i="3"/>
  <c r="AK41" i="3" s="1"/>
  <c r="AC41" i="3"/>
  <c r="AB41" i="3"/>
  <c r="BK39" i="3"/>
  <c r="AC39" i="3"/>
  <c r="BK38" i="3"/>
  <c r="AM38" i="3"/>
  <c r="AD38" i="3"/>
  <c r="AD40" i="3" s="1"/>
  <c r="K11" i="8" s="1"/>
  <c r="AD37" i="3"/>
  <c r="AC38" i="3"/>
  <c r="AB38" i="3"/>
  <c r="AB40" i="3"/>
  <c r="E11" i="8" s="1"/>
  <c r="BK37" i="3"/>
  <c r="AX37" i="3"/>
  <c r="AM37" i="3"/>
  <c r="AM40" i="3" s="1"/>
  <c r="D11" i="8" s="1"/>
  <c r="AJ37" i="3"/>
  <c r="AK37" i="3" s="1"/>
  <c r="AD35" i="3"/>
  <c r="BK34" i="3"/>
  <c r="AC34" i="3"/>
  <c r="AB34" i="3"/>
  <c r="AC33" i="3"/>
  <c r="AB33" i="3"/>
  <c r="AD32" i="3"/>
  <c r="AC32" i="3"/>
  <c r="AB32" i="3"/>
  <c r="AC31" i="3"/>
  <c r="AB31" i="3"/>
  <c r="AM30" i="3"/>
  <c r="AJ30" i="3"/>
  <c r="AK30" i="3" s="1"/>
  <c r="AD30" i="3"/>
  <c r="AC30" i="3"/>
  <c r="AB30" i="3"/>
  <c r="AM29" i="3"/>
  <c r="AJ29" i="3"/>
  <c r="AD29" i="3"/>
  <c r="AC29" i="3"/>
  <c r="AB29" i="3"/>
  <c r="AK28" i="3"/>
  <c r="AC28" i="3"/>
  <c r="AB28" i="3"/>
  <c r="BK27" i="3"/>
  <c r="AD27" i="3"/>
  <c r="AC27" i="3"/>
  <c r="AB27" i="3"/>
  <c r="AK26" i="3"/>
  <c r="AC26" i="3"/>
  <c r="AC36" i="3" s="1"/>
  <c r="G10" i="8" s="1"/>
  <c r="AB26" i="3"/>
  <c r="BK25" i="3"/>
  <c r="AK25" i="3"/>
  <c r="AD25" i="3"/>
  <c r="AC25" i="3"/>
  <c r="AB25" i="3"/>
  <c r="AB36" i="3" s="1"/>
  <c r="E10" i="8" s="1"/>
  <c r="BK23" i="3"/>
  <c r="AD23" i="3"/>
  <c r="AC23" i="3"/>
  <c r="BK22" i="3"/>
  <c r="BK21" i="3"/>
  <c r="AW21" i="3"/>
  <c r="AX21" i="3" s="1"/>
  <c r="AJ21" i="3"/>
  <c r="AK21" i="3" s="1"/>
  <c r="AD21" i="3"/>
  <c r="AC21" i="3"/>
  <c r="AB21" i="3"/>
  <c r="AB24" i="3" s="1"/>
  <c r="E9" i="8" s="1"/>
  <c r="AW20" i="3"/>
  <c r="AX20" i="3" s="1"/>
  <c r="AJ20" i="3"/>
  <c r="AL20" i="3" s="1"/>
  <c r="AM20" i="3" s="1"/>
  <c r="AC20" i="3"/>
  <c r="AC19" i="3"/>
  <c r="AC24" i="3" s="1"/>
  <c r="G9" i="8" s="1"/>
  <c r="AB20" i="3"/>
  <c r="AD19" i="3"/>
  <c r="AB19" i="3"/>
  <c r="AC9" i="3"/>
  <c r="AC11" i="3"/>
  <c r="AC15" i="3"/>
  <c r="AC16" i="3"/>
  <c r="AC17" i="3"/>
  <c r="AD16" i="3"/>
  <c r="BK15" i="3"/>
  <c r="AW15" i="3"/>
  <c r="AX15" i="3" s="1"/>
  <c r="AW13" i="3"/>
  <c r="AX13" i="3" s="1"/>
  <c r="AW14" i="3"/>
  <c r="AX14" i="3" s="1"/>
  <c r="AJ15" i="3"/>
  <c r="AL15" i="3" s="1"/>
  <c r="AD15" i="3"/>
  <c r="AB15" i="3"/>
  <c r="AL14" i="3"/>
  <c r="AD14" i="3"/>
  <c r="AB14" i="3"/>
  <c r="BK13" i="3"/>
  <c r="AJ13" i="3"/>
  <c r="AD13" i="3"/>
  <c r="AB13" i="3"/>
  <c r="BK12" i="3"/>
  <c r="AB12" i="3"/>
  <c r="BK11" i="3"/>
  <c r="AB11" i="3"/>
  <c r="AB9" i="3"/>
  <c r="AW7" i="3"/>
  <c r="AX7" i="3" s="1"/>
  <c r="AC7" i="3"/>
  <c r="BK6" i="3"/>
  <c r="AW6" i="3"/>
  <c r="AX6" i="3" s="1"/>
  <c r="AJ6" i="3"/>
  <c r="AL6" i="3" s="1"/>
  <c r="AC6" i="3"/>
  <c r="AB6" i="3"/>
  <c r="BK5" i="3"/>
  <c r="AL5" i="3"/>
  <c r="AM5" i="3" s="1"/>
  <c r="AC5" i="3"/>
  <c r="AB5" i="3"/>
  <c r="AM4" i="3"/>
  <c r="AC4" i="3"/>
  <c r="AB4" i="3"/>
  <c r="AJ3" i="3"/>
  <c r="AK3" i="3" s="1"/>
  <c r="AB3" i="3"/>
  <c r="AX2" i="3"/>
  <c r="AC2" i="3"/>
  <c r="AC8" i="3" s="1"/>
  <c r="G7" i="8" s="1"/>
  <c r="AB2" i="3"/>
  <c r="F28" i="2"/>
  <c r="M20" i="2"/>
  <c r="C18" i="2"/>
  <c r="N17" i="2"/>
  <c r="N16" i="2"/>
  <c r="C16" i="2"/>
  <c r="N15" i="2"/>
  <c r="C15" i="2"/>
  <c r="N14" i="2"/>
  <c r="C14" i="2"/>
  <c r="N13" i="2"/>
  <c r="N18" i="2"/>
  <c r="AX57" i="6"/>
  <c r="AB80" i="6"/>
  <c r="E152" i="8" s="1"/>
  <c r="AK107" i="6"/>
  <c r="AD99" i="6"/>
  <c r="AD100" i="6" s="1"/>
  <c r="AM99" i="6"/>
  <c r="AM100" i="6" s="1"/>
  <c r="AM105" i="6" s="1"/>
  <c r="D156" i="8" s="1"/>
  <c r="AX9" i="6"/>
  <c r="BK62" i="6"/>
  <c r="AX69" i="6"/>
  <c r="AC91" i="6"/>
  <c r="AB99" i="6"/>
  <c r="AB100" i="6" s="1"/>
  <c r="AX104" i="6"/>
  <c r="AK119" i="6"/>
  <c r="AK121" i="6"/>
  <c r="AK127" i="6" s="1"/>
  <c r="C165" i="8" s="1"/>
  <c r="AX138" i="6"/>
  <c r="BK74" i="3"/>
  <c r="C5" i="13"/>
  <c r="C10" i="15"/>
  <c r="C83" i="11"/>
  <c r="C44" i="14"/>
  <c r="C7" i="12"/>
  <c r="C78" i="12"/>
  <c r="AM19" i="3"/>
  <c r="H29" i="8"/>
  <c r="AZ127" i="3"/>
  <c r="AZ122" i="3"/>
  <c r="AM141" i="3"/>
  <c r="G53" i="8"/>
  <c r="AC51" i="3"/>
  <c r="AC70" i="3"/>
  <c r="AC72" i="3" s="1"/>
  <c r="G18" i="8" s="1"/>
  <c r="AM86" i="3"/>
  <c r="AM89" i="3"/>
  <c r="AZ87" i="3"/>
  <c r="AN59" i="4"/>
  <c r="AN62" i="4" s="1"/>
  <c r="D66" i="8" s="1"/>
  <c r="AL59" i="4"/>
  <c r="AL62" i="4" s="1"/>
  <c r="AN141" i="4"/>
  <c r="AN142" i="4"/>
  <c r="AN143" i="4"/>
  <c r="AN145" i="4"/>
  <c r="AN153" i="4"/>
  <c r="BA168" i="4"/>
  <c r="AN178" i="4"/>
  <c r="E84" i="8"/>
  <c r="AC199" i="4"/>
  <c r="AC200" i="4" s="1"/>
  <c r="E86" i="8" s="1"/>
  <c r="AL210" i="4"/>
  <c r="AN245" i="4"/>
  <c r="E99" i="8"/>
  <c r="AX9" i="5"/>
  <c r="AX14" i="5"/>
  <c r="AX25" i="5"/>
  <c r="BK49" i="5"/>
  <c r="E124" i="8"/>
  <c r="G124" i="8"/>
  <c r="AX85" i="5"/>
  <c r="AX86" i="5" s="1"/>
  <c r="I127" i="8" s="1"/>
  <c r="J127" i="8" s="1"/>
  <c r="AC8" i="6"/>
  <c r="G129" i="8" s="1"/>
  <c r="AY79" i="6"/>
  <c r="AB51" i="3"/>
  <c r="AZ211" i="3"/>
  <c r="AZ216" i="3" s="1"/>
  <c r="I50" i="8" s="1"/>
  <c r="C50" i="8"/>
  <c r="AN25" i="4"/>
  <c r="AN34" i="4"/>
  <c r="AN38" i="4"/>
  <c r="AN48" i="4"/>
  <c r="AN79" i="4"/>
  <c r="AN102" i="4"/>
  <c r="AC102" i="4"/>
  <c r="AM115" i="4"/>
  <c r="AN115" i="4" s="1"/>
  <c r="AN159" i="4"/>
  <c r="AM177" i="4"/>
  <c r="AN177" i="4" s="1"/>
  <c r="AM198" i="4"/>
  <c r="AD199" i="4"/>
  <c r="AD200" i="4" s="1"/>
  <c r="AN236" i="4"/>
  <c r="AM239" i="4"/>
  <c r="AN239" i="4" s="1"/>
  <c r="AC246" i="4"/>
  <c r="E97" i="8" s="1"/>
  <c r="AM242" i="4"/>
  <c r="AN242" i="4" s="1"/>
  <c r="AM247" i="4"/>
  <c r="AM258" i="4"/>
  <c r="AN258" i="4" s="1"/>
  <c r="AK5" i="5"/>
  <c r="AX3" i="5"/>
  <c r="AX6" i="5"/>
  <c r="AX16" i="5"/>
  <c r="AX18" i="5"/>
  <c r="AX38" i="5"/>
  <c r="AX39" i="5"/>
  <c r="AU43" i="5"/>
  <c r="AX46" i="5"/>
  <c r="AX47" i="5" s="1"/>
  <c r="I114" i="8"/>
  <c r="J114" i="8" s="1"/>
  <c r="AX59" i="5"/>
  <c r="BL34" i="6"/>
  <c r="G155" i="8"/>
  <c r="AW77" i="5"/>
  <c r="BJ77" i="5"/>
  <c r="AX11" i="6"/>
  <c r="AK20" i="6"/>
  <c r="AK22" i="6" s="1"/>
  <c r="C135" i="8" s="1"/>
  <c r="AX34" i="6"/>
  <c r="AX37" i="6" s="1"/>
  <c r="H141" i="8" s="1"/>
  <c r="BK39" i="6"/>
  <c r="L142" i="8" s="1"/>
  <c r="BK44" i="6"/>
  <c r="L143" i="8" s="1"/>
  <c r="AX52" i="6"/>
  <c r="AX55" i="6" s="1"/>
  <c r="BK54" i="6"/>
  <c r="AX59" i="6"/>
  <c r="AM60" i="6"/>
  <c r="AM63" i="6" s="1"/>
  <c r="D148" i="8" s="1"/>
  <c r="BK66" i="6"/>
  <c r="L149" i="8" s="1"/>
  <c r="BK68" i="6"/>
  <c r="AZ88" i="6"/>
  <c r="AK89" i="6"/>
  <c r="AK91" i="6" s="1"/>
  <c r="C155" i="8" s="1"/>
  <c r="BK94" i="6"/>
  <c r="BK96" i="6"/>
  <c r="L158" i="8" s="1"/>
  <c r="BK100" i="6"/>
  <c r="L160" i="8" s="1"/>
  <c r="BK104" i="6"/>
  <c r="L162" i="8" s="1"/>
  <c r="AY118" i="6"/>
  <c r="AZ118" i="6" s="1"/>
  <c r="G170" i="8"/>
  <c r="BK9" i="7"/>
  <c r="L175" i="8"/>
  <c r="BK11" i="7"/>
  <c r="BK12" i="7"/>
  <c r="L176" i="8" s="1"/>
  <c r="AZ20" i="7"/>
  <c r="AM111" i="7"/>
  <c r="AM113" i="7"/>
  <c r="AM114" i="7" s="1"/>
  <c r="D206" i="8" s="1"/>
  <c r="BL129" i="6"/>
  <c r="AZ135" i="6"/>
  <c r="H196" i="8"/>
  <c r="AY87" i="7"/>
  <c r="AK128" i="6"/>
  <c r="AK130" i="6" s="1"/>
  <c r="C166" i="8" s="1"/>
  <c r="AK139" i="6"/>
  <c r="AK2" i="7"/>
  <c r="AK4" i="7" s="1"/>
  <c r="AX11" i="7"/>
  <c r="AX12" i="7" s="1"/>
  <c r="H176" i="8"/>
  <c r="AZ68" i="7"/>
  <c r="BL74" i="7"/>
  <c r="AL88" i="7"/>
  <c r="AM88" i="7"/>
  <c r="AZ106" i="7"/>
  <c r="AZ108" i="7"/>
  <c r="AZ110" i="7"/>
  <c r="AY102" i="7"/>
  <c r="BL102" i="7" s="1"/>
  <c r="H207" i="8"/>
  <c r="E206" i="8"/>
  <c r="C4" i="11"/>
  <c r="C13" i="2"/>
  <c r="C45" i="11"/>
  <c r="C21" i="14"/>
  <c r="C8" i="13"/>
  <c r="C27" i="11"/>
  <c r="C30" i="14"/>
  <c r="C7" i="14"/>
  <c r="C8" i="12"/>
  <c r="C30" i="13"/>
  <c r="C53" i="14"/>
  <c r="C9" i="14"/>
  <c r="C83" i="14"/>
  <c r="C12" i="14"/>
  <c r="C5" i="15"/>
  <c r="C9" i="12"/>
  <c r="C43" i="12"/>
  <c r="C82" i="15"/>
  <c r="C8" i="15"/>
  <c r="AM46" i="7"/>
  <c r="BL123" i="6"/>
  <c r="BM123" i="6" s="1"/>
  <c r="BM127" i="6" s="1"/>
  <c r="M165" i="8" s="1"/>
  <c r="D76" i="14" s="1"/>
  <c r="AZ82" i="6"/>
  <c r="AX60" i="5"/>
  <c r="BA166" i="4"/>
  <c r="AZ140" i="3"/>
  <c r="BL140" i="3" s="1"/>
  <c r="AX67" i="5"/>
  <c r="I119" i="8"/>
  <c r="J119" i="8" s="1"/>
  <c r="AZ132" i="3"/>
  <c r="AZ113" i="3"/>
  <c r="AN131" i="4"/>
  <c r="BA70" i="4"/>
  <c r="AZ205" i="3"/>
  <c r="AZ101" i="3"/>
  <c r="AZ88" i="7"/>
  <c r="AZ89" i="7" s="1"/>
  <c r="AZ90" i="7" s="1"/>
  <c r="BL88" i="7"/>
  <c r="D15" i="2"/>
  <c r="D17" i="2"/>
  <c r="D16" i="2"/>
  <c r="D14" i="2"/>
  <c r="D13" i="2"/>
  <c r="AB12" i="4"/>
  <c r="AE12" i="4" s="1"/>
  <c r="AE13" i="4"/>
  <c r="AE11" i="4"/>
  <c r="AE14" i="4"/>
  <c r="J175" i="8"/>
  <c r="AX7" i="5"/>
  <c r="AC87" i="5"/>
  <c r="G125" i="8"/>
  <c r="AW35" i="5"/>
  <c r="AX35" i="5" s="1"/>
  <c r="AB81" i="5"/>
  <c r="E121" i="8" s="1"/>
  <c r="AI3" i="5"/>
  <c r="AI16" i="5"/>
  <c r="AV30" i="5"/>
  <c r="AV33" i="5" s="1"/>
  <c r="H110" i="8" s="1"/>
  <c r="G111" i="8"/>
  <c r="AX42" i="5"/>
  <c r="AV57" i="5"/>
  <c r="H116" i="8" s="1"/>
  <c r="AV66" i="5"/>
  <c r="AV67" i="5" s="1"/>
  <c r="H119" i="8" s="1"/>
  <c r="AK70" i="5"/>
  <c r="D120" i="8"/>
  <c r="AI74" i="5"/>
  <c r="AI75" i="5"/>
  <c r="AI81" i="5" s="1"/>
  <c r="C121" i="8" s="1"/>
  <c r="AV85" i="5"/>
  <c r="AV86" i="5"/>
  <c r="H127" i="8" s="1"/>
  <c r="J158" i="8"/>
  <c r="AK129" i="6"/>
  <c r="AZ141" i="6"/>
  <c r="I169" i="8" s="1"/>
  <c r="AM129" i="6"/>
  <c r="AX99" i="6"/>
  <c r="AX100" i="6" s="1"/>
  <c r="AK85" i="6"/>
  <c r="AX26" i="6"/>
  <c r="AX27" i="6" s="1"/>
  <c r="BK18" i="6"/>
  <c r="BK19" i="6" s="1"/>
  <c r="L134" i="8" s="1"/>
  <c r="AX10" i="6"/>
  <c r="AX16" i="6" s="1"/>
  <c r="H133" i="8" s="1"/>
  <c r="AM82" i="6"/>
  <c r="AM87" i="6"/>
  <c r="D154" i="8" s="1"/>
  <c r="AX68" i="6"/>
  <c r="AK7" i="6"/>
  <c r="C131" i="8" s="1"/>
  <c r="AC75" i="6"/>
  <c r="G151" i="8" s="1"/>
  <c r="AC117" i="6"/>
  <c r="G164" i="8" s="1"/>
  <c r="AX123" i="6"/>
  <c r="AB109" i="7"/>
  <c r="E203" i="8" s="1"/>
  <c r="AZ52" i="7"/>
  <c r="AX5" i="7"/>
  <c r="AZ11" i="7"/>
  <c r="AZ12" i="7" s="1"/>
  <c r="I176" i="8" s="1"/>
  <c r="J176" i="8" s="1"/>
  <c r="AX62" i="7"/>
  <c r="AX63" i="7"/>
  <c r="AX67" i="7"/>
  <c r="AX77" i="7"/>
  <c r="AK85" i="7"/>
  <c r="AK94" i="7"/>
  <c r="AK96" i="7" s="1"/>
  <c r="BL107" i="7"/>
  <c r="AD70" i="7"/>
  <c r="K192" i="8"/>
  <c r="C206" i="8"/>
  <c r="C207" i="8"/>
  <c r="BK90" i="7"/>
  <c r="L197" i="8"/>
  <c r="L198" i="8"/>
  <c r="AM49" i="7"/>
  <c r="D186" i="8" s="1"/>
  <c r="C6" i="15"/>
  <c r="E172" i="8"/>
  <c r="AX2" i="7"/>
  <c r="AX4" i="7"/>
  <c r="H173" i="8" s="1"/>
  <c r="AK63" i="7"/>
  <c r="AX98" i="7"/>
  <c r="AX49" i="6"/>
  <c r="AX50" i="6" s="1"/>
  <c r="BL122" i="6"/>
  <c r="AY3" i="6"/>
  <c r="BL3" i="6" s="1"/>
  <c r="BM3" i="6" s="1"/>
  <c r="AX3" i="6"/>
  <c r="AX4" i="6" s="1"/>
  <c r="H130" i="8" s="1"/>
  <c r="BM25" i="6"/>
  <c r="M136" i="8" s="1"/>
  <c r="D25" i="14" s="1"/>
  <c r="AL111" i="6"/>
  <c r="AM111" i="6" s="1"/>
  <c r="AK111" i="6"/>
  <c r="AL106" i="6"/>
  <c r="AM106" i="6" s="1"/>
  <c r="AK106" i="6"/>
  <c r="AX124" i="6"/>
  <c r="C11" i="14"/>
  <c r="AK67" i="6"/>
  <c r="C138" i="8" s="1"/>
  <c r="AB81" i="6"/>
  <c r="E150" i="8" s="1"/>
  <c r="AX108" i="6"/>
  <c r="AY13" i="6"/>
  <c r="AZ13" i="6" s="1"/>
  <c r="AY73" i="6"/>
  <c r="AX73" i="6"/>
  <c r="C162" i="8"/>
  <c r="AY45" i="6"/>
  <c r="AZ45" i="6" s="1"/>
  <c r="AX45" i="6"/>
  <c r="AX48" i="6" s="1"/>
  <c r="H144" i="8" s="1"/>
  <c r="AL84" i="6"/>
  <c r="AY84" i="6" s="1"/>
  <c r="BL84" i="6" s="1"/>
  <c r="BM84" i="6" s="1"/>
  <c r="AK84" i="6"/>
  <c r="AY116" i="6"/>
  <c r="AZ116" i="6" s="1"/>
  <c r="AX116" i="6"/>
  <c r="AL114" i="6"/>
  <c r="AM114" i="6" s="1"/>
  <c r="AK114" i="6"/>
  <c r="BL57" i="6"/>
  <c r="BL60" i="6"/>
  <c r="BL115" i="6"/>
  <c r="BM115" i="6" s="1"/>
  <c r="AK71" i="5"/>
  <c r="D117" i="8"/>
  <c r="AX55" i="5"/>
  <c r="AX57" i="5" s="1"/>
  <c r="I116" i="8" s="1"/>
  <c r="AK87" i="5"/>
  <c r="D125" i="8" s="1"/>
  <c r="AV82" i="5"/>
  <c r="AV84" i="5" s="1"/>
  <c r="H126" i="8" s="1"/>
  <c r="AJ77" i="5"/>
  <c r="AK77" i="5" s="1"/>
  <c r="AX82" i="5"/>
  <c r="AX84" i="5" s="1"/>
  <c r="AX29" i="5"/>
  <c r="I109" i="8" s="1"/>
  <c r="J109" i="8" s="1"/>
  <c r="AX8" i="5"/>
  <c r="AI71" i="5"/>
  <c r="C117" i="8" s="1"/>
  <c r="AJ2" i="5"/>
  <c r="AK2" i="5" s="1"/>
  <c r="AK11" i="5" s="1"/>
  <c r="D105" i="8" s="1"/>
  <c r="AI4" i="5"/>
  <c r="AI12" i="5"/>
  <c r="AI15" i="5"/>
  <c r="C106" i="8" s="1"/>
  <c r="AC15" i="5"/>
  <c r="G106" i="8" s="1"/>
  <c r="AV18" i="5"/>
  <c r="AV19" i="5" s="1"/>
  <c r="H107" i="8"/>
  <c r="AV37" i="5"/>
  <c r="AV40" i="5"/>
  <c r="H112" i="8" s="1"/>
  <c r="BI46" i="5"/>
  <c r="BI47" i="5" s="1"/>
  <c r="L114" i="8"/>
  <c r="AV64" i="5"/>
  <c r="AI76" i="5"/>
  <c r="BJ21" i="5"/>
  <c r="BK21" i="5" s="1"/>
  <c r="BK24" i="5" s="1"/>
  <c r="M108" i="8" s="1"/>
  <c r="D17" i="13" s="1"/>
  <c r="AM251" i="4"/>
  <c r="AN251" i="4" s="1"/>
  <c r="AN252" i="4" s="1"/>
  <c r="D99" i="8" s="1"/>
  <c r="AZ177" i="4"/>
  <c r="BM177" i="4" s="1"/>
  <c r="BN177" i="4" s="1"/>
  <c r="AC116" i="4"/>
  <c r="E75" i="8" s="1"/>
  <c r="AZ243" i="4"/>
  <c r="BM243" i="4"/>
  <c r="BA143" i="4"/>
  <c r="K53" i="8"/>
  <c r="AL30" i="4"/>
  <c r="AL32" i="4"/>
  <c r="C59" i="8" s="1"/>
  <c r="BA46" i="4"/>
  <c r="AY70" i="4"/>
  <c r="AY72" i="4" s="1"/>
  <c r="H68" i="8" s="1"/>
  <c r="AD84" i="4"/>
  <c r="G70" i="8" s="1"/>
  <c r="BL80" i="4"/>
  <c r="BL84" i="4" s="1"/>
  <c r="L70" i="8" s="1"/>
  <c r="AL81" i="4"/>
  <c r="AL84" i="4" s="1"/>
  <c r="C70" i="8" s="1"/>
  <c r="BA108" i="4"/>
  <c r="AY120" i="4"/>
  <c r="AL128" i="4"/>
  <c r="AL206" i="4"/>
  <c r="AL208" i="4" s="1"/>
  <c r="C88" i="8" s="1"/>
  <c r="AL207" i="4"/>
  <c r="AL211" i="4"/>
  <c r="AY230" i="4"/>
  <c r="BA241" i="4"/>
  <c r="I96" i="8" s="1"/>
  <c r="AL263" i="4"/>
  <c r="AZ17" i="4"/>
  <c r="BA51" i="4"/>
  <c r="AZ66" i="4"/>
  <c r="BA66" i="4" s="1"/>
  <c r="AZ142" i="4"/>
  <c r="AZ170" i="4"/>
  <c r="BA170" i="4" s="1"/>
  <c r="AM97" i="4"/>
  <c r="AZ97" i="4"/>
  <c r="BM97" i="4" s="1"/>
  <c r="AL97" i="4"/>
  <c r="AL99" i="4"/>
  <c r="C73" i="8" s="1"/>
  <c r="BM87" i="4"/>
  <c r="BN87" i="4" s="1"/>
  <c r="BM96" i="4"/>
  <c r="BN96" i="4" s="1"/>
  <c r="BN99" i="4" s="1"/>
  <c r="M73" i="8" s="1"/>
  <c r="D39" i="12" s="1"/>
  <c r="AZ133" i="4"/>
  <c r="AN133" i="4"/>
  <c r="AM214" i="4"/>
  <c r="AN214" i="4" s="1"/>
  <c r="AL214" i="4"/>
  <c r="AM221" i="4"/>
  <c r="AN221" i="4"/>
  <c r="AL221" i="4"/>
  <c r="AZ220" i="4"/>
  <c r="BA220" i="4" s="1"/>
  <c r="AY220" i="4"/>
  <c r="AM83" i="4"/>
  <c r="AN83" i="4" s="1"/>
  <c r="AN132" i="4"/>
  <c r="C66" i="8"/>
  <c r="AY67" i="4"/>
  <c r="H67" i="8" s="1"/>
  <c r="AL132" i="4"/>
  <c r="AL163" i="4"/>
  <c r="BM61" i="4"/>
  <c r="BN61" i="4" s="1"/>
  <c r="BA61" i="4"/>
  <c r="AM64" i="4"/>
  <c r="AL64" i="4"/>
  <c r="AM68" i="4"/>
  <c r="AN68" i="4" s="1"/>
  <c r="AN72" i="4" s="1"/>
  <c r="D68" i="8" s="1"/>
  <c r="AL68" i="4"/>
  <c r="AM76" i="4"/>
  <c r="AL76" i="4"/>
  <c r="AM112" i="4"/>
  <c r="AN112" i="4" s="1"/>
  <c r="AL112" i="4"/>
  <c r="AZ102" i="4"/>
  <c r="AY102" i="4"/>
  <c r="AM119" i="4"/>
  <c r="AN119" i="4" s="1"/>
  <c r="AL119" i="4"/>
  <c r="AM126" i="4"/>
  <c r="AN126" i="4" s="1"/>
  <c r="AN129" i="4" s="1"/>
  <c r="D77" i="8" s="1"/>
  <c r="AL126" i="4"/>
  <c r="AL129" i="4" s="1"/>
  <c r="C77" i="8" s="1"/>
  <c r="AM191" i="4"/>
  <c r="AN191" i="4" s="1"/>
  <c r="AL191" i="4"/>
  <c r="AM199" i="4"/>
  <c r="AN199" i="4" s="1"/>
  <c r="AL199" i="4"/>
  <c r="AM224" i="4"/>
  <c r="AN224" i="4" s="1"/>
  <c r="AL224" i="4"/>
  <c r="AM223" i="4"/>
  <c r="AN223" i="4" s="1"/>
  <c r="AL223" i="4"/>
  <c r="AZ229" i="4"/>
  <c r="AY229" i="4"/>
  <c r="AY232" i="4" s="1"/>
  <c r="AM244" i="4"/>
  <c r="AN244" i="4" s="1"/>
  <c r="AL244" i="4"/>
  <c r="AM248" i="4"/>
  <c r="AN248" i="4" s="1"/>
  <c r="AL248" i="4"/>
  <c r="AL249" i="4" s="1"/>
  <c r="C98" i="8" s="1"/>
  <c r="BA50" i="4"/>
  <c r="AY57" i="4"/>
  <c r="H65" i="8" s="1"/>
  <c r="AD78" i="4"/>
  <c r="G69" i="8" s="1"/>
  <c r="BA152" i="4"/>
  <c r="I79" i="8"/>
  <c r="AZ36" i="4"/>
  <c r="BA36" i="4"/>
  <c r="AZ38" i="4"/>
  <c r="AZ71" i="4"/>
  <c r="BM70" i="4"/>
  <c r="BN70" i="4" s="1"/>
  <c r="AZ81" i="4"/>
  <c r="BM81" i="4" s="1"/>
  <c r="BN81" i="4" s="1"/>
  <c r="AZ79" i="4"/>
  <c r="AZ199" i="4"/>
  <c r="BM199" i="4" s="1"/>
  <c r="AZ217" i="4"/>
  <c r="AZ226" i="4"/>
  <c r="AZ233" i="4"/>
  <c r="BA233" i="4" s="1"/>
  <c r="AZ263" i="4"/>
  <c r="AM134" i="3"/>
  <c r="D31" i="8" s="1"/>
  <c r="C15" i="11"/>
  <c r="AB63" i="3"/>
  <c r="E16" i="8" s="1"/>
  <c r="AM157" i="3"/>
  <c r="D37" i="8" s="1"/>
  <c r="AZ74" i="3"/>
  <c r="AZ76" i="3" s="1"/>
  <c r="I19" i="8" s="1"/>
  <c r="J19" i="8" s="1"/>
  <c r="BL183" i="3"/>
  <c r="BM183" i="3" s="1"/>
  <c r="AK64" i="3"/>
  <c r="AX29" i="3"/>
  <c r="AK38" i="3"/>
  <c r="AX43" i="3"/>
  <c r="AX45" i="3"/>
  <c r="H12" i="8" s="1"/>
  <c r="AX60" i="3"/>
  <c r="K17" i="8"/>
  <c r="AX103" i="3"/>
  <c r="AC128" i="3"/>
  <c r="G29" i="8" s="1"/>
  <c r="AB200" i="3"/>
  <c r="E46" i="8" s="1"/>
  <c r="AY31" i="3"/>
  <c r="AZ31" i="3" s="1"/>
  <c r="AZ147" i="3"/>
  <c r="AZ150" i="3" s="1"/>
  <c r="I34" i="8" s="1"/>
  <c r="J34" i="8" s="1"/>
  <c r="AZ103" i="3"/>
  <c r="AZ119" i="3"/>
  <c r="AZ120" i="3" s="1"/>
  <c r="I27" i="8" s="1"/>
  <c r="C94" i="11"/>
  <c r="C8" i="11"/>
  <c r="AB70" i="3"/>
  <c r="AZ158" i="3"/>
  <c r="AZ159" i="3" s="1"/>
  <c r="I38" i="8" s="1"/>
  <c r="J38" i="8" s="1"/>
  <c r="AL96" i="3"/>
  <c r="AY96" i="3" s="1"/>
  <c r="AM70" i="3"/>
  <c r="AL62" i="3"/>
  <c r="AM62" i="3" s="1"/>
  <c r="AZ123" i="3"/>
  <c r="AM52" i="3"/>
  <c r="AK42" i="3"/>
  <c r="AK45" i="3" s="1"/>
  <c r="C12" i="8" s="1"/>
  <c r="AC67" i="3"/>
  <c r="G17" i="8" s="1"/>
  <c r="AM64" i="3"/>
  <c r="AM69" i="3"/>
  <c r="AK88" i="3"/>
  <c r="AX121" i="3"/>
  <c r="AX123" i="3"/>
  <c r="AX135" i="3"/>
  <c r="AX158" i="3"/>
  <c r="AZ164" i="3"/>
  <c r="AZ167" i="3" s="1"/>
  <c r="I40" i="8" s="1"/>
  <c r="AZ172" i="3"/>
  <c r="AY5" i="3"/>
  <c r="BL5" i="3"/>
  <c r="BM5" i="3" s="1"/>
  <c r="AM51" i="3"/>
  <c r="BM207" i="3"/>
  <c r="AM53" i="3"/>
  <c r="AX16" i="3"/>
  <c r="AK19" i="3"/>
  <c r="AK24" i="3" s="1"/>
  <c r="C9" i="8" s="1"/>
  <c r="AK31" i="3"/>
  <c r="AX46" i="3"/>
  <c r="AK59" i="3"/>
  <c r="AK63" i="3" s="1"/>
  <c r="C16" i="8" s="1"/>
  <c r="AZ65" i="3"/>
  <c r="AK85" i="3"/>
  <c r="AX101" i="3"/>
  <c r="AX109" i="3" s="1"/>
  <c r="H23" i="8" s="1"/>
  <c r="AX119" i="3"/>
  <c r="AX120" i="3" s="1"/>
  <c r="H27" i="8" s="1"/>
  <c r="AK126" i="3"/>
  <c r="AK128" i="3" s="1"/>
  <c r="AK131" i="3"/>
  <c r="AX137" i="3"/>
  <c r="AX139" i="3" s="1"/>
  <c r="H32" i="8" s="1"/>
  <c r="AX147" i="3"/>
  <c r="AX150" i="3" s="1"/>
  <c r="BK174" i="3"/>
  <c r="AB216" i="3"/>
  <c r="AX211" i="3"/>
  <c r="C5" i="12"/>
  <c r="BM56" i="3"/>
  <c r="AL21" i="3"/>
  <c r="AM21" i="3" s="1"/>
  <c r="AL12" i="3"/>
  <c r="AM12" i="3" s="1"/>
  <c r="AZ24" i="3"/>
  <c r="I9" i="8" s="1"/>
  <c r="BL41" i="3"/>
  <c r="BM41" i="3" s="1"/>
  <c r="BM114" i="3"/>
  <c r="M25" i="8" s="1"/>
  <c r="D46" i="11" s="1"/>
  <c r="BM140" i="3"/>
  <c r="J180" i="8"/>
  <c r="C12" i="15"/>
  <c r="C9" i="15"/>
  <c r="C42" i="15"/>
  <c r="G207" i="8"/>
  <c r="AK19" i="7"/>
  <c r="AK24" i="7" s="1"/>
  <c r="C179" i="8" s="1"/>
  <c r="AX21" i="7"/>
  <c r="AX61" i="7"/>
  <c r="AK62" i="7"/>
  <c r="AK65" i="7"/>
  <c r="C191" i="8" s="1"/>
  <c r="AK67" i="7"/>
  <c r="AX68" i="7"/>
  <c r="AM96" i="7"/>
  <c r="D201" i="8" s="1"/>
  <c r="AX95" i="7"/>
  <c r="AK98" i="7"/>
  <c r="AZ21" i="7"/>
  <c r="AX109" i="7"/>
  <c r="H203" i="8"/>
  <c r="AM64" i="7"/>
  <c r="AM65" i="7"/>
  <c r="D191" i="8" s="1"/>
  <c r="BK4" i="7"/>
  <c r="AC24" i="7"/>
  <c r="G179" i="8" s="1"/>
  <c r="AK46" i="7"/>
  <c r="AK48" i="7"/>
  <c r="AK72" i="7"/>
  <c r="AK73" i="7"/>
  <c r="AX94" i="7"/>
  <c r="AX99" i="7"/>
  <c r="J187" i="8"/>
  <c r="BK54" i="7"/>
  <c r="AM70" i="7"/>
  <c r="D192" i="8" s="1"/>
  <c r="J182" i="8"/>
  <c r="AX6" i="7"/>
  <c r="AX7" i="7"/>
  <c r="H174" i="8" s="1"/>
  <c r="D179" i="8"/>
  <c r="AM39" i="7"/>
  <c r="D172" i="8" s="1"/>
  <c r="AX26" i="7"/>
  <c r="AX27" i="7" s="1"/>
  <c r="H180" i="8"/>
  <c r="AX37" i="7"/>
  <c r="AX38" i="7"/>
  <c r="H183" i="8" s="1"/>
  <c r="AX42" i="7"/>
  <c r="AC54" i="7"/>
  <c r="G188" i="8"/>
  <c r="AX52" i="7"/>
  <c r="AX54" i="7"/>
  <c r="H188" i="8" s="1"/>
  <c r="AX60" i="7"/>
  <c r="AC65" i="7"/>
  <c r="G191" i="8"/>
  <c r="AK64" i="7"/>
  <c r="AB70" i="7"/>
  <c r="E192" i="8" s="1"/>
  <c r="AK66" i="7"/>
  <c r="AK74" i="7"/>
  <c r="AK77" i="7"/>
  <c r="AK81" i="7" s="1"/>
  <c r="AL79" i="7"/>
  <c r="AM79" i="7" s="1"/>
  <c r="AM81" i="7" s="1"/>
  <c r="AL86" i="7"/>
  <c r="AM86" i="7"/>
  <c r="AD54" i="7"/>
  <c r="K188" i="8" s="1"/>
  <c r="AD65" i="7"/>
  <c r="AD81" i="7"/>
  <c r="K195" i="8" s="1"/>
  <c r="AY63" i="7"/>
  <c r="D131" i="8"/>
  <c r="AM20" i="6"/>
  <c r="AM22" i="6"/>
  <c r="D135" i="8" s="1"/>
  <c r="AB28" i="6"/>
  <c r="E132" i="8" s="1"/>
  <c r="D207" i="8"/>
  <c r="E126" i="8"/>
  <c r="AB87" i="5"/>
  <c r="E125" i="8" s="1"/>
  <c r="G137" i="8"/>
  <c r="AC28" i="6"/>
  <c r="G132" i="8" s="1"/>
  <c r="J139" i="8"/>
  <c r="AZ242" i="4"/>
  <c r="J118" i="8"/>
  <c r="AB109" i="3"/>
  <c r="E23" i="8" s="1"/>
  <c r="AL104" i="3"/>
  <c r="AM104" i="3" s="1"/>
  <c r="AL204" i="3"/>
  <c r="AM204" i="3"/>
  <c r="AM208" i="3" s="1"/>
  <c r="AC24" i="4"/>
  <c r="E57" i="8" s="1"/>
  <c r="AD67" i="4"/>
  <c r="G67" i="8" s="1"/>
  <c r="AZ197" i="4"/>
  <c r="BM231" i="4"/>
  <c r="AK19" i="5"/>
  <c r="D107" i="8" s="1"/>
  <c r="AW32" i="5"/>
  <c r="AX32" i="5"/>
  <c r="AX33" i="5" s="1"/>
  <c r="I110" i="8" s="1"/>
  <c r="J110" i="8" s="1"/>
  <c r="AW34" i="5"/>
  <c r="AC45" i="5"/>
  <c r="G113" i="8"/>
  <c r="AX45" i="5"/>
  <c r="I113" i="8"/>
  <c r="J113" i="8" s="1"/>
  <c r="AY5" i="6"/>
  <c r="AZ5" i="6" s="1"/>
  <c r="AZ7" i="6" s="1"/>
  <c r="BL6" i="6"/>
  <c r="BM6" i="6" s="1"/>
  <c r="BM7" i="6" s="1"/>
  <c r="M131" i="8" s="1"/>
  <c r="D17" i="14" s="1"/>
  <c r="AD16" i="6"/>
  <c r="K133" i="8"/>
  <c r="AB127" i="6"/>
  <c r="E165" i="8"/>
  <c r="AC125" i="6"/>
  <c r="AC127" i="6"/>
  <c r="BL125" i="6"/>
  <c r="AC141" i="6"/>
  <c r="AC144" i="6" s="1"/>
  <c r="G168" i="8" s="1"/>
  <c r="AX86" i="7"/>
  <c r="AX89" i="7"/>
  <c r="AB100" i="7"/>
  <c r="AE43" i="4"/>
  <c r="K62" i="8" s="1"/>
  <c r="K40" i="8"/>
  <c r="AE195" i="4"/>
  <c r="K84" i="8"/>
  <c r="AE212" i="4"/>
  <c r="K89" i="8"/>
  <c r="AE216" i="4"/>
  <c r="K90" i="8"/>
  <c r="AD70" i="5"/>
  <c r="K120" i="8"/>
  <c r="BL43" i="3"/>
  <c r="BM43" i="3" s="1"/>
  <c r="AY88" i="3"/>
  <c r="AZ88" i="3" s="1"/>
  <c r="AY86" i="3"/>
  <c r="AZ86" i="3" s="1"/>
  <c r="AY138" i="3"/>
  <c r="BL138" i="3" s="1"/>
  <c r="BM138" i="3" s="1"/>
  <c r="AZ3" i="4"/>
  <c r="AZ16" i="4"/>
  <c r="AZ15" i="4"/>
  <c r="BA15" i="4" s="1"/>
  <c r="AZ27" i="4"/>
  <c r="AZ153" i="4"/>
  <c r="BM153" i="4" s="1"/>
  <c r="BN153" i="4" s="1"/>
  <c r="AZ214" i="4"/>
  <c r="AZ245" i="4"/>
  <c r="AZ248" i="4"/>
  <c r="BA248" i="4" s="1"/>
  <c r="AW5" i="5"/>
  <c r="BJ59" i="5"/>
  <c r="BK59" i="5" s="1"/>
  <c r="AW74" i="5"/>
  <c r="AX74" i="5" s="1"/>
  <c r="AX75" i="5"/>
  <c r="I123" i="8" s="1"/>
  <c r="J123" i="8" s="1"/>
  <c r="BM54" i="6"/>
  <c r="BM116" i="6"/>
  <c r="AY107" i="6"/>
  <c r="AY48" i="7"/>
  <c r="AY46" i="7"/>
  <c r="AY53" i="7"/>
  <c r="AY82" i="7"/>
  <c r="AZ82" i="7"/>
  <c r="AY91" i="7"/>
  <c r="AM75" i="4"/>
  <c r="AZ75" i="4" s="1"/>
  <c r="BM75" i="4" s="1"/>
  <c r="AL75" i="4"/>
  <c r="AN75" i="4" s="1"/>
  <c r="BM258" i="4"/>
  <c r="BL258" i="4"/>
  <c r="AX40" i="6"/>
  <c r="AX44" i="6" s="1"/>
  <c r="H143" i="8" s="1"/>
  <c r="AY40" i="6"/>
  <c r="BL40" i="6" s="1"/>
  <c r="BL35" i="3"/>
  <c r="BM35" i="3" s="1"/>
  <c r="BK35" i="3"/>
  <c r="AL33" i="3"/>
  <c r="AM33" i="3" s="1"/>
  <c r="AK33" i="3"/>
  <c r="AY70" i="3"/>
  <c r="BL70" i="3" s="1"/>
  <c r="BM70" i="3" s="1"/>
  <c r="AX70" i="3"/>
  <c r="M34" i="8"/>
  <c r="D59" i="11" s="1"/>
  <c r="H108" i="11" s="1"/>
  <c r="AY181" i="3"/>
  <c r="AZ181" i="3" s="1"/>
  <c r="AZ184" i="3" s="1"/>
  <c r="I43" i="8" s="1"/>
  <c r="J43" i="8" s="1"/>
  <c r="AX184" i="3"/>
  <c r="H43" i="8" s="1"/>
  <c r="AC76" i="3"/>
  <c r="G19" i="8" s="1"/>
  <c r="BK211" i="3"/>
  <c r="BK216" i="3" s="1"/>
  <c r="L50" i="8" s="1"/>
  <c r="BT211" i="3"/>
  <c r="BU211" i="3" s="1"/>
  <c r="AN106" i="4"/>
  <c r="AJ78" i="5"/>
  <c r="AI78" i="5"/>
  <c r="AI80" i="5" s="1"/>
  <c r="AX40" i="5"/>
  <c r="I111" i="8" s="1"/>
  <c r="J111" i="8" s="1"/>
  <c r="AM26" i="4"/>
  <c r="AN26" i="4" s="1"/>
  <c r="AN28" i="4" s="1"/>
  <c r="D58" i="8" s="1"/>
  <c r="AD18" i="3"/>
  <c r="K8" i="8" s="1"/>
  <c r="AL147" i="4"/>
  <c r="AM147" i="4"/>
  <c r="AB208" i="3"/>
  <c r="E48" i="8" s="1"/>
  <c r="AN215" i="4"/>
  <c r="BI36" i="5"/>
  <c r="L111" i="8" s="1"/>
  <c r="BK114" i="3"/>
  <c r="L25" i="8" s="1"/>
  <c r="BK200" i="3"/>
  <c r="L46" i="8" s="1"/>
  <c r="AY5" i="4"/>
  <c r="H53" i="8" s="1"/>
  <c r="AC99" i="4"/>
  <c r="E73" i="8" s="1"/>
  <c r="AC123" i="4"/>
  <c r="E76" i="8" s="1"/>
  <c r="AL130" i="4"/>
  <c r="AY212" i="4"/>
  <c r="H89" i="8" s="1"/>
  <c r="E98" i="8"/>
  <c r="AL250" i="4"/>
  <c r="AL252" i="4" s="1"/>
  <c r="C99" i="8" s="1"/>
  <c r="L105" i="8"/>
  <c r="AB15" i="5"/>
  <c r="E106" i="8"/>
  <c r="BI70" i="5"/>
  <c r="AB63" i="6"/>
  <c r="AB44" i="7"/>
  <c r="E185" i="8"/>
  <c r="AL97" i="7"/>
  <c r="AY97" i="7"/>
  <c r="BL97" i="7" s="1"/>
  <c r="AK97" i="7"/>
  <c r="AD89" i="7"/>
  <c r="K198" i="8"/>
  <c r="AC45" i="3"/>
  <c r="G12" i="8" s="1"/>
  <c r="AK91" i="3"/>
  <c r="C21" i="8" s="1"/>
  <c r="AY97" i="3"/>
  <c r="AZ97" i="3" s="1"/>
  <c r="AZ69" i="4"/>
  <c r="BM69" i="4" s="1"/>
  <c r="BN69" i="4" s="1"/>
  <c r="AM187" i="4"/>
  <c r="AN187" i="4" s="1"/>
  <c r="AN189" i="4" s="1"/>
  <c r="D83" i="8" s="1"/>
  <c r="AK15" i="5"/>
  <c r="D106" i="8"/>
  <c r="AD7" i="6"/>
  <c r="AD8" i="6" s="1"/>
  <c r="K129" i="8" s="1"/>
  <c r="AK125" i="6"/>
  <c r="AL125" i="6"/>
  <c r="AM125" i="6" s="1"/>
  <c r="AD108" i="7"/>
  <c r="K205" i="8" s="1"/>
  <c r="AY59" i="3"/>
  <c r="AZ59" i="3" s="1"/>
  <c r="L95" i="8"/>
  <c r="G112" i="8"/>
  <c r="BJ41" i="5"/>
  <c r="BK41" i="5" s="1"/>
  <c r="BK45" i="5" s="1"/>
  <c r="AC44" i="7"/>
  <c r="AC100" i="7"/>
  <c r="AE200" i="4"/>
  <c r="AD49" i="7"/>
  <c r="K186" i="8"/>
  <c r="AD93" i="7"/>
  <c r="K200" i="8"/>
  <c r="AY25" i="3"/>
  <c r="AZ25" i="3" s="1"/>
  <c r="AY55" i="3"/>
  <c r="AZ55" i="3" s="1"/>
  <c r="BL55" i="3" s="1"/>
  <c r="BM55" i="3" s="1"/>
  <c r="AY85" i="3"/>
  <c r="AZ85" i="3" s="1"/>
  <c r="AZ22" i="4"/>
  <c r="BM22" i="4" s="1"/>
  <c r="BN22" i="4" s="1"/>
  <c r="AZ144" i="4"/>
  <c r="BM144" i="4"/>
  <c r="BN144" i="4" s="1"/>
  <c r="BL97" i="3"/>
  <c r="BM97" i="3" s="1"/>
  <c r="AY60" i="7"/>
  <c r="AY71" i="7"/>
  <c r="AY85" i="7"/>
  <c r="AY95" i="7"/>
  <c r="AC67" i="5"/>
  <c r="AD22" i="6"/>
  <c r="AD58" i="6"/>
  <c r="K147" i="8" s="1"/>
  <c r="AX22" i="7"/>
  <c r="H182" i="8"/>
  <c r="AC49" i="7"/>
  <c r="G186" i="8"/>
  <c r="AB89" i="7"/>
  <c r="AC96" i="7"/>
  <c r="G201" i="8" s="1"/>
  <c r="AD75" i="7"/>
  <c r="K193" i="8"/>
  <c r="AD96" i="7"/>
  <c r="K201" i="8"/>
  <c r="BL23" i="3"/>
  <c r="BM23" i="3" s="1"/>
  <c r="BL60" i="3"/>
  <c r="AY111" i="3"/>
  <c r="BL111" i="3" s="1"/>
  <c r="AY115" i="3"/>
  <c r="BL115" i="3" s="1"/>
  <c r="AY126" i="3"/>
  <c r="AY142" i="3"/>
  <c r="BL142" i="3" s="1"/>
  <c r="BM142" i="3" s="1"/>
  <c r="AY153" i="3"/>
  <c r="AZ153" i="3" s="1"/>
  <c r="BN132" i="4"/>
  <c r="AZ131" i="4"/>
  <c r="BM131" i="4"/>
  <c r="BN131" i="4" s="1"/>
  <c r="AZ159" i="4"/>
  <c r="AZ63" i="4"/>
  <c r="BM63" i="4" s="1"/>
  <c r="BN63" i="4" s="1"/>
  <c r="AZ141" i="4"/>
  <c r="BL3" i="7"/>
  <c r="AY6" i="7"/>
  <c r="BL6" i="7" s="1"/>
  <c r="AY19" i="7"/>
  <c r="AY37" i="7"/>
  <c r="BL37" i="7" s="1"/>
  <c r="BK75" i="6"/>
  <c r="AX8" i="6"/>
  <c r="H129" i="8" s="1"/>
  <c r="I197" i="8"/>
  <c r="AM75" i="7"/>
  <c r="D193" i="8"/>
  <c r="BK76" i="3"/>
  <c r="L19" i="8" s="1"/>
  <c r="AC40" i="3"/>
  <c r="G11" i="8" s="1"/>
  <c r="BK50" i="3"/>
  <c r="L13" i="8" s="1"/>
  <c r="AD72" i="3"/>
  <c r="K18" i="8" s="1"/>
  <c r="BK157" i="3"/>
  <c r="L37" i="8" s="1"/>
  <c r="BK107" i="3"/>
  <c r="BL107" i="3"/>
  <c r="BM107" i="3" s="1"/>
  <c r="BK125" i="3"/>
  <c r="L28" i="8" s="1"/>
  <c r="AD109" i="3"/>
  <c r="K23" i="8" s="1"/>
  <c r="BK134" i="3"/>
  <c r="L31" i="8" s="1"/>
  <c r="AX146" i="3"/>
  <c r="H33" i="8" s="1"/>
  <c r="BK184" i="3"/>
  <c r="L43" i="8" s="1"/>
  <c r="AC208" i="3"/>
  <c r="G48" i="8" s="1"/>
  <c r="AC216" i="3"/>
  <c r="AM11" i="4"/>
  <c r="AN11" i="4"/>
  <c r="AC43" i="4"/>
  <c r="E62" i="8" s="1"/>
  <c r="AC62" i="4"/>
  <c r="E66" i="8" s="1"/>
  <c r="AC72" i="4"/>
  <c r="AL69" i="4"/>
  <c r="AN117" i="4"/>
  <c r="AZ130" i="4"/>
  <c r="BM130" i="4" s="1"/>
  <c r="AC146" i="4"/>
  <c r="E78" i="8" s="1"/>
  <c r="AL145" i="4"/>
  <c r="BL158" i="4"/>
  <c r="L80" i="8" s="1"/>
  <c r="AC158" i="4"/>
  <c r="E80" i="8" s="1"/>
  <c r="AZ238" i="4"/>
  <c r="AV11" i="5"/>
  <c r="AB11" i="5"/>
  <c r="AW22" i="5"/>
  <c r="AX22" i="5" s="1"/>
  <c r="BI40" i="5"/>
  <c r="L112" i="8" s="1"/>
  <c r="AV63" i="5"/>
  <c r="H118" i="8" s="1"/>
  <c r="AV70" i="5"/>
  <c r="AC55" i="6"/>
  <c r="AL112" i="6"/>
  <c r="AY112" i="6" s="1"/>
  <c r="AC4" i="7"/>
  <c r="AB49" i="7"/>
  <c r="E186" i="8"/>
  <c r="AK58" i="7"/>
  <c r="BK59" i="7"/>
  <c r="L190" i="8" s="1"/>
  <c r="AB65" i="7"/>
  <c r="BK65" i="7"/>
  <c r="L191" i="8"/>
  <c r="AB75" i="7"/>
  <c r="AC89" i="7"/>
  <c r="AK102" i="7"/>
  <c r="AK104" i="7"/>
  <c r="AZ16" i="3"/>
  <c r="AY84" i="4"/>
  <c r="H70" i="8" s="1"/>
  <c r="AY116" i="4"/>
  <c r="H75" i="8" s="1"/>
  <c r="AZ106" i="4"/>
  <c r="AY185" i="4"/>
  <c r="H82" i="8" s="1"/>
  <c r="BL264" i="4"/>
  <c r="L102" i="8" s="1"/>
  <c r="AV24" i="5"/>
  <c r="H108" i="8" s="1"/>
  <c r="BJ35" i="5"/>
  <c r="BK35" i="5" s="1"/>
  <c r="AD55" i="6"/>
  <c r="AZ22" i="7"/>
  <c r="AX43" i="7"/>
  <c r="AX44" i="7" s="1"/>
  <c r="AX55" i="7" s="1"/>
  <c r="H184" i="8" s="1"/>
  <c r="AC70" i="7"/>
  <c r="G192" i="8"/>
  <c r="AB81" i="7"/>
  <c r="BK104" i="7"/>
  <c r="AC108" i="7"/>
  <c r="L205" i="8"/>
  <c r="AE180" i="4"/>
  <c r="AE208" i="4"/>
  <c r="K88" i="8" s="1"/>
  <c r="AD57" i="5"/>
  <c r="K116" i="8" s="1"/>
  <c r="AD53" i="5"/>
  <c r="K115" i="8"/>
  <c r="K206" i="8"/>
  <c r="AZ5" i="3"/>
  <c r="AZ50" i="3"/>
  <c r="I13" i="8" s="1"/>
  <c r="AY4" i="3"/>
  <c r="BL4" i="3"/>
  <c r="BM4" i="3" s="1"/>
  <c r="AY11" i="3"/>
  <c r="AZ11" i="3" s="1"/>
  <c r="BL47" i="3"/>
  <c r="BM47" i="3" s="1"/>
  <c r="BM50" i="3" s="1"/>
  <c r="M13" i="8" s="1"/>
  <c r="D22" i="11" s="1"/>
  <c r="BM74" i="3"/>
  <c r="BM76" i="3" s="1"/>
  <c r="M19" i="8" s="1"/>
  <c r="D31" i="11" s="1"/>
  <c r="AZ4" i="4"/>
  <c r="BM4" i="4" s="1"/>
  <c r="AZ30" i="4"/>
  <c r="AZ42" i="4"/>
  <c r="BM42" i="4" s="1"/>
  <c r="BN42" i="4" s="1"/>
  <c r="BN43" i="4" s="1"/>
  <c r="M62" i="8" s="1"/>
  <c r="D26" i="12" s="1"/>
  <c r="AZ207" i="4"/>
  <c r="AE116" i="4"/>
  <c r="K75" i="8" s="1"/>
  <c r="AE123" i="4"/>
  <c r="K76" i="8"/>
  <c r="AE152" i="4"/>
  <c r="K79" i="8" s="1"/>
  <c r="AE67" i="4"/>
  <c r="K67" i="8"/>
  <c r="AE72" i="4"/>
  <c r="K68" i="8" s="1"/>
  <c r="AE158" i="4"/>
  <c r="K80" i="8"/>
  <c r="AD24" i="7"/>
  <c r="AY152" i="3"/>
  <c r="BL152" i="3" s="1"/>
  <c r="BM152" i="3" s="1"/>
  <c r="AZ2" i="4"/>
  <c r="AZ31" i="4"/>
  <c r="AZ128" i="4"/>
  <c r="BM128" i="4" s="1"/>
  <c r="BN128" i="4" s="1"/>
  <c r="AZ139" i="4"/>
  <c r="BA139" i="4" s="1"/>
  <c r="AZ201" i="4"/>
  <c r="BA201" i="4" s="1"/>
  <c r="AY131" i="3"/>
  <c r="BL131" i="3" s="1"/>
  <c r="BM131" i="3" s="1"/>
  <c r="BL182" i="3"/>
  <c r="BM182" i="3" s="1"/>
  <c r="AZ25" i="4"/>
  <c r="AZ29" i="4"/>
  <c r="BN150" i="4"/>
  <c r="AZ172" i="4"/>
  <c r="AZ210" i="4"/>
  <c r="BA210" i="4" s="1"/>
  <c r="BM255" i="4"/>
  <c r="BN255" i="4"/>
  <c r="BL8" i="7"/>
  <c r="AY73" i="7"/>
  <c r="AY38" i="6"/>
  <c r="BL38" i="6" s="1"/>
  <c r="BM38" i="6" s="1"/>
  <c r="BM39" i="6" s="1"/>
  <c r="M142" i="8" s="1"/>
  <c r="D34" i="14" s="1"/>
  <c r="BM27" i="7"/>
  <c r="AY111" i="7"/>
  <c r="BJ85" i="5"/>
  <c r="BK85" i="5" s="1"/>
  <c r="BK86" i="5" s="1"/>
  <c r="AW4" i="5"/>
  <c r="AW13" i="5"/>
  <c r="BJ13" i="5" s="1"/>
  <c r="BK13" i="5" s="1"/>
  <c r="BK67" i="5"/>
  <c r="M119" i="8" s="1"/>
  <c r="D32" i="13"/>
  <c r="AW68" i="5"/>
  <c r="BK72" i="5"/>
  <c r="BK73" i="5" s="1"/>
  <c r="BL52" i="6"/>
  <c r="BM52" i="6"/>
  <c r="BL51" i="6"/>
  <c r="BM51" i="6"/>
  <c r="BL69" i="6"/>
  <c r="BM69" i="6"/>
  <c r="BL108" i="6"/>
  <c r="BM108" i="6"/>
  <c r="AY142" i="6"/>
  <c r="AY45" i="7"/>
  <c r="AY57" i="7"/>
  <c r="AY67" i="7"/>
  <c r="AY77" i="7"/>
  <c r="AY98" i="7"/>
  <c r="AZ98" i="7" s="1"/>
  <c r="BK63" i="3"/>
  <c r="L16" i="8" s="1"/>
  <c r="BK144" i="6"/>
  <c r="L168" i="8" s="1"/>
  <c r="BL227" i="4"/>
  <c r="L92" i="8" s="1"/>
  <c r="C173" i="8"/>
  <c r="H175" i="8"/>
  <c r="AZ102" i="3"/>
  <c r="BM196" i="3"/>
  <c r="AZ196" i="3"/>
  <c r="K33" i="8"/>
  <c r="G42" i="8"/>
  <c r="AM99" i="3"/>
  <c r="AY99" i="3"/>
  <c r="AZ99" i="3" s="1"/>
  <c r="E36" i="8"/>
  <c r="BM195" i="3"/>
  <c r="AX77" i="5"/>
  <c r="AL3" i="3"/>
  <c r="AY94" i="3"/>
  <c r="AZ94" i="3" s="1"/>
  <c r="AY12" i="4"/>
  <c r="AY14" i="4" s="1"/>
  <c r="H55" i="8" s="1"/>
  <c r="BL108" i="3"/>
  <c r="BM108" i="3" s="1"/>
  <c r="BL9" i="4"/>
  <c r="L54" i="8" s="1"/>
  <c r="BL52" i="4"/>
  <c r="L64" i="8" s="1"/>
  <c r="AM98" i="4"/>
  <c r="AN98" i="4" s="1"/>
  <c r="AN99" i="4" s="1"/>
  <c r="BM106" i="4"/>
  <c r="BN106" i="4" s="1"/>
  <c r="AN113" i="4"/>
  <c r="AM155" i="4"/>
  <c r="AM225" i="4"/>
  <c r="BA113" i="4"/>
  <c r="AM175" i="4"/>
  <c r="AN175" i="4" s="1"/>
  <c r="AM218" i="4"/>
  <c r="AN218" i="4" s="1"/>
  <c r="BI84" i="5"/>
  <c r="BI87" i="5" s="1"/>
  <c r="L125" i="8" s="1"/>
  <c r="C126" i="8"/>
  <c r="AY31" i="6"/>
  <c r="AK44" i="7"/>
  <c r="AL124" i="6"/>
  <c r="AM124" i="6" s="1"/>
  <c r="AK126" i="6"/>
  <c r="AL41" i="7"/>
  <c r="BK49" i="7"/>
  <c r="L186" i="8"/>
  <c r="AK87" i="7"/>
  <c r="AK89" i="7"/>
  <c r="AK90" i="7" s="1"/>
  <c r="C197" i="8" s="1"/>
  <c r="BK93" i="7"/>
  <c r="L200" i="8"/>
  <c r="K99" i="8"/>
  <c r="K185" i="8"/>
  <c r="AD90" i="7"/>
  <c r="K197" i="8"/>
  <c r="AX81" i="7"/>
  <c r="AY78" i="7"/>
  <c r="BL78" i="7" s="1"/>
  <c r="AY103" i="7"/>
  <c r="BM104" i="7"/>
  <c r="M204" i="8" s="1"/>
  <c r="D83" i="15"/>
  <c r="AE189" i="4"/>
  <c r="K83" i="8" s="1"/>
  <c r="AE261" i="4"/>
  <c r="K101" i="8" s="1"/>
  <c r="AE62" i="4"/>
  <c r="K66" i="8" s="1"/>
  <c r="AE84" i="4"/>
  <c r="K70" i="8" s="1"/>
  <c r="AE94" i="4"/>
  <c r="K72" i="8" s="1"/>
  <c r="AL120" i="6"/>
  <c r="AX69" i="7"/>
  <c r="L193" i="8"/>
  <c r="AC75" i="7"/>
  <c r="BK96" i="7"/>
  <c r="L201" i="8" s="1"/>
  <c r="AE169" i="4"/>
  <c r="K81" i="8" s="1"/>
  <c r="AE246" i="4"/>
  <c r="K97" i="8" s="1"/>
  <c r="AE52" i="4"/>
  <c r="AB54" i="7"/>
  <c r="AK59" i="7"/>
  <c r="C190" i="8" s="1"/>
  <c r="AC81" i="7"/>
  <c r="AD157" i="3"/>
  <c r="K37" i="8" s="1"/>
  <c r="AE146" i="4"/>
  <c r="K78" i="8" s="1"/>
  <c r="K102" i="8"/>
  <c r="AZ4" i="3"/>
  <c r="AD19" i="5"/>
  <c r="K107" i="8" s="1"/>
  <c r="AD71" i="5"/>
  <c r="K117" i="8"/>
  <c r="BL11" i="3"/>
  <c r="BM11" i="3" s="1"/>
  <c r="AY26" i="3"/>
  <c r="AY51" i="3"/>
  <c r="BL51" i="3" s="1"/>
  <c r="BM51" i="3" s="1"/>
  <c r="AY89" i="3"/>
  <c r="BL89" i="3" s="1"/>
  <c r="BM89" i="3" s="1"/>
  <c r="AY83" i="3"/>
  <c r="AZ83" i="3" s="1"/>
  <c r="BL169" i="3"/>
  <c r="BM169" i="3" s="1"/>
  <c r="AZ23" i="4"/>
  <c r="AZ19" i="4"/>
  <c r="AZ34" i="4"/>
  <c r="BM34" i="4" s="1"/>
  <c r="BN34" i="4" s="1"/>
  <c r="AD81" i="5"/>
  <c r="K121" i="8"/>
  <c r="K123" i="8"/>
  <c r="AD45" i="5"/>
  <c r="K113" i="8" s="1"/>
  <c r="AD11" i="5"/>
  <c r="BL29" i="3"/>
  <c r="BM29" i="3" s="1"/>
  <c r="BL37" i="3"/>
  <c r="BM37" i="3" s="1"/>
  <c r="BL46" i="3"/>
  <c r="AY64" i="3"/>
  <c r="AZ64" i="3" s="1"/>
  <c r="AZ67" i="3" s="1"/>
  <c r="I17" i="8" s="1"/>
  <c r="AY69" i="3"/>
  <c r="AZ35" i="4"/>
  <c r="BA35" i="4" s="1"/>
  <c r="BK81" i="7"/>
  <c r="BK113" i="7"/>
  <c r="AE32" i="4"/>
  <c r="K59" i="8" s="1"/>
  <c r="AD15" i="5"/>
  <c r="K106" i="8" s="1"/>
  <c r="K196" i="8"/>
  <c r="BL10" i="3"/>
  <c r="BM10" i="3" s="1"/>
  <c r="AZ10" i="3"/>
  <c r="AY34" i="3"/>
  <c r="BL34" i="3" s="1"/>
  <c r="BM34" i="3" s="1"/>
  <c r="BM52" i="3"/>
  <c r="AY156" i="3"/>
  <c r="AZ156" i="3" s="1"/>
  <c r="AZ20" i="4"/>
  <c r="BM36" i="4"/>
  <c r="BN36" i="4" s="1"/>
  <c r="AZ41" i="4"/>
  <c r="BA56" i="4"/>
  <c r="AZ65" i="4"/>
  <c r="BA65" i="4" s="1"/>
  <c r="AZ89" i="4"/>
  <c r="BA89" i="4" s="1"/>
  <c r="BM89" i="4"/>
  <c r="AZ109" i="4"/>
  <c r="AZ178" i="4"/>
  <c r="AZ211" i="4"/>
  <c r="AZ236" i="4"/>
  <c r="BM236" i="4" s="1"/>
  <c r="BN236" i="4" s="1"/>
  <c r="AX24" i="5"/>
  <c r="I108" i="8"/>
  <c r="J108" i="8" s="1"/>
  <c r="AZ48" i="4"/>
  <c r="BA48" i="4" s="1"/>
  <c r="AZ59" i="4"/>
  <c r="BA59" i="4" s="1"/>
  <c r="BA62" i="4" s="1"/>
  <c r="I66" i="8" s="1"/>
  <c r="AZ86" i="4"/>
  <c r="AZ157" i="4"/>
  <c r="AZ162" i="4"/>
  <c r="AZ110" i="4"/>
  <c r="BM121" i="4"/>
  <c r="BN121" i="4" s="1"/>
  <c r="BN125" i="4"/>
  <c r="AZ163" i="4"/>
  <c r="BM163" i="4" s="1"/>
  <c r="AZ192" i="4"/>
  <c r="BM192" i="4" s="1"/>
  <c r="BN192" i="4" s="1"/>
  <c r="BK29" i="5"/>
  <c r="M109" i="8" s="1"/>
  <c r="D18" i="13" s="1"/>
  <c r="BM256" i="4"/>
  <c r="BN256" i="4"/>
  <c r="BJ37" i="5"/>
  <c r="BK37" i="5"/>
  <c r="BK40" i="5" s="1"/>
  <c r="M112" i="8" s="1"/>
  <c r="D21" i="13" s="1"/>
  <c r="AW69" i="5"/>
  <c r="BJ74" i="5"/>
  <c r="BK74" i="5"/>
  <c r="BK75" i="5" s="1"/>
  <c r="M123" i="8" s="1"/>
  <c r="D41" i="13" s="1"/>
  <c r="BL53" i="6"/>
  <c r="BM53" i="6" s="1"/>
  <c r="AZ221" i="4"/>
  <c r="AZ254" i="4"/>
  <c r="BM262" i="4"/>
  <c r="BN262" i="4" s="1"/>
  <c r="AW10" i="5"/>
  <c r="AX10" i="5" s="1"/>
  <c r="BK10" i="5"/>
  <c r="AW12" i="5"/>
  <c r="BJ46" i="5"/>
  <c r="BK46" i="5" s="1"/>
  <c r="BK47" i="5" s="1"/>
  <c r="M114" i="8" s="1"/>
  <c r="D23" i="13" s="1"/>
  <c r="BJ56" i="5"/>
  <c r="BJ60" i="5"/>
  <c r="BK60" i="5" s="1"/>
  <c r="BK79" i="5"/>
  <c r="AW76" i="5"/>
  <c r="BJ76" i="5" s="1"/>
  <c r="BK76" i="5" s="1"/>
  <c r="BL68" i="6"/>
  <c r="BM68" i="6"/>
  <c r="BM75" i="6" s="1"/>
  <c r="M151" i="8" s="1"/>
  <c r="D45" i="14" s="1"/>
  <c r="BM91" i="6"/>
  <c r="BM100" i="6"/>
  <c r="M160" i="8" s="1"/>
  <c r="D65" i="14" s="1"/>
  <c r="BL136" i="6"/>
  <c r="BM136" i="6" s="1"/>
  <c r="BL61" i="7"/>
  <c r="BM61" i="7" s="1"/>
  <c r="BL135" i="6"/>
  <c r="BM135" i="6" s="1"/>
  <c r="AY40" i="7"/>
  <c r="AY72" i="7"/>
  <c r="AY80" i="7"/>
  <c r="AY94" i="7"/>
  <c r="BL94" i="7" s="1"/>
  <c r="AZ13" i="4"/>
  <c r="AY2" i="7"/>
  <c r="AY62" i="7"/>
  <c r="AY66" i="7"/>
  <c r="AZ66" i="7" s="1"/>
  <c r="BM110" i="7"/>
  <c r="BM42" i="7"/>
  <c r="BL28" i="4"/>
  <c r="L58" i="8" s="1"/>
  <c r="G86" i="8"/>
  <c r="K86" i="8"/>
  <c r="BL43" i="4"/>
  <c r="L62" i="8" s="1"/>
  <c r="AE40" i="4"/>
  <c r="K61" i="8" s="1"/>
  <c r="AE24" i="4"/>
  <c r="K57" i="8" s="1"/>
  <c r="BL18" i="4"/>
  <c r="L56" i="8" s="1"/>
  <c r="AE18" i="4"/>
  <c r="K56" i="8" s="1"/>
  <c r="BL14" i="4"/>
  <c r="L55" i="8" s="1"/>
  <c r="BL5" i="4"/>
  <c r="BL146" i="4"/>
  <c r="L78" i="8" s="1"/>
  <c r="BL123" i="4"/>
  <c r="L76" i="8"/>
  <c r="BL212" i="4"/>
  <c r="L89" i="8" s="1"/>
  <c r="M86" i="8"/>
  <c r="D58" i="12" s="1"/>
  <c r="M176" i="8"/>
  <c r="D19" i="15" s="1"/>
  <c r="D48" i="11"/>
  <c r="BK99" i="7"/>
  <c r="BK100" i="7" s="1"/>
  <c r="BK101" i="7" s="1"/>
  <c r="L199" i="8" s="1"/>
  <c r="L202" i="8"/>
  <c r="BK70" i="7"/>
  <c r="L192" i="8"/>
  <c r="BI19" i="5"/>
  <c r="L107" i="8"/>
  <c r="BK19" i="5"/>
  <c r="M107" i="8"/>
  <c r="D16" i="13" s="1"/>
  <c r="D18" i="2"/>
  <c r="D20" i="2"/>
  <c r="E16" i="2"/>
  <c r="K16" i="2" s="1"/>
  <c r="K160" i="8"/>
  <c r="AD105" i="6"/>
  <c r="K156" i="8" s="1"/>
  <c r="AB105" i="6"/>
  <c r="E156" i="8" s="1"/>
  <c r="E160" i="8"/>
  <c r="AC105" i="6"/>
  <c r="G156" i="8" s="1"/>
  <c r="BK208" i="3"/>
  <c r="L48" i="8" s="1"/>
  <c r="AV87" i="5"/>
  <c r="H125" i="8" s="1"/>
  <c r="AY106" i="6"/>
  <c r="BL106" i="6" s="1"/>
  <c r="BM106" i="6" s="1"/>
  <c r="AY114" i="6"/>
  <c r="AZ114" i="6" s="1"/>
  <c r="AK87" i="6"/>
  <c r="AK92" i="6" s="1"/>
  <c r="C153" i="8" s="1"/>
  <c r="K169" i="8"/>
  <c r="AD109" i="7"/>
  <c r="K203" i="8" s="1"/>
  <c r="AK75" i="7"/>
  <c r="AX65" i="7"/>
  <c r="H191" i="8" s="1"/>
  <c r="BK114" i="7"/>
  <c r="L206" i="8" s="1"/>
  <c r="L207" i="8"/>
  <c r="BK84" i="7"/>
  <c r="L194" i="8"/>
  <c r="L195" i="8"/>
  <c r="AD55" i="7"/>
  <c r="K184" i="8" s="1"/>
  <c r="AK70" i="7"/>
  <c r="C192" i="8" s="1"/>
  <c r="BK55" i="7"/>
  <c r="L184" i="8" s="1"/>
  <c r="L188" i="8"/>
  <c r="AX100" i="7"/>
  <c r="H202" i="8"/>
  <c r="BL85" i="7"/>
  <c r="BM85" i="7"/>
  <c r="BM89" i="7" s="1"/>
  <c r="BM4" i="6"/>
  <c r="AZ3" i="6"/>
  <c r="AZ4" i="6"/>
  <c r="I130" i="8" s="1"/>
  <c r="J130" i="8" s="1"/>
  <c r="AM14" i="6"/>
  <c r="AM16" i="6" s="1"/>
  <c r="D133" i="8" s="1"/>
  <c r="AY111" i="6"/>
  <c r="BL111" i="6" s="1"/>
  <c r="L151" i="8"/>
  <c r="AX117" i="6"/>
  <c r="BI71" i="5"/>
  <c r="L117" i="8" s="1"/>
  <c r="L120" i="8"/>
  <c r="L126" i="8"/>
  <c r="BM142" i="4"/>
  <c r="BN142" i="4"/>
  <c r="BA142" i="4"/>
  <c r="BA243" i="4"/>
  <c r="BM66" i="4"/>
  <c r="BM38" i="4"/>
  <c r="BN38" i="4" s="1"/>
  <c r="BA38" i="4"/>
  <c r="BM229" i="4"/>
  <c r="BN229" i="4" s="1"/>
  <c r="BN232" i="4" s="1"/>
  <c r="M94" i="8" s="1"/>
  <c r="D69" i="12" s="1"/>
  <c r="BA229" i="4"/>
  <c r="BA232" i="4" s="1"/>
  <c r="I94" i="8" s="1"/>
  <c r="AZ126" i="4"/>
  <c r="BM126" i="4" s="1"/>
  <c r="BN126" i="4" s="1"/>
  <c r="AZ224" i="4"/>
  <c r="BA224" i="4" s="1"/>
  <c r="AZ119" i="4"/>
  <c r="BA119" i="4" s="1"/>
  <c r="BA123" i="4" s="1"/>
  <c r="I76" i="8" s="1"/>
  <c r="AZ112" i="4"/>
  <c r="BM112" i="4" s="1"/>
  <c r="BN112" i="4" s="1"/>
  <c r="AZ244" i="4"/>
  <c r="BM226" i="4"/>
  <c r="BN226" i="4" s="1"/>
  <c r="BN227" i="4" s="1"/>
  <c r="M92" i="8" s="1"/>
  <c r="D64" i="12" s="1"/>
  <c r="BA226" i="4"/>
  <c r="BM79" i="4"/>
  <c r="BN79" i="4" s="1"/>
  <c r="BA79" i="4"/>
  <c r="H94" i="8"/>
  <c r="BM133" i="4"/>
  <c r="BN133" i="4" s="1"/>
  <c r="BA133" i="4"/>
  <c r="BA97" i="4"/>
  <c r="BL25" i="3"/>
  <c r="BM25" i="3" s="1"/>
  <c r="AM96" i="3"/>
  <c r="AZ115" i="3"/>
  <c r="AZ118" i="3" s="1"/>
  <c r="I26" i="8" s="1"/>
  <c r="J26" i="8" s="1"/>
  <c r="BM115" i="3"/>
  <c r="BM118" i="3" s="1"/>
  <c r="M26" i="8" s="1"/>
  <c r="D47" i="11" s="1"/>
  <c r="D107" i="11" s="1"/>
  <c r="AX70" i="7"/>
  <c r="AX76" i="7" s="1"/>
  <c r="H189" i="8"/>
  <c r="AX24" i="7"/>
  <c r="AX96" i="7"/>
  <c r="H201" i="8"/>
  <c r="AK49" i="7"/>
  <c r="C186" i="8"/>
  <c r="AD101" i="7"/>
  <c r="K199" i="8" s="1"/>
  <c r="AM76" i="7"/>
  <c r="D189" i="8" s="1"/>
  <c r="AY86" i="7"/>
  <c r="AD84" i="7"/>
  <c r="K194" i="8"/>
  <c r="H185" i="8"/>
  <c r="BL63" i="7"/>
  <c r="BM63" i="7"/>
  <c r="AZ63" i="7"/>
  <c r="AY79" i="7"/>
  <c r="BL79" i="7" s="1"/>
  <c r="BL82" i="7"/>
  <c r="BM82" i="7" s="1"/>
  <c r="BM83" i="7"/>
  <c r="AZ83" i="7"/>
  <c r="I196" i="8"/>
  <c r="J196" i="8" s="1"/>
  <c r="BL46" i="7"/>
  <c r="BM46" i="7" s="1"/>
  <c r="AZ46" i="7"/>
  <c r="BL107" i="6"/>
  <c r="BM107" i="6" s="1"/>
  <c r="AZ107" i="6"/>
  <c r="BJ5" i="5"/>
  <c r="BK5" i="5"/>
  <c r="AX5" i="5"/>
  <c r="BM27" i="4"/>
  <c r="BN27" i="4" s="1"/>
  <c r="BA27" i="4"/>
  <c r="H198" i="8"/>
  <c r="AX90" i="7"/>
  <c r="H197" i="8" s="1"/>
  <c r="BJ34" i="5"/>
  <c r="BK34" i="5" s="1"/>
  <c r="BK36" i="5"/>
  <c r="AX34" i="5"/>
  <c r="AX36" i="5"/>
  <c r="C152" i="8"/>
  <c r="BL91" i="7"/>
  <c r="BM91" i="7"/>
  <c r="AZ91" i="7"/>
  <c r="BL53" i="7"/>
  <c r="BM53" i="7" s="1"/>
  <c r="BM54" i="7"/>
  <c r="M188" i="8" s="1"/>
  <c r="D35" i="15" s="1"/>
  <c r="AZ53" i="7"/>
  <c r="AZ54" i="7"/>
  <c r="I188" i="8" s="1"/>
  <c r="J188" i="8" s="1"/>
  <c r="BL48" i="7"/>
  <c r="BM48" i="7"/>
  <c r="AZ48" i="7"/>
  <c r="BA245" i="4"/>
  <c r="BM15" i="4"/>
  <c r="BN15" i="4" s="1"/>
  <c r="BM3" i="4"/>
  <c r="BN3" i="4" s="1"/>
  <c r="BA3" i="4"/>
  <c r="E202" i="8"/>
  <c r="G169" i="8"/>
  <c r="AZ20" i="6"/>
  <c r="AZ22" i="6" s="1"/>
  <c r="BL20" i="6"/>
  <c r="BM20" i="6" s="1"/>
  <c r="BM22" i="6"/>
  <c r="E14" i="2"/>
  <c r="K14" i="2"/>
  <c r="BM159" i="4"/>
  <c r="BN159" i="4" s="1"/>
  <c r="BA159" i="4"/>
  <c r="BM140" i="4"/>
  <c r="BN140" i="4" s="1"/>
  <c r="BA140" i="4"/>
  <c r="BL95" i="7"/>
  <c r="BM95" i="7"/>
  <c r="AZ95" i="7"/>
  <c r="I112" i="8"/>
  <c r="J112" i="8" s="1"/>
  <c r="BM37" i="7"/>
  <c r="BM38" i="7" s="1"/>
  <c r="M183" i="8" s="1"/>
  <c r="D26" i="15" s="1"/>
  <c r="AZ37" i="7"/>
  <c r="AZ38" i="7" s="1"/>
  <c r="I183" i="8"/>
  <c r="J183" i="8" s="1"/>
  <c r="BL153" i="3"/>
  <c r="BM153" i="3" s="1"/>
  <c r="AZ111" i="3"/>
  <c r="AB90" i="7"/>
  <c r="E197" i="8" s="1"/>
  <c r="E198" i="8"/>
  <c r="BA144" i="4"/>
  <c r="G202" i="8"/>
  <c r="E148" i="8"/>
  <c r="AZ70" i="3"/>
  <c r="BL19" i="7"/>
  <c r="BM19" i="7"/>
  <c r="BM24" i="7" s="1"/>
  <c r="M179" i="8" s="1"/>
  <c r="D22" i="15" s="1"/>
  <c r="AZ19" i="7"/>
  <c r="BA63" i="4"/>
  <c r="K135" i="8"/>
  <c r="BL71" i="7"/>
  <c r="AZ71" i="7"/>
  <c r="BA22" i="4"/>
  <c r="K131" i="8"/>
  <c r="BA69" i="4"/>
  <c r="AW78" i="5"/>
  <c r="BJ78" i="5" s="1"/>
  <c r="AK78" i="5"/>
  <c r="AK80" i="5" s="1"/>
  <c r="AK81" i="5" s="1"/>
  <c r="D121" i="8" s="1"/>
  <c r="AZ24" i="7"/>
  <c r="I179" i="8" s="1"/>
  <c r="J179" i="8" s="1"/>
  <c r="BM6" i="7"/>
  <c r="BM7" i="7"/>
  <c r="M174" i="8" s="1"/>
  <c r="D17" i="15" s="1"/>
  <c r="AZ6" i="7"/>
  <c r="AZ7" i="7"/>
  <c r="I174" i="8" s="1"/>
  <c r="J174" i="8" s="1"/>
  <c r="AZ126" i="3"/>
  <c r="G119" i="8"/>
  <c r="BL60" i="7"/>
  <c r="BM60" i="7"/>
  <c r="AZ60" i="7"/>
  <c r="BM141" i="3"/>
  <c r="AZ141" i="3"/>
  <c r="G185" i="8"/>
  <c r="AC55" i="7"/>
  <c r="G184" i="8"/>
  <c r="AK58" i="5"/>
  <c r="D104" i="8" s="1"/>
  <c r="D103" i="8" s="1"/>
  <c r="AY33" i="3"/>
  <c r="BL33" i="3" s="1"/>
  <c r="BM33" i="3" s="1"/>
  <c r="BL45" i="7"/>
  <c r="BM45" i="7" s="1"/>
  <c r="BM49" i="7" s="1"/>
  <c r="M186" i="8" s="1"/>
  <c r="AZ45" i="7"/>
  <c r="AZ49" i="7" s="1"/>
  <c r="AZ55" i="7" s="1"/>
  <c r="I184" i="8" s="1"/>
  <c r="BL114" i="6"/>
  <c r="BM114" i="6" s="1"/>
  <c r="BJ68" i="5"/>
  <c r="AX68" i="5"/>
  <c r="AX13" i="5"/>
  <c r="AX15" i="5" s="1"/>
  <c r="I106" i="8" s="1"/>
  <c r="J106" i="8" s="1"/>
  <c r="BL73" i="7"/>
  <c r="AZ73" i="7"/>
  <c r="BN212" i="4"/>
  <c r="M89" i="8" s="1"/>
  <c r="D61" i="12" s="1"/>
  <c r="BM25" i="4"/>
  <c r="BN25" i="4" s="1"/>
  <c r="BN28" i="4" s="1"/>
  <c r="M58" i="8" s="1"/>
  <c r="D22" i="12" s="1"/>
  <c r="BA25" i="4"/>
  <c r="BA128" i="4"/>
  <c r="AZ152" i="3"/>
  <c r="BA4" i="4"/>
  <c r="G205" i="8"/>
  <c r="AC109" i="7"/>
  <c r="G203" i="8" s="1"/>
  <c r="E195" i="8"/>
  <c r="AB84" i="7"/>
  <c r="E194" i="8"/>
  <c r="G165" i="8"/>
  <c r="C105" i="8"/>
  <c r="AK109" i="7"/>
  <c r="C203" i="8" s="1"/>
  <c r="C204" i="8"/>
  <c r="C195" i="8"/>
  <c r="AK84" i="7"/>
  <c r="C194" i="8" s="1"/>
  <c r="G173" i="8"/>
  <c r="AC39" i="7"/>
  <c r="G172" i="8"/>
  <c r="G146" i="8"/>
  <c r="E105" i="8"/>
  <c r="AB58" i="5"/>
  <c r="E104" i="8"/>
  <c r="BA250" i="4"/>
  <c r="D50" i="8"/>
  <c r="BL77" i="7"/>
  <c r="BM77" i="7" s="1"/>
  <c r="AZ77" i="7"/>
  <c r="AZ81" i="7" s="1"/>
  <c r="I195" i="8" s="1"/>
  <c r="BL57" i="7"/>
  <c r="BM57" i="7"/>
  <c r="BM59" i="7" s="1"/>
  <c r="M190" i="8" s="1"/>
  <c r="D43" i="15" s="1"/>
  <c r="AZ57" i="7"/>
  <c r="AZ59" i="7" s="1"/>
  <c r="I190" i="8" s="1"/>
  <c r="J190" i="8" s="1"/>
  <c r="BL142" i="6"/>
  <c r="BM142" i="6" s="1"/>
  <c r="BM143" i="6" s="1"/>
  <c r="AZ142" i="6"/>
  <c r="AZ143" i="6" s="1"/>
  <c r="BJ4" i="5"/>
  <c r="BK4" i="5" s="1"/>
  <c r="BK11" i="5"/>
  <c r="M105" i="8" s="1"/>
  <c r="D14" i="13" s="1"/>
  <c r="AX4" i="5"/>
  <c r="BL111" i="7"/>
  <c r="BM111" i="7" s="1"/>
  <c r="BM113" i="7" s="1"/>
  <c r="AZ111" i="7"/>
  <c r="AZ113" i="7"/>
  <c r="AZ114" i="7" s="1"/>
  <c r="I206" i="8" s="1"/>
  <c r="J206" i="8" s="1"/>
  <c r="AZ38" i="6"/>
  <c r="AZ39" i="6" s="1"/>
  <c r="I142" i="8" s="1"/>
  <c r="J142" i="8" s="1"/>
  <c r="BM172" i="4"/>
  <c r="BN172" i="4" s="1"/>
  <c r="BM201" i="4"/>
  <c r="BN201" i="4" s="1"/>
  <c r="BN205" i="4" s="1"/>
  <c r="M87" i="8" s="1"/>
  <c r="D59" i="12" s="1"/>
  <c r="BM139" i="4"/>
  <c r="BN139" i="4" s="1"/>
  <c r="BA42" i="4"/>
  <c r="K146" i="8"/>
  <c r="G198" i="8"/>
  <c r="AC90" i="7"/>
  <c r="G197" i="8"/>
  <c r="E193" i="8"/>
  <c r="AV71" i="5"/>
  <c r="H117" i="8" s="1"/>
  <c r="H120" i="8"/>
  <c r="H105" i="8"/>
  <c r="E68" i="8"/>
  <c r="E22" i="8"/>
  <c r="M155" i="8"/>
  <c r="D55" i="14" s="1"/>
  <c r="BL66" i="7"/>
  <c r="BM66" i="7"/>
  <c r="BM94" i="7"/>
  <c r="BM96" i="7" s="1"/>
  <c r="M201" i="8" s="1"/>
  <c r="D72" i="15" s="1"/>
  <c r="AZ94" i="7"/>
  <c r="AZ96" i="7"/>
  <c r="I201" i="8" s="1"/>
  <c r="AX76" i="5"/>
  <c r="AX80" i="5" s="1"/>
  <c r="AX81" i="5" s="1"/>
  <c r="M111" i="8"/>
  <c r="D20" i="13" s="1"/>
  <c r="BM65" i="4"/>
  <c r="BN65" i="4" s="1"/>
  <c r="BM20" i="4"/>
  <c r="BA20" i="4"/>
  <c r="AZ42" i="3"/>
  <c r="BL42" i="3"/>
  <c r="BM42" i="3" s="1"/>
  <c r="C201" i="8"/>
  <c r="K36" i="8"/>
  <c r="AD168" i="3"/>
  <c r="K35" i="8" s="1"/>
  <c r="H195" i="8"/>
  <c r="AX84" i="7"/>
  <c r="C185" i="8"/>
  <c r="BL99" i="3"/>
  <c r="BM99" i="3" s="1"/>
  <c r="BL62" i="7"/>
  <c r="BM62" i="7"/>
  <c r="AZ62" i="7"/>
  <c r="BM13" i="4"/>
  <c r="BN13" i="4" s="1"/>
  <c r="BA13" i="4"/>
  <c r="BL80" i="7"/>
  <c r="BM80" i="7"/>
  <c r="AZ80" i="7"/>
  <c r="BA91" i="4"/>
  <c r="BA163" i="4"/>
  <c r="BM110" i="4"/>
  <c r="BN110" i="4" s="1"/>
  <c r="BA110" i="4"/>
  <c r="BM86" i="4"/>
  <c r="BN86" i="4"/>
  <c r="BA86" i="4"/>
  <c r="BM109" i="4"/>
  <c r="BA109" i="4"/>
  <c r="AZ34" i="3"/>
  <c r="G195" i="8"/>
  <c r="AC84" i="7"/>
  <c r="G194" i="8"/>
  <c r="BM95" i="3"/>
  <c r="BM75" i="7"/>
  <c r="BJ12" i="5"/>
  <c r="BK12" i="5" s="1"/>
  <c r="AX12" i="5"/>
  <c r="BM224" i="4"/>
  <c r="G193" i="8"/>
  <c r="AC76" i="7"/>
  <c r="G189" i="8"/>
  <c r="AZ225" i="4"/>
  <c r="BM225" i="4" s="1"/>
  <c r="BL40" i="7"/>
  <c r="BM40" i="7" s="1"/>
  <c r="BM44" i="7"/>
  <c r="AZ40" i="7"/>
  <c r="AZ44" i="7"/>
  <c r="BM221" i="4"/>
  <c r="BN221" i="4"/>
  <c r="BA221" i="4"/>
  <c r="BJ69" i="5"/>
  <c r="BK70" i="5"/>
  <c r="AX69" i="5"/>
  <c r="AX70" i="5" s="1"/>
  <c r="AX71" i="5" s="1"/>
  <c r="BA206" i="4"/>
  <c r="BM59" i="4"/>
  <c r="BM35" i="4"/>
  <c r="BN35" i="4" s="1"/>
  <c r="BM19" i="4"/>
  <c r="BN19" i="4" s="1"/>
  <c r="BA19" i="4"/>
  <c r="BL83" i="3"/>
  <c r="BM83" i="3" s="1"/>
  <c r="BL80" i="3"/>
  <c r="BM80" i="3" s="1"/>
  <c r="BM82" i="3" s="1"/>
  <c r="M20" i="8" s="1"/>
  <c r="D32" i="11" s="1"/>
  <c r="H106" i="11" s="1"/>
  <c r="AZ80" i="3"/>
  <c r="AZ82" i="3" s="1"/>
  <c r="I20" i="8" s="1"/>
  <c r="J20" i="8" s="1"/>
  <c r="E188" i="8"/>
  <c r="AB55" i="7"/>
  <c r="E184" i="8" s="1"/>
  <c r="E15" i="2"/>
  <c r="K15" i="2" s="1"/>
  <c r="E17" i="2"/>
  <c r="K17" i="2" s="1"/>
  <c r="E13" i="2"/>
  <c r="K13" i="2" s="1"/>
  <c r="K18" i="2" s="1"/>
  <c r="H164" i="8"/>
  <c r="BM63" i="3"/>
  <c r="M16" i="8" s="1"/>
  <c r="D28" i="11" s="1"/>
  <c r="AZ96" i="3"/>
  <c r="BL96" i="3"/>
  <c r="AK55" i="7"/>
  <c r="C184" i="8" s="1"/>
  <c r="AZ65" i="7"/>
  <c r="I191" i="8"/>
  <c r="J191" i="8" s="1"/>
  <c r="BM81" i="7"/>
  <c r="M195" i="8" s="1"/>
  <c r="D54" i="15" s="1"/>
  <c r="D33" i="15"/>
  <c r="AZ128" i="3"/>
  <c r="I29" i="8" s="1"/>
  <c r="J29" i="8" s="1"/>
  <c r="I121" i="8"/>
  <c r="J121" i="8" s="1"/>
  <c r="I117" i="8"/>
  <c r="J117" i="8" s="1"/>
  <c r="I120" i="8"/>
  <c r="J120" i="8" s="1"/>
  <c r="I185" i="8"/>
  <c r="M120" i="8"/>
  <c r="D33" i="13"/>
  <c r="M193" i="8"/>
  <c r="D46" i="15" s="1"/>
  <c r="AZ84" i="7"/>
  <c r="I194" i="8" s="1"/>
  <c r="H194" i="8"/>
  <c r="J201" i="8"/>
  <c r="AZ206" i="3"/>
  <c r="BN206" i="4"/>
  <c r="BL180" i="4"/>
  <c r="BL185" i="4" s="1"/>
  <c r="BM180" i="4"/>
  <c r="BM76" i="7" l="1"/>
  <c r="M189" i="8" s="1"/>
  <c r="AM41" i="7"/>
  <c r="AM44" i="7" s="1"/>
  <c r="AY41" i="7"/>
  <c r="K191" i="8"/>
  <c r="AD76" i="7"/>
  <c r="K189" i="8" s="1"/>
  <c r="E120" i="8"/>
  <c r="AB71" i="5"/>
  <c r="E117" i="8" s="1"/>
  <c r="E103" i="8" s="1"/>
  <c r="BM109" i="3"/>
  <c r="BM244" i="4"/>
  <c r="BN244" i="4" s="1"/>
  <c r="BN246" i="4" s="1"/>
  <c r="M97" i="8" s="1"/>
  <c r="D72" i="12" s="1"/>
  <c r="BA244" i="4"/>
  <c r="K105" i="8"/>
  <c r="AD58" i="5"/>
  <c r="K104" i="8" s="1"/>
  <c r="AZ26" i="3"/>
  <c r="BL26" i="3"/>
  <c r="BM26" i="3" s="1"/>
  <c r="D195" i="8"/>
  <c r="J195" i="8" s="1"/>
  <c r="AM84" i="7"/>
  <c r="D194" i="8" s="1"/>
  <c r="J194" i="8" s="1"/>
  <c r="BA71" i="4"/>
  <c r="BM71" i="4"/>
  <c r="BA102" i="4"/>
  <c r="BM102" i="4"/>
  <c r="BN102" i="4" s="1"/>
  <c r="AN64" i="4"/>
  <c r="AN67" i="4" s="1"/>
  <c r="D67" i="8" s="1"/>
  <c r="AZ64" i="4"/>
  <c r="BM17" i="4"/>
  <c r="BN17" i="4" s="1"/>
  <c r="BN18" i="4" s="1"/>
  <c r="M56" i="8" s="1"/>
  <c r="D20" i="12" s="1"/>
  <c r="BA17" i="4"/>
  <c r="BA18" i="4" s="1"/>
  <c r="I56" i="8" s="1"/>
  <c r="J56" i="8" s="1"/>
  <c r="AK39" i="7"/>
  <c r="C172" i="8" s="1"/>
  <c r="C193" i="8"/>
  <c r="AK76" i="7"/>
  <c r="C189" i="8" s="1"/>
  <c r="AZ2" i="7"/>
  <c r="AZ4" i="7" s="1"/>
  <c r="BL2" i="7"/>
  <c r="BM2" i="7" s="1"/>
  <c r="BM4" i="7" s="1"/>
  <c r="M173" i="8" s="1"/>
  <c r="D16" i="15" s="1"/>
  <c r="AZ72" i="7"/>
  <c r="AZ75" i="7" s="1"/>
  <c r="BL72" i="7"/>
  <c r="BA41" i="4"/>
  <c r="BA43" i="4" s="1"/>
  <c r="I62" i="8" s="1"/>
  <c r="J62" i="8" s="1"/>
  <c r="BM41" i="4"/>
  <c r="BN37" i="4"/>
  <c r="M60" i="8" s="1"/>
  <c r="D24" i="12" s="1"/>
  <c r="AK163" i="3"/>
  <c r="AK167" i="3" s="1"/>
  <c r="AK168" i="3" s="1"/>
  <c r="C35" i="8" s="1"/>
  <c r="K179" i="8"/>
  <c r="AD39" i="7"/>
  <c r="K172" i="8" s="1"/>
  <c r="L173" i="8"/>
  <c r="BK39" i="7"/>
  <c r="L172" i="8" s="1"/>
  <c r="AX87" i="5"/>
  <c r="I125" i="8" s="1"/>
  <c r="J125" i="8" s="1"/>
  <c r="AZ109" i="7"/>
  <c r="I205" i="8"/>
  <c r="J205" i="8" s="1"/>
  <c r="E191" i="8"/>
  <c r="AB76" i="7"/>
  <c r="E189" i="8" s="1"/>
  <c r="L157" i="8"/>
  <c r="BK105" i="6"/>
  <c r="L156" i="8" s="1"/>
  <c r="K27" i="2"/>
  <c r="K24" i="2"/>
  <c r="K25" i="2"/>
  <c r="AK68" i="3"/>
  <c r="AK72" i="3" s="1"/>
  <c r="C18" i="8" s="1"/>
  <c r="AM68" i="3"/>
  <c r="C103" i="8"/>
  <c r="M185" i="8"/>
  <c r="D32" i="15" s="1"/>
  <c r="BM55" i="7"/>
  <c r="M184" i="8" s="1"/>
  <c r="D124" i="8"/>
  <c r="BA199" i="4"/>
  <c r="BA200" i="4" s="1"/>
  <c r="I86" i="8" s="1"/>
  <c r="M198" i="8"/>
  <c r="D63" i="15" s="1"/>
  <c r="BM90" i="7"/>
  <c r="M197" i="8" s="1"/>
  <c r="D160" i="8"/>
  <c r="BM162" i="4"/>
  <c r="BN162" i="4" s="1"/>
  <c r="BA162" i="4"/>
  <c r="K23" i="2"/>
  <c r="K26" i="2"/>
  <c r="AZ67" i="7"/>
  <c r="AZ70" i="7" s="1"/>
  <c r="I192" i="8" s="1"/>
  <c r="J192" i="8" s="1"/>
  <c r="BL67" i="7"/>
  <c r="BM67" i="7" s="1"/>
  <c r="BM70" i="7" s="1"/>
  <c r="M192" i="8" s="1"/>
  <c r="D45" i="15" s="1"/>
  <c r="BA31" i="4"/>
  <c r="BM31" i="4"/>
  <c r="BN31" i="4" s="1"/>
  <c r="L204" i="8"/>
  <c r="BK109" i="7"/>
  <c r="L203" i="8" s="1"/>
  <c r="BK63" i="5"/>
  <c r="BA214" i="4"/>
  <c r="BM214" i="4"/>
  <c r="BN214" i="4" s="1"/>
  <c r="BN216" i="4" s="1"/>
  <c r="M90" i="8" s="1"/>
  <c r="D62" i="12" s="1"/>
  <c r="BM16" i="4"/>
  <c r="BN16" i="4" s="1"/>
  <c r="BA16" i="4"/>
  <c r="AX11" i="5"/>
  <c r="I105" i="8" s="1"/>
  <c r="J105" i="8" s="1"/>
  <c r="M196" i="8"/>
  <c r="D55" i="15" s="1"/>
  <c r="BM84" i="7"/>
  <c r="M194" i="8" s="1"/>
  <c r="BA263" i="4"/>
  <c r="BN263" i="4" s="1"/>
  <c r="BM263" i="4"/>
  <c r="AN76" i="4"/>
  <c r="AZ76" i="4"/>
  <c r="BA76" i="4" s="1"/>
  <c r="AK65" i="3"/>
  <c r="AM65" i="3"/>
  <c r="I207" i="8"/>
  <c r="J207" i="8" s="1"/>
  <c r="I186" i="8"/>
  <c r="J186" i="8" s="1"/>
  <c r="C198" i="8"/>
  <c r="M207" i="8"/>
  <c r="D92" i="15" s="1"/>
  <c r="BM114" i="7"/>
  <c r="M206" i="8" s="1"/>
  <c r="I124" i="8"/>
  <c r="C154" i="8"/>
  <c r="BA236" i="4"/>
  <c r="BM65" i="7"/>
  <c r="M191" i="8" s="1"/>
  <c r="D44" i="15" s="1"/>
  <c r="AC101" i="7"/>
  <c r="G199" i="8" s="1"/>
  <c r="G171" i="8" s="1"/>
  <c r="AX39" i="7"/>
  <c r="H172" i="8" s="1"/>
  <c r="H179" i="8"/>
  <c r="AZ155" i="4"/>
  <c r="BM155" i="4" s="1"/>
  <c r="AN155" i="4"/>
  <c r="AM71" i="3"/>
  <c r="AY49" i="4"/>
  <c r="AZ49" i="4"/>
  <c r="BM49" i="4" s="1"/>
  <c r="AN103" i="4"/>
  <c r="AZ103" i="4"/>
  <c r="AZ202" i="4"/>
  <c r="AN202" i="4"/>
  <c r="AN234" i="4"/>
  <c r="AN237" i="4" s="1"/>
  <c r="D95" i="8" s="1"/>
  <c r="AZ234" i="4"/>
  <c r="BM234" i="4" s="1"/>
  <c r="AM262" i="4"/>
  <c r="AN262" i="4" s="1"/>
  <c r="AN264" i="4" s="1"/>
  <c r="D102" i="8" s="1"/>
  <c r="AL262" i="4"/>
  <c r="AL264" i="4" s="1"/>
  <c r="AY70" i="6"/>
  <c r="AZ70" i="6" s="1"/>
  <c r="AZ75" i="6" s="1"/>
  <c r="AZ81" i="6" s="1"/>
  <c r="I150" i="8" s="1"/>
  <c r="AX70" i="6"/>
  <c r="H192" i="8"/>
  <c r="G105" i="8"/>
  <c r="BK76" i="7"/>
  <c r="L189" i="8" s="1"/>
  <c r="AZ111" i="6"/>
  <c r="AL148" i="4"/>
  <c r="I126" i="8"/>
  <c r="J126" i="8" s="1"/>
  <c r="I198" i="8"/>
  <c r="BL78" i="4"/>
  <c r="L69" i="8" s="1"/>
  <c r="BM73" i="4"/>
  <c r="J116" i="8"/>
  <c r="E173" i="8"/>
  <c r="G120" i="8"/>
  <c r="AD24" i="3"/>
  <c r="K9" i="8" s="1"/>
  <c r="BK106" i="3"/>
  <c r="BK109" i="3" s="1"/>
  <c r="L23" i="8" s="1"/>
  <c r="BL106" i="3"/>
  <c r="BM106" i="3" s="1"/>
  <c r="D25" i="8"/>
  <c r="AM129" i="3"/>
  <c r="D24" i="8" s="1"/>
  <c r="AL169" i="3"/>
  <c r="AM169" i="3" s="1"/>
  <c r="AM180" i="3" s="1"/>
  <c r="D42" i="8" s="1"/>
  <c r="AK169" i="3"/>
  <c r="AK180" i="3" s="1"/>
  <c r="C42" i="8" s="1"/>
  <c r="AY188" i="4"/>
  <c r="AY189" i="4" s="1"/>
  <c r="H83" i="8" s="1"/>
  <c r="AZ188" i="4"/>
  <c r="BM188" i="4" s="1"/>
  <c r="BN188" i="4" s="1"/>
  <c r="AY251" i="4"/>
  <c r="AY252" i="4" s="1"/>
  <c r="H99" i="8" s="1"/>
  <c r="AZ251" i="4"/>
  <c r="AV81" i="5"/>
  <c r="H121" i="8" s="1"/>
  <c r="H124" i="8"/>
  <c r="D155" i="8"/>
  <c r="AM92" i="6"/>
  <c r="D153" i="8" s="1"/>
  <c r="E155" i="8"/>
  <c r="AB92" i="6"/>
  <c r="E153" i="8" s="1"/>
  <c r="BK119" i="6"/>
  <c r="BK127" i="6" s="1"/>
  <c r="L165" i="8" s="1"/>
  <c r="BL119" i="6"/>
  <c r="AM109" i="7"/>
  <c r="D204" i="8"/>
  <c r="J204" i="8" s="1"/>
  <c r="BA28" i="4"/>
  <c r="I58" i="8" s="1"/>
  <c r="AZ106" i="6"/>
  <c r="AE265" i="4"/>
  <c r="K100" i="8" s="1"/>
  <c r="AN225" i="4"/>
  <c r="AZ235" i="4"/>
  <c r="AM89" i="7"/>
  <c r="AX19" i="5"/>
  <c r="I107" i="8" s="1"/>
  <c r="J107" i="8" s="1"/>
  <c r="AL67" i="4"/>
  <c r="C67" i="8" s="1"/>
  <c r="AL169" i="4"/>
  <c r="C81" i="8" s="1"/>
  <c r="AN241" i="4"/>
  <c r="D96" i="8" s="1"/>
  <c r="AY62" i="3"/>
  <c r="AZ62" i="3" s="1"/>
  <c r="AZ11" i="4"/>
  <c r="BM154" i="3"/>
  <c r="BL126" i="3"/>
  <c r="BM126" i="3" s="1"/>
  <c r="BM128" i="3" s="1"/>
  <c r="M29" i="8" s="1"/>
  <c r="D50" i="11" s="1"/>
  <c r="D106" i="11" s="1"/>
  <c r="AL146" i="4"/>
  <c r="C78" i="8" s="1"/>
  <c r="AL200" i="4"/>
  <c r="C86" i="8" s="1"/>
  <c r="AD28" i="4"/>
  <c r="G58" i="8" s="1"/>
  <c r="AL37" i="4"/>
  <c r="C60" i="8" s="1"/>
  <c r="AL261" i="4"/>
  <c r="C101" i="8" s="1"/>
  <c r="J122" i="8"/>
  <c r="AD84" i="5"/>
  <c r="AD86" i="5"/>
  <c r="K127" i="8" s="1"/>
  <c r="BK8" i="3"/>
  <c r="L7" i="8" s="1"/>
  <c r="AB18" i="3"/>
  <c r="E8" i="8" s="1"/>
  <c r="AM50" i="3"/>
  <c r="D13" i="8" s="1"/>
  <c r="J13" i="8" s="1"/>
  <c r="AC118" i="3"/>
  <c r="G26" i="8" s="1"/>
  <c r="BK146" i="3"/>
  <c r="L33" i="8" s="1"/>
  <c r="AC146" i="3"/>
  <c r="G33" i="8" s="1"/>
  <c r="AD180" i="3"/>
  <c r="K42" i="8" s="1"/>
  <c r="AC201" i="3"/>
  <c r="G41" i="8" s="1"/>
  <c r="BL32" i="4"/>
  <c r="L59" i="8" s="1"/>
  <c r="AL185" i="4"/>
  <c r="C82" i="8" s="1"/>
  <c r="AC44" i="6"/>
  <c r="G143" i="8" s="1"/>
  <c r="AX93" i="7"/>
  <c r="AV15" i="5"/>
  <c r="AN172" i="4"/>
  <c r="AE172" i="4"/>
  <c r="AE185" i="4" s="1"/>
  <c r="K82" i="8" s="1"/>
  <c r="AC63" i="3"/>
  <c r="G16" i="8" s="1"/>
  <c r="AK98" i="3"/>
  <c r="C22" i="8" s="1"/>
  <c r="BL102" i="3"/>
  <c r="AC114" i="3"/>
  <c r="G25" i="8" s="1"/>
  <c r="AB118" i="3"/>
  <c r="E26" i="8" s="1"/>
  <c r="AB134" i="3"/>
  <c r="E31" i="8" s="1"/>
  <c r="AB139" i="3"/>
  <c r="E32" i="8" s="1"/>
  <c r="AB146" i="3"/>
  <c r="AD208" i="3"/>
  <c r="AD217" i="3" s="1"/>
  <c r="K47" i="8" s="1"/>
  <c r="AD32" i="4"/>
  <c r="G59" i="8" s="1"/>
  <c r="AY62" i="4"/>
  <c r="H66" i="8" s="1"/>
  <c r="AN152" i="4"/>
  <c r="D79" i="8" s="1"/>
  <c r="J79" i="8" s="1"/>
  <c r="AD127" i="6"/>
  <c r="K165" i="8" s="1"/>
  <c r="AB96" i="7"/>
  <c r="AY92" i="7"/>
  <c r="AX92" i="7"/>
  <c r="AL99" i="7"/>
  <c r="AK99" i="7"/>
  <c r="AK100" i="7" s="1"/>
  <c r="BJ48" i="5"/>
  <c r="BK48" i="5" s="1"/>
  <c r="BK53" i="5" s="1"/>
  <c r="M115" i="8" s="1"/>
  <c r="D24" i="13" s="1"/>
  <c r="BI48" i="5"/>
  <c r="BI53" i="5" s="1"/>
  <c r="L115" i="8" s="1"/>
  <c r="AD82" i="3"/>
  <c r="K20" i="8" s="1"/>
  <c r="AD118" i="3"/>
  <c r="K26" i="8" s="1"/>
  <c r="BI14" i="5"/>
  <c r="BI15" i="5" s="1"/>
  <c r="L106" i="8" s="1"/>
  <c r="AB4" i="6"/>
  <c r="E130" i="8" s="1"/>
  <c r="AX63" i="6"/>
  <c r="AD66" i="6"/>
  <c r="K149" i="8" s="1"/>
  <c r="AB87" i="6"/>
  <c r="E154" i="8" s="1"/>
  <c r="AB141" i="6"/>
  <c r="E169" i="8" s="1"/>
  <c r="AE37" i="4"/>
  <c r="K60" i="8" s="1"/>
  <c r="AD75" i="6"/>
  <c r="AD81" i="6" s="1"/>
  <c r="K150" i="8" s="1"/>
  <c r="BL69" i="3"/>
  <c r="BM69" i="3" s="1"/>
  <c r="J137" i="8"/>
  <c r="AB33" i="6"/>
  <c r="E140" i="8" s="1"/>
  <c r="AB117" i="6"/>
  <c r="E164" i="8" s="1"/>
  <c r="AX130" i="6"/>
  <c r="H166" i="8" s="1"/>
  <c r="AD184" i="3"/>
  <c r="K43" i="8" s="1"/>
  <c r="AN139" i="4"/>
  <c r="AZ63" i="6"/>
  <c r="I148" i="8" s="1"/>
  <c r="BL106" i="7"/>
  <c r="BM106" i="7" s="1"/>
  <c r="BM108" i="7" s="1"/>
  <c r="BL101" i="3"/>
  <c r="BM101" i="3" s="1"/>
  <c r="BK45" i="3"/>
  <c r="L12" i="8" s="1"/>
  <c r="BK128" i="3"/>
  <c r="L29" i="8" s="1"/>
  <c r="BL169" i="4"/>
  <c r="L81" i="8" s="1"/>
  <c r="BJ14" i="5"/>
  <c r="BK14" i="5" s="1"/>
  <c r="BK15" i="5" s="1"/>
  <c r="M106" i="8" s="1"/>
  <c r="D15" i="13" s="1"/>
  <c r="AZ127" i="6"/>
  <c r="I165" i="8" s="1"/>
  <c r="AY197" i="3"/>
  <c r="BL197" i="3" s="1"/>
  <c r="BM197" i="3" s="1"/>
  <c r="BL214" i="4"/>
  <c r="BL216" i="4" s="1"/>
  <c r="L90" i="8" s="1"/>
  <c r="BK98" i="3"/>
  <c r="L22" i="8" s="1"/>
  <c r="BK154" i="3"/>
  <c r="L36" i="8" s="1"/>
  <c r="AX87" i="6"/>
  <c r="H154" i="8" s="1"/>
  <c r="BK87" i="5"/>
  <c r="M125" i="8" s="1"/>
  <c r="D8" i="13" s="1"/>
  <c r="M127" i="8"/>
  <c r="D49" i="13" s="1"/>
  <c r="AZ144" i="6"/>
  <c r="I168" i="8" s="1"/>
  <c r="I170" i="8"/>
  <c r="J170" i="8" s="1"/>
  <c r="BL14" i="6"/>
  <c r="AZ14" i="6"/>
  <c r="K136" i="8"/>
  <c r="AD28" i="6"/>
  <c r="K132" i="8" s="1"/>
  <c r="J148" i="8"/>
  <c r="H162" i="8"/>
  <c r="AX105" i="6"/>
  <c r="H156" i="8" s="1"/>
  <c r="AM17" i="6"/>
  <c r="AM19" i="6" s="1"/>
  <c r="AM28" i="6" s="1"/>
  <c r="D132" i="8" s="1"/>
  <c r="AY17" i="6"/>
  <c r="BL17" i="6" s="1"/>
  <c r="AY46" i="6"/>
  <c r="BL46" i="6" s="1"/>
  <c r="AM46" i="6"/>
  <c r="AM48" i="6" s="1"/>
  <c r="D144" i="8" s="1"/>
  <c r="C160" i="8"/>
  <c r="AK105" i="6"/>
  <c r="C156" i="8" s="1"/>
  <c r="J162" i="8"/>
  <c r="AY126" i="6"/>
  <c r="AM126" i="6"/>
  <c r="AM127" i="6" s="1"/>
  <c r="BL24" i="6"/>
  <c r="AZ24" i="6"/>
  <c r="AZ25" i="6" s="1"/>
  <c r="I136" i="8" s="1"/>
  <c r="J136" i="8" s="1"/>
  <c r="AY56" i="6"/>
  <c r="AX56" i="6"/>
  <c r="AX58" i="6" s="1"/>
  <c r="AX67" i="6" s="1"/>
  <c r="H138" i="8" s="1"/>
  <c r="AC134" i="6"/>
  <c r="G163" i="8" s="1"/>
  <c r="AB8" i="6"/>
  <c r="E129" i="8" s="1"/>
  <c r="AD144" i="6"/>
  <c r="K168" i="8" s="1"/>
  <c r="BM141" i="6"/>
  <c r="M169" i="8" s="1"/>
  <c r="D84" i="14" s="1"/>
  <c r="BL90" i="6"/>
  <c r="BM55" i="6"/>
  <c r="M146" i="8" s="1"/>
  <c r="D38" i="14" s="1"/>
  <c r="AY85" i="6"/>
  <c r="BL85" i="6" s="1"/>
  <c r="AY86" i="6"/>
  <c r="BL47" i="6"/>
  <c r="BM47" i="6" s="1"/>
  <c r="AD30" i="6"/>
  <c r="K139" i="8" s="1"/>
  <c r="BL59" i="6"/>
  <c r="BM63" i="6" s="1"/>
  <c r="M148" i="8" s="1"/>
  <c r="D40" i="14" s="1"/>
  <c r="BL26" i="6"/>
  <c r="BM26" i="6" s="1"/>
  <c r="BM27" i="6" s="1"/>
  <c r="M137" i="8" s="1"/>
  <c r="D26" i="14" s="1"/>
  <c r="AB144" i="6"/>
  <c r="E168" i="8" s="1"/>
  <c r="AY54" i="6"/>
  <c r="AX75" i="6"/>
  <c r="H151" i="8" s="1"/>
  <c r="AX127" i="6"/>
  <c r="H165" i="8" s="1"/>
  <c r="AK14" i="6"/>
  <c r="AK16" i="6" s="1"/>
  <c r="C133" i="8" s="1"/>
  <c r="AK17" i="6"/>
  <c r="AK19" i="6" s="1"/>
  <c r="C61" i="14"/>
  <c r="C5" i="14"/>
  <c r="AM8" i="6"/>
  <c r="D129" i="8" s="1"/>
  <c r="BL9" i="6"/>
  <c r="BM9" i="6" s="1"/>
  <c r="BL10" i="6"/>
  <c r="BM10" i="6" s="1"/>
  <c r="AY49" i="6"/>
  <c r="AZ49" i="6" s="1"/>
  <c r="AZ50" i="6" s="1"/>
  <c r="I145" i="8" s="1"/>
  <c r="J145" i="8" s="1"/>
  <c r="AD63" i="6"/>
  <c r="G152" i="8"/>
  <c r="AC81" i="6"/>
  <c r="G150" i="8" s="1"/>
  <c r="AZ97" i="6"/>
  <c r="AZ98" i="6" s="1"/>
  <c r="I159" i="8" s="1"/>
  <c r="J159" i="8" s="1"/>
  <c r="BL97" i="6"/>
  <c r="BM97" i="6" s="1"/>
  <c r="BM98" i="6" s="1"/>
  <c r="M159" i="8" s="1"/>
  <c r="D64" i="14" s="1"/>
  <c r="AL109" i="6"/>
  <c r="AK109" i="6"/>
  <c r="AK117" i="6" s="1"/>
  <c r="C164" i="8" s="1"/>
  <c r="AY128" i="6"/>
  <c r="BL128" i="6" s="1"/>
  <c r="BM128" i="6" s="1"/>
  <c r="AM128" i="6"/>
  <c r="AM130" i="6" s="1"/>
  <c r="AL135" i="6"/>
  <c r="AM135" i="6" s="1"/>
  <c r="AM141" i="6" s="1"/>
  <c r="AK135" i="6"/>
  <c r="AK141" i="6" s="1"/>
  <c r="AZ16" i="6"/>
  <c r="I133" i="8" s="1"/>
  <c r="J133" i="8" s="1"/>
  <c r="BK63" i="6"/>
  <c r="AD117" i="6"/>
  <c r="K164" i="8" s="1"/>
  <c r="BL110" i="6"/>
  <c r="BM110" i="6" s="1"/>
  <c r="BK110" i="6"/>
  <c r="AC87" i="6"/>
  <c r="AD87" i="6"/>
  <c r="K154" i="8" s="1"/>
  <c r="BK108" i="6"/>
  <c r="AB130" i="6"/>
  <c r="AY99" i="6"/>
  <c r="M170" i="8"/>
  <c r="D85" i="14" s="1"/>
  <c r="BM144" i="6"/>
  <c r="M168" i="8" s="1"/>
  <c r="I131" i="8"/>
  <c r="J131" i="8" s="1"/>
  <c r="AZ8" i="6"/>
  <c r="I129" i="8" s="1"/>
  <c r="BM45" i="6"/>
  <c r="AZ48" i="6"/>
  <c r="I144" i="8" s="1"/>
  <c r="J144" i="8" s="1"/>
  <c r="H145" i="8"/>
  <c r="D134" i="8"/>
  <c r="J134" i="8" s="1"/>
  <c r="D145" i="8"/>
  <c r="AM67" i="6"/>
  <c r="D138" i="8" s="1"/>
  <c r="I151" i="8"/>
  <c r="J151" i="8" s="1"/>
  <c r="M162" i="8"/>
  <c r="D67" i="14" s="1"/>
  <c r="BM105" i="6"/>
  <c r="M156" i="8" s="1"/>
  <c r="D166" i="8"/>
  <c r="H137" i="8"/>
  <c r="AX28" i="6"/>
  <c r="H132" i="8" s="1"/>
  <c r="D152" i="8"/>
  <c r="J152" i="8" s="1"/>
  <c r="AM81" i="6"/>
  <c r="D150" i="8" s="1"/>
  <c r="K166" i="8"/>
  <c r="AC37" i="6"/>
  <c r="AK75" i="6"/>
  <c r="K155" i="8"/>
  <c r="J157" i="8"/>
  <c r="BK55" i="6"/>
  <c r="L146" i="8" s="1"/>
  <c r="AL3" i="6"/>
  <c r="AK3" i="6"/>
  <c r="AK4" i="6" s="1"/>
  <c r="J140" i="8"/>
  <c r="BL41" i="6"/>
  <c r="AZ41" i="6"/>
  <c r="AZ44" i="6" s="1"/>
  <c r="I143" i="8" s="1"/>
  <c r="J143" i="8" s="1"/>
  <c r="AY76" i="6"/>
  <c r="AX76" i="6"/>
  <c r="AX80" i="6" s="1"/>
  <c r="AY113" i="6"/>
  <c r="BL31" i="6"/>
  <c r="BK77" i="6"/>
  <c r="BL77" i="6"/>
  <c r="AX89" i="6"/>
  <c r="AX91" i="6" s="1"/>
  <c r="AY89" i="6"/>
  <c r="AX141" i="6"/>
  <c r="BK83" i="6"/>
  <c r="BK87" i="6" s="1"/>
  <c r="BL83" i="6"/>
  <c r="BM83" i="6" s="1"/>
  <c r="AK208" i="3"/>
  <c r="AK217" i="3" s="1"/>
  <c r="C47" i="8" s="1"/>
  <c r="AZ154" i="3"/>
  <c r="I36" i="8" s="1"/>
  <c r="J36" i="8" s="1"/>
  <c r="D48" i="8"/>
  <c r="AM217" i="3"/>
  <c r="D47" i="8" s="1"/>
  <c r="C29" i="8"/>
  <c r="AK129" i="3"/>
  <c r="C24" i="8" s="1"/>
  <c r="AY68" i="3"/>
  <c r="AX68" i="3"/>
  <c r="J44" i="8"/>
  <c r="BL156" i="3"/>
  <c r="BM156" i="3" s="1"/>
  <c r="AZ207" i="3"/>
  <c r="BL88" i="3"/>
  <c r="BM88" i="3" s="1"/>
  <c r="BL86" i="3"/>
  <c r="BM86" i="3" s="1"/>
  <c r="AY84" i="3"/>
  <c r="BL87" i="3"/>
  <c r="BM87" i="3" s="1"/>
  <c r="BL198" i="3"/>
  <c r="BM198" i="3" s="1"/>
  <c r="BL85" i="3"/>
  <c r="BM85" i="3" s="1"/>
  <c r="BL93" i="3"/>
  <c r="BM93" i="3" s="1"/>
  <c r="BM98" i="3" s="1"/>
  <c r="M22" i="8" s="1"/>
  <c r="D34" i="11" s="1"/>
  <c r="AL92" i="3"/>
  <c r="AY92" i="3" s="1"/>
  <c r="AK207" i="3"/>
  <c r="AX203" i="3"/>
  <c r="AX125" i="3"/>
  <c r="H28" i="8" s="1"/>
  <c r="AB72" i="3"/>
  <c r="E18" i="8" s="1"/>
  <c r="J50" i="8"/>
  <c r="AM24" i="3"/>
  <c r="D9" i="8" s="1"/>
  <c r="J9" i="8" s="1"/>
  <c r="AB8" i="3"/>
  <c r="E7" i="8" s="1"/>
  <c r="AX24" i="3"/>
  <c r="H9" i="8" s="1"/>
  <c r="AY20" i="3"/>
  <c r="BL20" i="3" s="1"/>
  <c r="AK40" i="3"/>
  <c r="C11" i="8" s="1"/>
  <c r="AK105" i="3"/>
  <c r="AK109" i="3" s="1"/>
  <c r="C23" i="8" s="1"/>
  <c r="AL105" i="3"/>
  <c r="AK134" i="3"/>
  <c r="C31" i="8" s="1"/>
  <c r="AK143" i="3"/>
  <c r="AK146" i="3" s="1"/>
  <c r="C33" i="8" s="1"/>
  <c r="AL143" i="3"/>
  <c r="BL143" i="3" s="1"/>
  <c r="BM143" i="3" s="1"/>
  <c r="C69" i="11"/>
  <c r="C9" i="11"/>
  <c r="AL32" i="3"/>
  <c r="AK32" i="3"/>
  <c r="AK36" i="3" s="1"/>
  <c r="C10" i="8" s="1"/>
  <c r="BL124" i="3"/>
  <c r="BM124" i="3" s="1"/>
  <c r="AZ124" i="3"/>
  <c r="AY130" i="3"/>
  <c r="AX130" i="3"/>
  <c r="AX134" i="3" s="1"/>
  <c r="H31" i="8" s="1"/>
  <c r="AB67" i="3"/>
  <c r="E17" i="8" s="1"/>
  <c r="AM146" i="3"/>
  <c r="J27" i="8"/>
  <c r="AK67" i="3"/>
  <c r="C17" i="8" s="1"/>
  <c r="BK40" i="3"/>
  <c r="L11" i="8" s="1"/>
  <c r="AB45" i="3"/>
  <c r="E12" i="8" s="1"/>
  <c r="AC57" i="3"/>
  <c r="G14" i="8" s="1"/>
  <c r="AX76" i="3"/>
  <c r="H19" i="8" s="1"/>
  <c r="AC91" i="3"/>
  <c r="G21" i="8" s="1"/>
  <c r="BK91" i="3"/>
  <c r="L21" i="8" s="1"/>
  <c r="AB91" i="3"/>
  <c r="AX91" i="3"/>
  <c r="H21" i="8" s="1"/>
  <c r="AC109" i="3"/>
  <c r="G23" i="8" s="1"/>
  <c r="AC125" i="3"/>
  <c r="G28" i="8" s="1"/>
  <c r="AB125" i="3"/>
  <c r="E28" i="8" s="1"/>
  <c r="AC134" i="3"/>
  <c r="G31" i="8" s="1"/>
  <c r="AD134" i="3"/>
  <c r="K31" i="8" s="1"/>
  <c r="AB180" i="3"/>
  <c r="E42" i="8" s="1"/>
  <c r="AY176" i="3"/>
  <c r="AZ176" i="3" s="1"/>
  <c r="AX176" i="3"/>
  <c r="AX180" i="3" s="1"/>
  <c r="H42" i="8" s="1"/>
  <c r="AY202" i="3"/>
  <c r="AX202" i="3"/>
  <c r="AX208" i="3" s="1"/>
  <c r="H48" i="8" s="1"/>
  <c r="BL103" i="3"/>
  <c r="AZ180" i="3"/>
  <c r="I42" i="8" s="1"/>
  <c r="J42" i="8" s="1"/>
  <c r="BK193" i="3"/>
  <c r="L44" i="8" s="1"/>
  <c r="BL16" i="3"/>
  <c r="BM16" i="3" s="1"/>
  <c r="AY27" i="3"/>
  <c r="AZ27" i="3" s="1"/>
  <c r="AY137" i="3"/>
  <c r="BL137" i="3" s="1"/>
  <c r="BM137" i="3" s="1"/>
  <c r="BM167" i="3"/>
  <c r="M40" i="8" s="1"/>
  <c r="D74" i="11" s="1"/>
  <c r="D105" i="11" s="1"/>
  <c r="BK118" i="3"/>
  <c r="BK72" i="3"/>
  <c r="L18" i="8" s="1"/>
  <c r="M23" i="8"/>
  <c r="D35" i="11" s="1"/>
  <c r="BM45" i="3"/>
  <c r="M12" i="8" s="1"/>
  <c r="D21" i="11" s="1"/>
  <c r="BL27" i="3"/>
  <c r="BM27" i="3" s="1"/>
  <c r="L26" i="8"/>
  <c r="M36" i="8"/>
  <c r="D70" i="11" s="1"/>
  <c r="BM57" i="3"/>
  <c r="M14" i="8" s="1"/>
  <c r="D23" i="11" s="1"/>
  <c r="J40" i="8"/>
  <c r="E21" i="8"/>
  <c r="D33" i="8"/>
  <c r="AB151" i="3"/>
  <c r="E30" i="8" s="1"/>
  <c r="E33" i="8"/>
  <c r="G50" i="8"/>
  <c r="AC217" i="3"/>
  <c r="G47" i="8" s="1"/>
  <c r="H34" i="8"/>
  <c r="AM57" i="3"/>
  <c r="E14" i="8"/>
  <c r="AK13" i="3"/>
  <c r="AK18" i="3" s="1"/>
  <c r="C8" i="8" s="1"/>
  <c r="AL13" i="3"/>
  <c r="AM13" i="3" s="1"/>
  <c r="AM18" i="3" s="1"/>
  <c r="D8" i="8" s="1"/>
  <c r="AC18" i="3"/>
  <c r="G8" i="8" s="1"/>
  <c r="AM91" i="3"/>
  <c r="D21" i="8" s="1"/>
  <c r="AX95" i="3"/>
  <c r="AX98" i="3" s="1"/>
  <c r="AY95" i="3"/>
  <c r="AZ95" i="3" s="1"/>
  <c r="AC98" i="3"/>
  <c r="AX118" i="3"/>
  <c r="AY117" i="3"/>
  <c r="BL117" i="3" s="1"/>
  <c r="AK136" i="3"/>
  <c r="AK139" i="3" s="1"/>
  <c r="C32" i="8" s="1"/>
  <c r="AL136" i="3"/>
  <c r="AL2" i="3"/>
  <c r="AK2" i="3"/>
  <c r="AK8" i="3" s="1"/>
  <c r="C7" i="8" s="1"/>
  <c r="AL9" i="3"/>
  <c r="AM9" i="3" s="1"/>
  <c r="AY9" i="3"/>
  <c r="BK30" i="3"/>
  <c r="BL30" i="3"/>
  <c r="BM30" i="3" s="1"/>
  <c r="AY28" i="3"/>
  <c r="AY61" i="3"/>
  <c r="AZ61" i="3" s="1"/>
  <c r="AZ63" i="3" s="1"/>
  <c r="I16" i="8" s="1"/>
  <c r="AX61" i="3"/>
  <c r="BK176" i="3"/>
  <c r="BL176" i="3"/>
  <c r="BM176" i="3" s="1"/>
  <c r="BM180" i="3" s="1"/>
  <c r="AY209" i="3"/>
  <c r="AX209" i="3"/>
  <c r="AX210" i="3" s="1"/>
  <c r="H49" i="8" s="1"/>
  <c r="H46" i="8"/>
  <c r="BL160" i="3"/>
  <c r="BM160" i="3" s="1"/>
  <c r="BM162" i="3" s="1"/>
  <c r="M39" i="8" s="1"/>
  <c r="D73" i="11" s="1"/>
  <c r="D104" i="11" s="1"/>
  <c r="BK160" i="3"/>
  <c r="BK162" i="3" s="1"/>
  <c r="L39" i="8" s="1"/>
  <c r="BL64" i="3"/>
  <c r="AM168" i="3"/>
  <c r="D35" i="8" s="1"/>
  <c r="AZ89" i="3"/>
  <c r="C40" i="8"/>
  <c r="AC58" i="3"/>
  <c r="G6" i="8" s="1"/>
  <c r="AM92" i="3"/>
  <c r="AM98" i="3" s="1"/>
  <c r="D22" i="8" s="1"/>
  <c r="BK217" i="3"/>
  <c r="L47" i="8" s="1"/>
  <c r="AC168" i="3"/>
  <c r="G35" i="8" s="1"/>
  <c r="BL59" i="3"/>
  <c r="AB129" i="3"/>
  <c r="E24" i="8" s="1"/>
  <c r="AK201" i="3"/>
  <c r="C41" i="8" s="1"/>
  <c r="AB168" i="3"/>
  <c r="E35" i="8" s="1"/>
  <c r="AM201" i="3"/>
  <c r="D41" i="8" s="1"/>
  <c r="K14" i="8"/>
  <c r="BL31" i="3"/>
  <c r="BM31" i="3" s="1"/>
  <c r="AZ12" i="3"/>
  <c r="E50" i="8"/>
  <c r="AB217" i="3"/>
  <c r="E47" i="8" s="1"/>
  <c r="BL19" i="3"/>
  <c r="BM19" i="3" s="1"/>
  <c r="BM24" i="3" s="1"/>
  <c r="M9" i="8" s="1"/>
  <c r="D18" i="11" s="1"/>
  <c r="AX63" i="3"/>
  <c r="H16" i="8" s="1"/>
  <c r="AX36" i="3"/>
  <c r="H10" i="8" s="1"/>
  <c r="AX8" i="3"/>
  <c r="H7" i="8" s="1"/>
  <c r="AD36" i="3"/>
  <c r="K10" i="8" s="1"/>
  <c r="AX48" i="3"/>
  <c r="AX50" i="3" s="1"/>
  <c r="C14" i="8"/>
  <c r="AC139" i="3"/>
  <c r="G32" i="8" s="1"/>
  <c r="AD8" i="3"/>
  <c r="K7" i="8" s="1"/>
  <c r="AD45" i="3"/>
  <c r="K12" i="8" s="1"/>
  <c r="AD91" i="3"/>
  <c r="K21" i="8" s="1"/>
  <c r="AD114" i="3"/>
  <c r="K25" i="8" s="1"/>
  <c r="AD125" i="3"/>
  <c r="AD193" i="3"/>
  <c r="K44" i="8" s="1"/>
  <c r="AD200" i="3"/>
  <c r="AX18" i="3"/>
  <c r="H8" i="8" s="1"/>
  <c r="AY39" i="3"/>
  <c r="AX39" i="3"/>
  <c r="AX38" i="3"/>
  <c r="AY38" i="3"/>
  <c r="BL44" i="3"/>
  <c r="BM44" i="3" s="1"/>
  <c r="AZ44" i="3"/>
  <c r="AZ45" i="3" s="1"/>
  <c r="I12" i="8" s="1"/>
  <c r="J12" i="8" s="1"/>
  <c r="AZ57" i="3"/>
  <c r="AM63" i="3"/>
  <c r="D16" i="8" s="1"/>
  <c r="AL66" i="3"/>
  <c r="AY66" i="3" s="1"/>
  <c r="BL66" i="3" s="1"/>
  <c r="BM66" i="3" s="1"/>
  <c r="BM67" i="3" s="1"/>
  <c r="M17" i="8" s="1"/>
  <c r="D29" i="11" s="1"/>
  <c r="AM66" i="3"/>
  <c r="AY71" i="3"/>
  <c r="AX71" i="3"/>
  <c r="AX72" i="3" s="1"/>
  <c r="H18" i="8" s="1"/>
  <c r="BL90" i="3"/>
  <c r="BM90" i="3" s="1"/>
  <c r="BL112" i="3"/>
  <c r="AZ112" i="3"/>
  <c r="AZ114" i="3" s="1"/>
  <c r="I25" i="8" s="1"/>
  <c r="J25" i="8" s="1"/>
  <c r="BL121" i="3"/>
  <c r="BM121" i="3" s="1"/>
  <c r="BM125" i="3" s="1"/>
  <c r="AZ121" i="3"/>
  <c r="AZ144" i="3"/>
  <c r="AZ146" i="3" s="1"/>
  <c r="BL144" i="3"/>
  <c r="BM144" i="3" s="1"/>
  <c r="AY155" i="3"/>
  <c r="AX155" i="3"/>
  <c r="AX157" i="3" s="1"/>
  <c r="AY213" i="3"/>
  <c r="BL213" i="3" s="1"/>
  <c r="BM213" i="3" s="1"/>
  <c r="BM216" i="3" s="1"/>
  <c r="AX213" i="3"/>
  <c r="AX216" i="3" s="1"/>
  <c r="BL135" i="3"/>
  <c r="BM135" i="3" s="1"/>
  <c r="BM139" i="3" s="1"/>
  <c r="M32" i="8" s="1"/>
  <c r="D57" i="11" s="1"/>
  <c r="AZ135" i="3"/>
  <c r="AZ139" i="3" s="1"/>
  <c r="I32" i="8" s="1"/>
  <c r="BM193" i="3"/>
  <c r="M44" i="8" s="1"/>
  <c r="D86" i="11" s="1"/>
  <c r="BL158" i="3"/>
  <c r="BM158" i="3" s="1"/>
  <c r="BM159" i="3" s="1"/>
  <c r="M38" i="8" s="1"/>
  <c r="D72" i="11" s="1"/>
  <c r="H110" i="11" s="1"/>
  <c r="AN10" i="4"/>
  <c r="AZ10" i="4"/>
  <c r="J66" i="8"/>
  <c r="BM11" i="4"/>
  <c r="BN11" i="4" s="1"/>
  <c r="BA11" i="4"/>
  <c r="BN264" i="4"/>
  <c r="M102" i="8" s="1"/>
  <c r="D80" i="12" s="1"/>
  <c r="J96" i="8"/>
  <c r="AC9" i="4"/>
  <c r="E54" i="8" s="1"/>
  <c r="AD24" i="4"/>
  <c r="G57" i="8" s="1"/>
  <c r="BN189" i="4"/>
  <c r="M83" i="8" s="1"/>
  <c r="D52" i="12" s="1"/>
  <c r="AN205" i="4"/>
  <c r="D87" i="8" s="1"/>
  <c r="BA126" i="4"/>
  <c r="BA129" i="4" s="1"/>
  <c r="I77" i="8" s="1"/>
  <c r="J77" i="8" s="1"/>
  <c r="BM76" i="4"/>
  <c r="BN76" i="4" s="1"/>
  <c r="BN78" i="4" s="1"/>
  <c r="M69" i="8" s="1"/>
  <c r="D35" i="12" s="1"/>
  <c r="BM119" i="4"/>
  <c r="BN119" i="4" s="1"/>
  <c r="J58" i="8"/>
  <c r="BM210" i="4"/>
  <c r="AZ26" i="4"/>
  <c r="BM26" i="4" s="1"/>
  <c r="BA264" i="4"/>
  <c r="I102" i="8" s="1"/>
  <c r="J102" i="8" s="1"/>
  <c r="AZ68" i="4"/>
  <c r="BA68" i="4" s="1"/>
  <c r="BA72" i="4" s="1"/>
  <c r="I68" i="8" s="1"/>
  <c r="J68" i="8" s="1"/>
  <c r="AZ223" i="4"/>
  <c r="BM223" i="4" s="1"/>
  <c r="BA81" i="4"/>
  <c r="BM233" i="4"/>
  <c r="BN233" i="4" s="1"/>
  <c r="BN237" i="4" s="1"/>
  <c r="M95" i="8" s="1"/>
  <c r="D70" i="12" s="1"/>
  <c r="AE196" i="4"/>
  <c r="K74" i="8" s="1"/>
  <c r="AZ191" i="4"/>
  <c r="BM170" i="4"/>
  <c r="BN170" i="4" s="1"/>
  <c r="AN246" i="4"/>
  <c r="D97" i="8" s="1"/>
  <c r="AN158" i="4"/>
  <c r="D80" i="8" s="1"/>
  <c r="AD9" i="4"/>
  <c r="G54" i="8" s="1"/>
  <c r="AD18" i="4"/>
  <c r="G56" i="8" s="1"/>
  <c r="AN200" i="4"/>
  <c r="D86" i="8" s="1"/>
  <c r="J86" i="8" s="1"/>
  <c r="BL116" i="4"/>
  <c r="L75" i="8" s="1"/>
  <c r="AL123" i="4"/>
  <c r="C76" i="8" s="1"/>
  <c r="BL240" i="4"/>
  <c r="BL241" i="4" s="1"/>
  <c r="L96" i="8" s="1"/>
  <c r="BM240" i="4"/>
  <c r="BL229" i="4"/>
  <c r="BL232" i="4" s="1"/>
  <c r="L94" i="8" s="1"/>
  <c r="AC37" i="4"/>
  <c r="E60" i="8" s="1"/>
  <c r="AD37" i="4"/>
  <c r="G60" i="8" s="1"/>
  <c r="AC40" i="4"/>
  <c r="E61" i="8" s="1"/>
  <c r="AC52" i="4"/>
  <c r="E64" i="8" s="1"/>
  <c r="AY52" i="4"/>
  <c r="H64" i="8" s="1"/>
  <c r="AC67" i="4"/>
  <c r="E67" i="8" s="1"/>
  <c r="AC90" i="4"/>
  <c r="E71" i="8" s="1"/>
  <c r="AD90" i="4"/>
  <c r="G71" i="8" s="1"/>
  <c r="AL110" i="4"/>
  <c r="AL116" i="4" s="1"/>
  <c r="C75" i="8" s="1"/>
  <c r="AC129" i="4"/>
  <c r="E77" i="8" s="1"/>
  <c r="AC185" i="4"/>
  <c r="E82" i="8" s="1"/>
  <c r="AC189" i="4"/>
  <c r="AC196" i="4" s="1"/>
  <c r="E74" i="8" s="1"/>
  <c r="AZ203" i="4"/>
  <c r="BM203" i="4" s="1"/>
  <c r="AY222" i="4"/>
  <c r="H91" i="8" s="1"/>
  <c r="AL227" i="4"/>
  <c r="C92" i="8" s="1"/>
  <c r="AC232" i="4"/>
  <c r="E94" i="8" s="1"/>
  <c r="AE28" i="4"/>
  <c r="K58" i="8" s="1"/>
  <c r="AN40" i="4"/>
  <c r="D61" i="8" s="1"/>
  <c r="BM168" i="4"/>
  <c r="BN168" i="4" s="1"/>
  <c r="BM166" i="4"/>
  <c r="BN166" i="4" s="1"/>
  <c r="AN208" i="4"/>
  <c r="D88" i="8" s="1"/>
  <c r="AM219" i="4"/>
  <c r="AL219" i="4"/>
  <c r="AL222" i="4" s="1"/>
  <c r="C91" i="8" s="1"/>
  <c r="BM245" i="4"/>
  <c r="BM194" i="4"/>
  <c r="BN194" i="4" s="1"/>
  <c r="BL194" i="4"/>
  <c r="BL195" i="4" s="1"/>
  <c r="L84" i="8" s="1"/>
  <c r="AC222" i="4"/>
  <c r="AC228" i="4" s="1"/>
  <c r="E85" i="8" s="1"/>
  <c r="AN232" i="4"/>
  <c r="D94" i="8" s="1"/>
  <c r="J94" i="8" s="1"/>
  <c r="AC237" i="4"/>
  <c r="E95" i="8" s="1"/>
  <c r="AD237" i="4"/>
  <c r="G95" i="8" s="1"/>
  <c r="AC261" i="4"/>
  <c r="E101" i="8" s="1"/>
  <c r="AE232" i="4"/>
  <c r="AE78" i="4"/>
  <c r="K69" i="8" s="1"/>
  <c r="AZ111" i="4"/>
  <c r="BM111" i="4"/>
  <c r="BN111" i="4" s="1"/>
  <c r="BN116" i="4" s="1"/>
  <c r="M75" i="8" s="1"/>
  <c r="D44" i="12" s="1"/>
  <c r="BM143" i="4"/>
  <c r="BN143" i="4" s="1"/>
  <c r="BA203" i="4"/>
  <c r="E91" i="8"/>
  <c r="L82" i="8"/>
  <c r="D73" i="8"/>
  <c r="BA246" i="4"/>
  <c r="I97" i="8" s="1"/>
  <c r="J97" i="8" s="1"/>
  <c r="BA211" i="4"/>
  <c r="BA212" i="4" s="1"/>
  <c r="I89" i="8" s="1"/>
  <c r="J89" i="8" s="1"/>
  <c r="BM211" i="4"/>
  <c r="BM178" i="4"/>
  <c r="BN178" i="4" s="1"/>
  <c r="BA178" i="4"/>
  <c r="AL152" i="4"/>
  <c r="C79" i="8" s="1"/>
  <c r="BM217" i="4"/>
  <c r="BN217" i="4" s="1"/>
  <c r="BA217" i="4"/>
  <c r="K55" i="8"/>
  <c r="AN8" i="4"/>
  <c r="AZ8" i="4"/>
  <c r="AN12" i="4"/>
  <c r="AZ12" i="4"/>
  <c r="AC14" i="4"/>
  <c r="AL47" i="4"/>
  <c r="AL52" i="4" s="1"/>
  <c r="C64" i="8" s="1"/>
  <c r="AM47" i="4"/>
  <c r="AZ92" i="4"/>
  <c r="AY92" i="4"/>
  <c r="AY94" i="4" s="1"/>
  <c r="AN104" i="4"/>
  <c r="AN116" i="4" s="1"/>
  <c r="D75" i="8" s="1"/>
  <c r="AZ104" i="4"/>
  <c r="G75" i="8"/>
  <c r="AD196" i="4"/>
  <c r="G74" i="8" s="1"/>
  <c r="AY117" i="4"/>
  <c r="AY123" i="4" s="1"/>
  <c r="H76" i="8" s="1"/>
  <c r="AZ117" i="4"/>
  <c r="BM117" i="4" s="1"/>
  <c r="BN117" i="4" s="1"/>
  <c r="AN185" i="4"/>
  <c r="D82" i="8" s="1"/>
  <c r="AZ174" i="4"/>
  <c r="BA174" i="4" s="1"/>
  <c r="E83" i="8"/>
  <c r="AM194" i="4"/>
  <c r="AN194" i="4" s="1"/>
  <c r="AN195" i="4" s="1"/>
  <c r="AL194" i="4"/>
  <c r="AL195" i="4" s="1"/>
  <c r="AM213" i="4"/>
  <c r="AL213" i="4"/>
  <c r="AL216" i="4" s="1"/>
  <c r="C90" i="8" s="1"/>
  <c r="G92" i="8"/>
  <c r="AD228" i="4"/>
  <c r="G85" i="8" s="1"/>
  <c r="AD232" i="4"/>
  <c r="AZ175" i="4"/>
  <c r="BM175" i="4" s="1"/>
  <c r="BN175" i="4" s="1"/>
  <c r="AZ218" i="4"/>
  <c r="BM218" i="4" s="1"/>
  <c r="BA116" i="4"/>
  <c r="I75" i="8" s="1"/>
  <c r="BA49" i="4"/>
  <c r="AL44" i="4"/>
  <c r="C52" i="8" s="1"/>
  <c r="BA169" i="4"/>
  <c r="I81" i="8" s="1"/>
  <c r="AE228" i="4"/>
  <c r="K85" i="8" s="1"/>
  <c r="L53" i="8"/>
  <c r="BL44" i="4"/>
  <c r="L52" i="8" s="1"/>
  <c r="BM254" i="4"/>
  <c r="BN254" i="4" s="1"/>
  <c r="BN261" i="4" s="1"/>
  <c r="M101" i="8" s="1"/>
  <c r="D79" i="12" s="1"/>
  <c r="BA254" i="4"/>
  <c r="BA261" i="4" s="1"/>
  <c r="BN129" i="4"/>
  <c r="M77" i="8" s="1"/>
  <c r="D46" i="12" s="1"/>
  <c r="BM157" i="4"/>
  <c r="BN157" i="4" s="1"/>
  <c r="BN158" i="4" s="1"/>
  <c r="M80" i="8" s="1"/>
  <c r="D49" i="12" s="1"/>
  <c r="BA157" i="4"/>
  <c r="BA158" i="4" s="1"/>
  <c r="I80" i="8" s="1"/>
  <c r="BM23" i="4"/>
  <c r="BN23" i="4" s="1"/>
  <c r="BA23" i="4"/>
  <c r="K64" i="8"/>
  <c r="BM29" i="4"/>
  <c r="BN29" i="4" s="1"/>
  <c r="BA29" i="4"/>
  <c r="BM2" i="4"/>
  <c r="BN2" i="4" s="1"/>
  <c r="BN5" i="4" s="1"/>
  <c r="BA2" i="4"/>
  <c r="BA5" i="4" s="1"/>
  <c r="BM207" i="4"/>
  <c r="BN207" i="4" s="1"/>
  <c r="BN208" i="4" s="1"/>
  <c r="M88" i="8" s="1"/>
  <c r="D60" i="12" s="1"/>
  <c r="BA207" i="4"/>
  <c r="BA208" i="4" s="1"/>
  <c r="I88" i="8" s="1"/>
  <c r="BM30" i="4"/>
  <c r="BN30" i="4" s="1"/>
  <c r="BA30" i="4"/>
  <c r="AN123" i="4"/>
  <c r="D76" i="8" s="1"/>
  <c r="J76" i="8" s="1"/>
  <c r="BM141" i="4"/>
  <c r="BN141" i="4" s="1"/>
  <c r="BA141" i="4"/>
  <c r="AN227" i="4"/>
  <c r="AL72" i="4"/>
  <c r="C68" i="8" s="1"/>
  <c r="AM166" i="4"/>
  <c r="AN166" i="4" s="1"/>
  <c r="AN169" i="4" s="1"/>
  <c r="D81" i="8" s="1"/>
  <c r="AY253" i="4"/>
  <c r="H93" i="8" s="1"/>
  <c r="AN261" i="4"/>
  <c r="BL257" i="4"/>
  <c r="BL261" i="4" s="1"/>
  <c r="BM257" i="4"/>
  <c r="AY259" i="4"/>
  <c r="AZ259" i="4"/>
  <c r="BM259" i="4" s="1"/>
  <c r="AY260" i="4"/>
  <c r="AZ260" i="4"/>
  <c r="BM260" i="4" s="1"/>
  <c r="E102" i="8"/>
  <c r="AC265" i="4"/>
  <c r="E100" i="8" s="1"/>
  <c r="C6" i="12"/>
  <c r="C29" i="12"/>
  <c r="AN33" i="4"/>
  <c r="AN37" i="4" s="1"/>
  <c r="D60" i="8" s="1"/>
  <c r="AZ33" i="4"/>
  <c r="AZ39" i="4"/>
  <c r="BA55" i="4"/>
  <c r="BA57" i="4" s="1"/>
  <c r="I65" i="8" s="1"/>
  <c r="J65" i="8" s="1"/>
  <c r="BM55" i="4"/>
  <c r="BN55" i="4" s="1"/>
  <c r="BN57" i="4" s="1"/>
  <c r="M65" i="8" s="1"/>
  <c r="D31" i="12" s="1"/>
  <c r="AN77" i="4"/>
  <c r="AZ77" i="4"/>
  <c r="AN82" i="4"/>
  <c r="AN84" i="4" s="1"/>
  <c r="D70" i="8" s="1"/>
  <c r="AZ82" i="4"/>
  <c r="BA88" i="4"/>
  <c r="BA90" i="4" s="1"/>
  <c r="I71" i="8" s="1"/>
  <c r="J71" i="8" s="1"/>
  <c r="BM88" i="4"/>
  <c r="BN88" i="4" s="1"/>
  <c r="BN90" i="4" s="1"/>
  <c r="M71" i="8" s="1"/>
  <c r="D37" i="12" s="1"/>
  <c r="BA99" i="4"/>
  <c r="AN247" i="4"/>
  <c r="AN249" i="4" s="1"/>
  <c r="D98" i="8" s="1"/>
  <c r="AZ247" i="4"/>
  <c r="AL212" i="4"/>
  <c r="C89" i="8" s="1"/>
  <c r="AN6" i="4"/>
  <c r="AN9" i="4" s="1"/>
  <c r="AZ6" i="4"/>
  <c r="AY7" i="4"/>
  <c r="AY9" i="4" s="1"/>
  <c r="AZ7" i="4"/>
  <c r="AD14" i="4"/>
  <c r="G55" i="8" s="1"/>
  <c r="AD52" i="4"/>
  <c r="G64" i="8" s="1"/>
  <c r="AL73" i="4"/>
  <c r="AL78" i="4" s="1"/>
  <c r="C69" i="8" s="1"/>
  <c r="AM73" i="4"/>
  <c r="AN73" i="4" s="1"/>
  <c r="AN146" i="4"/>
  <c r="D78" i="8" s="1"/>
  <c r="AY145" i="4"/>
  <c r="AY146" i="4" s="1"/>
  <c r="H78" i="8" s="1"/>
  <c r="AZ145" i="4"/>
  <c r="AZ154" i="4"/>
  <c r="BM154" i="4" s="1"/>
  <c r="J83" i="8"/>
  <c r="AZ239" i="4"/>
  <c r="BM239" i="4" s="1"/>
  <c r="AL246" i="4"/>
  <c r="AM91" i="4"/>
  <c r="AN91" i="4" s="1"/>
  <c r="AN94" i="4" s="1"/>
  <c r="D72" i="8" s="1"/>
  <c r="AL91" i="4"/>
  <c r="AL94" i="4" s="1"/>
  <c r="BM242" i="4"/>
  <c r="AD261" i="4"/>
  <c r="AZ21" i="4"/>
  <c r="AY21" i="4"/>
  <c r="AY24" i="4" s="1"/>
  <c r="H57" i="8" s="1"/>
  <c r="AZ215" i="4"/>
  <c r="AY215" i="4"/>
  <c r="AY216" i="4" s="1"/>
  <c r="BN62" i="4"/>
  <c r="M66" i="8" s="1"/>
  <c r="D32" i="12" s="1"/>
  <c r="AN90" i="4"/>
  <c r="D71" i="8" s="1"/>
  <c r="BL151" i="4"/>
  <c r="BL152" i="4" s="1"/>
  <c r="L79" i="8" s="1"/>
  <c r="BM151" i="4"/>
  <c r="BN151" i="4" s="1"/>
  <c r="BN152" i="4" s="1"/>
  <c r="M79" i="8" s="1"/>
  <c r="D48" i="12" s="1"/>
  <c r="BM238" i="4"/>
  <c r="BM197" i="4"/>
  <c r="BM171" i="4"/>
  <c r="BN171" i="4" s="1"/>
  <c r="BN185" i="4" s="1"/>
  <c r="M82" i="8" s="1"/>
  <c r="D51" i="12" s="1"/>
  <c r="BK36" i="3"/>
  <c r="L10" i="8" s="1"/>
  <c r="BK24" i="3"/>
  <c r="L9" i="8" s="1"/>
  <c r="BK18" i="3"/>
  <c r="L8" i="8"/>
  <c r="BM39" i="7"/>
  <c r="M180" i="8"/>
  <c r="D23" i="15" s="1"/>
  <c r="BN67" i="4"/>
  <c r="M67" i="8" s="1"/>
  <c r="D33" i="12" s="1"/>
  <c r="BL100" i="4"/>
  <c r="L63" i="8" s="1"/>
  <c r="L67" i="8"/>
  <c r="BN52" i="4"/>
  <c r="M64" i="8" s="1"/>
  <c r="D30" i="12" s="1"/>
  <c r="BK80" i="5"/>
  <c r="M124" i="8" s="1"/>
  <c r="D42" i="13" s="1"/>
  <c r="BM184" i="3"/>
  <c r="M43" i="8" s="1"/>
  <c r="D85" i="11" s="1"/>
  <c r="BK180" i="3"/>
  <c r="L42" i="8" s="1"/>
  <c r="M72" i="8"/>
  <c r="D38" i="12" s="1"/>
  <c r="L148" i="8"/>
  <c r="I135" i="8"/>
  <c r="J135" i="8" s="1"/>
  <c r="AZ28" i="6"/>
  <c r="I132" i="8" s="1"/>
  <c r="M135" i="8"/>
  <c r="D24" i="14" s="1"/>
  <c r="BK28" i="6"/>
  <c r="L132" i="8" s="1"/>
  <c r="L130" i="8"/>
  <c r="BK8" i="6"/>
  <c r="L129" i="8" s="1"/>
  <c r="BM8" i="6"/>
  <c r="M129" i="8" s="1"/>
  <c r="M130" i="8"/>
  <c r="D16" i="14" s="1"/>
  <c r="BI80" i="5"/>
  <c r="L124" i="8" s="1"/>
  <c r="M122" i="8"/>
  <c r="D40" i="13" s="1"/>
  <c r="BK81" i="5"/>
  <c r="M121" i="8" s="1"/>
  <c r="AX58" i="5"/>
  <c r="I104" i="8" s="1"/>
  <c r="M113" i="8"/>
  <c r="D22" i="13" s="1"/>
  <c r="BK58" i="5"/>
  <c r="M104" i="8" s="1"/>
  <c r="BI58" i="5"/>
  <c r="L104" i="8" s="1"/>
  <c r="L113" i="8"/>
  <c r="C202" i="8" l="1"/>
  <c r="AK101" i="7"/>
  <c r="E201" i="8"/>
  <c r="AB101" i="7"/>
  <c r="E199" i="8" s="1"/>
  <c r="H106" i="8"/>
  <c r="AV58" i="5"/>
  <c r="H104" i="8" s="1"/>
  <c r="H103" i="8" s="1"/>
  <c r="BA235" i="4"/>
  <c r="BA237" i="4" s="1"/>
  <c r="I95" i="8" s="1"/>
  <c r="J95" i="8" s="1"/>
  <c r="BM235" i="4"/>
  <c r="D31" i="15"/>
  <c r="D6" i="15"/>
  <c r="L171" i="8"/>
  <c r="BA223" i="4"/>
  <c r="BA227" i="4" s="1"/>
  <c r="BM146" i="3"/>
  <c r="AK110" i="3"/>
  <c r="C15" i="8" s="1"/>
  <c r="BK151" i="3"/>
  <c r="L30" i="8" s="1"/>
  <c r="K151" i="8"/>
  <c r="AM99" i="7"/>
  <c r="AM100" i="7" s="1"/>
  <c r="AY99" i="7"/>
  <c r="H200" i="8"/>
  <c r="AX101" i="7"/>
  <c r="AL265" i="4"/>
  <c r="C100" i="8" s="1"/>
  <c r="C102" i="8"/>
  <c r="BK71" i="5"/>
  <c r="M117" i="8" s="1"/>
  <c r="M118" i="8"/>
  <c r="D31" i="13" s="1"/>
  <c r="I193" i="8"/>
  <c r="J193" i="8" s="1"/>
  <c r="AZ76" i="7"/>
  <c r="I189" i="8" s="1"/>
  <c r="J189" i="8" s="1"/>
  <c r="D42" i="15"/>
  <c r="D7" i="15"/>
  <c r="AC253" i="4"/>
  <c r="E93" i="8" s="1"/>
  <c r="AE100" i="4"/>
  <c r="K63" i="8" s="1"/>
  <c r="J80" i="8"/>
  <c r="BL253" i="4"/>
  <c r="L93" i="8" s="1"/>
  <c r="BN169" i="4"/>
  <c r="M81" i="8" s="1"/>
  <c r="D50" i="12" s="1"/>
  <c r="AM67" i="3"/>
  <c r="D17" i="8" s="1"/>
  <c r="J17" i="8" s="1"/>
  <c r="AB58" i="3"/>
  <c r="E6" i="8" s="1"/>
  <c r="AD151" i="3"/>
  <c r="K30" i="8" s="1"/>
  <c r="AZ197" i="3"/>
  <c r="AZ200" i="3" s="1"/>
  <c r="AX134" i="6"/>
  <c r="H163" i="8" s="1"/>
  <c r="J129" i="8"/>
  <c r="BK67" i="6"/>
  <c r="L138" i="8" s="1"/>
  <c r="BM16" i="6"/>
  <c r="M133" i="8" s="1"/>
  <c r="D22" i="14" s="1"/>
  <c r="AD87" i="5"/>
  <c r="K125" i="8" s="1"/>
  <c r="K103" i="8" s="1"/>
  <c r="K126" i="8"/>
  <c r="D203" i="8"/>
  <c r="BA202" i="4"/>
  <c r="BA205" i="4" s="1"/>
  <c r="I87" i="8" s="1"/>
  <c r="J87" i="8" s="1"/>
  <c r="BM202" i="4"/>
  <c r="J124" i="8"/>
  <c r="D53" i="15"/>
  <c r="D8" i="15"/>
  <c r="D62" i="15"/>
  <c r="D9" i="15"/>
  <c r="I203" i="8"/>
  <c r="J203" i="8" s="1"/>
  <c r="K171" i="8"/>
  <c r="BM64" i="4"/>
  <c r="BA64" i="4"/>
  <c r="BA67" i="4" s="1"/>
  <c r="I67" i="8" s="1"/>
  <c r="J67" i="8" s="1"/>
  <c r="BK201" i="3"/>
  <c r="L41" i="8" s="1"/>
  <c r="BM68" i="4"/>
  <c r="BN68" i="4" s="1"/>
  <c r="BN72" i="4" s="1"/>
  <c r="M68" i="8" s="1"/>
  <c r="D34" i="12" s="1"/>
  <c r="AC100" i="4"/>
  <c r="E63" i="8" s="1"/>
  <c r="BK129" i="3"/>
  <c r="L24" i="8" s="1"/>
  <c r="AB67" i="6"/>
  <c r="E138" i="8" s="1"/>
  <c r="M205" i="8"/>
  <c r="D84" i="15" s="1"/>
  <c r="BM109" i="7"/>
  <c r="M203" i="8" s="1"/>
  <c r="AZ92" i="7"/>
  <c r="AZ93" i="7" s="1"/>
  <c r="I200" i="8" s="1"/>
  <c r="J200" i="8" s="1"/>
  <c r="BL92" i="7"/>
  <c r="BM92" i="7" s="1"/>
  <c r="BM93" i="7" s="1"/>
  <c r="M200" i="8" s="1"/>
  <c r="D71" i="15" s="1"/>
  <c r="AM90" i="7"/>
  <c r="D197" i="8" s="1"/>
  <c r="J197" i="8" s="1"/>
  <c r="D198" i="8"/>
  <c r="J198" i="8" s="1"/>
  <c r="BA251" i="4"/>
  <c r="BA252" i="4" s="1"/>
  <c r="I99" i="8" s="1"/>
  <c r="J99" i="8" s="1"/>
  <c r="BM251" i="4"/>
  <c r="BL228" i="4"/>
  <c r="L85" i="8" s="1"/>
  <c r="D91" i="15"/>
  <c r="D12" i="15"/>
  <c r="AM72" i="3"/>
  <c r="D18" i="8" s="1"/>
  <c r="E171" i="8"/>
  <c r="I173" i="8"/>
  <c r="J173" i="8" s="1"/>
  <c r="AZ39" i="7"/>
  <c r="I172" i="8" s="1"/>
  <c r="D185" i="8"/>
  <c r="J185" i="8" s="1"/>
  <c r="AM55" i="7"/>
  <c r="D184" i="8" s="1"/>
  <c r="D165" i="8"/>
  <c r="J165" i="8" s="1"/>
  <c r="E166" i="8"/>
  <c r="AB134" i="6"/>
  <c r="E163" i="8" s="1"/>
  <c r="E128" i="8" s="1"/>
  <c r="D169" i="8"/>
  <c r="J169" i="8" s="1"/>
  <c r="AM144" i="6"/>
  <c r="D168" i="8" s="1"/>
  <c r="J168" i="8" s="1"/>
  <c r="AZ128" i="6"/>
  <c r="AM109" i="6"/>
  <c r="AM117" i="6" s="1"/>
  <c r="D164" i="8" s="1"/>
  <c r="AY109" i="6"/>
  <c r="C134" i="8"/>
  <c r="AK28" i="6"/>
  <c r="C132" i="8" s="1"/>
  <c r="BM28" i="6"/>
  <c r="M132" i="8" s="1"/>
  <c r="D21" i="14" s="1"/>
  <c r="AD92" i="6"/>
  <c r="K153" i="8" s="1"/>
  <c r="AD134" i="6"/>
  <c r="K163" i="8" s="1"/>
  <c r="BM48" i="6"/>
  <c r="M144" i="8" s="1"/>
  <c r="D36" i="14" s="1"/>
  <c r="AZ99" i="6"/>
  <c r="AZ100" i="6" s="1"/>
  <c r="BL99" i="6"/>
  <c r="BK117" i="6"/>
  <c r="G154" i="8"/>
  <c r="AC92" i="6"/>
  <c r="G153" i="8" s="1"/>
  <c r="AK144" i="6"/>
  <c r="C168" i="8" s="1"/>
  <c r="C169" i="8"/>
  <c r="K148" i="8"/>
  <c r="AD67" i="6"/>
  <c r="K138" i="8" s="1"/>
  <c r="BL86" i="6"/>
  <c r="BM86" i="6" s="1"/>
  <c r="BM87" i="6" s="1"/>
  <c r="AZ86" i="6"/>
  <c r="AZ87" i="6" s="1"/>
  <c r="I154" i="8" s="1"/>
  <c r="J154" i="8" s="1"/>
  <c r="AK134" i="6"/>
  <c r="C163" i="8" s="1"/>
  <c r="AZ56" i="6"/>
  <c r="AZ58" i="6" s="1"/>
  <c r="AZ67" i="6" s="1"/>
  <c r="I138" i="8" s="1"/>
  <c r="J138" i="8" s="1"/>
  <c r="BL56" i="6"/>
  <c r="BM56" i="6" s="1"/>
  <c r="BM58" i="6" s="1"/>
  <c r="M147" i="8" s="1"/>
  <c r="D39" i="14" s="1"/>
  <c r="H169" i="8"/>
  <c r="AX144" i="6"/>
  <c r="H168" i="8" s="1"/>
  <c r="G141" i="8"/>
  <c r="AC67" i="6"/>
  <c r="G138" i="8" s="1"/>
  <c r="D83" i="14"/>
  <c r="D12" i="14"/>
  <c r="H155" i="8"/>
  <c r="AX92" i="6"/>
  <c r="H153" i="8" s="1"/>
  <c r="BM77" i="6"/>
  <c r="BM80" i="6" s="1"/>
  <c r="BK80" i="6"/>
  <c r="BL113" i="6"/>
  <c r="BM113" i="6" s="1"/>
  <c r="AZ113" i="6"/>
  <c r="H152" i="8"/>
  <c r="AX81" i="6"/>
  <c r="H150" i="8" s="1"/>
  <c r="H128" i="8" s="1"/>
  <c r="D61" i="14"/>
  <c r="D10" i="14"/>
  <c r="L154" i="8"/>
  <c r="BK92" i="6"/>
  <c r="L153" i="8" s="1"/>
  <c r="BL89" i="6"/>
  <c r="AZ89" i="6"/>
  <c r="AZ91" i="6" s="1"/>
  <c r="C130" i="8"/>
  <c r="AK8" i="6"/>
  <c r="C129" i="8" s="1"/>
  <c r="C151" i="8"/>
  <c r="AK81" i="6"/>
  <c r="C150" i="8" s="1"/>
  <c r="J150" i="8"/>
  <c r="AC151" i="3"/>
  <c r="G30" i="8" s="1"/>
  <c r="AM32" i="3"/>
  <c r="AM36" i="3" s="1"/>
  <c r="D10" i="8" s="1"/>
  <c r="AY32" i="3"/>
  <c r="AY105" i="3"/>
  <c r="AM105" i="3"/>
  <c r="AM109" i="3" s="1"/>
  <c r="D23" i="8" s="1"/>
  <c r="AZ92" i="3"/>
  <c r="AZ98" i="3" s="1"/>
  <c r="I22" i="8" s="1"/>
  <c r="J22" i="8" s="1"/>
  <c r="BL92" i="3"/>
  <c r="AZ68" i="3"/>
  <c r="BL68" i="3"/>
  <c r="BM68" i="3" s="1"/>
  <c r="AZ125" i="3"/>
  <c r="AZ129" i="3" s="1"/>
  <c r="I24" i="8" s="1"/>
  <c r="J24" i="8" s="1"/>
  <c r="AX40" i="3"/>
  <c r="H11" i="8" s="1"/>
  <c r="AK58" i="3"/>
  <c r="C6" i="8" s="1"/>
  <c r="AC129" i="3"/>
  <c r="G24" i="8" s="1"/>
  <c r="AB201" i="3"/>
  <c r="E41" i="8" s="1"/>
  <c r="C48" i="8"/>
  <c r="AX201" i="3"/>
  <c r="H41" i="8" s="1"/>
  <c r="AX151" i="3"/>
  <c r="H30" i="8" s="1"/>
  <c r="AB110" i="3"/>
  <c r="E15" i="8" s="1"/>
  <c r="BK110" i="3"/>
  <c r="L15" i="8" s="1"/>
  <c r="BL202" i="3"/>
  <c r="BM202" i="3" s="1"/>
  <c r="BM208" i="3" s="1"/>
  <c r="M48" i="8" s="1"/>
  <c r="D95" i="11" s="1"/>
  <c r="AZ202" i="3"/>
  <c r="AZ208" i="3" s="1"/>
  <c r="I48" i="8" s="1"/>
  <c r="J48" i="8" s="1"/>
  <c r="BL130" i="3"/>
  <c r="BM130" i="3" s="1"/>
  <c r="BM134" i="3" s="1"/>
  <c r="M31" i="8" s="1"/>
  <c r="D56" i="11" s="1"/>
  <c r="AZ130" i="3"/>
  <c r="AZ134" i="3" s="1"/>
  <c r="I31" i="8" s="1"/>
  <c r="J31" i="8" s="1"/>
  <c r="BL84" i="3"/>
  <c r="BM84" i="3" s="1"/>
  <c r="BM91" i="3" s="1"/>
  <c r="M21" i="8" s="1"/>
  <c r="D33" i="11" s="1"/>
  <c r="AZ84" i="3"/>
  <c r="AZ91" i="3" s="1"/>
  <c r="I21" i="8" s="1"/>
  <c r="J21" i="8" s="1"/>
  <c r="BM200" i="3"/>
  <c r="M46" i="8" s="1"/>
  <c r="D88" i="11" s="1"/>
  <c r="AX217" i="3"/>
  <c r="H47" i="8" s="1"/>
  <c r="H50" i="8"/>
  <c r="M33" i="8"/>
  <c r="D58" i="11" s="1"/>
  <c r="BM151" i="3"/>
  <c r="M30" i="8" s="1"/>
  <c r="I33" i="8"/>
  <c r="J33" i="8" s="1"/>
  <c r="H13" i="8"/>
  <c r="H37" i="8"/>
  <c r="AX159" i="3"/>
  <c r="M28" i="8"/>
  <c r="D49" i="11" s="1"/>
  <c r="H105" i="11" s="1"/>
  <c r="BM129" i="3"/>
  <c r="M24" i="8" s="1"/>
  <c r="AZ39" i="3"/>
  <c r="BL39" i="3"/>
  <c r="BM39" i="3" s="1"/>
  <c r="K46" i="8"/>
  <c r="AD201" i="3"/>
  <c r="K41" i="8" s="1"/>
  <c r="K28" i="8"/>
  <c r="AD129" i="3"/>
  <c r="K24" i="8" s="1"/>
  <c r="BK168" i="3"/>
  <c r="L35" i="8" s="1"/>
  <c r="BM209" i="3"/>
  <c r="BM210" i="3" s="1"/>
  <c r="M49" i="8" s="1"/>
  <c r="D96" i="11" s="1"/>
  <c r="AZ210" i="3"/>
  <c r="J16" i="8"/>
  <c r="AZ9" i="3"/>
  <c r="AZ18" i="3" s="1"/>
  <c r="I8" i="8" s="1"/>
  <c r="J8" i="8" s="1"/>
  <c r="BL9" i="3"/>
  <c r="BM9" i="3" s="1"/>
  <c r="BM18" i="3" s="1"/>
  <c r="M8" i="8" s="1"/>
  <c r="D17" i="11" s="1"/>
  <c r="H26" i="8"/>
  <c r="AX129" i="3"/>
  <c r="H24" i="8" s="1"/>
  <c r="D14" i="8"/>
  <c r="I46" i="8"/>
  <c r="J46" i="8" s="1"/>
  <c r="AZ201" i="3"/>
  <c r="I41" i="8" s="1"/>
  <c r="J41" i="8" s="1"/>
  <c r="AK151" i="3"/>
  <c r="C30" i="8" s="1"/>
  <c r="C5" i="8" s="1"/>
  <c r="M50" i="8"/>
  <c r="D97" i="11" s="1"/>
  <c r="BL155" i="3"/>
  <c r="BM155" i="3" s="1"/>
  <c r="BM157" i="3" s="1"/>
  <c r="AZ155" i="3"/>
  <c r="AZ157" i="3" s="1"/>
  <c r="I28" i="8"/>
  <c r="J28" i="8" s="1"/>
  <c r="AZ71" i="3"/>
  <c r="AZ72" i="3" s="1"/>
  <c r="I18" i="8" s="1"/>
  <c r="J18" i="8" s="1"/>
  <c r="BL71" i="3"/>
  <c r="BM71" i="3" s="1"/>
  <c r="BM72" i="3" s="1"/>
  <c r="M18" i="8" s="1"/>
  <c r="D30" i="11" s="1"/>
  <c r="I14" i="8"/>
  <c r="J14" i="8" s="1"/>
  <c r="AZ38" i="3"/>
  <c r="BL38" i="3"/>
  <c r="BM38" i="3" s="1"/>
  <c r="AD110" i="3"/>
  <c r="K15" i="8" s="1"/>
  <c r="BL61" i="3"/>
  <c r="BL28" i="3"/>
  <c r="BM28" i="3" s="1"/>
  <c r="AZ28" i="3"/>
  <c r="AM2" i="3"/>
  <c r="AM8" i="3" s="1"/>
  <c r="D7" i="8" s="1"/>
  <c r="AY2" i="3"/>
  <c r="AM136" i="3"/>
  <c r="AM139" i="3" s="1"/>
  <c r="AY136" i="3"/>
  <c r="BL136" i="3" s="1"/>
  <c r="G22" i="8"/>
  <c r="AC110" i="3"/>
  <c r="G15" i="8" s="1"/>
  <c r="G5" i="8" s="1"/>
  <c r="H22" i="8"/>
  <c r="AX110" i="3"/>
  <c r="H15" i="8" s="1"/>
  <c r="AD58" i="3"/>
  <c r="K6" i="8" s="1"/>
  <c r="K5" i="8" s="1"/>
  <c r="E5" i="8"/>
  <c r="AM110" i="3"/>
  <c r="D15" i="8" s="1"/>
  <c r="BM191" i="4"/>
  <c r="BN191" i="4" s="1"/>
  <c r="BN195" i="4" s="1"/>
  <c r="M84" i="8" s="1"/>
  <c r="D53" i="12" s="1"/>
  <c r="BA191" i="4"/>
  <c r="BA195" i="4" s="1"/>
  <c r="I84" i="8" s="1"/>
  <c r="J88" i="8"/>
  <c r="BN32" i="4"/>
  <c r="M59" i="8" s="1"/>
  <c r="D23" i="12" s="1"/>
  <c r="BN123" i="4"/>
  <c r="M76" i="8" s="1"/>
  <c r="D45" i="12" s="1"/>
  <c r="AN14" i="4"/>
  <c r="D55" i="8" s="1"/>
  <c r="AE44" i="4"/>
  <c r="K52" i="8" s="1"/>
  <c r="K94" i="8"/>
  <c r="AE253" i="4"/>
  <c r="K93" i="8" s="1"/>
  <c r="AN219" i="4"/>
  <c r="AN222" i="4" s="1"/>
  <c r="D91" i="8" s="1"/>
  <c r="AZ219" i="4"/>
  <c r="BA10" i="4"/>
  <c r="BM10" i="4"/>
  <c r="BN10" i="4" s="1"/>
  <c r="BN14" i="4" s="1"/>
  <c r="M55" i="8" s="1"/>
  <c r="D19" i="12" s="1"/>
  <c r="BM215" i="4"/>
  <c r="BA215" i="4"/>
  <c r="BM21" i="4"/>
  <c r="BN21" i="4" s="1"/>
  <c r="BN24" i="4" s="1"/>
  <c r="M57" i="8" s="1"/>
  <c r="D21" i="12" s="1"/>
  <c r="BA21" i="4"/>
  <c r="BA24" i="4" s="1"/>
  <c r="I57" i="8" s="1"/>
  <c r="J57" i="8" s="1"/>
  <c r="AL100" i="4"/>
  <c r="C63" i="8" s="1"/>
  <c r="C72" i="8"/>
  <c r="C97" i="8"/>
  <c r="AL253" i="4"/>
  <c r="C93" i="8" s="1"/>
  <c r="BM145" i="4"/>
  <c r="BN145" i="4" s="1"/>
  <c r="BN146" i="4" s="1"/>
  <c r="M78" i="8" s="1"/>
  <c r="D47" i="12" s="1"/>
  <c r="BA145" i="4"/>
  <c r="BA146" i="4" s="1"/>
  <c r="I78" i="8" s="1"/>
  <c r="J78" i="8" s="1"/>
  <c r="H54" i="8"/>
  <c r="AY44" i="4"/>
  <c r="H52" i="8" s="1"/>
  <c r="AN44" i="4"/>
  <c r="D52" i="8" s="1"/>
  <c r="D54" i="8"/>
  <c r="BM247" i="4"/>
  <c r="BN247" i="4" s="1"/>
  <c r="BN249" i="4" s="1"/>
  <c r="BA247" i="4"/>
  <c r="BA249" i="4" s="1"/>
  <c r="I73" i="8"/>
  <c r="J73" i="8" s="1"/>
  <c r="BA33" i="4"/>
  <c r="BA37" i="4" s="1"/>
  <c r="I60" i="8" s="1"/>
  <c r="J60" i="8" s="1"/>
  <c r="BM33" i="4"/>
  <c r="D101" i="8"/>
  <c r="AN265" i="4"/>
  <c r="D100" i="8" s="1"/>
  <c r="D92" i="8"/>
  <c r="I53" i="8"/>
  <c r="J53" i="8" s="1"/>
  <c r="G94" i="8"/>
  <c r="AD253" i="4"/>
  <c r="G93" i="8" s="1"/>
  <c r="AZ213" i="4"/>
  <c r="AN213" i="4"/>
  <c r="AN216" i="4" s="1"/>
  <c r="D90" i="8" s="1"/>
  <c r="D84" i="8"/>
  <c r="J84" i="8" s="1"/>
  <c r="AN196" i="4"/>
  <c r="D74" i="8" s="1"/>
  <c r="H72" i="8"/>
  <c r="AY100" i="4"/>
  <c r="H63" i="8" s="1"/>
  <c r="AN47" i="4"/>
  <c r="AN52" i="4" s="1"/>
  <c r="D64" i="8" s="1"/>
  <c r="AZ47" i="4"/>
  <c r="E55" i="8"/>
  <c r="AC44" i="4"/>
  <c r="E52" i="8" s="1"/>
  <c r="E51" i="8" s="1"/>
  <c r="BA8" i="4"/>
  <c r="BM8" i="4"/>
  <c r="BN8" i="4" s="1"/>
  <c r="AD44" i="4"/>
  <c r="G52" i="8" s="1"/>
  <c r="K51" i="8"/>
  <c r="BL196" i="4"/>
  <c r="L74" i="8" s="1"/>
  <c r="H90" i="8"/>
  <c r="AY228" i="4"/>
  <c r="H85" i="8" s="1"/>
  <c r="G101" i="8"/>
  <c r="AD265" i="4"/>
  <c r="G100" i="8" s="1"/>
  <c r="AN78" i="4"/>
  <c r="D69" i="8" s="1"/>
  <c r="BA7" i="4"/>
  <c r="BM7" i="4"/>
  <c r="BN7" i="4" s="1"/>
  <c r="BA6" i="4"/>
  <c r="BA9" i="4" s="1"/>
  <c r="I54" i="8" s="1"/>
  <c r="J54" i="8" s="1"/>
  <c r="BM6" i="4"/>
  <c r="BN6" i="4" s="1"/>
  <c r="BM82" i="4"/>
  <c r="BN82" i="4" s="1"/>
  <c r="BN84" i="4" s="1"/>
  <c r="M70" i="8" s="1"/>
  <c r="D36" i="12" s="1"/>
  <c r="BA82" i="4"/>
  <c r="BA84" i="4" s="1"/>
  <c r="I70" i="8" s="1"/>
  <c r="J70" i="8" s="1"/>
  <c r="BM77" i="4"/>
  <c r="BA77" i="4"/>
  <c r="BA78" i="4" s="1"/>
  <c r="I69" i="8" s="1"/>
  <c r="J69" i="8" s="1"/>
  <c r="BA39" i="4"/>
  <c r="BA40" i="4" s="1"/>
  <c r="I61" i="8" s="1"/>
  <c r="J61" i="8" s="1"/>
  <c r="BM39" i="4"/>
  <c r="BN39" i="4" s="1"/>
  <c r="BN40" i="4" s="1"/>
  <c r="M61" i="8" s="1"/>
  <c r="D25" i="12" s="1"/>
  <c r="AY261" i="4"/>
  <c r="L101" i="8"/>
  <c r="BL265" i="4"/>
  <c r="L100" i="8" s="1"/>
  <c r="AN253" i="4"/>
  <c r="D93" i="8" s="1"/>
  <c r="M53" i="8"/>
  <c r="D17" i="12" s="1"/>
  <c r="BA32" i="4"/>
  <c r="I59" i="8" s="1"/>
  <c r="J59" i="8" s="1"/>
  <c r="I101" i="8"/>
  <c r="BA265" i="4"/>
  <c r="I100" i="8" s="1"/>
  <c r="J100" i="8" s="1"/>
  <c r="J81" i="8"/>
  <c r="J75" i="8"/>
  <c r="C84" i="8"/>
  <c r="BA185" i="4"/>
  <c r="BA92" i="4"/>
  <c r="BA94" i="4" s="1"/>
  <c r="I72" i="8" s="1"/>
  <c r="J72" i="8" s="1"/>
  <c r="BM92" i="4"/>
  <c r="BM12" i="4"/>
  <c r="BA12" i="4"/>
  <c r="BA14" i="4" s="1"/>
  <c r="I55" i="8" s="1"/>
  <c r="J55" i="8" s="1"/>
  <c r="AL158" i="4"/>
  <c r="C80" i="8" s="1"/>
  <c r="AY196" i="4"/>
  <c r="H74" i="8" s="1"/>
  <c r="I92" i="8"/>
  <c r="AD100" i="4"/>
  <c r="G63" i="8" s="1"/>
  <c r="AL228" i="4"/>
  <c r="C85" i="8" s="1"/>
  <c r="BN265" i="4"/>
  <c r="M100" i="8" s="1"/>
  <c r="BK58" i="3"/>
  <c r="L6" i="8" s="1"/>
  <c r="L5" i="8" s="1"/>
  <c r="M172" i="8"/>
  <c r="BM201" i="3"/>
  <c r="M41" i="8" s="1"/>
  <c r="D10" i="11" s="1"/>
  <c r="M42" i="8"/>
  <c r="D84" i="11" s="1"/>
  <c r="H107" i="11" s="1"/>
  <c r="J132" i="8"/>
  <c r="D6" i="14"/>
  <c r="D15" i="14"/>
  <c r="D5" i="14"/>
  <c r="BI81" i="5"/>
  <c r="L121" i="8" s="1"/>
  <c r="L103" i="8" s="1"/>
  <c r="D39" i="13"/>
  <c r="D7" i="13"/>
  <c r="J104" i="8"/>
  <c r="I103" i="8"/>
  <c r="D5" i="13"/>
  <c r="D13" i="13"/>
  <c r="M103" i="8"/>
  <c r="BL99" i="7" l="1"/>
  <c r="BM99" i="7" s="1"/>
  <c r="BM100" i="7" s="1"/>
  <c r="AZ99" i="7"/>
  <c r="AZ100" i="7" s="1"/>
  <c r="J184" i="8"/>
  <c r="D11" i="15"/>
  <c r="D82" i="15"/>
  <c r="D202" i="8"/>
  <c r="AM101" i="7"/>
  <c r="H199" i="8"/>
  <c r="H171" i="8" s="1"/>
  <c r="AX115" i="7"/>
  <c r="C199" i="8"/>
  <c r="C171" i="8" s="1"/>
  <c r="AK115" i="7"/>
  <c r="L51" i="8"/>
  <c r="G128" i="8"/>
  <c r="J172" i="8"/>
  <c r="D30" i="13"/>
  <c r="D6" i="13"/>
  <c r="M154" i="8"/>
  <c r="D54" i="14" s="1"/>
  <c r="BM92" i="6"/>
  <c r="M153" i="8" s="1"/>
  <c r="D9" i="14" s="1"/>
  <c r="BM130" i="6"/>
  <c r="M166" i="8" s="1"/>
  <c r="D77" i="14" s="1"/>
  <c r="AZ130" i="6"/>
  <c r="I166" i="8" s="1"/>
  <c r="J166" i="8" s="1"/>
  <c r="BM67" i="6"/>
  <c r="M138" i="8" s="1"/>
  <c r="K128" i="8"/>
  <c r="K4" i="8" s="1"/>
  <c r="L164" i="8"/>
  <c r="BK134" i="6"/>
  <c r="L163" i="8" s="1"/>
  <c r="I160" i="8"/>
  <c r="J160" i="8" s="1"/>
  <c r="AZ105" i="6"/>
  <c r="I156" i="8" s="1"/>
  <c r="J156" i="8" s="1"/>
  <c r="BL109" i="6"/>
  <c r="BM109" i="6" s="1"/>
  <c r="BM117" i="6" s="1"/>
  <c r="M164" i="8" s="1"/>
  <c r="D75" i="14" s="1"/>
  <c r="AZ109" i="6"/>
  <c r="AZ117" i="6" s="1"/>
  <c r="AM134" i="6"/>
  <c r="D163" i="8" s="1"/>
  <c r="D128" i="8" s="1"/>
  <c r="C128" i="8"/>
  <c r="I155" i="8"/>
  <c r="J155" i="8" s="1"/>
  <c r="AZ92" i="6"/>
  <c r="I153" i="8" s="1"/>
  <c r="M152" i="8"/>
  <c r="D46" i="14" s="1"/>
  <c r="BM81" i="6"/>
  <c r="M150" i="8" s="1"/>
  <c r="L152" i="8"/>
  <c r="BK81" i="6"/>
  <c r="L150" i="8" s="1"/>
  <c r="L128" i="8" s="1"/>
  <c r="L4" i="8" s="1"/>
  <c r="D53" i="14"/>
  <c r="AZ105" i="3"/>
  <c r="AZ109" i="3" s="1"/>
  <c r="I23" i="8" s="1"/>
  <c r="J23" i="8" s="1"/>
  <c r="BL105" i="3"/>
  <c r="E4" i="8"/>
  <c r="BM36" i="3"/>
  <c r="M10" i="8" s="1"/>
  <c r="D19" i="11" s="1"/>
  <c r="AZ40" i="3"/>
  <c r="I11" i="8" s="1"/>
  <c r="J11" i="8" s="1"/>
  <c r="AX58" i="3"/>
  <c r="AZ151" i="3"/>
  <c r="I30" i="8" s="1"/>
  <c r="AZ32" i="3"/>
  <c r="AZ36" i="3" s="1"/>
  <c r="I10" i="8" s="1"/>
  <c r="J10" i="8" s="1"/>
  <c r="BL32" i="3"/>
  <c r="BM32" i="3" s="1"/>
  <c r="D32" i="8"/>
  <c r="J32" i="8" s="1"/>
  <c r="AM151" i="3"/>
  <c r="D30" i="8" s="1"/>
  <c r="M37" i="8"/>
  <c r="D71" i="11" s="1"/>
  <c r="H109" i="11" s="1"/>
  <c r="BM168" i="3"/>
  <c r="M35" i="8" s="1"/>
  <c r="AM58" i="3"/>
  <c r="D6" i="8" s="1"/>
  <c r="D7" i="11"/>
  <c r="D45" i="11"/>
  <c r="H38" i="8"/>
  <c r="AX168" i="3"/>
  <c r="H35" i="8" s="1"/>
  <c r="J30" i="8"/>
  <c r="AZ110" i="3"/>
  <c r="I15" i="8" s="1"/>
  <c r="J15" i="8" s="1"/>
  <c r="D55" i="11"/>
  <c r="D8" i="11"/>
  <c r="AZ2" i="3"/>
  <c r="AZ8" i="3" s="1"/>
  <c r="I7" i="8" s="1"/>
  <c r="J7" i="8" s="1"/>
  <c r="BL2" i="3"/>
  <c r="BM2" i="3" s="1"/>
  <c r="BM8" i="3" s="1"/>
  <c r="M7" i="8" s="1"/>
  <c r="D16" i="11" s="1"/>
  <c r="BM40" i="3"/>
  <c r="I37" i="8"/>
  <c r="J37" i="8" s="1"/>
  <c r="AZ168" i="3"/>
  <c r="I35" i="8" s="1"/>
  <c r="J35" i="8" s="1"/>
  <c r="BM217" i="3"/>
  <c r="M47" i="8" s="1"/>
  <c r="I49" i="8"/>
  <c r="J49" i="8" s="1"/>
  <c r="AZ217" i="3"/>
  <c r="I47" i="8" s="1"/>
  <c r="J47" i="8" s="1"/>
  <c r="BM110" i="3"/>
  <c r="M15" i="8" s="1"/>
  <c r="BN100" i="4"/>
  <c r="M63" i="8" s="1"/>
  <c r="D29" i="12" s="1"/>
  <c r="J92" i="8"/>
  <c r="J101" i="8"/>
  <c r="BN9" i="4"/>
  <c r="AN100" i="4"/>
  <c r="D63" i="8" s="1"/>
  <c r="D51" i="8" s="1"/>
  <c r="AN228" i="4"/>
  <c r="D85" i="8" s="1"/>
  <c r="BA219" i="4"/>
  <c r="BA222" i="4" s="1"/>
  <c r="I91" i="8" s="1"/>
  <c r="J91" i="8" s="1"/>
  <c r="BM219" i="4"/>
  <c r="BN219" i="4" s="1"/>
  <c r="BN222" i="4" s="1"/>
  <c r="I82" i="8"/>
  <c r="J82" i="8" s="1"/>
  <c r="BA196" i="4"/>
  <c r="I74" i="8" s="1"/>
  <c r="J74" i="8" s="1"/>
  <c r="H101" i="8"/>
  <c r="AY265" i="4"/>
  <c r="H100" i="8" s="1"/>
  <c r="H51" i="8" s="1"/>
  <c r="G51" i="8"/>
  <c r="G4" i="8" s="1"/>
  <c r="BA213" i="4"/>
  <c r="BA216" i="4" s="1"/>
  <c r="BM213" i="4"/>
  <c r="I98" i="8"/>
  <c r="J98" i="8" s="1"/>
  <c r="BA253" i="4"/>
  <c r="I93" i="8" s="1"/>
  <c r="J93" i="8" s="1"/>
  <c r="D78" i="12"/>
  <c r="D10" i="12"/>
  <c r="AL196" i="4"/>
  <c r="C74" i="8" s="1"/>
  <c r="C51" i="8" s="1"/>
  <c r="C4" i="8" s="1"/>
  <c r="BN196" i="4"/>
  <c r="M74" i="8" s="1"/>
  <c r="BA47" i="4"/>
  <c r="BA52" i="4" s="1"/>
  <c r="I64" i="8" s="1"/>
  <c r="J64" i="8" s="1"/>
  <c r="BM47" i="4"/>
  <c r="BA44" i="4"/>
  <c r="I52" i="8" s="1"/>
  <c r="M98" i="8"/>
  <c r="D73" i="12" s="1"/>
  <c r="BN253" i="4"/>
  <c r="M93" i="8" s="1"/>
  <c r="D5" i="15"/>
  <c r="D15" i="15"/>
  <c r="D83" i="11"/>
  <c r="J103" i="8"/>
  <c r="D4" i="13"/>
  <c r="R16" i="8"/>
  <c r="R28" i="8" s="1"/>
  <c r="R63" i="8" s="1"/>
  <c r="R76" i="8" s="1"/>
  <c r="D199" i="8" l="1"/>
  <c r="D171" i="8" s="1"/>
  <c r="AM115" i="7"/>
  <c r="D6" i="12"/>
  <c r="I202" i="8"/>
  <c r="J202" i="8" s="1"/>
  <c r="AZ101" i="7"/>
  <c r="BA100" i="4"/>
  <c r="I63" i="8" s="1"/>
  <c r="J63" i="8" s="1"/>
  <c r="BM101" i="7"/>
  <c r="M202" i="8"/>
  <c r="D73" i="15" s="1"/>
  <c r="I164" i="8"/>
  <c r="J164" i="8" s="1"/>
  <c r="AZ134" i="6"/>
  <c r="I163" i="8" s="1"/>
  <c r="J163" i="8" s="1"/>
  <c r="A8" i="8"/>
  <c r="A28" i="8"/>
  <c r="A30" i="8" s="1"/>
  <c r="A18" i="8"/>
  <c r="D7" i="14"/>
  <c r="D30" i="14"/>
  <c r="BM134" i="6"/>
  <c r="M163" i="8" s="1"/>
  <c r="D74" i="14" s="1"/>
  <c r="D8" i="14"/>
  <c r="D44" i="14"/>
  <c r="J153" i="8"/>
  <c r="I128" i="8"/>
  <c r="J128" i="8" s="1"/>
  <c r="D94" i="11"/>
  <c r="D11" i="11"/>
  <c r="M11" i="8"/>
  <c r="D20" i="11" s="1"/>
  <c r="BM58" i="3"/>
  <c r="M6" i="8" s="1"/>
  <c r="D9" i="11"/>
  <c r="D69" i="11"/>
  <c r="D6" i="11"/>
  <c r="D27" i="11"/>
  <c r="AZ58" i="3"/>
  <c r="D5" i="8"/>
  <c r="M91" i="8"/>
  <c r="D63" i="12" s="1"/>
  <c r="BN228" i="4"/>
  <c r="M85" i="8" s="1"/>
  <c r="M54" i="8"/>
  <c r="D18" i="12" s="1"/>
  <c r="BN44" i="4"/>
  <c r="M52" i="8" s="1"/>
  <c r="D9" i="12"/>
  <c r="D68" i="12"/>
  <c r="O1" i="8"/>
  <c r="G1" i="8"/>
  <c r="O2" i="8"/>
  <c r="J52" i="8"/>
  <c r="D43" i="12"/>
  <c r="D7" i="12"/>
  <c r="I90" i="8"/>
  <c r="J90" i="8" s="1"/>
  <c r="BA228" i="4"/>
  <c r="I85" i="8" s="1"/>
  <c r="J85" i="8" s="1"/>
  <c r="M51" i="8"/>
  <c r="T76" i="8"/>
  <c r="V76" i="8"/>
  <c r="I199" i="8" l="1"/>
  <c r="AZ115" i="7"/>
  <c r="M199" i="8"/>
  <c r="BM115" i="7"/>
  <c r="D4" i="8"/>
  <c r="D11" i="14"/>
  <c r="M128" i="8"/>
  <c r="D4" i="14" s="1"/>
  <c r="A12" i="8"/>
  <c r="A13" i="8" s="1"/>
  <c r="A14" i="8" s="1"/>
  <c r="T1" i="8"/>
  <c r="P2" i="8"/>
  <c r="AI12" i="8" s="1"/>
  <c r="E1" i="8"/>
  <c r="P1" i="8"/>
  <c r="H6" i="8"/>
  <c r="H5" i="8" s="1"/>
  <c r="H4" i="8" s="1"/>
  <c r="I6" i="8"/>
  <c r="D15" i="11"/>
  <c r="D5" i="11"/>
  <c r="M5" i="8"/>
  <c r="Q1" i="8"/>
  <c r="Q2" i="8" s="1"/>
  <c r="D16" i="12"/>
  <c r="D5" i="12"/>
  <c r="D8" i="12"/>
  <c r="D57" i="12"/>
  <c r="I51" i="8"/>
  <c r="AI13" i="8"/>
  <c r="N1" i="8"/>
  <c r="R15" i="8"/>
  <c r="R27" i="8" s="1"/>
  <c r="R62" i="8" s="1"/>
  <c r="R75" i="8" s="1"/>
  <c r="D4" i="12"/>
  <c r="D70" i="15" l="1"/>
  <c r="D10" i="15"/>
  <c r="M171" i="8"/>
  <c r="J199" i="8"/>
  <c r="I171" i="8"/>
  <c r="J171" i="8" s="1"/>
  <c r="D47" i="13"/>
  <c r="R17" i="8"/>
  <c r="R29" i="8" s="1"/>
  <c r="R64" i="8" s="1"/>
  <c r="R77" i="8" s="1"/>
  <c r="V77" i="8" s="1"/>
  <c r="I5" i="8"/>
  <c r="J5" i="8" s="1"/>
  <c r="J6" i="8"/>
  <c r="R14" i="8"/>
  <c r="R26" i="8" s="1"/>
  <c r="R61" i="8" s="1"/>
  <c r="R74" i="8" s="1"/>
  <c r="D4" i="11"/>
  <c r="M4" i="8"/>
  <c r="T75" i="8"/>
  <c r="V75" i="8"/>
  <c r="J51" i="8"/>
  <c r="D4" i="15" l="1"/>
  <c r="R18" i="8"/>
  <c r="R30" i="8" s="1"/>
  <c r="R65" i="8" s="1"/>
  <c r="R78" i="8" s="1"/>
  <c r="R13" i="8"/>
  <c r="R25" i="8" s="1"/>
  <c r="R60" i="8" s="1"/>
  <c r="R73" i="8" s="1"/>
  <c r="V73" i="8" s="1"/>
  <c r="O11" i="8"/>
  <c r="O12" i="8" s="1"/>
  <c r="T77" i="8"/>
  <c r="I4" i="8"/>
  <c r="A2" i="8" s="1"/>
  <c r="A3" i="8" s="1"/>
  <c r="T73" i="8"/>
  <c r="V74" i="8"/>
  <c r="T74" i="8"/>
  <c r="A24" i="8"/>
  <c r="A25" i="8" s="1"/>
  <c r="A19" i="8"/>
  <c r="A27" i="8"/>
  <c r="C1" i="8"/>
  <c r="A6" i="8"/>
  <c r="A7" i="8" s="1"/>
  <c r="J4" i="8"/>
  <c r="V78" i="8" l="1"/>
  <c r="T78" i="8"/>
  <c r="P22" i="8"/>
  <c r="A31" i="8"/>
  <c r="A33" i="8" s="1"/>
  <c r="A29" i="8"/>
  <c r="A22" i="8"/>
  <c r="A21" i="8"/>
  <c r="A20" i="8"/>
</calcChain>
</file>

<file path=xl/comments1.xml><?xml version="1.0" encoding="utf-8"?>
<comments xmlns="http://schemas.openxmlformats.org/spreadsheetml/2006/main">
  <authors>
    <author/>
  </authors>
  <commentList>
    <comment ref="E1" authorId="0" shapeId="0">
      <text>
        <r>
          <rPr>
            <sz val="11"/>
            <color theme="1"/>
            <rFont val="Arial"/>
            <family val="2"/>
            <scheme val="minor"/>
          </rPr>
          <t>======
ID#AAAAYK2WbF4
HP    (2021-04-20 01:56:09)
Meta de Bienestar propuesta para el cuatrenio 2020-2023</t>
        </r>
      </text>
    </comment>
  </commentList>
</comments>
</file>

<file path=xl/comments2.xml><?xml version="1.0" encoding="utf-8"?>
<comments xmlns="http://schemas.openxmlformats.org/spreadsheetml/2006/main">
  <authors>
    <author/>
  </authors>
  <commentList>
    <comment ref="AA116" authorId="0" shapeId="0">
      <text>
        <r>
          <rPr>
            <sz val="11"/>
            <color theme="1"/>
            <rFont val="Arial"/>
            <family val="2"/>
            <scheme val="minor"/>
          </rPr>
          <t>======
ID#AAAAYK2WbGU
Cartacho 100%    (2022-04-26 23:44:36)
VALORIZACION</t>
        </r>
      </text>
    </comment>
    <comment ref="AZ136" authorId="0" shapeId="0">
      <text>
        <r>
          <rPr>
            <sz val="11"/>
            <color theme="1"/>
            <rFont val="Arial"/>
            <family val="2"/>
            <scheme val="minor"/>
          </rPr>
          <t>======
ID#AAAAYK2WbFw
HP    (2022-04-26 22:29:58)
Calculo particular</t>
        </r>
      </text>
    </comment>
  </commentList>
</comments>
</file>

<file path=xl/comments3.xml><?xml version="1.0" encoding="utf-8"?>
<comments xmlns="http://schemas.openxmlformats.org/spreadsheetml/2006/main">
  <authors>
    <author/>
  </authors>
  <commentList>
    <comment ref="AS17" authorId="0" shapeId="0">
      <text>
        <r>
          <rPr>
            <sz val="11"/>
            <color theme="1"/>
            <rFont val="Arial"/>
            <family val="2"/>
            <scheme val="minor"/>
          </rPr>
          <t>======
ID#AAAAYK2WbF0
HP    (2022-04-26 22:29:58)
80  Sec Participacio y 25 de haciemda</t>
        </r>
      </text>
    </comment>
  </commentList>
</comments>
</file>

<file path=xl/comments4.xml><?xml version="1.0" encoding="utf-8"?>
<comments xmlns="http://schemas.openxmlformats.org/spreadsheetml/2006/main">
  <authors>
    <author/>
  </authors>
  <commentList>
    <comment ref="E1" authorId="0" shapeId="0">
      <text>
        <r>
          <rPr>
            <sz val="11"/>
            <color theme="1"/>
            <rFont val="Arial"/>
            <family val="2"/>
            <scheme val="minor"/>
          </rPr>
          <t>======
ID#AAAAYK2WbFs
HP    (2021-04-20 01:56:09)
Meta de Bienestar propuesta para el cuatrenio 2020-2023</t>
        </r>
      </text>
    </comment>
  </commentList>
</comments>
</file>

<file path=xl/sharedStrings.xml><?xml version="1.0" encoding="utf-8"?>
<sst xmlns="http://schemas.openxmlformats.org/spreadsheetml/2006/main" count="3601" uniqueCount="2331">
  <si>
    <t>1. PILAR</t>
  </si>
  <si>
    <t>2. LINEA ESTRATEGICA</t>
  </si>
  <si>
    <t>2.1 Indicador de Bienestar</t>
  </si>
  <si>
    <t>2.2 Línea Base 2019</t>
  </si>
  <si>
    <t>2.3 Meta del Indicador de Bienestar cuatrenio 2020 - 2023</t>
  </si>
  <si>
    <t>2.4.1 Valor meta de bienestar LOGRADA  a 31 de diciembre del 2020</t>
  </si>
  <si>
    <t>2.4.2 Valor meta de bienestar  LOGRADA a 30 de Junio del 2021</t>
  </si>
  <si>
    <t>2.4.3 Valor meta de bienestar LOGRADA  a 31 de diciembre  del 2021</t>
  </si>
  <si>
    <t>2.4.4 Valor meta de bienestar LOGRADA  a 30 de Junio del 2022</t>
  </si>
  <si>
    <t>2.4.5 Valor meta de bienestar LOGRADA  a 31 de diciembre  del 2022</t>
  </si>
  <si>
    <t>2.4.5 Valor meta de bienestar LOGRADA  a 30 de Junio del 2023</t>
  </si>
  <si>
    <t>2.4.6 Valor meta de bienestar LOGRADA a 31 de diciembre  del 2023</t>
  </si>
  <si>
    <t>AVANCE META DE BIENESTAR A 31 DE DICIEMBRE 2020 (%)</t>
  </si>
  <si>
    <t xml:space="preserve">AVANCE META DE BIENESTAR A 30 DE JUNIO  2021 (%) </t>
  </si>
  <si>
    <t>AVANCE META DE BIENESTAR A  31 DICIEMBRE 2021 (%)</t>
  </si>
  <si>
    <t xml:space="preserve">AVANCE META DE BIENESTAR A 30 DE JUNIO  2022 (%) </t>
  </si>
  <si>
    <t>AVANCE META DE BIENESTAR A 31  DICIEMBRE 2022 (%)</t>
  </si>
  <si>
    <t xml:space="preserve">AVANCE META DE BIENESTAR A 30 DE JUNIO  2023 (%) </t>
  </si>
  <si>
    <t>AVANCE META DE BIENESTAR A  31 DICIEMBRE 2023 (%)</t>
  </si>
  <si>
    <t xml:space="preserve">3. PROGRAMA </t>
  </si>
  <si>
    <t>3.1 META PRODUCTO 2020 - 2023</t>
  </si>
  <si>
    <t>3.2 Indicador de Producto</t>
  </si>
  <si>
    <t>3.3 Línea Base Indicador de Producto 2019</t>
  </si>
  <si>
    <t>3.4 Valor Absoluto (númerico) de la Meta Producto 2020-2023</t>
  </si>
  <si>
    <t>3.5 PROGRAMACIÓN META PRODUCTO  A 2020 (PLAN DE ACCIÓN)</t>
  </si>
  <si>
    <t xml:space="preserve">3.5.1 Logro alcanzado de la meta producto propuesta para el año 2020 a Septiembre </t>
  </si>
  <si>
    <t xml:space="preserve">OBSERVACIONES </t>
  </si>
  <si>
    <t xml:space="preserve">3.5.2 Logro alcanzado de la meta producto propuesta para el año 2020 a Diciembre  </t>
  </si>
  <si>
    <t>OBSERVACIONES</t>
  </si>
  <si>
    <t xml:space="preserve">LOGRO PARCIAL DE LA META PRODUCTO  2020 (ACUMULADO NUMERICO) </t>
  </si>
  <si>
    <t>AVANCE  DE LA META PRODUCTO RESPECTO A LO PROGRAMADO PARA EL AÑO 2020  (%)</t>
  </si>
  <si>
    <t>ACUMULADO NUMERICO TOTAL A 2020</t>
  </si>
  <si>
    <t>AVANCE  META PRODUCTO A 2020 RESPECTO A LA META CUATRENIO  2020 - 2023 (%)</t>
  </si>
  <si>
    <t>3.6 PROGRAMACIÓN META PRODUCTO  A 2021 (PLAN DE ACCIÓN)</t>
  </si>
  <si>
    <t xml:space="preserve">3.6.1 Logro alcanzado de la meta producto propuesta para el año 2021 a Marzo  </t>
  </si>
  <si>
    <t xml:space="preserve">3.6.2 Logro alcanzado de la meta producto propuesta para el año 2021 a Junio   </t>
  </si>
  <si>
    <t xml:space="preserve">3.6.3 Logro alcanzado de la meta producto propuesta para el año 2021 a Septiembre </t>
  </si>
  <si>
    <t xml:space="preserve">3.6.4 Logro alcanzado de la meta producto propuesta para el año 2021 a Diciembre  </t>
  </si>
  <si>
    <t xml:space="preserve">LOGRO PARCIAL DE LA META PRODUCTO  2021 (ACUMULADO NUMERICO) </t>
  </si>
  <si>
    <t>AVANCE  DE LA META PRODUCTO RESPECTO A LO PROGRAMADO PARA EL AÑO 2021  (%)</t>
  </si>
  <si>
    <t>ACUMULADO NUMERICO TOTAL A 2020 Y 2021</t>
  </si>
  <si>
    <t>AVANCE  META PRODUCTO A 2020 y 2021 RESPECTO A LA META CUATRENIO  2020 - 2023 (%)</t>
  </si>
  <si>
    <t>3.7 PROGRAMACIÓN META PRODUCTO  A 2022 (PLAN DE ACCIÓN)</t>
  </si>
  <si>
    <t xml:space="preserve">3.7.1 Logro alcanzado de la meta producto propuesta para el año 2022 a Marzo  </t>
  </si>
  <si>
    <t xml:space="preserve">3.7.2 Logro alcanzado de la meta producto propuesta para el año 2022 a Junio   </t>
  </si>
  <si>
    <t xml:space="preserve">3.7.3 Logro alcanzado de la meta producto propuesta para el año 2022 a Septiembre </t>
  </si>
  <si>
    <t xml:space="preserve">3.7.4 Logro alcanzado de la meta producto propuesta para el año 2022 a Diciembre  </t>
  </si>
  <si>
    <t xml:space="preserve">LOGRO PARCIAL DE LA META PRODUCTO  2022 (ACUMULADO NUMERICO) </t>
  </si>
  <si>
    <t>AVANCE  DE LA META PRODUCTO RESPECTO A LO PROGRAMADO PARA EL AÑO 2022  (%)</t>
  </si>
  <si>
    <t>ACUMULADO NUMERICO TOTAL A 2020, 2021 Y 2022</t>
  </si>
  <si>
    <t>AVANCE  META PRODUCTO A 2020, 2021  y 2022 RESPECTO A LA META CUATRENIO  2020 - 2023 (%)</t>
  </si>
  <si>
    <t>3.8 PROGRAMACIÓN META PRODUCTO  A 2023 (PLAN DE ACCIÓN)</t>
  </si>
  <si>
    <t xml:space="preserve">3.8.1 Logro alcanzado de la meta producto propuesta para el año 2023 a Marzo  </t>
  </si>
  <si>
    <t xml:space="preserve">3.8.2 Logro alcanzado de la meta producto propuesta para el año 2023 a Junio   </t>
  </si>
  <si>
    <t xml:space="preserve">3.8.3 Logro alcanzado de la meta producto propuesta para el año 2023 a Septiembre </t>
  </si>
  <si>
    <t xml:space="preserve">3.8.4 Logro alcanzado de la meta producto propuesta para el año 2023 a Diciembre  </t>
  </si>
  <si>
    <t xml:space="preserve">LOGRO PARCIAL DE LA META PRODUCTO  2023 (ACUMULADO NUMERICO) </t>
  </si>
  <si>
    <t>AVANCE  DE LA META PRODUCTO RESPECTO A LO PROGRAMADO PARA EL AÑO 2023  (%)</t>
  </si>
  <si>
    <t>ACUMULADO NUMERICO TOTAL A 2020, 2021, 2022 y 2023</t>
  </si>
  <si>
    <t>AVANCE  META PRODUCTO A 2020, 2021, 2022 y 2023  RESPECTO A LA META CUATRENIO  2020 - 2023 (%)</t>
  </si>
  <si>
    <t>9. PROYECTO</t>
  </si>
  <si>
    <t>9.1 Código de proyecto BPIM</t>
  </si>
  <si>
    <t>9.2 Objetivo del Proyecto</t>
  </si>
  <si>
    <t>9.3 Actividades de Proyecto</t>
  </si>
  <si>
    <t>9.4 Valor Absoluto de la Actividad del  Proyecto 2020</t>
  </si>
  <si>
    <t xml:space="preserve">10.1 Fecha de inicio </t>
  </si>
  <si>
    <t xml:space="preserve">10.2 Fecha de Terminación </t>
  </si>
  <si>
    <t>10.3 Logro alcanzado a septiembre 2020</t>
  </si>
  <si>
    <t>Porcentaje de avance de actividad respecto a la meta proyectada a septiembre 2020</t>
  </si>
  <si>
    <t>10.4 Logro alcanzado a Diciembre 2020</t>
  </si>
  <si>
    <t>Porcentaje de avance de actividad respecto a la meta proyectada a diciembre  2020</t>
  </si>
  <si>
    <t>Porcentaje de avance total de la actividad a 2020</t>
  </si>
  <si>
    <t>OBSERVACIONES A SEPTIEMBRE 2020</t>
  </si>
  <si>
    <t>OBSERVACIONES A DICIEMBRE  2020</t>
  </si>
  <si>
    <t>11. Dependencia Responsable</t>
  </si>
  <si>
    <t>12. Nombre del Responable</t>
  </si>
  <si>
    <t>Fuente de Financiación</t>
  </si>
  <si>
    <t>Apropiación Definitiva
(en pesos)</t>
  </si>
  <si>
    <t>Rubro Presupuestal</t>
  </si>
  <si>
    <t>Código Presupuestal</t>
  </si>
  <si>
    <t>PRESUPUESTO APROBADO</t>
  </si>
  <si>
    <t>PRESUPUESTO EJECUTADO</t>
  </si>
  <si>
    <t>PORCENTAJE DE AVANCE DEL PRESUPUESTO</t>
  </si>
  <si>
    <t>OBSERVACION DEL PRESUPUESTO</t>
  </si>
  <si>
    <t>PRESUPUESTO GENERAL CUATRENIO</t>
  </si>
  <si>
    <t>PONDERADOR</t>
  </si>
  <si>
    <t>PILAR CARTAGENA RESILIENTE</t>
  </si>
  <si>
    <t xml:space="preserve"> PILAR CARTAGENA INCLUYENTE</t>
  </si>
  <si>
    <t xml:space="preserve"> PILAR CARTAGENA CONTINGENTE</t>
  </si>
  <si>
    <t xml:space="preserve"> PILAR: CARTAGENA TRANSPARENTE</t>
  </si>
  <si>
    <t>EJE TRANSVERSAL: CARTAGENA CON ATENCION Y GARANTIA DE DERECHOS A POBLACION DIFERENCIAL.</t>
  </si>
  <si>
    <t>AVANCE PLAN DE DESARROLLO SALVEMOS JUNTOS A CARTAGENA AJUSTADOS A LOS PONDERADORES</t>
  </si>
  <si>
    <t>PILAR</t>
  </si>
  <si>
    <t>AVANCE SIN AJUSTE A SEP 2020</t>
  </si>
  <si>
    <t>PARTICIPACIÓN DEL PILAR EN EL TOTAL DE AVANCE A SEP 2020</t>
  </si>
  <si>
    <t>PONDERADOR PRESUPUESTO</t>
  </si>
  <si>
    <t>PONDERADOR PLAN DE GOBIERNO</t>
  </si>
  <si>
    <t>PONDERADOR COVID</t>
  </si>
  <si>
    <t>PONDERADOR NUMERO DE METAS</t>
  </si>
  <si>
    <t>PONDERADOR ODS</t>
  </si>
  <si>
    <t>AVANCE AJUSTADO</t>
  </si>
  <si>
    <t>Variable</t>
  </si>
  <si>
    <t>Valoración (1 - 10)</t>
  </si>
  <si>
    <t>Distribución</t>
  </si>
  <si>
    <t>i1</t>
  </si>
  <si>
    <t>Presupuesto</t>
  </si>
  <si>
    <t>i2</t>
  </si>
  <si>
    <t>Plan de Gobierno</t>
  </si>
  <si>
    <t>i3</t>
  </si>
  <si>
    <t>Covid 19</t>
  </si>
  <si>
    <t>i4</t>
  </si>
  <si>
    <t>Numero de metas</t>
  </si>
  <si>
    <t>i5</t>
  </si>
  <si>
    <t>ODS</t>
  </si>
  <si>
    <t>LINEA ESTRATEGICA</t>
  </si>
  <si>
    <t>Indicador de Bienestar</t>
  </si>
  <si>
    <t>Línea Base 2019</t>
  </si>
  <si>
    <t>Meta del Indicador de Bienestar cuatrenio 2020 - 2023</t>
  </si>
  <si>
    <t>Valor meta de bienestar LOGRADA  a 31 de diciembre del 2020</t>
  </si>
  <si>
    <t>Valor meta de bienestar  LOGRADA a 30 de Junio del 2021</t>
  </si>
  <si>
    <t>Valor meta de bienestar LOGRADA  a 31 de diciembre  del 2021</t>
  </si>
  <si>
    <t>Valor meta de bienestar LOGRADA  a 30 de Junio del 2022</t>
  </si>
  <si>
    <t>Valor meta de bienestar LOGRADA  a 31 de diciembre  del 2022</t>
  </si>
  <si>
    <t>Valor meta de bienestar LOGRADA  a 30 de Junio del 2023</t>
  </si>
  <si>
    <t>Valor meta de bienestar LOGRADA a 31 de diciembre  del 2023</t>
  </si>
  <si>
    <t xml:space="preserve">PROGRAMA </t>
  </si>
  <si>
    <t>Indicador de Producto</t>
  </si>
  <si>
    <t>Meta 2020-2023</t>
  </si>
  <si>
    <t>Valor Absoluto (númerico) de la Meta Producto 2020-2023</t>
  </si>
  <si>
    <t>PROGRAMACIÓN META PRODUCTO  A 2020 (PLAN DE ACCIÓN)</t>
  </si>
  <si>
    <t>PROGRAMACIÓN META PRODUCTO  A 2021 (PLAN DE ACCIÓN)</t>
  </si>
  <si>
    <t>PROGRAMACIÓN META PRODUCTO  A 2022 (PLAN DE ACCIÓN)</t>
  </si>
  <si>
    <t>IDEAL ESPERADO 2020</t>
  </si>
  <si>
    <t>IDEAL ESPERADO 2021</t>
  </si>
  <si>
    <t>IDEAL ESPERADO 2022</t>
  </si>
  <si>
    <t xml:space="preserve">Logro alcanzado de la meta producto propuesta para el año 2020 a Septiembre </t>
  </si>
  <si>
    <t>Logro alcanzado de la meta producto propuesta para el año 2020 a Noviembre 15</t>
  </si>
  <si>
    <t xml:space="preserve">Logro alcanzado de la meta producto propuesta para el año 2020 a Diciembre  </t>
  </si>
  <si>
    <t xml:space="preserve">Logro alcanzado de la meta producto propuesta para el año 2021 a Marzo  </t>
  </si>
  <si>
    <t xml:space="preserve">Logro alcanzado de la meta producto propuesta para el año 2021 a Junio   </t>
  </si>
  <si>
    <t xml:space="preserve">Logro alcanzado de la meta producto propuesta para el año 2021 a Septiembre </t>
  </si>
  <si>
    <t>Logro alcanzado de la meta producto propuesta para el año 2021 a DICIEMBRE</t>
  </si>
  <si>
    <t xml:space="preserve">Logro alcanzado de la meta producto propuesta para el año 2022 a Marzo  </t>
  </si>
  <si>
    <t xml:space="preserve">Logro alcanzado de la meta producto propuesta para el año 2022 a Junio   </t>
  </si>
  <si>
    <t xml:space="preserve">Logro alcanzado de la meta producto propuesta para el año 2022 a Septiembre </t>
  </si>
  <si>
    <t xml:space="preserve">Logro alcanzado de la meta producto propuesta para el año 2022 a Diciembre  </t>
  </si>
  <si>
    <t>PROGRAMACIÓN META PRODUCTO  A 2023 (PLAN DE ACCIÓN)</t>
  </si>
  <si>
    <t xml:space="preserve">Logro alcanzado de la meta producto propuesta para el año 2023 a Marzo  </t>
  </si>
  <si>
    <t xml:space="preserve">Logro alcanzado de la meta producto propuesta para el año 2023 a Junio   </t>
  </si>
  <si>
    <t xml:space="preserve">Logro alcanzado de la meta producto propuesta para el año 2023 a Septiembre </t>
  </si>
  <si>
    <t xml:space="preserve">Logro alcanzado de la meta producto propuesta para el año 2023 a Diciembre  </t>
  </si>
  <si>
    <t>PROYECTO</t>
  </si>
  <si>
    <t>Código de proyecto BPIM</t>
  </si>
  <si>
    <t>Objetivo del Proyecto</t>
  </si>
  <si>
    <t>Actividades de Proyecto</t>
  </si>
  <si>
    <t>Valor Absoluto de la Actividad del  Proyecto 2020</t>
  </si>
  <si>
    <t xml:space="preserve">Fecha de inicio </t>
  </si>
  <si>
    <t xml:space="preserve">Fecha de Terminación </t>
  </si>
  <si>
    <t>Logro alcanzado a septiembre 2020</t>
  </si>
  <si>
    <t>Logro alcanzado a Diciembre 2020</t>
  </si>
  <si>
    <t>Dependencia Responsable</t>
  </si>
  <si>
    <t>Nombre del Responable</t>
  </si>
  <si>
    <t>PILAR RESILIENTE</t>
  </si>
  <si>
    <t xml:space="preserve">LINEA ESTRATEGICA  “SALVEMOS JUNTOS NUESTRO PATRIMONIO NATURAL” </t>
  </si>
  <si>
    <t>Programa Recuperar y Restaurar Nuestras Áreas Naturales (Bosques  y  Biodiversidad y servicios Eco sistémicos)</t>
  </si>
  <si>
    <t>Número de nuevos árboles sembrados</t>
  </si>
  <si>
    <t>100.000 nuevos árboles sembrados</t>
  </si>
  <si>
    <t>Centro de Atención y valoración de fauna, adecuado e implementado</t>
  </si>
  <si>
    <t>1 Centro de Atención y valoración de fauna, adecuado e implementado</t>
  </si>
  <si>
    <t>Número de Jornadas de limpieza en áreas ambientalmente degradadas</t>
  </si>
  <si>
    <t xml:space="preserve"> 40 Jornadas de limpieza en áreas ambientalmente degradadas</t>
  </si>
  <si>
    <t>Numero de operativos realizados por el ECOBLOQUE para restitución de Ecosistemas y Áreas ambientalmente estratégicas</t>
  </si>
  <si>
    <t>150 operativos realizados  por el  ECOBLOQUE  para restitución de Ecosistemas y Áreas ambientalmente estratégicas</t>
  </si>
  <si>
    <t>Numero de áreas ambientalmente degradadas, intervenidas y en proceso de restauración</t>
  </si>
  <si>
    <t>3 áreas ambientalmente degradadas, intervenidas y en proceso de restauración  (Sector Laguna Cabrero-Caño Juan Angola, Bahía de Cartagena, Cerro de La Popa)</t>
  </si>
  <si>
    <t>Número de Proyectos para la restauración de biodiversidad y servicios eco sistémicos Distritales diseñados e implementados en área rural e insular</t>
  </si>
  <si>
    <t>2 Proyectos para la restauración de biodiversidad y servicios eco sistémicos Distritales diseñados e implementados en área rural e insular</t>
  </si>
  <si>
    <t>NP</t>
  </si>
  <si>
    <t>Programa Ordenamiento Ambiental y Adaptación al Cambio Climático para la Sostenibilidad Ambiental. (Mitigación y Gestión del Riesgo Ambiental)</t>
  </si>
  <si>
    <t>Plan Integral de Adaptación al Cambio Climático -PIACC- formulado y adoptado</t>
  </si>
  <si>
    <t>1 Plan Integral de Adaptación al Cambio Climático -PIACC- formulado y adoptado</t>
  </si>
  <si>
    <t>1 Proyecto de asistencia integral para el sector industrial, diseñado e implementado</t>
  </si>
  <si>
    <t>Proyecto de Compostaje de residuos orgánicos a gran escala local (por fases y en zonas detectadas como críticas), implementado</t>
  </si>
  <si>
    <t>1 Proyecto de Compostaje de residuos orgánicos a gran escala local, implementado</t>
  </si>
  <si>
    <t>Sistema Distrital de buenas prácticas energéticas en la administración pública, establecido</t>
  </si>
  <si>
    <t>1 Sistema Distrital de buenas prácticas energéticas en la administración pública, establecido</t>
  </si>
  <si>
    <t>_ftn2</t>
  </si>
  <si>
    <t xml:space="preserve"> </t>
  </si>
  <si>
    <t>4 Campañas distritales masivas de información en Gestión del Cambio Climático realizadas</t>
  </si>
  <si>
    <t xml:space="preserve">Numero de barrios participando en la Implementación de proyecto “Tu Barrio Sostenible”. </t>
  </si>
  <si>
    <t>3 Barrios participando en la Implementación de proyecto “Tu Barrio Sostenible”.</t>
  </si>
  <si>
    <t>Numero de Corredores ambientales diseñados e implementados articulados al sistema de drenajes urbanos sostenibles</t>
  </si>
  <si>
    <t xml:space="preserve">3 Corredores ambientales diseñados e implementados </t>
  </si>
  <si>
    <t>Numero de áreas de manglares conservados y protegidos (Área urbana y rural)</t>
  </si>
  <si>
    <t>3  Áreas de manglares conservados y protegidos (Área Urbana y Rural)</t>
  </si>
  <si>
    <t>Número de proyectos piloto para el control de intrusión de mareas diseñado y construido</t>
  </si>
  <si>
    <t>1  Proyecto piloto para el control de intrusión de mareas diseñado y construido</t>
  </si>
  <si>
    <t xml:space="preserve">Programa Aseguramiento, Monitoreo, Control y Vigilancia Ambiental  (Sistema integrado de Monitoreo Ambiental)               </t>
  </si>
  <si>
    <t>Número de estaciones de medición de calidad del aire, optimizadas y funcionales</t>
  </si>
  <si>
    <t>10  Estaciones de medición de calidad del aire, optimizadas y funcionales.</t>
  </si>
  <si>
    <t>Numero de proyectos para la creación de la Mesa Técnica Distrital de Calidad del Aire y del Ruido</t>
  </si>
  <si>
    <t>ND</t>
  </si>
  <si>
    <t>1 proyecto para la creación de la Mesa Técnica Distrital de Calidad del Aire y del Ruido</t>
  </si>
  <si>
    <t>Reporte técnico ambiental (consolidado anual -aire, ruido, agua-)</t>
  </si>
  <si>
    <t xml:space="preserve">4 Reporte técnico ambiental (consolidado anual -aire, ruido, agua-) </t>
  </si>
  <si>
    <t>Mapas de ruido actualizados.              (1 por localidad)</t>
  </si>
  <si>
    <t xml:space="preserve">3 Mapas de ruido actualizados.                    (1 por localidad)  </t>
  </si>
  <si>
    <t>Sistema de control de calidad de ruido, implementado</t>
  </si>
  <si>
    <t>1 Sistema de control de calidad de ruido, implementado</t>
  </si>
  <si>
    <t>Programa Investigación, Educación y Cultura Ambiental (Educación y Cultura Ambiental)</t>
  </si>
  <si>
    <t>Número de Hogares Comunitarios de Bienestar acompañados en la implementación de proyectos ambientales</t>
  </si>
  <si>
    <t>25 Hogares Comunitarios de Bienestar acompañados en la implementación de proyectos ambientales</t>
  </si>
  <si>
    <t>Número de Centros de Desarrollo Infantil acompañados en la implementación de proyectos ambientales</t>
  </si>
  <si>
    <t>20 Centros de Desarrollo Infantil acompañados en la implementación de proyectos ambientales</t>
  </si>
  <si>
    <t>Numero de PRAES participando de forma concertada en proyectos de acciones coordinadas con las Autoridades Ambientales (Área Urbana y Rural)</t>
  </si>
  <si>
    <t>120  Nuevos PRAES participando de forma concertada en proyectos de acciones coordinadas con las Autoridades Ambientales (Área Urbana y Rural)</t>
  </si>
  <si>
    <t>Numero de PRAUS participando de forma concertada en proyectos de acciones coordinadas con las Autoridades Ambientales (Área Urbana y Rural)</t>
  </si>
  <si>
    <t>9 PRAUS participando de forma concertada en proyectos de acciones coordinadas con las Autoridades Ambientales (Área Urbana y Rural)</t>
  </si>
  <si>
    <t>Numero de grandes eventos académicos para apropiación de conocimientos sobre temas ambientales, impulsados y realizados.*</t>
  </si>
  <si>
    <t xml:space="preserve"> 6 Grandes eventos académicos para apropiación de conocimientos sobre temas ambientales, impulsados y realizados</t>
  </si>
  <si>
    <t>Numero de PROCEDAS participando de forma concertada en proyectos y acciones coordinadas con las Autoridades Ambientales (Área Urbana y Rural)</t>
  </si>
  <si>
    <t>20 PROCEDAS participando de forma concertada en proyectos y acciones coordinadas con las Autoridades Ambientales (Área Urbana y Rural)</t>
  </si>
  <si>
    <t>Número de Centros de Vida participando en Actividades y buenas prácticas ambientales para el beneficio de población de Tercera edad, en asocio con las Autoridades Ambientales y el Distrito de Cartagena</t>
  </si>
  <si>
    <t>5 Centros de Vida participando en Actividades y buenas prácticas ambientales</t>
  </si>
  <si>
    <t>Numero de herramientas TICs implementadas para el fomento de la educación ambiental</t>
  </si>
  <si>
    <t>4 Herramientas TICs implementadas para el fomento de la educación ambiental</t>
  </si>
  <si>
    <t>Número de ecosistemas con investigaciones científicas de las condiciones físico-químicas, biológicas, socioculturales y económicas</t>
  </si>
  <si>
    <t>4 Ecosistemas con investigaciones científicas de las condiciones físico-químicas, biológicas, socioculturales y económicas</t>
  </si>
  <si>
    <t>Numero de investigaciones y estudios sobre el ambiente distrital, sus condiciones, potencialidades e impactos</t>
  </si>
  <si>
    <t>4 Investigaciones y estudios sobre el ambiente distrital, sus condiciones, potencialidades e impactos</t>
  </si>
  <si>
    <t>Cátedra Ambiental permanente,  diseñada, e implementada, en asocio con otros actores interesados en el desarrollo ambiental distrital</t>
  </si>
  <si>
    <t>1 Cátedra Ambiental permanente, diseñada, e implementada, en asocio con otros actores interesados en el desarrollo ambiental distrital</t>
  </si>
  <si>
    <r>
      <rPr>
        <b/>
        <sz val="6"/>
        <color theme="1"/>
        <rFont val="Arial"/>
        <family val="2"/>
      </rPr>
      <t xml:space="preserve">Programa Salvemos Juntos Nuestro Recurso Hídrico </t>
    </r>
    <r>
      <rPr>
        <b/>
        <sz val="6"/>
        <color rgb="FF000000"/>
        <rFont val="Arial"/>
        <family val="2"/>
      </rPr>
      <t>(Gestión integral del Recurso Hídrico)</t>
    </r>
  </si>
  <si>
    <r>
      <rPr>
        <sz val="6"/>
        <color theme="1"/>
        <rFont val="Arial"/>
        <family val="2"/>
      </rPr>
      <t>Numero cuerpos de agua intervenidos para la optimización de sus condiciones físicas, hidráulicas y ambientales</t>
    </r>
    <r>
      <rPr>
        <sz val="6"/>
        <color rgb="FF0070C0"/>
        <rFont val="Arial"/>
        <family val="2"/>
      </rPr>
      <t xml:space="preserve"> </t>
    </r>
    <r>
      <rPr>
        <sz val="6"/>
        <color theme="1"/>
        <rFont val="Arial"/>
        <family val="2"/>
      </rPr>
      <t>(urbanos y rurales)</t>
    </r>
  </si>
  <si>
    <t>Numero de Rondas hídricas asociadas a sistema de drenajes, delimitadas  y acotadas.</t>
  </si>
  <si>
    <t>4 Rondas hídricas asociadas a sistema de drenajes, delimitadas y acotadas</t>
  </si>
  <si>
    <t>Número de elementos del Sistema de La Bocana Estabilizadora de Mareas, rehabilitados</t>
  </si>
  <si>
    <t>Rehabilitar 2 Elementos del Sistema de La Bocana Estabilizadora de Mareas</t>
  </si>
  <si>
    <t>Programa Negocios verdes, Economía Circular, Producción y consumo sostenible (Negocios verdes Inclusivos)</t>
  </si>
  <si>
    <t>Número de  Nuevos  negocios verdes asesorados y verificados</t>
  </si>
  <si>
    <t>90 Nuevos Negocios Verdes asesorados y verificados</t>
  </si>
  <si>
    <t>Numero de Negocios Verdes participando en ferias de negocios (Virtuales y Presenciales)</t>
  </si>
  <si>
    <t>90 Negocios Verdes participando en ferias de negocios (Virtuales y Presenciales)</t>
  </si>
  <si>
    <t>Numero de Ferias de Negocios Verdes realizadas</t>
  </si>
  <si>
    <t>3 Ferias de Negocios Verdes realizadas</t>
  </si>
  <si>
    <t>Numero de Negocios Verdes avalados</t>
  </si>
  <si>
    <t>41 Negocios Verdes avalados </t>
  </si>
  <si>
    <r>
      <rPr>
        <b/>
        <sz val="6"/>
        <color theme="1"/>
        <rFont val="Arial"/>
        <family val="2"/>
      </rPr>
      <t xml:space="preserve">Programa Instituciones ambientales más modernas, eficientes y transparentes. </t>
    </r>
    <r>
      <rPr>
        <b/>
        <sz val="6"/>
        <color rgb="FF000000"/>
        <rFont val="Arial"/>
        <family val="2"/>
      </rPr>
      <t>(Fortalecimiento Institucional)</t>
    </r>
  </si>
  <si>
    <t>Plan institucional de gestión ambiental implementado</t>
  </si>
  <si>
    <t>1 Plan institucional de gestión ambiental implementado.</t>
  </si>
  <si>
    <t>Numero de procesos estandarizados</t>
  </si>
  <si>
    <t>7 Procesos de gestión institucional, estandarizados</t>
  </si>
  <si>
    <t>Ventanilla única de atención al usuario implementada.</t>
  </si>
  <si>
    <t>1 Ventanilla única de atención al usuario implementada</t>
  </si>
  <si>
    <t xml:space="preserve">Modelo Integrado de Planeación y gestión implementado al 100% </t>
  </si>
  <si>
    <t>100% Modelo Integrado de Planeación y gestión implementado</t>
  </si>
  <si>
    <t>Programa Bienestar y Protección animal</t>
  </si>
  <si>
    <t>Número de animales callejeros esterilizados</t>
  </si>
  <si>
    <t xml:space="preserve">          2350 
Fuente umata 2019</t>
  </si>
  <si>
    <t>Esterilización de 7000 animales callejeros</t>
  </si>
  <si>
    <t>Número de animales callejeros dados en adopción</t>
  </si>
  <si>
    <t xml:space="preserve">           ND</t>
  </si>
  <si>
    <t>Realizar 1 campaña  que estimule la tenencia responsable , adopción o padrinazgo  de animales callejeros.</t>
  </si>
  <si>
    <t>Política Pública   de Protección y bienestar animal formulada.</t>
  </si>
  <si>
    <t xml:space="preserve">           Documento de avance en el proceso de construccion de la  politica </t>
  </si>
  <si>
    <t xml:space="preserve">Formular y presentar  una (1) Política Pública de Protección y bienestar animal. </t>
  </si>
  <si>
    <t xml:space="preserve">Inumero de  alberges transitorios implementados  con atenciòn integral. </t>
  </si>
  <si>
    <t xml:space="preserve">        ND</t>
  </si>
  <si>
    <t xml:space="preserve">Implementar 2 alberges transitorios con atenciòn integral. </t>
  </si>
  <si>
    <t>Grupo especial para la lucha contra  el  maltrato animal .</t>
  </si>
  <si>
    <t>Establecer 1 grupo especial para la lucha de maltrato animal .</t>
  </si>
  <si>
    <t>40%%</t>
  </si>
  <si>
    <t>Regulaciòn territorial  con base en la nueva normatividad nacional para los caninos potencialmente peligrosos</t>
  </si>
  <si>
    <t>Presentar ante el concejo Distrital un (1) proyecto de acuerdo que permita actualizar la regulaciòn territorial  con base en la nueva normatividad nacional para los caninos potencialmente peligrosos</t>
  </si>
  <si>
    <t>LÍNEA ESTRATÉGICA ESPACIO PÚBLICO, MOVILIDAD Y TRANSPORTE RESILIENTE</t>
  </si>
  <si>
    <t>Programa Sostenibilidad del Espacio Público</t>
  </si>
  <si>
    <t>Número  de campañas ejecutadas   para la transición de los vendedores informales a la formalidad.</t>
  </si>
  <si>
    <t>0
Fuente GEPM</t>
  </si>
  <si>
    <t xml:space="preserve"> Realizar 8 campañas de formación  para los vendedores informales inscritos en el RUV.</t>
  </si>
  <si>
    <t>Número de convenios de adopción de parques</t>
  </si>
  <si>
    <t>Realizar 39 nuevos convenios para la adopción de parques</t>
  </si>
  <si>
    <t>M2 de espacio público para aprovechamiento económico Reglamentado</t>
  </si>
  <si>
    <t>115,517 M2</t>
  </si>
  <si>
    <t xml:space="preserve">Reglamentar 3.500 M2 de espacio público </t>
  </si>
  <si>
    <t>Politica Publica de espacio publico (Ley 1988 de 2019)</t>
  </si>
  <si>
    <t>Formular e implementar una politica publica de espacio publico</t>
  </si>
  <si>
    <t xml:space="preserve">Programa Recuperación del Espacio Público </t>
  </si>
  <si>
    <t>Número de m2 de revitalización de parques y zonas verdes de la Ciudad de Cartagena</t>
  </si>
  <si>
    <t>20.000 M2</t>
  </si>
  <si>
    <t>Aumentar en 100.000 m2 de revitalización de parques, parques para la primera infancia y zonas verdes de la Ciudad de Cartagena</t>
  </si>
  <si>
    <t>Número de campañas de concientización para el uso adecuado y sostenible del espacio público</t>
  </si>
  <si>
    <t>9 Campañas</t>
  </si>
  <si>
    <t>Efectuar 9  campañas de concientización al millón de habitantes de la ciudad de Cartagena de Indias  y visitantes para el uso adecuado y sostenible del espacio público</t>
  </si>
  <si>
    <t>Número de operativos para la defensa y control de los m2 de Espacio Público</t>
  </si>
  <si>
    <r>
      <rPr>
        <sz val="6"/>
        <color theme="1"/>
        <rFont val="Arial"/>
        <family val="2"/>
      </rPr>
      <t>3</t>
    </r>
    <r>
      <rPr>
        <sz val="6"/>
        <color theme="1"/>
        <rFont val="Times New Roman"/>
        <family val="1"/>
      </rPr>
      <t xml:space="preserve">      </t>
    </r>
    <r>
      <rPr>
        <sz val="6"/>
        <color theme="1"/>
        <rFont val="Arial"/>
        <family val="2"/>
      </rPr>
      <t>operativos</t>
    </r>
  </si>
  <si>
    <t xml:space="preserve">Efectuar 200 operativos para la defensa y control de Espacio Público como parte de la estrategia de acompañamiento de la GEPM a la policia nacional. </t>
  </si>
  <si>
    <t xml:space="preserve">Programa Generación del Espacio Público  </t>
  </si>
  <si>
    <t>Número de puntos  a intervenir con Acupuntura Urbana y Urbanismo Táctico implementado en espacio público</t>
  </si>
  <si>
    <t>Intervenir 45 puntos en la ciudad de Cartagena con Acupuntura Urbana e intervenir 14 puntos a traves de Urbanismo táctico implementado en espacio público</t>
  </si>
  <si>
    <t>M2 de espacio Público renaturalizado</t>
  </si>
  <si>
    <t>Renaturalizar 50.000 m2 de espacio público en la Ciudad de Cartagena</t>
  </si>
  <si>
    <t>&lt;&lt;</t>
  </si>
  <si>
    <t>Número de m2 de espacio público recuperado</t>
  </si>
  <si>
    <t>500 M2</t>
  </si>
  <si>
    <t>Aumentar a 100.000 m2 el espacio público recuperado.</t>
  </si>
  <si>
    <t>Número de m2 de  Espacio público destinado al goce y disfrute de las personas con discapacidad</t>
  </si>
  <si>
    <t>43.538 M2</t>
  </si>
  <si>
    <t>Aumentar en 98.640 M2 el espacio público destinado al goce y disfrute de las personas con discapacidad de la ciudad de Cartagena</t>
  </si>
  <si>
    <t xml:space="preserve">Programa Movilidad en Cartagena  </t>
  </si>
  <si>
    <t>Plan maestro de movilidad formulado y adoptado</t>
  </si>
  <si>
    <t>Documento Sigma titulado " Informe Final _ V1: Formulaciòn del plan de movilidad del Distrito de Cartaagena " del 28 de septiembre de 2011</t>
  </si>
  <si>
    <t xml:space="preserve"> Formular 1 plan maestro de Movilidad</t>
  </si>
  <si>
    <t>Plan de adaptación de cruces viales elaborado</t>
  </si>
  <si>
    <t>Elaborar plan de adaptación de cruces viales</t>
  </si>
  <si>
    <t>Medios de movilidad alternativa diseñados</t>
  </si>
  <si>
    <t>Diseñar medios de movilidad alternativa</t>
  </si>
  <si>
    <t>Programa Transporte para todos</t>
  </si>
  <si>
    <t>Patios Complementarios Construidos</t>
  </si>
  <si>
    <t>Construcción de 2 patios complementarios</t>
  </si>
  <si>
    <t>N.P</t>
  </si>
  <si>
    <t>Número de Rutas Implementadas</t>
  </si>
  <si>
    <t>Implementar 19 rutas</t>
  </si>
  <si>
    <t>Número de buses en Operación</t>
  </si>
  <si>
    <t>Entrada de 336 buses en operación</t>
  </si>
  <si>
    <t>Número de Buses del TPC Chatarrizados</t>
  </si>
  <si>
    <t>Chatarrizar 712 buses</t>
  </si>
  <si>
    <t xml:space="preserve">     Número de paraderos para rutas pretroncales, alimentadoras y complementarias construidos</t>
  </si>
  <si>
    <t xml:space="preserve">ND </t>
  </si>
  <si>
    <t>Construir 409 paraderos para rutas pretroncales, alimentadoras y complementarias</t>
  </si>
  <si>
    <t xml:space="preserve">Programa Reducción de la Siniestralidad vial </t>
  </si>
  <si>
    <t xml:space="preserve">Número de actores viales capacitados en educación y cultura para la seguridad vial </t>
  </si>
  <si>
    <r>
      <rPr>
        <sz val="6"/>
        <color theme="1"/>
        <rFont val="Arial"/>
        <family val="2"/>
      </rPr>
      <t xml:space="preserve">      192.438        </t>
    </r>
    <r>
      <rPr>
        <sz val="6"/>
        <color rgb="FF000000"/>
        <rFont val="Arial"/>
        <family val="2"/>
      </rPr>
      <t>Actores viales</t>
    </r>
  </si>
  <si>
    <t>Capacitar 60.000 actores viales en educación y cultura para la seguridad vial</t>
  </si>
  <si>
    <t>Número de campañas educativas en seguridad vial realizadas por diferentes medios</t>
  </si>
  <si>
    <r>
      <rPr>
        <sz val="6"/>
        <color theme="1"/>
        <rFont val="Arial"/>
        <family val="2"/>
      </rPr>
      <t xml:space="preserve">79  </t>
    </r>
    <r>
      <rPr>
        <sz val="6"/>
        <color rgb="FF000000"/>
        <rFont val="Arial"/>
        <family val="2"/>
      </rPr>
      <t>campañas educativas</t>
    </r>
  </si>
  <si>
    <t xml:space="preserve"> Realizar 9 campañas educativas  en seguridad vial por diferentes medios para sensibilizar a 200.000  personas</t>
  </si>
  <si>
    <r>
      <rPr>
        <sz val="6"/>
        <color rgb="FF000000"/>
        <rFont val="Arial"/>
        <family val="2"/>
      </rPr>
      <t>Número</t>
    </r>
    <r>
      <rPr>
        <sz val="6"/>
        <color theme="1"/>
        <rFont val="Arial"/>
        <family val="2"/>
      </rPr>
      <t xml:space="preserve"> de señales verticales instaladas</t>
    </r>
  </si>
  <si>
    <t>6685  Señales Verticales</t>
  </si>
  <si>
    <t xml:space="preserve"> Instalar 1.000 señales verticales </t>
  </si>
  <si>
    <t xml:space="preserve">Número de metros lineales en marcas  longitudinales demarcados </t>
  </si>
  <si>
    <t>555.217 Metros Lineales</t>
  </si>
  <si>
    <t xml:space="preserve">Demarcar 150.000 metros lineales en marcas longitudinales </t>
  </si>
  <si>
    <t>Número de pasos peatonales demarcados o mantenidos</t>
  </si>
  <si>
    <t>N.D.</t>
  </si>
  <si>
    <t xml:space="preserve"> Demarcar o mantener  400 pasos peatonales.</t>
  </si>
  <si>
    <t>Número de zonas escolares demarcadas o mantenidas</t>
  </si>
  <si>
    <t>Demarcar o mantener 80 zonas escolares.</t>
  </si>
  <si>
    <t xml:space="preserve">Número de reductores de velocidad tipo bandas sonoras o resaltos o estoperoles instalados </t>
  </si>
  <si>
    <t>Instalar 1.000 líneas de reductores de velocidad tipo bandas sonoras o resaltos o estoperoles.</t>
  </si>
  <si>
    <t xml:space="preserve">Plan local de seguridad vial formulado </t>
  </si>
  <si>
    <t>Formular 1 Plan local de seguridad vial para la ciudad.</t>
  </si>
  <si>
    <t>Programa Fortalecimiento de la capacidad de respuesta del Departamento Administrativo de Tránsito y Transporte</t>
  </si>
  <si>
    <t xml:space="preserve">Número de funcionarios capacitados en competencias laborales </t>
  </si>
  <si>
    <t>100 funcionarios</t>
  </si>
  <si>
    <t>Capacitar a 201 funcionarios en competencias laborales</t>
  </si>
  <si>
    <t xml:space="preserve">% de renovación del parque automotor </t>
  </si>
  <si>
    <t xml:space="preserve">96% (110 vehículos) con 5 o más años de vida útil </t>
  </si>
  <si>
    <t xml:space="preserve">Renovar el 70 % (80 vehículos) del parque automotor </t>
  </si>
  <si>
    <t xml:space="preserve">Cartera morosa recuperada </t>
  </si>
  <si>
    <t>$ 551.036.646.077,oo
-100%</t>
  </si>
  <si>
    <t xml:space="preserve">Recuperar $ 44.082.931.686,oo
(8%) de la cartera morosa </t>
  </si>
  <si>
    <t>Plataforma tecnológica virtual para la información y gestión de trámites diseñada e implementada</t>
  </si>
  <si>
    <t>Diseñar e implementar una plataforma tecnológica virtual para la información y gestión de trámites</t>
  </si>
  <si>
    <t>% promedio de cumplimiento de los requisitos del Sistema de Gestión de Calidad</t>
  </si>
  <si>
    <t>77% (19 requisitos del SGC) Fuente DATT</t>
  </si>
  <si>
    <t>Llevar al 100% (19 requisitos del SGC) el promedio de cumplimiento de los requisitos del Sistema de Gestión de Calidad</t>
  </si>
  <si>
    <t xml:space="preserve">Estudios e  implementación del sistema de fiscalización electrónica en la ciudad elaborados </t>
  </si>
  <si>
    <t>Elaborar los estudios e implementar el sistema de fiscalización electrónica en 10 puntos de la ciudad.</t>
  </si>
  <si>
    <t>Programa Movilidad Sostenible en el Distrito de Cartagena</t>
  </si>
  <si>
    <t>Numero de campañas pedagógicas por diferentes medios para el uso de Transporte Público Masivo, Colectivo e Individual realizadas</t>
  </si>
  <si>
    <t>Realizar 9 campañas pedagógicas por diferentes medios  para el uso de Transporte Público Masivo, Colectivo e Individual para sensibilizar a 200.000 usuarios</t>
  </si>
  <si>
    <t>Número de tramos viales peatonalizadas en centro histórico.</t>
  </si>
  <si>
    <t>Peatonalizar 3 tramos Viales en centro histórico</t>
  </si>
  <si>
    <t>Número de Kilómetros de bici carril  diseñados, demarcados e implementados</t>
  </si>
  <si>
    <t>Diseñar, demarcar e implementar 10 kilómetros de bici carril</t>
  </si>
  <si>
    <t>Sistema de información para gestión de tránsito en tiempo real diseñado e implementado.</t>
  </si>
  <si>
    <t xml:space="preserve">Diseñar e implementar un sistema de información para gestión de tránsito en tiempo real </t>
  </si>
  <si>
    <t>Numero de intersecciones viales intervenidas y mejoradas en su operación</t>
  </si>
  <si>
    <t xml:space="preserve">17 Intersecciones viales </t>
  </si>
  <si>
    <t>Intervenir y mejorar en su operación 5 intersecciones viales.</t>
  </si>
  <si>
    <t xml:space="preserve">Estudio técnico elaborado para actualización y normalización  de los recorridos del TPC  </t>
  </si>
  <si>
    <t>16 Recorridos del TPC</t>
  </si>
  <si>
    <t xml:space="preserve">Elaborar un estudio técnico para actualización y normalización  de los 16  recorridos del TPC  </t>
  </si>
  <si>
    <t>Numero de terminales satélites de transporte ilegal erradicadas</t>
  </si>
  <si>
    <t>3 Terminales Satélites</t>
  </si>
  <si>
    <t>Erradicar 3 terminales satélites de transporte ilegal</t>
  </si>
  <si>
    <t xml:space="preserve">Vehículos de Tracción Animal sustituidos </t>
  </si>
  <si>
    <t xml:space="preserve">482 Vehículos de Tracción Animal </t>
  </si>
  <si>
    <t xml:space="preserve">Sustituir el 100% del censo deVehículos de Tracción Animal </t>
  </si>
  <si>
    <t>Estudios realizados  para implementación de taxímetro para servicio de Transporte Público Individual</t>
  </si>
  <si>
    <t xml:space="preserve">Realizar los estudios para implementación de taxímetro para servicio de Transporte Público Individual </t>
  </si>
  <si>
    <t>Estudios de estructuración técnica, legal y financiera del sistema de estacionamientos públicos en vía y fuera de vía realizados</t>
  </si>
  <si>
    <t xml:space="preserve">Realizar los estudios de estructuración técnica, legal y financiera del sistema de estacionamientos públicos en vía y fuera de vía </t>
  </si>
  <si>
    <t xml:space="preserve">LÍNEA ESTRATÉGICA DESARROLLO URBANO </t>
  </si>
  <si>
    <t>Programa Cartagena se Mueve</t>
  </si>
  <si>
    <t>Kilómetros carril de vías urbanas y rurales construidos, rehabilitados y/o mejorados.</t>
  </si>
  <si>
    <t>1.330 km 2019
Fuente Secretaria de Infraestructura</t>
  </si>
  <si>
    <t xml:space="preserve">Construir, rehabilitar y/o mejorar hasta 32 Kilómetros carril de vías urbanas y rurales </t>
  </si>
  <si>
    <t>Números de estudios, diseños e ingeniería de detalles de los tramos faltantes con respecto al total</t>
  </si>
  <si>
    <t>196 
Fuente Secretaria de Infraestructura 2019</t>
  </si>
  <si>
    <t xml:space="preserve">Elaborar 8  estudios, diseños e ingeniería de detalles de los tramos faltantes </t>
  </si>
  <si>
    <t>Número de obras contingentes derivadas de sentencias judiciales y obras de emergencia en Infraestructura diferentes  a vías construidas</t>
  </si>
  <si>
    <t>Realizar hasta 8 las obras contingentes derivadas de sentencias judiciales y obras de emergencia en infraestructura diferentes a vías</t>
  </si>
  <si>
    <t>Programa Sistema Hídrico y Plan maestro de drenajes pluviales en la ciudad para salvar el hábitat</t>
  </si>
  <si>
    <t>Metros cúbicos de residuos sólidos retirados de los canales pluviales retirados anualmente</t>
  </si>
  <si>
    <t>220.000 metros cúbicos
Fuente Secretaria de Infraestructura</t>
  </si>
  <si>
    <t xml:space="preserve">Retirar  520.212 Metros cúbicos de residuos sólidos  de los canales pluviales </t>
  </si>
  <si>
    <t>Kilómetros de diseños de ingeniería de detalle de  canales realizados</t>
  </si>
  <si>
    <t>32.9 kilómetros de canales con ingeniería de detalle 
Fuente: Departamento Administrativo  de Valorización Distrital</t>
  </si>
  <si>
    <t>Realizar diseño de ingeniería de detalle de 7.6 km hasta alcanar  40.5 kilómetros de canales</t>
  </si>
  <si>
    <t>Kilómetros lineales de canales pluviales  construidos y/o rectificados.</t>
  </si>
  <si>
    <t>6 km lineales a 2019
Fuentes Secretaria de Infraestructura
Departamento Administrativo  de Valorización Distrital</t>
  </si>
  <si>
    <t>Construir y/o rectificar 6.3 km  hasta alcanzar 10.3 kilómetros lineales de canales</t>
  </si>
  <si>
    <t xml:space="preserve">Programa Cartagena Ciudad de Bordes y Orillas Resiliente </t>
  </si>
  <si>
    <t xml:space="preserve">Kilómetros de construcción protección costera </t>
  </si>
  <si>
    <r>
      <rPr>
        <sz val="6"/>
        <color theme="1"/>
        <rFont val="Arial"/>
        <family val="2"/>
      </rPr>
      <t>1.0</t>
    </r>
    <r>
      <rPr>
        <sz val="6"/>
        <color theme="1"/>
        <rFont val="Times New Roman"/>
        <family val="1"/>
      </rPr>
      <t xml:space="preserve">         </t>
    </r>
    <r>
      <rPr>
        <sz val="6"/>
        <color theme="1"/>
        <rFont val="Arial"/>
        <family val="2"/>
      </rPr>
      <t>Km Fuente Departamento Administrativo  de Valorización Distrital</t>
    </r>
  </si>
  <si>
    <t>Alcanzar 8.0 kilómetros de construcción de protección costera</t>
  </si>
  <si>
    <t>Programa Cartagena se Conecta</t>
  </si>
  <si>
    <t>Número; Diseño y estructuración de obras de infraestructura por contribución de valorización.</t>
  </si>
  <si>
    <t>Diseñar al menos  3 proyectos de obras de infraestructura por contribución valorización.</t>
  </si>
  <si>
    <t>Kilómetros de vías regionales reparadas y/o construidas por contribución de valorización</t>
  </si>
  <si>
    <t xml:space="preserve">     41 km </t>
  </si>
  <si>
    <t>Llegar a 46 Km las vías regionales reparadas y/o construidas por contribución de valorización</t>
  </si>
  <si>
    <t>Kilómetros de  Vías urbanas reparadas y/o construidas por contribución de valorización</t>
  </si>
  <si>
    <t xml:space="preserve">4.8 kms </t>
  </si>
  <si>
    <t xml:space="preserve">Llegar a 7.0 km de vías urbanas reparadas y/o construidas por contribución de valorización </t>
  </si>
  <si>
    <t>Mts 2 de zonas de espacio público  construidos por contribución de valorización.</t>
  </si>
  <si>
    <t>6890 metros2  Fuente Departamento Administrativo de Valorización Distrital</t>
  </si>
  <si>
    <t>Completar 12.000 m2 de zonas de espacio público construidos por contribución de valorización</t>
  </si>
  <si>
    <t>Programa Integral de Caños, lagos, lagunas y ciénagas de Cartagena de Indias</t>
  </si>
  <si>
    <t>Programa Integral de Canales, caños, lagos, lagunas y ciénagas de Cartagena Formulado</t>
  </si>
  <si>
    <t>Estudios y diseños desactualizados para algunos de los proyectos contemplados en el programa y ningún estudio o diseño para otros proyectos del programa</t>
  </si>
  <si>
    <t>Estudios y diseños de detalle para los Eje 1 y Eje 2 del programa</t>
  </si>
  <si>
    <t>Avanzar en la ejecución de la Etapa 1 del programa Integral de Canales, caños, lagos, lagunas y ciénagas de Cartagena.</t>
  </si>
  <si>
    <t>0% ejecución</t>
  </si>
  <si>
    <t>Ejecución 20% de la Etapa 1 (con impacto en indicadores como metros lineales de caños y lagunas intervenidos con relimpias y dragados; ruta de transporte acuático implementada; m2 de espacio público y metros lineales de vías y puentes intervenidos y/o generados; estudios socioeconómicos del territorio).</t>
  </si>
  <si>
    <t>LÍNEA ESTRATÉGICA GESTIÓN DEL RIESGO.</t>
  </si>
  <si>
    <t>Programa Conocimiento del Riesgo</t>
  </si>
  <si>
    <t xml:space="preserve">Estudio ajustado y actualizado </t>
  </si>
  <si>
    <t>Un Plan Distrital de gestión de riesgo ajustado y actualizado</t>
  </si>
  <si>
    <t xml:space="preserve">Inventarios de asentamientos elaborados </t>
  </si>
  <si>
    <t>Inventariar 20 asentamientos en zona de alto riesgo</t>
  </si>
  <si>
    <t xml:space="preserve">Catálogo de inventario de riesgos tecnológicos realizado </t>
  </si>
  <si>
    <t xml:space="preserve">Realizar 1 Catálogo del inventario de riesgos tecnológicos </t>
  </si>
  <si>
    <t>Sistemas de alertas tempranas para la gestión del riesgo de desastres diseñados</t>
  </si>
  <si>
    <t>Generar 1 servicio  de alertas tempranas para la gestión del riesgo de desastres coordinado con la oficina de informática de la Alcaldía Distrital de Cartagena.</t>
  </si>
  <si>
    <t>Programa Reducción del Riesgo</t>
  </si>
  <si>
    <t>Número de establecimientos educativos con acciones de gestión del riesgo implementadas</t>
  </si>
  <si>
    <t>Servicio de gestión de riesgos y desastres en 327 establecimientos educativos</t>
  </si>
  <si>
    <t>Número de obras de infraestructura para mitigación y atención a desastres realizadas</t>
  </si>
  <si>
    <t>Tramitar u oficiar ante Infraestructura obras  para mitigación y atención a desastres</t>
  </si>
  <si>
    <t>Personas capacitadas en los programas de gestión del riesgo</t>
  </si>
  <si>
    <t>Capacitar a 4000 personas en los programas de gestión del riesgo</t>
  </si>
  <si>
    <t>Número de Miembros de comunidades con  riesgos tecnológicos capacitados</t>
  </si>
  <si>
    <t>Capacitar 2000 miembros de la comunidad en riesgos tecnológico</t>
  </si>
  <si>
    <t>Programa Manejo de Desastre</t>
  </si>
  <si>
    <t xml:space="preserve">Estrategia actualizada </t>
  </si>
  <si>
    <t>Actualizar 1 estrategia de Respuesta a las Emergencias del Distrito (Post Coronavirus Covid -19 y cualquier otra pandemia presentada en el Distrito de Cartagena)</t>
  </si>
  <si>
    <t>Comités barriales de emergencias creados y dotados</t>
  </si>
  <si>
    <t>Creación y dotación de 120 Comité barriales de emergencias</t>
  </si>
  <si>
    <t xml:space="preserve">Entidades y Dependencias capacitadas, simulaciones y simulacros realizados </t>
  </si>
  <si>
    <t>Capacitar 100 entidades y dependencias en prácticas, simulaciones y simulacros en gestión de riesgo de desastres.</t>
  </si>
  <si>
    <t>Beneficios económicos  a las familias afectadas en los distintos eventos reducidos</t>
  </si>
  <si>
    <t xml:space="preserve">Reducir a 1620 los beneficios económicos otorgados a las familias afectadas en los distintos eventos manejados por la OADGR </t>
  </si>
  <si>
    <t>Manual de respuesta ante riesgos tecnológicos elaborado</t>
  </si>
  <si>
    <t>Elaborar e implementar 1 manual de respuesta ante riesgos tecnológicos</t>
  </si>
  <si>
    <t xml:space="preserve">Emergencias de riesgo asesoradas </t>
  </si>
  <si>
    <t>Regular el 100% de las emergencias de riesgos</t>
  </si>
  <si>
    <t>Programa Fortalecimiento Cuerpo de Bomberos</t>
  </si>
  <si>
    <t>Estación de Bomberos de Bocagrande adecuada para que brinde respuesta terrestre y acuática.</t>
  </si>
  <si>
    <t>A 2019 estación de Cuerpo de Bomberos de Bocagrande con respuesta solo de emergencias  terrestres.</t>
  </si>
  <si>
    <t>Adecuar la estación de Bomberos de Bocagrande para que brinde respuestas terrestres y acuáticas.</t>
  </si>
  <si>
    <t>Nueva estación de Bomberos terrestre en el Distrito de Cartagena construida.</t>
  </si>
  <si>
    <t>A 2019 tres estaciones de Bomberos en el Distrito.</t>
  </si>
  <si>
    <t>Construir una nueva estación de Bomberos terrestre en el Distrito de Cartagena</t>
  </si>
  <si>
    <t>LÍNEA ESTRATÉGICA VIVIENDA  PARA TODOS</t>
  </si>
  <si>
    <t>Programa Juntos por una Vivienda Digna</t>
  </si>
  <si>
    <r>
      <rPr>
        <sz val="6"/>
        <color rgb="FF000000"/>
        <rFont val="Arial"/>
        <family val="2"/>
      </rPr>
      <t>Número de Subsidios de vivienda nueva adjudicados</t>
    </r>
    <r>
      <rPr>
        <sz val="6"/>
        <color rgb="FFFF0000"/>
        <rFont val="Arial"/>
        <family val="2"/>
      </rPr>
      <t xml:space="preserve">. </t>
    </r>
  </si>
  <si>
    <r>
      <rPr>
        <sz val="6"/>
        <color theme="1"/>
        <rFont val="Arial"/>
        <family val="2"/>
      </rPr>
      <t xml:space="preserve">36.794 </t>
    </r>
    <r>
      <rPr>
        <sz val="6"/>
        <color rgb="FF000000"/>
        <rFont val="Arial"/>
        <family val="2"/>
      </rPr>
      <t>Hogares sin vivienda</t>
    </r>
  </si>
  <si>
    <t>Adjudicación de 5.000 subsidios de vivienda nueva para la población de los estratos 1,2 y 3.</t>
  </si>
  <si>
    <t>Número de Viviendas Iniciadas.</t>
  </si>
  <si>
    <t xml:space="preserve">4000 viviendas iniciadas </t>
  </si>
  <si>
    <t>Programa Mejoro Mi Casa, compromiso de todos</t>
  </si>
  <si>
    <t>Número de viviendas mejoradas sector Urbano</t>
  </si>
  <si>
    <t>3500 viviendas mejoradas en zona Urbana del Distrito de Cartagena de Indias</t>
  </si>
  <si>
    <t>Número de viviendas mejoradas sector rural</t>
  </si>
  <si>
    <t>Fuente Corvivienda</t>
  </si>
  <si>
    <t>1000 viviendas mejoradas en zona rural e insular del Distrito de Cartagena</t>
  </si>
  <si>
    <t>Programa ¡Mi Casa a lo Legal!</t>
  </si>
  <si>
    <t>Número de predios legalizados y/ o titulados</t>
  </si>
  <si>
    <t>14.770 Viviendas</t>
  </si>
  <si>
    <t>4500 predios legalizados y /o titulados en el Distrito de Cartagena</t>
  </si>
  <si>
    <t>Programa Un Lugar apto para mi hogar</t>
  </si>
  <si>
    <t>Número de  instrumentos y/o diagnósticos que identifiquen  áreas disponibles para la construcción de viviendas VIS y/o VIP.</t>
  </si>
  <si>
    <t>2 documentos técnicos, instrumentos y/o diagnósticos destinados a identificar suelo disponible para la construcción de viviendas VIS y/o VIP en el distrito de Cartagena de Indias.</t>
  </si>
  <si>
    <t>Número de Hectáreas de tierras aptas para la construcción de Vivienda Nueva</t>
  </si>
  <si>
    <t xml:space="preserve">Adquisición de 10 hectáreas identificadas para la construcción de viviendas VIS y/o VIP en el distrito de Cartagena de Indias.  </t>
  </si>
  <si>
    <t xml:space="preserve">Programa Mi Casa, Mi Entorno, Mi Hábitat    </t>
  </si>
  <si>
    <t xml:space="preserve">Número de documentos, estudios o informes realizados para la Medición Integral de las Necesidades habitacionales (MINH)        </t>
  </si>
  <si>
    <t>1 documento general, y 3 informes de seguimiento para la Medición Integral de las Necesidades Habitacionales (MINH)</t>
  </si>
  <si>
    <t>Número de Documentos Técnicos de Soporte DTS elaborados para la Legalización Urbanística a realizarse</t>
  </si>
  <si>
    <t>Elaborar 6 Documentos Técnicos de Soporte DTS  para la Legalización Urbanística a realizarse</t>
  </si>
  <si>
    <t>Formulación y/o participación en instrumentos de planeación y/o gestión urbanística que desarrollen el POT</t>
  </si>
  <si>
    <t>1 Formulación y/o participación en instrumentos de planeación y/o gestión urbanística que desarrollen el POT</t>
  </si>
  <si>
    <t>Número de estudios y seguimientos para la conformación de la línea estratégica de estudios de vivienda VIS.</t>
  </si>
  <si>
    <t>3 estudios y seguimientos para la conformación de la línea estratégica de estudios de vivienda VIS que se articulará en el observatorio Distrital.</t>
  </si>
  <si>
    <t>LÍNEA ESTRATÉGICA SERVICIOS PÚBLICOS BÁSICOS DEL DISTRITO DE CARTAGENA DE INDIAS: “TODOS CON TODO”</t>
  </si>
  <si>
    <t>Programa de Ahorro y Uso Eficiente De Los Servicios Públicos, "Agua y Saneamiento Básico Para Todos”</t>
  </si>
  <si>
    <t>Porcentaje de la población con acceso a servicios de acueducto de forma segura en las comunidades de Arroyo de la Canoas, Arroyo Grande, Vereda el Zapatero, comunidad de la Sevillana, ubicadas en suelo rural</t>
  </si>
  <si>
    <t>Llevar al 80 % el porcentaje de cobertura de la población con acceso a servicios de acueducto de forma segura en las comunidades de Arroyo de la Canoas, Arroyo Grande, Vereda el Zapatero, comunidad de la Sevillana, ubicadas en suelo rural</t>
  </si>
  <si>
    <t>Porcentaje de la población con acceso a servicios de acueducto de forma segura en las comunidades de Bayunca, Manzanillo del Mar, Tierra Baja y Puerto Rey ubicadas en suelo rural</t>
  </si>
  <si>
    <t>91%
Fuente secretaria General - Servicios publicos</t>
  </si>
  <si>
    <t>Porcentaje de la población con acceso a servicios de acueducto de forma segura en las comunidades de Tierra Bomba, Archipiélago de San Bernardo, Isla Fuerte e Isla de Barú, ubicadas en suelo insular</t>
  </si>
  <si>
    <t>5% de cobertura</t>
  </si>
  <si>
    <t>Tasa de cobertura de acueducto de forma segura en las comunidades de  Puerta de Hierro y Membrillal, ubicadas en suelo urbano</t>
  </si>
  <si>
    <t>93.35% de cobertura</t>
  </si>
  <si>
    <t>Llevar al 100%  la tasa  de acueducto de forma segura en las comunidades de  Puerta de Hierro y Membrillal, ubicadas en suelo urbano</t>
  </si>
  <si>
    <t>Porcentaje de la población con acceso a servicios de acueducto de forma segura en el corregimiento de Pasacaballos, ubicado en suelo rural</t>
  </si>
  <si>
    <t>42 % de Cobertura</t>
  </si>
  <si>
    <t>Numero de Predios Identificados con el POMCA de importancia estratégicas</t>
  </si>
  <si>
    <t>N.D</t>
  </si>
  <si>
    <t>Proteger 20 predios de importancia estratégica para acueducto</t>
  </si>
  <si>
    <t>Porcentaje de la población con acceso a saneamiento  de forma segura en las poblaciones de Bayunca, Pontezuela, Arroyo Grande y las Canoas, Arroyo de Piedra, Vereda el Zapatero, La Sevillana, Manzanillo del Mar, Tierra Baja y Puerto Rey</t>
  </si>
  <si>
    <t>0% de Cobertura</t>
  </si>
  <si>
    <t>Porcentaje de la población con acceso a servicios de saneamiento  de forma segura en las cuatro poblaciones de Tierra Bomba, La Isla de Barú, Isla Fuerte y Archipiélago de San Bernardo</t>
  </si>
  <si>
    <t>Porcentaje de la población con acceso a servicios de saneamiento de forma segura en las comunidades de Jorge Eliecer Gaitán, Meza Valdez, Madre Herlinda, La Esmeralda y Membrillal, en suelo rural</t>
  </si>
  <si>
    <t>Cobertura de 12%</t>
  </si>
  <si>
    <t>Tasa de cobertura de saneamiento de forma segura en barrios de Villa Rosa, Arroz Barato, Policarpa y Puerta de Hierro y 19 barrios más del distrito de Cartagena</t>
  </si>
  <si>
    <t>Cobertura de 83%</t>
  </si>
  <si>
    <t>Implementar el Plan de Saneamiento y manejo de vertimientos PSMV , en el area rural e insular</t>
  </si>
  <si>
    <t>Vencido Junio de 2019</t>
  </si>
  <si>
    <t>Aumentar en un 50% la disposicion adecuada de las aguas residuales domesticas generadas en la zona insular y rural</t>
  </si>
  <si>
    <t>Programa Energía Asequible, Confiable Sostenible y Moderna Para Todos.</t>
  </si>
  <si>
    <t>Porcentaje de Cobertura de energía asequibles en la Zona Rural e Insular</t>
  </si>
  <si>
    <t>Cobertura de 64.85 %</t>
  </si>
  <si>
    <t>Porcentaje de la capacidad instalada de generación de energía eléctrica que corresponde a fuentes renovables en Isla Fuerte</t>
  </si>
  <si>
    <t>Porcentaje de Intensidad Energética del sistema económico de Cartagena</t>
  </si>
  <si>
    <t>Programa Gestión Integral De Residuos Sólidos "Cultura ciudadana para el reciclaje inclusivo y la economía circular"</t>
  </si>
  <si>
    <r>
      <rPr>
        <sz val="6"/>
        <color theme="1"/>
        <rFont val="Arial"/>
        <family val="2"/>
      </rPr>
      <t xml:space="preserve">PGIRS Actualizado, adoptado e implementado en los 13 </t>
    </r>
    <r>
      <rPr>
        <sz val="6"/>
        <color theme="1"/>
        <rFont val="Calibri"/>
        <family val="2"/>
      </rPr>
      <t xml:space="preserve">programas </t>
    </r>
    <r>
      <rPr>
        <sz val="6"/>
        <color theme="1"/>
        <rFont val="Arial"/>
        <family val="2"/>
      </rPr>
      <t xml:space="preserve"> en el  Distrito</t>
    </r>
  </si>
  <si>
    <t>PGIRS en marcha versión 2017
Fuente Secretaria General - Servicios Publicos</t>
  </si>
  <si>
    <t>Actualización, adopción e implementación de los 13 programas del PGIRS por el Distrito</t>
  </si>
  <si>
    <t>Ton - métricas disminuidas/año en el relleno sanitario</t>
  </si>
  <si>
    <t>34.307 Ton/métricas                                           PGIRS 2016-2027
Fuente Secretaria General - Servicios Publicos</t>
  </si>
  <si>
    <t>Disminuir ton métricas  hasta alcanzar el 30% en el 2023</t>
  </si>
  <si>
    <t>Número de puntos críticos actualizados y geo referenciados</t>
  </si>
  <si>
    <t>54 puntos críticos.                PGIRS 2016-2027
Fuente Secretaria General - Servicios Publicos</t>
  </si>
  <si>
    <t>Reducir en un 50% los puntos críticos de la ciudad y aumentar cobertura</t>
  </si>
  <si>
    <t>Porcentaje de cobertura de implementación de la estrategia IEC información, educación y comunicación</t>
  </si>
  <si>
    <t xml:space="preserve">12 puentes y 16 áreas públicas objeto del lavado, recuperadas y mantenidas según PGIRS actual. Recomendamos ampliar el número de áreas a intervenir en la actualización del PGIRs </t>
  </si>
  <si>
    <t>Implementación de la estrategia IEC al 100% en las áreas públicas del Distrito de Cartagena de Indias asociadas al covid-19</t>
  </si>
  <si>
    <t xml:space="preserve">Diseño de una Estación de Clasificación y Aprovechamiento ECA de 1200 m2 para residuos orgánicos con capacidad para 50 Tm/día. </t>
  </si>
  <si>
    <t>Realizar un (1) diseño y estudio técnico de una Estación de Clasificación y Aprovechamiento ECA de 1200 m2 para residuos orgánicos con capacidad para 50 Tm/día.</t>
  </si>
  <si>
    <r>
      <rPr>
        <sz val="6"/>
        <color rgb="FF000000"/>
        <rFont val="Arial"/>
        <family val="2"/>
      </rPr>
      <t xml:space="preserve">Diseño de una Estación de Clasificación y Aprovechamiento ECA para </t>
    </r>
    <r>
      <rPr>
        <sz val="6"/>
        <color rgb="FF000000"/>
        <rFont val="Arial"/>
        <family val="2"/>
      </rPr>
      <t>Residuos de demolición y construcción</t>
    </r>
    <r>
      <rPr>
        <sz val="6"/>
        <color rgb="FF000000"/>
        <rFont val="Arial"/>
        <family val="2"/>
      </rPr>
      <t xml:space="preserve"> RCD con capacidad para 180 m3/día</t>
    </r>
  </si>
  <si>
    <t>Formulación de la estrategias de Residuos de Aparatos Eléctricos y Electrónicos RAEE y llantas usadas</t>
  </si>
  <si>
    <t>Formular e implementar estrategia de Residuos de Aparatos Eléctricos y Electrónicos RAEE y llantas usadas</t>
  </si>
  <si>
    <t>Esquema de Operación de los Servicios Públicos Domiciliarios EOSPD creado en zonas rural e insular</t>
  </si>
  <si>
    <t>Creación y puesta en Marcha del Esquema de Operación de los Servicios Públicos Domiciliarios EOSPD en zonas rural e insular</t>
  </si>
  <si>
    <t>Programa Sistema de Información De Los Servicios Públicos, “Servinfo”</t>
  </si>
  <si>
    <t>Creación de un  Sistema de Información de los  Servicios  Públicos Desplegado en la WEB, ios Y ANDROID</t>
  </si>
  <si>
    <t>A partir de arquitectura de MIDAS</t>
  </si>
  <si>
    <t>Construcción de ServiData web. (backed y fronted)   
Construcción ServiData móvil. (backed y fronted)</t>
  </si>
  <si>
    <t>Programa Cementerios</t>
  </si>
  <si>
    <t>Plan de saneamiento Ambiental implementado</t>
  </si>
  <si>
    <t>0
Fuente Secretaria General- Apoyo Logistico</t>
  </si>
  <si>
    <t>Implementar 4  planes de saneamiento ambiental en los cementerios distritales uno (1) por cementerio, (Ternera, Manga, Olaya Y Albornoz).</t>
  </si>
  <si>
    <t>Obra civil de ampliación para la construcción de bóvedas y nichos en los cementerios distritales, (Ternera, Olaya y Albornoz) realizada.</t>
  </si>
  <si>
    <t>Realizar 4 obras de ampliación para la construcción de bóvedas y nichos en los cementerios distritales, una (1) por cementerio (Manga, Ternera, Olaya Y Albornoz).</t>
  </si>
  <si>
    <t>Acciones preventivas y correctivas en los cementerios distritales, (Ternera, Monga, Olaya y Albornoz) realizada.</t>
  </si>
  <si>
    <t>Realizar 4 obras de acciones preventivas y correctivas en los cementerios distritales, una (1) por cementerio (Ternera, Manga, Olaya y Albornoz).</t>
  </si>
  <si>
    <t>Estudio preliminar para la intervención integral del Cementerio de Manga realizado.
Declarado bien de interes cultural del ambito nacional , Patrimonio material según decreto 1911 del 2 de noviembre de 1995</t>
  </si>
  <si>
    <t>Realizar un (1) estudio preliminar para la intervención integral del cementerio de Manga.</t>
  </si>
  <si>
    <t>LÍNEA ESTRATÉGICA INSTRUMENTOS DE ORDENAMIENTO TERRITORIAL.</t>
  </si>
  <si>
    <t>Programa Plan de Ordenamiento Territorial y Especial de Manejo de Patrimonio.</t>
  </si>
  <si>
    <t>Plan de Ordenamiento Territorial  revisado, ajustado, actualizado concertado y presentado.</t>
  </si>
  <si>
    <t>Estudios y documentos elaborados
Fuente Secretaria de Planecion</t>
  </si>
  <si>
    <t xml:space="preserve">Revisar, ajustar, actualizar  concertar y presentar para aprobación ante el Concejo Distrital un Plan de Ordenamiento Territorial POT </t>
  </si>
  <si>
    <t>Plan parcial de renovación urbana Macroproyecto Parque Distrital Ciénaga de la Virgen revisado  y adoptado</t>
  </si>
  <si>
    <t>Estudio de las zonas de Riesgos de parte de la Loma del Peye
Fuente Secretaria de Planecion</t>
  </si>
  <si>
    <t>Desarrollar 3 estrategias para  la realización  de 3 planes parciales de renovación urbana del Macroproyecto Parque Distrital Ciénaga de la Virgen</t>
  </si>
  <si>
    <t>Plan de Protección costera que incluye reglamentación de playas, marinas y ley de costas implementada elaborado</t>
  </si>
  <si>
    <t xml:space="preserve">0
Fuente Secretaria de Planeaciòn </t>
  </si>
  <si>
    <t>Elaborar nueva reglamentación de playas  adaptada a estrategia post - covid.</t>
  </si>
  <si>
    <t>Documento PEMP del Centro Historico</t>
  </si>
  <si>
    <t xml:space="preserve">8
Fuente Secretaria de Planeaciòn </t>
  </si>
  <si>
    <t>Realizar 25 sesiones de participación ciudadana en el marco de la construcción colectiva del documento PEMP del centro historico.</t>
  </si>
  <si>
    <t xml:space="preserve">1
Fuente Secretaria de Planeaciòn </t>
  </si>
  <si>
    <t>Revisar y ajustar 1 documento PEMP del Centro Historico.
(Decreto 2358 del 26 de diciembre de 2019)</t>
  </si>
  <si>
    <t>Observatorio creado</t>
  </si>
  <si>
    <t>Crear 1 observatorio de datos abiertos de las dinámicas urbanas y sociales de la ciudad</t>
  </si>
  <si>
    <t>Programa Administrando Juntos El Control Urbano</t>
  </si>
  <si>
    <t>Plan de Normalización Urbanística ejecutado</t>
  </si>
  <si>
    <t>Ejecutar al  100%  las estrategias del Plan de Normalización Urbanística</t>
  </si>
  <si>
    <t>Programa Ordenación territorial y  Recuperación social, ambiental y Urbana de la Ciénaga de la Virgen.</t>
  </si>
  <si>
    <t>Estudios y diseños ajustados para la construcciòn del tramo este de la via perimetral con calles de servicio y acceso</t>
  </si>
  <si>
    <t>3.4 kilómetros construidos
Fuente Secretaria de Infraestructura 2019</t>
  </si>
  <si>
    <t>Estudios y diseños ajustados para la construcciòn 14.2 km del tramo este de la via perimetral con calles de servicio y acceso</t>
  </si>
  <si>
    <t>Kilómetros de Canales secundarios rehabilitados</t>
  </si>
  <si>
    <t>Rehabilitar 3.5 kilómetros canales secundarios</t>
  </si>
  <si>
    <t>Kilómetros de Canales bajo calle construidos</t>
  </si>
  <si>
    <t>Construir 7 kilómetros de canales bajo calle</t>
  </si>
  <si>
    <t>Cooperativa conformada</t>
  </si>
  <si>
    <t>Conformación de 1 cooperativa con los habitantes de los barrios aledaños a la vía perimetral</t>
  </si>
  <si>
    <t>Sistema de gestión  Hídrica de la Ciénaga de la Virgen  y Recuperación del Manglar conformado</t>
  </si>
  <si>
    <t>Conformación de un sistema de gestión  Hídrica de la Ciénaga de la Virgen  y Recuperación del Manglar</t>
  </si>
  <si>
    <t>Logro alcanzado de la meta producto propuesta para el año 2021 a SEPTIEM</t>
  </si>
  <si>
    <t xml:space="preserve">Logro alcanzado de la meta producto propuesta para el año 2021 a DICIEMBRE </t>
  </si>
  <si>
    <t>PILAR CARTAGENA INCLUYENTE</t>
  </si>
  <si>
    <t>LÍNEA ESTRATÉGICA: SUPERACIÓN DE LA POBREZA Y DESIGUALDAD.</t>
  </si>
  <si>
    <t>Acompañamiento   a personas  para la superación de la pobreza extrema en el Distrito de Cartagena</t>
  </si>
  <si>
    <t>206.189 personas en pobreza por IPM Cartagena – 2019.
 Fuente: Censo Nacional de Población y Vivienda 2018. (CNPV 2018). Boletín Técnico Gran encuesta integrada de Hogares GEIH- 2018.</t>
  </si>
  <si>
    <t>Acompañar a 61.860   personas en pobreza extrema</t>
  </si>
  <si>
    <t xml:space="preserve">Programa: Identificación para la superación de la pobreza extrema y desigualdad </t>
  </si>
  <si>
    <t xml:space="preserve">Número de personas en extrema pobreza identificadas, en articulación con la Registraduría Nacional del Estado Civil </t>
  </si>
  <si>
    <t>24.366 personas identificadas
Fuente: Seguimiento Plan de desarrollo PES-PR 2016- 2019</t>
  </si>
  <si>
    <t xml:space="preserve">Aumentar a 48.732 personas identificadas en pobreza extrema en articulación con la Registraduría Nacional del Estado Civil  </t>
  </si>
  <si>
    <t>Hombres con situación militar definidas, por distrito militar</t>
  </si>
  <si>
    <t>18.052 hombres en extrema pobreza en Cartagena   
Fuente: Cálculos Propios PES-PR con base I.P.M DANE 2019.</t>
  </si>
  <si>
    <t>5.000 los hombres en extrema pobreza con situación militar definida por el distrito militar</t>
  </si>
  <si>
    <t>Número de migrantes  asesorados y/o acompañados en proceso de regularización de la situación migratoria en Cartagena</t>
  </si>
  <si>
    <t>52.486 migrantes informados
Fuente: Migración Colombia, diciembre 2019</t>
  </si>
  <si>
    <t>10.000 migrantes asesorados y orientados en la regulación de su situación legal</t>
  </si>
  <si>
    <t xml:space="preserve">Programa: Salud para la superación de la pobreza extrema y desigualdad </t>
  </si>
  <si>
    <t>Número de personas, en condición de pobreza extrema, accediendo al Sistema General de Seguridad Social en salud en articulación con el Dadis</t>
  </si>
  <si>
    <r>
      <rPr>
        <sz val="7"/>
        <color theme="1"/>
        <rFont val="Arial"/>
        <family val="2"/>
      </rPr>
      <t xml:space="preserve"> 13.136 personas sin aseguramiento en salud en Cartagena
</t>
    </r>
    <r>
      <rPr>
        <sz val="7"/>
        <color theme="1"/>
        <rFont val="Arial"/>
        <family val="2"/>
      </rPr>
      <t>Fuente: DADIS 2019</t>
    </r>
  </si>
  <si>
    <t xml:space="preserve">100% personas en pobreza extrema vinculadas al Sistema General de Seguridad Social en Salud, en articulación con el Dadis </t>
  </si>
  <si>
    <r>
      <rPr>
        <sz val="7"/>
        <color theme="1"/>
        <rFont val="Arial"/>
        <family val="2"/>
      </rPr>
      <t xml:space="preserve">Número de personas en extrema pobreza capacitadas de forma virtual y presencial en  </t>
    </r>
    <r>
      <rPr>
        <b/>
        <sz val="7"/>
        <color theme="1"/>
        <rFont val="Arial"/>
        <family val="2"/>
      </rPr>
      <t>Salud Integral a la Comunidad</t>
    </r>
    <r>
      <rPr>
        <sz val="7"/>
        <color theme="1"/>
        <rFont val="Arial"/>
        <family val="2"/>
      </rPr>
      <t>.</t>
    </r>
  </si>
  <si>
    <t xml:space="preserve"> Número de personas atendidas por medicina tradicional Ancestral en los territorios afrodescendientes e indígenas articuladas con los cabildos indígenas y consejos comunitarios</t>
  </si>
  <si>
    <t xml:space="preserve"> 7.000 personas afrodescendientes e indígenas atendidas por medicina tradicional y ancestral articuladas con los cabildos indígenas y consejos comunitarios</t>
  </si>
  <si>
    <t>Programa: Educación para la superación de la pobreza extrema y la desigualdad</t>
  </si>
  <si>
    <t>Número de niños, niñas y adolescentes incluidos al sistema educativo, articulado con la Secretaría de Educación</t>
  </si>
  <si>
    <r>
      <rPr>
        <sz val="7"/>
        <color theme="1"/>
        <rFont val="Arial"/>
        <family val="2"/>
      </rPr>
      <t xml:space="preserve">13.196 niños, niñas y adolescentes en I.P.M en Inasistencia escolar
</t>
    </r>
    <r>
      <rPr>
        <sz val="7"/>
        <color theme="1"/>
        <rFont val="Arial"/>
        <family val="2"/>
      </rPr>
      <t>Fuente: Cálculos Propios PES-PR con base I.P.M DANE 2019.</t>
    </r>
    <r>
      <rPr>
        <sz val="7"/>
        <color theme="1"/>
        <rFont val="Arial"/>
        <family val="2"/>
      </rPr>
      <t xml:space="preserve">  </t>
    </r>
  </si>
  <si>
    <t xml:space="preserve">3.959 niños, niñas y adolescentes incluidos al sistema educativo en articulación con la Secretaría de Educación para el periodo 2020 - 2023. </t>
  </si>
  <si>
    <t>Número de jóvenes y adultos, acceden a programas de alfabetización y educación   articulados con la Secretaría de Educación Distrital.</t>
  </si>
  <si>
    <t>13.402 personas en condición de Analfabetismo
 Fuente: Cálculos Propios PES-PR con base I.P.M DANE 2019.</t>
  </si>
  <si>
    <t>Número de jóvenes y adultos en pobreza extrema que acceden a educación técnica, tecnológica y superior.</t>
  </si>
  <si>
    <t>11.588 jóvenes en atención por el DPS en programa de educación</t>
  </si>
  <si>
    <t>Número de personas en pobreza extremas que acceden a la educación para el trabajo y desarrollo humano.</t>
  </si>
  <si>
    <t xml:space="preserve">12.000 personas acceden a la educación para el trabajo y desarrollo humano para el periodo 2020 - 2023. </t>
  </si>
  <si>
    <t>Programa: Habitabilidad para la superación de la pobreza extrema y la desigualdad</t>
  </si>
  <si>
    <t>Viviendas con inadecuada eliminación de excretas en la población de extrema pobreza.</t>
  </si>
  <si>
    <t xml:space="preserve">      23.770   viviendas, según  Censo - Dane 2018.  </t>
  </si>
  <si>
    <t xml:space="preserve"> Intervenir 3.047 hogares con inadecuada eliminación de excretas para el año 2023.</t>
  </si>
  <si>
    <t xml:space="preserve"> Viviendas intervenidas con acceso a Fuente de Agua Mejorada</t>
  </si>
  <si>
    <t>16.456 viviendas, según  Censo - Dane 2018</t>
  </si>
  <si>
    <t xml:space="preserve"> Intervenir 3.657 casas sin acceso a fuente de agua mejorada para el año 2023</t>
  </si>
  <si>
    <t>Viviendas que acceden a un piso adecuado</t>
  </si>
  <si>
    <t>15.237 viviendas, según  Censo - Dane 2018</t>
  </si>
  <si>
    <t>Intervenir 3.047 hogares con material adecuado de pisos para el año 2023.</t>
  </si>
  <si>
    <t xml:space="preserve">Programa Ingresos y trabajo para la superación de la pobreza extrema y desigualdad </t>
  </si>
  <si>
    <t>Número de personas en pobreza extrema vinculadas laboralmente</t>
  </si>
  <si>
    <t xml:space="preserve"> 28.000 personas desocupadas
Fuente: Dane 2019</t>
  </si>
  <si>
    <t xml:space="preserve">Vincular a 3.000 personas al mundo laboral para el periodo 2020 a 2023 </t>
  </si>
  <si>
    <t>Número de personas en pobreza extrema certificadas y capacitadas en   competencias laborales</t>
  </si>
  <si>
    <t xml:space="preserve"> 2.013 Personas en pobreza extrema certificadas en competencias laborales</t>
  </si>
  <si>
    <t>Certificar a 3.000 personas nuevas en competencias laborales para el periodo 2020 a 2023</t>
  </si>
  <si>
    <t>Número de familias en pobreza extrema creando nuevas unidades productivas</t>
  </si>
  <si>
    <t xml:space="preserve"> 2.493 unidades productivas creadas a través de proceso de emprendimiento 
Fuente: Seguimiento Plan de Acción PES-PR 2019</t>
  </si>
  <si>
    <t xml:space="preserve">Crear 3.000 nuevas unidades productivas familiares para el periodo 2020 a 2023 </t>
  </si>
  <si>
    <t>Número de negocios familiares apoyados técnica y financieramente</t>
  </si>
  <si>
    <t>2.288 familias Fortalecidas técnica y financiera unidades productivas  a través del Empresarismo
Fuente: Seguimiento Plan de Acción PES-PR 2019</t>
  </si>
  <si>
    <t>4.000 negocios familiares apoyados técnica y financieramente para el periodo 2020 a 2023</t>
  </si>
  <si>
    <t>Emprendimientos en las comunidades Afro, Palenqueras e Indígenas creados</t>
  </si>
  <si>
    <t>Crear 2.000 emprendimientos Afro, palenqueros e indígenas para el periodo 2020 a 2023</t>
  </si>
  <si>
    <t xml:space="preserve">Programa: Bancarización para la superación de la pobreza extrema y desigualdad </t>
  </si>
  <si>
    <t>Número de ferias y ruedas de negocios realizadas</t>
  </si>
  <si>
    <t>6 ruedas de negocios</t>
  </si>
  <si>
    <t>Realizar 8 ruedas de negocios para el periodo 2020 -  2023</t>
  </si>
  <si>
    <t>Número de personas en pobreza extrema accediendo al sistema financiero</t>
  </si>
  <si>
    <t>32.300 personas en IPM (3,6%) Indice de Pobreza Multidimensional 
Fuente: Calculos propios PES-PR con base al IPM Dane 2019</t>
  </si>
  <si>
    <t>14.500 personas que Acceden sistema financiero para el periodo 2020 a 2023</t>
  </si>
  <si>
    <t>Número de personas en pobreza extrema accediendo a créditos financiero</t>
  </si>
  <si>
    <t>10.500 personas PES 2019</t>
  </si>
  <si>
    <t>Aumentar a 15.000 personas  en pobreza extrema acceden a créditos financieros para el período 2020 – 2023</t>
  </si>
  <si>
    <t>Programa: Dinámica Familiar para la Superación de la Pobreza Extrema</t>
  </si>
  <si>
    <t xml:space="preserve"> Número de familias en pobreza extrema formadas en mecanismo saludables de convivencia para prevenir la violencia basada en género e intrafamiliar</t>
  </si>
  <si>
    <t>61.860 familias en Pobreza Multidimensional
Fuente: Calculos propios PES-PR con base al IPM Dane 2019</t>
  </si>
  <si>
    <t xml:space="preserve"> 12.000 familias en pobreza extrema formadas en mecanismo saludables de convivencia para prevenir la violencia basada en género e intrafamiliarr. </t>
  </si>
  <si>
    <t>Número de Jóvenes y Adolescentes  formados en prevención de consumo de sustancias psicoactivas, maltrato y violencia de género , diversidad sexual y racismo</t>
  </si>
  <si>
    <t xml:space="preserve"> 26.907 jóvenes y adolescentes
Fuente: Censo Nacional de Poblacion y vivienda 2018 (CNPV 2018) Boletín Tecnico Gran Encuesta Integrada de Hogares GEIH 2018</t>
  </si>
  <si>
    <t>13.453 jóvenes y Adolescentes formados para prevenir el consumo de sustancias psicoactivas, el maltrato, la violencia de género , diversidad sexual y racismo</t>
  </si>
  <si>
    <t>Número de personas afro e indígenas formadas en derechos étnicos y rescate de los valores culturales. (Fortalecimiento del reconocimiento Étnica, racial y cultural)</t>
  </si>
  <si>
    <t xml:space="preserve">7.000 personas entre afro. Palenqueras e indígenas formadas en derechos étnicos y rescate de los valores culturales.  </t>
  </si>
  <si>
    <t>Programa Seguridad alimentaria y nutrición para la superación de la pobreza extrema</t>
  </si>
  <si>
    <t>Número de personas beneficiadas con comedores comunitarios y universitarios</t>
  </si>
  <si>
    <t>4.288 beneficiarios
Fuente: Seguimiento Plan de Acción PES-PR 2019</t>
  </si>
  <si>
    <t>6.000 personas beneficiadas con el funcionamiento permanente de comedores comunitarios y universitarios.</t>
  </si>
  <si>
    <t>Números de niños de 6 meses a 5 años caracterizados nutricionalmente y vinculados a programas de nutrición.</t>
  </si>
  <si>
    <t xml:space="preserve">17.349 niños y niñas de 6 meses a 5 años
Fuente: Censo Nacional de Poblacion y vivienda 2018 (CNPV 2018) </t>
  </si>
  <si>
    <t>3.500 niños de 6 meses a 5 años caracterizados nutricionalmente y vinculados a programas de nutrición.</t>
  </si>
  <si>
    <t>Números de familias beneficiadas a través de la nueva estrategia Mercado Móvil.</t>
  </si>
  <si>
    <t>Número de familias  en pobreza extrema con patios productivos integrales.</t>
  </si>
  <si>
    <t>277 huertas 
Fuente: Seguimiento Plan de Acción Umata 2019</t>
  </si>
  <si>
    <t>1.000 familias con patios productivos integrales.</t>
  </si>
  <si>
    <t>Programa: Acceso a la justicia para la superación de la pobreza extrema y desigualdad</t>
  </si>
  <si>
    <t>Número de personas en situación de pobreza extrema, formadas en mecanismos alternativos de resolución de conflictos (MASC) y el protocolo de atención a mujeres víctimas</t>
  </si>
  <si>
    <t xml:space="preserve">145.451 personas adultas 19-69 años
Fuente: Censo Nacional de Poblacion y vivienda 2018 (CNPV 2018) </t>
  </si>
  <si>
    <t>10.000 personas formadas en mecanismos alternativos de resolución de conflictos MASC y el protocolo de atención a mujeres víctimas</t>
  </si>
  <si>
    <t xml:space="preserve">Número de personas en condición de pobreza extrema, afrodescendientes e indígenas  asesoradas en Sistemas de Derecho Propio. </t>
  </si>
  <si>
    <t>Programa: Fortalecimiento institucional para superación de la pobreza extrema y desigualdad</t>
  </si>
  <si>
    <r>
      <rPr>
        <sz val="7"/>
        <color theme="1"/>
        <rFont val="Arial"/>
        <family val="2"/>
      </rPr>
      <t>Número de jornadas de atención integral "</t>
    </r>
    <r>
      <rPr>
        <b/>
        <sz val="7"/>
        <color theme="1"/>
        <rFont val="Arial"/>
        <family val="2"/>
      </rPr>
      <t>Salvemos Juntos a Cartagena</t>
    </r>
    <r>
      <rPr>
        <sz val="7"/>
        <color theme="1"/>
        <rFont val="Arial"/>
        <family val="2"/>
      </rPr>
      <t>"</t>
    </r>
  </si>
  <si>
    <t>Número de personas atendidas y digitadas en los Salvemos Juntos a Cartagena</t>
  </si>
  <si>
    <t>206.189 personas en pobreza por IPM
Fuente: Censo Nacional de Poblacion y vivienda 2018 (CNPV 2018) Boletín Tecnico Gran Encuesta Integrada de Hogares GEIH 2018</t>
  </si>
  <si>
    <t>61.860  personas atendidas y digitadas en los Salvemos juntos a Cartagena</t>
  </si>
  <si>
    <t>LÍNEA EDUCACIÓN: CULTURA DE LA FORMACIÓN “Con la Educación para Todos y Todas Salvamos Juntos a Cartagena”</t>
  </si>
  <si>
    <t>Tasa de cobertura neta sin extraedad global (Transición, Primaria, Secundaria y Media)</t>
  </si>
  <si>
    <r>
      <rPr>
        <sz val="7"/>
        <color theme="1"/>
        <rFont val="Arial"/>
        <family val="2"/>
      </rPr>
      <t xml:space="preserve">88,92%*
</t>
    </r>
    <r>
      <rPr>
        <sz val="7"/>
        <color theme="1"/>
        <rFont val="Arial"/>
        <family val="2"/>
      </rPr>
      <t>Fuente: Planeación educativa 2019 a partir de Proyección del Censo Poblacional 2018</t>
    </r>
  </si>
  <si>
    <t xml:space="preserve">Incrementar la tasa de cobertura neta sin extraedad global al 91,25% (Transición, Primaria, Secundaria y Meta) </t>
  </si>
  <si>
    <t>Programa: Acogida “atención a poblaciones y estrategias de acceso y permanencia”</t>
  </si>
  <si>
    <t>Tasa de deserción en la educación preescolar, básica y media de Instituciones Educativas Oficiales.</t>
  </si>
  <si>
    <t>4,02%
Fuente: Planeación Educativa-2019</t>
  </si>
  <si>
    <t>Disminuir la tasa de deserción en la educación preescolar, básica y media de Instituciones Educativas Oficiales a 3,02%</t>
  </si>
  <si>
    <t>3.35%</t>
  </si>
  <si>
    <t>No.  de personas atendidas con modelos de alfabetización</t>
  </si>
  <si>
    <t>127
Fuente: SIMAT. Número total jóvenes y adultos atendidos con modelos de alfabetización en Ciclos Lectivos Especiales Integrados CLEI 1 durante el año 2019.</t>
  </si>
  <si>
    <t xml:space="preserve">No. de Instituciones Educativas Oficiales con estrategia para la caracterización, atención y acompañamiento a población diversa </t>
  </si>
  <si>
    <t>Diseñar e implementar una estrategia para la caracterización, atención y acompañamiento a población diversa en 45 Instituciones Educativas Oficiales.</t>
  </si>
  <si>
    <t xml:space="preserve">No. de estudiantes de Instituciones Educativas Oficiales focalizados con estrategias para el acceso y la permanencia </t>
  </si>
  <si>
    <r>
      <rPr>
        <sz val="7"/>
        <color theme="1"/>
        <rFont val="Arial"/>
        <family val="2"/>
      </rPr>
      <t xml:space="preserve">    </t>
    </r>
    <r>
      <rPr>
        <b/>
        <sz val="7"/>
        <color theme="1"/>
        <rFont val="Arial"/>
        <family val="2"/>
      </rPr>
      <t>ND*</t>
    </r>
  </si>
  <si>
    <t>Atender anualmente a 100.000 estudiantes de Instituciones Educativas Oficiales focalizados con estrategias para el acceso y la permanencia.</t>
  </si>
  <si>
    <t>No. de sedes de Instituciones Educativas Oficiales adecuadas y dotadas de acuerdo con normatividad vigente</t>
  </si>
  <si>
    <t>152 sedes 
Fuente: Infraestructura Educativa-2020</t>
  </si>
  <si>
    <t>Adecuar y dotar 40 sedes de Instituciones Educativas Oficiales de acuerdo con la normatividad</t>
  </si>
  <si>
    <t xml:space="preserve">No. de sedes nuevas de Instituciones Educativas Oficiales construidas </t>
  </si>
  <si>
    <t>Construir 3 nuevas sedes de Instituciones Educativas Oficiales</t>
  </si>
  <si>
    <t xml:space="preserve">No. de sedes de Instituciones Educativas Oficiales con situación jurídica resuelta </t>
  </si>
  <si>
    <t>86
Fuente: Infraestructura Educativa-2020</t>
  </si>
  <si>
    <t>Resolver la situación jurídica a 40 sedes de  Instituciones Educativas Oficiales</t>
  </si>
  <si>
    <t>Programa: Sabiduría de la primera infancia “grandes banderas, gesto e ideas para cambiar el planeta”</t>
  </si>
  <si>
    <t>Tasa de cobertura neta sin extraedad global en educación para el grado transición</t>
  </si>
  <si>
    <t>Incrementar la tasa de cobertura neta sin extraedad global en educación para el grado transición al 78,76%.</t>
  </si>
  <si>
    <t>No de Instituciones Educativas con Estrategia para la caracterización, atención y acompañamiento a la primera infancia diseñada e implementada.</t>
  </si>
  <si>
    <t xml:space="preserve">Diseñar e implementar una estrategia para la caracterización, atención y acompañamiento a primera infancia </t>
  </si>
  <si>
    <t>No. de Instituciones Educativas Oficiales con estrategia para la caracterización, atención y acompañamiento a la primera infancia</t>
  </si>
  <si>
    <t xml:space="preserve">80 instituciones Educativas Oficiales con atención y acompañamiento a la primera infancia </t>
  </si>
  <si>
    <t>Porcentaje de niñas y niños en preescolar de matrícula oficial con educación inicial en el marco de la atención integral</t>
  </si>
  <si>
    <t>Garantizar la educación inicial en el marco de la atención integral al    80% de niñas y niños en preescolar de matrícula oficial (proyección matrícula)</t>
  </si>
  <si>
    <t>Número de Instituciones Educativas Oficiales en Clasificación A+, A y B en las Pruebas SABER 11.</t>
  </si>
  <si>
    <t>22
Fuente:              Icfes, 2019.</t>
  </si>
  <si>
    <t>Aumentar el número de Instituciones Educativas Oficiales a 27 en clasificación A+, A y B en pruebas saber 11.</t>
  </si>
  <si>
    <t>Programa: Formando con amor “Genio Singular”</t>
  </si>
  <si>
    <t>Número de Instituciones Educativas Oficiales que mejoran su índice total de clasificación de planteles educativos en Pruebas SABER 11.</t>
  </si>
  <si>
    <r>
      <rPr>
        <sz val="7"/>
        <color theme="1"/>
        <rFont val="Arial"/>
        <family val="2"/>
      </rPr>
      <t>9</t>
    </r>
    <r>
      <rPr>
        <b/>
        <sz val="7"/>
        <color theme="1"/>
        <rFont val="Arial"/>
        <family val="2"/>
      </rPr>
      <t xml:space="preserve"> </t>
    </r>
    <r>
      <rPr>
        <sz val="7"/>
        <color theme="1"/>
        <rFont val="Arial"/>
        <family val="2"/>
      </rPr>
      <t>Instituciones Educativas Oficiales</t>
    </r>
  </si>
  <si>
    <t>15 nuevas Instituciones Educativas Oficiales que mejoran su índice total de clasificación de planteles educativos en Pruebas SABER 11.</t>
  </si>
  <si>
    <t>No. de Instituciones Educativas Oficiales con experiencias en innovación, ciencia y tecnología que contribuyan al aprendizaje de los estudiantes.</t>
  </si>
  <si>
    <t>47 instituciones Educativas Oficiales</t>
  </si>
  <si>
    <t xml:space="preserve">60 Instituciones Educativas Oficiales con experiencias en innovación, ciencia y tecnología </t>
  </si>
  <si>
    <t>No de Instituciones Etnoeducativas oficiales con Proyectos Etnoeducativos Comunitarios PEC- revisados, ajustados e implementados</t>
  </si>
  <si>
    <t>4 instituciones Etnoeducativas Oficiales
Fuente: Calidad Educativa 2019</t>
  </si>
  <si>
    <t xml:space="preserve">Revisar, ajustar e implementar los Proyectos Etnoeducativos Comunitarios PEC de 22 Instituciones Etnoeducativa </t>
  </si>
  <si>
    <t>Número de Instituciones Educativas Oficiales con cátedra de estudios afrocolombianos Implementada.</t>
  </si>
  <si>
    <t xml:space="preserve">24 I.E.O.
Fuente: Calidad Educativa 2020 </t>
  </si>
  <si>
    <t>Implementar cátedra de estudios afrocolombianos en 6 Instituciones Educativas Oficiales nuevas.</t>
  </si>
  <si>
    <t>Programa Desarrollo de potencialidades</t>
  </si>
  <si>
    <t>No. de docentes formados en apropiación de ambientes de aprendizaje mediados por TIC.</t>
  </si>
  <si>
    <t>400 Docentes
Fuente: Calidad Educativa 2020</t>
  </si>
  <si>
    <t>Formar 1000 docentes en apropiación ambientes de aprendizaje mediados por tecnología.</t>
  </si>
  <si>
    <t xml:space="preserve">No. de Instituciones Educativas Oficiales beneficiadas con estrategia TIC para la formación bilingüe  </t>
  </si>
  <si>
    <t xml:space="preserve">15 Instituciones Educativas Oficiales beneficiadas con estrategia TIC para la formación bilingüe  </t>
  </si>
  <si>
    <t>Porcentaje de docentes de Instituciones Educativas Oficiales formados en su saber disciplinar, pedagógico y reflexivo</t>
  </si>
  <si>
    <t>Formar el 30% de los docentes de las Instituciones Educativas Oficiales en su saber disciplinar, pedagógico y reflexivo</t>
  </si>
  <si>
    <t>No. de Instituciones Educativas Oficiales con herramientas de gestión escolar revisadas, ajustadas y resemantizadas.</t>
  </si>
  <si>
    <t>60 I.E.O
Fuente: Calidad Educativa 2020</t>
  </si>
  <si>
    <t>Revisar, ajustar y resemantizar las herramientas de gestión escolar de 105  Instituciones Educativas Oficiales.</t>
  </si>
  <si>
    <t>Programa Participación, democracia y autonomía</t>
  </si>
  <si>
    <t>No. de Instituciones Educativas Oficiales con órganos de Gobierno y Convivencia Escolar Fortalecidos.</t>
  </si>
  <si>
    <t>5  I.E.O. 
Fuente: Calidad Educativa 2020</t>
  </si>
  <si>
    <t>Fortalecer los órganos de Gobierno y Convivencia Escolar de 100 Instituciones Educativas Oficiales.</t>
  </si>
  <si>
    <t>NO. De Foros Distritales de Educación realizados</t>
  </si>
  <si>
    <t xml:space="preserve">Realizar 4 Foros Distritales de Educación </t>
  </si>
  <si>
    <t>No de Instituciones Educativas Oficiales con programa de promoción, formación, prevención y protección de los derechos humanos de las mujeres, para vivir una vida libre de violencias dirigido a niñas, niños y jóvenes</t>
  </si>
  <si>
    <t>4  I.E.O. 
Fuente: Calidad Educativa 2020</t>
  </si>
  <si>
    <t>105 Instituciones Educativas Oficiales con programa de promoción, formación, prevención y protección de los derechos humanos de las mujeres, para vivir una vida libre de violencias dirigido a niñas, niños y jóvenes</t>
  </si>
  <si>
    <t>No. de Instituciones Educativas Oficiales con revisión, ajuste y fortalecimiento de Proyectos Pedagógicos Transversales.</t>
  </si>
  <si>
    <t xml:space="preserve">48 I.E.O. </t>
  </si>
  <si>
    <t>Revisar, ajustar y fortalecer los proyectos pedagógicos transversales de 105 Instituciones Educativas Oficiales.</t>
  </si>
  <si>
    <t>Programa de Educación mediada a través de tecnologías de la información y las comunicaciones-Tic´s</t>
  </si>
  <si>
    <r>
      <rPr>
        <sz val="7"/>
        <color theme="1"/>
        <rFont val="Arial"/>
        <family val="2"/>
      </rPr>
      <t>Instituciones Educativas Oficiales del distrito de Cartagena de Indias</t>
    </r>
    <r>
      <rPr>
        <sz val="7"/>
        <color theme="1"/>
        <rFont val="Calibri"/>
        <family val="2"/>
      </rPr>
      <t xml:space="preserve"> con e</t>
    </r>
    <r>
      <rPr>
        <sz val="7"/>
        <color theme="1"/>
        <rFont val="Arial"/>
        <family val="2"/>
      </rPr>
      <t>strategias pedagógicas EMETIC diseñada e implementada en cada una de las</t>
    </r>
  </si>
  <si>
    <t>105 instituciones Educativas Oficiales del Distrito de Cartagena, implementan una estrategia pedagógica mediada a través de las TIC</t>
  </si>
  <si>
    <t>No. De Aulas de Instituciones Educativas Oficiales dotadas de herramientas tecnológicas para la mediación educativa.</t>
  </si>
  <si>
    <t xml:space="preserve">20 sedes educativas oficiales. dotadas </t>
  </si>
  <si>
    <t>50 aulas de instituciones educativas oficiales dotadas de herramientas tecnológica</t>
  </si>
  <si>
    <t>No de Docentes que emplean, computadores, dispositivos móviles, programas informáticos y redes con fines de enseñanza, aprendizaje y gestión escolar.</t>
  </si>
  <si>
    <t>644 
Fuente: Fundación Telefónica "Profuturo"</t>
  </si>
  <si>
    <t>856 docentes que emplean computadores  y dispositivos tecnológicos con fines de enseñanza, aprendizaje y gestión escolar.</t>
  </si>
  <si>
    <t>No de Estudiantes que usan, computadores, dispositivos móviles, programas informáticos y redes con fines de aprendizaje.</t>
  </si>
  <si>
    <t>18.853 Estudiantes
Fuente: Colombia Evaluadora</t>
  </si>
  <si>
    <t>27.144 estudiantes haciendo uso de las herramientas tecnológicas  en los procesos de enseñanza y aprendizaje.</t>
  </si>
  <si>
    <t>% de Egresados oficiales beneficiados con becas para educación superior anualmente.</t>
  </si>
  <si>
    <t>8.8%
Fuente: Oficina Asesora de Educación Superior SED, 2019.</t>
  </si>
  <si>
    <t>Incrementar a 13% los Egresados oficiales beneficiados con becas para educación superior</t>
  </si>
  <si>
    <t>Programa: Educación para transformar “educación media técnica y superior”</t>
  </si>
  <si>
    <t>No de becas para Educación Superior entregadas a Egresados Oficiales del Distrito de Cartagena </t>
  </si>
  <si>
    <t>12. 589 becas entregadas a dic 2019
Fuente: *Secretaría de Educación - Oficina de Educación superior 2019.</t>
  </si>
  <si>
    <t>Entregar 4.141 becas para Educación Superior a Egresados Oficiales del Distrito de Cartagena.</t>
  </si>
  <si>
    <t>No de egresados oficiales beneficiados con becas en Instituciones de Formación para el Trabajo y el Desarrollo Humano - IFTDH</t>
  </si>
  <si>
    <t>Beneficiar a 1300 egresados oficiales beneficiados con becas para IFTDH</t>
  </si>
  <si>
    <t>No de egresados oficiales de Instituciones Educativas Oficiales Rurales, de otras etnias y en condición de discapacidad becados</t>
  </si>
  <si>
    <t xml:space="preserve">ND   </t>
  </si>
  <si>
    <t>Beneficiar a 228 egresados oficiales de Instituciones Educativas Oficiales Rurales, de otras etnias y en condición de discapacidad</t>
  </si>
  <si>
    <t>Estudiantes egresados de Educativas Oficiales en doble titulación</t>
  </si>
  <si>
    <t xml:space="preserve">Graduar 9000 jóvenes de Establecimientos Educativos Oficiales en doble titulación </t>
  </si>
  <si>
    <t xml:space="preserve">% de programas curriculares de Media Técnica de  Instituciones Educativas Oficiales articulados con los programas Técnicos Profesionales, Tecnológicos y/o de Pregrado de las Universidades aliadas al Fondo Educativo Bicentenario de Cartagena. </t>
  </si>
  <si>
    <t>Articular el 80% de los programas curriculares de Media Técnica de  Instituciones Educativas Oficiales articulados con los programas Técnicos Profesionales, Tecnológicos y/o de Pregrado de las Universidades aliadas al Fondo Educativo Bicentenario de Cartagena</t>
  </si>
  <si>
    <t>Índice de cumplimiento de los programas de la SED en el marco del Plan de desarrollo 2020 - 2023.</t>
  </si>
  <si>
    <t>Garantizar el índice de cumplimiento de los programas de la SED en el marco del Plan de desarrollo 2020 - 2023 en un 0.8</t>
  </si>
  <si>
    <t>Programa: Movilización educativa “Por una gestión educativa transparente, participativa y eficiente”</t>
  </si>
  <si>
    <t>Índice global de desempeño de la Entidad Territorial Certificada – E.T.C.- evaluado por el Ministerio de Educación Nacional</t>
  </si>
  <si>
    <t>Crítico bajo
Fuente: MEN</t>
  </si>
  <si>
    <t>Lograr y mantener en la categoría "Aceptable" el índice global de desempeño  de la Entidad Territorial Certificada – E.T.C.-  evaluado por el Ministerio de Educación Nacional.</t>
  </si>
  <si>
    <t>Nueva arquitectura organizacional de la SED, UNALDES y Establecimientos Educativos consolidada.</t>
  </si>
  <si>
    <t>Consolidar una nueva estructura organizacional para la Secretaría de Educación, UNALDES y Establecimientos Educativos.</t>
  </si>
  <si>
    <t>No. de sistemas de gestión de calidad de la  Secretaría de Educación Distrital e Instituciones Educativas Oficiales implementados y sostenidos.</t>
  </si>
  <si>
    <t>Aumentar a 42 los sistemas de gestión de la calidad de la Secretaría de Educación Distrital e Instituciones Educativas Oficiales.</t>
  </si>
  <si>
    <t>Implementación de un plan de bienestar y protección de los funcionarios del sector educativo del Distrito de Cartagena en las instituciones educativas oficiales</t>
  </si>
  <si>
    <t>Diseñar e implementar un plan de bienestar y protección para los funcionarios del sector educativo del Distrito de Cartagena</t>
  </si>
  <si>
    <t>Diseñar la Política Pública Educativa para el Distrito de Cartagena.</t>
  </si>
  <si>
    <t>Formular y presentar para adoptación por parte del Concejo Distrital, la  Política Pública Educativa diseñada.</t>
  </si>
  <si>
    <t>Programa: Por una Educación Post secundaria Distrital</t>
  </si>
  <si>
    <t>No. de jóvenes certificados en programas técnicos laborales  asociados a los oficios de conservación del patrimonio</t>
  </si>
  <si>
    <t>2516
Fuente: ETCAR 2020</t>
  </si>
  <si>
    <t xml:space="preserve">Certificar 1.250 nuevos  jóvenes en programas técnicos laborales  asociados a los oficios de conservación del patrimonio </t>
  </si>
  <si>
    <t>Nuevos Programas Técnicos en oficios tradicionales Escuela Taller de Cartagena</t>
  </si>
  <si>
    <t>7
Fuente: ETCAR 2020</t>
  </si>
  <si>
    <t>Ampliar a 10 programas  técnicos en oficios tradicionales</t>
  </si>
  <si>
    <t>Porcentaje de egresados que se incorporan  a las necesidades del sector productivo</t>
  </si>
  <si>
    <t>80%
( de 200 egresados)
Fuente: ETCAR 2020</t>
  </si>
  <si>
    <t xml:space="preserve">Incrementar a 85% la vinculación laboral egresados de los distintos programas </t>
  </si>
  <si>
    <t>Programa Fortalecimiento de la oferta de educación superior oficial del Distrito de Cartagena D. T. y C.</t>
  </si>
  <si>
    <t>No. de programas profesionales nuevos ofertados en modalidad presencial y a distancia</t>
  </si>
  <si>
    <t>17
Fuente: Oficina de Planeación Colmayor-2019</t>
  </si>
  <si>
    <t>Ofertar 4 nuevos programas universitarios a 2023 en modalidad presencial y distancia</t>
  </si>
  <si>
    <t>No. De Programas Acreditados en Alta Calidad</t>
  </si>
  <si>
    <t>Incrementar en 4 Programas con Acreditación en Alta Calidad  por el Consejo Nacional de Acreditación.</t>
  </si>
  <si>
    <t>N° total de  estudiantes matriculados</t>
  </si>
  <si>
    <t>1.899 estudiantes matriculados</t>
  </si>
  <si>
    <t>Incrementar en un 80% (3.418 estudiantes) la matrícula académica en modalidad presencial - distancia/virtual actual Institucional</t>
  </si>
  <si>
    <t>Número de espacios académicos dotados con medios audiovisuales/ Total de espacios académicos) *100</t>
  </si>
  <si>
    <t>25 aulas sin dotación de medios</t>
  </si>
  <si>
    <t>Dotar el 100% de los espacios académicos con medios audiovisuales</t>
  </si>
  <si>
    <r>
      <rPr>
        <b/>
        <sz val="7"/>
        <color theme="1"/>
        <rFont val="Arial"/>
        <family val="2"/>
      </rPr>
      <t>LÍNEA ESTRATÉGICA SALUD PARA TODOS</t>
    </r>
    <r>
      <rPr>
        <sz val="7"/>
        <color theme="1"/>
        <rFont val="Calibri Light"/>
        <family val="2"/>
      </rPr>
      <t>.</t>
    </r>
  </si>
  <si>
    <t>Cobertura en Aseguramiento al Régimen Subsidiado en Salud.</t>
  </si>
  <si>
    <t>98%
Fuente: Dirección Operativa de Aseguramiento DADIS. (2019)</t>
  </si>
  <si>
    <t>Aumentar la Cobertura de Aseguramiento al Régimen Subsidiado en Salud al 100%.</t>
  </si>
  <si>
    <t>Programa: Fortalecimiento de la autoridad sanitaria</t>
  </si>
  <si>
    <t>Porcentaje de la implementación del Modelo de Acción Integral Territorial (MAITE).</t>
  </si>
  <si>
    <t> 62%</t>
  </si>
  <si>
    <t> Implementación del Modelo de Acción Integral Territorial (MAITE) en Salud Pública en un 100%</t>
  </si>
  <si>
    <t>Tasa de mortalidad infantil</t>
  </si>
  <si>
    <t xml:space="preserve"> 11,7 x 1000 niños menor 1 año
 Fuente: ASIS 2018</t>
  </si>
  <si>
    <t xml:space="preserve"> Mantener Tasa de mortalidad infantil por debajo de 11,7 x1000 niños menor 1 año</t>
  </si>
  <si>
    <t xml:space="preserve">Número de EAPB con implementación de las Rutas de Promoción y Mantenimiento de la salud. </t>
  </si>
  <si>
    <t>Lograr que las 19 EAPB tengan implementadas la Rutas de Promoción y Mantenimiento de la Salud en el cuatrienio.</t>
  </si>
  <si>
    <t>Tasa de mortalidad materna – Número de muertes maternas por  100.000 nacidos vivos.</t>
  </si>
  <si>
    <t>42,7 muertes maternas por  100.000 nacidos vivos.</t>
  </si>
  <si>
    <t xml:space="preserve">Disminuir la Tasa de Mortalidad materna a 32,5 x 100.000 nacidos vivos </t>
  </si>
  <si>
    <t>Porcentaje de reportes Presupuestal, Tesorería y Contable realizados.</t>
  </si>
  <si>
    <t>Reportar en un  100% informes sobre la situación Presupuestal, Tesorería y Contable.</t>
  </si>
  <si>
    <t>Coberturas de vacunación del 95% en niños y niñas menores de un año</t>
  </si>
  <si>
    <t>Aumentar a un 95% cobertura de vacunación en niños y niñas menores de un año.</t>
  </si>
  <si>
    <t>Porcentaje de IPS con servicios de urgencia habilitados de mediana y alta complejidad auditadas</t>
  </si>
  <si>
    <t>Realizar anualmente la auditoría de calidad en la prestación al 100% de las IPS del Distrito con servicios de urgencia habilitados de mediana y alta complejidad.</t>
  </si>
  <si>
    <t>Coberturas de vacunación del 95% en niños y niñas de un año</t>
  </si>
  <si>
    <t>Aumentar a un 95% cobertura de vacunación en niños y niñas de un año.</t>
  </si>
  <si>
    <t>Número de días de oportunidad en la atención de la consulta de medicina especializada.              </t>
  </si>
  <si>
    <t>Mejorar la Oportunidad en la atención de la consulta de medicina especializada       a 5 días.</t>
  </si>
  <si>
    <t>Número de servicios de salud habilitados conformando la red integrada</t>
  </si>
  <si>
    <t>Mantener los  142 servicios de salud habilitados conformen la red integrada de salud del Distrito de Cartagena para atender Población Pobre No Asegurado.</t>
  </si>
  <si>
    <t>Número de Instituciones Prestadoras de Servicios de Salud IPS certificando condiciones de habilitación.</t>
  </si>
  <si>
    <t>Lograr que cuatro (4) Instituciones Prestadoras de Servicios de Salud IPS certifiquen condiciones de habilitación</t>
  </si>
  <si>
    <t>Porcentaje de IPS que incumplen las normas de habilitación, que son sancionadas</t>
  </si>
  <si>
    <t xml:space="preserve">29,73%
</t>
  </si>
  <si>
    <t>Lograr que en los proximos 4 años, el 40% de los prestadores de salud que sean visitados e incumplan las normas de habilitación sean sancionados</t>
  </si>
  <si>
    <t>Número de nuevas personas (niños, niñas, adolescentes, jóvenes y adultos)  afiliadas al régimen subsidiado en salud</t>
  </si>
  <si>
    <t xml:space="preserve">Afiliar a 15.000 nuevas personas (niños, niñas, adolescentes, jóvenes y adultos) al régimen subsidiado en salud </t>
  </si>
  <si>
    <t>Número de establecimientos farmacéuticos priorizados vigilados anualmente</t>
  </si>
  <si>
    <t>Vigilar anualmente 500 establecimientos farmacéuticos priorizados en el Distrito Cartagena</t>
  </si>
  <si>
    <t>Porcentaje de cobertura en generación de estadísticas vitales por medio de la WEB.</t>
  </si>
  <si>
    <t>Mantener el 100% de cobertura en generación de estadísticas vitales por medio de la WEB.</t>
  </si>
  <si>
    <t>Porcentaje de los eventos de interés en salud pública notificados e intervenidos  según lineamientos nacionales intervenidos oportunamente</t>
  </si>
  <si>
    <t>Intervenir oportunamente el 100% de los eventos de interés en salud pública notificados en las 164 UPGD según lineamientos nacionales</t>
  </si>
  <si>
    <t>Porcentaje de afiliados que mantienen continuidad en el régimen subsidiado</t>
  </si>
  <si>
    <t>Mantener la continuidad de la afiliación del 100% personas que vienen afiliados al régimen subsidiado del 2020.</t>
  </si>
  <si>
    <t> Porcentaje de usuarios satisfechos con la calidad de la atención en salud recibida</t>
  </si>
  <si>
    <t>Aumentar a más de 85%  la satisfacción de usuarios con la calidad de la atención en salud recibida</t>
  </si>
  <si>
    <t>Cuentas por pagar de prestación de servicios de salud pagadas y saneadas</t>
  </si>
  <si>
    <t>$271.181.490.460
Fuente: Dirección Administrativa y Financiera</t>
  </si>
  <si>
    <t>Pagar y sanear las cuentas por pagar de Prestación de Servicios de Salud por un valor de $135.590.745.230</t>
  </si>
  <si>
    <t>Programa: Transversal gestión diferencial de poblaciones vulnerables</t>
  </si>
  <si>
    <t xml:space="preserve">Número de Instituciones prestadoras de salud priorizadas que cuenten con servicios de atención materno - infantil en el Distrito de Cartagena con desarrollo de capacidades técnicas en protocolos, guías y estrategias de salud infantil. </t>
  </si>
  <si>
    <t>40
Fuente: Programa Salud Infantil (2019)</t>
  </si>
  <si>
    <t>Desarrollar anualmente las capacidades técnicas en protocolos, guías y estrategias de salud infantil en cuarenta (40) Instituciones prestadoras de salud priorizadas que cuenten con servicios de atención materno - infantil en el Distrito de Cartagena.</t>
  </si>
  <si>
    <t>Porcentaje de EAPB Contributivas y Subsidiadas en el Distrito de Cartagena con atención preferencial y diferencial de Grupos de Poblaciones Vulnerables</t>
  </si>
  <si>
    <t>75% 
Fuente: Oficina PAU DADIS (2019)</t>
  </si>
  <si>
    <t>Lograr el 100% de EAPB Contributivas y Subsidiadas en el Distrito de Cartagena con atención preferencial y diferencial de Grupos de Poblaciones Vulnerables</t>
  </si>
  <si>
    <t>Número de Personas víctimas del conflicto armado atendidas y orientadas en deberes y derechos en salud</t>
  </si>
  <si>
    <t>4190
Fuente: Oficina PAU DADIS (2019)</t>
  </si>
  <si>
    <t>Atender y orientar en deberes y derechos en salud a 20.230 víctimas del conflicto armado, residentes en el Distrito de Cartagena, que asistan al Punto de Atención a Víctimas.</t>
  </si>
  <si>
    <t>Número de Personas con discapacidad certificada según Resolución 113 de 2020 (primera infancia, infancia, adolescencia, jóvenes y adultos, población Negra, Afrocolombiana, Raizal y Palenquera e Indígena)</t>
  </si>
  <si>
    <t>Lograr la certificación a 3.021 personas con discapacidad en el Distrito de Cartagena según Resolución 113 de 2020. (primera infancia, infancia, adolescencia, jóvenes y adultos, población Negra, Afrocolombiana, Raizal y Palenquera e Indígena)</t>
  </si>
  <si>
    <t>Número de Personas con discapacidad que reciben apoyo para su habilitación y/o rehabilitación funcional (primera infancia, infancia, adolescencia, jóvenes y adultos población Negra, Afrocolombiana, Raizal y Palenquera e Indígena).</t>
  </si>
  <si>
    <t>Atender a 400 personas con discapacidad mediante el suministro de Productos de Apoyo para su habilitación y/o rehabilitación funcional (  primera infancia, infancia, adolescencia, jóvenes y adultos, población Negra, Afrocolombiana, Raizal y Palenquera e Indígena).</t>
  </si>
  <si>
    <t xml:space="preserve">Número de Estrategias Rehabilitación Basada en Comunidad-RBC </t>
  </si>
  <si>
    <t>Ejecutar 4 Estrategias de Rehabilitación Basada en Comunidad-RBC en el Distrito de Cartagena</t>
  </si>
  <si>
    <t>Programa Salud ambiental</t>
  </si>
  <si>
    <t>Índice de Riesgo de Calidad del Agua (IRCA)</t>
  </si>
  <si>
    <t>Número de actividades de Educación sobre Saneamiento Básico Ambiental, Entornos Saludables y Agua   a la población de las 15 Unidades Comuneras y zona rural e insular</t>
  </si>
  <si>
    <t xml:space="preserve">Realizar anualmente 48 actividades de Educación sobre Saneamiento Básico Ambiental, Entornos saludables y Agua a la población de las 15 Unidades Comuneras y zona rural e insular </t>
  </si>
  <si>
    <t>Número de establecimientos abiertos priorizados al público de Interés Sanitarios diferentes a expendio de alimentos y medicamentos Vigilados y Controlados con concepto favorable anualmente</t>
  </si>
  <si>
    <t>8000
Fuente: Programa de Salud Ambiental (2019)</t>
  </si>
  <si>
    <t>Lograr que 7.600 (95%) establecimientos abiertos priorizados al público de Interés Sanitarios  diferentes a expendio de alimentos y medicamentos Vigilados y Controlados con concepto favorable anualmente</t>
  </si>
  <si>
    <t>Mortalidad por rabia humana</t>
  </si>
  <si>
    <t>0
Fuente: Programa de Salud Ambiental (2019)</t>
  </si>
  <si>
    <t>Mantener la rabia humana en cero (0)</t>
  </si>
  <si>
    <t>Cobertura útil de vacunación contra la rabia en población de caninos y felinos</t>
  </si>
  <si>
    <t>90%
Fuente: Programa de Salud Ambiental (2019)</t>
  </si>
  <si>
    <t>Mantener anualmente coberturas de vacunación de 90% contra la rabia en población de caninos y felinos</t>
  </si>
  <si>
    <t>Programa: Vida saludable y condiciones no transmisibles</t>
  </si>
  <si>
    <t>Número de entornos con la estrategia “conoce tu riesgo peso saludable”.</t>
  </si>
  <si>
    <t>4
Fuente: Programa ECNT (2019)</t>
  </si>
  <si>
    <t>Implementar en los 4 entornos: educativo, laboral, comunitario e institucional la estrategia “conoce tu riesgo peso saludable”.</t>
  </si>
  <si>
    <t>Número de Instituciones de salud con desarrollo de capacidades al talento humano para fortalecer la detección temprana y tratamiento oportuno del cáncer de cérvix.</t>
  </si>
  <si>
    <t>38
Fuente: Programa ECNT (2019)</t>
  </si>
  <si>
    <t>Realizar anualmente el desarrollo de capacidades al talento humano de las 18 EAPB y 20 IPS para fortalecer la detección temprana y tratamiento oportuno del cáncer de cérvix</t>
  </si>
  <si>
    <t>Número de Instituciones de salud con desarrollo de capacidades al talento humano para fortalecer la detección temprana y tratamiento oportuno del cáncer de mama.</t>
  </si>
  <si>
    <t>48
Fuente: Programa ECNT (2019)</t>
  </si>
  <si>
    <t>Realizar anualmente desarrollo de capacidades al talento humano de las 18 EAPB y 30 IPS para fortalecer la detección temprana y tratamiento oportuno del cáncer de mama</t>
  </si>
  <si>
    <t>Número de Instituciones de salud con desarrollo de capacidades al talento humano para fortalecer la detección temprana y tratamiento oportuno del cáncer infantil.</t>
  </si>
  <si>
    <t>Realizar anualmente desarrollo de capacidades al talento humano de las 18 EAPB y 30 IPS para fortalecer la detección temprana y tratamiento oportuno del cáncer infantil.</t>
  </si>
  <si>
    <t xml:space="preserve"> Tasa de muertes prematuras por enfermedades circulatorias entre 30 a 70 años x 100.000 habitantes.</t>
  </si>
  <si>
    <t>113,23 x100.000 habitantes
Fuente: RUAF (2019)</t>
  </si>
  <si>
    <t xml:space="preserve">68.91 </t>
  </si>
  <si>
    <t>68.91</t>
  </si>
  <si>
    <t>Tasa de mortalidad por tumor maligno de mama -  Número de casos por 100 mil habitantes.   </t>
  </si>
  <si>
    <t xml:space="preserve"> 15,52 x 100 mil habitantes.
Fuente: SIVIGILA 2018</t>
  </si>
  <si>
    <t>Disminuir la Tasa de mortalidad por tumor maligno de mama a 12,7 x 100 mil habitantes según la media nacional</t>
  </si>
  <si>
    <t>Tasa de mortalidad por tumor maligno de cérvix- -  Número de casos por 100 mil habitantes.                                  </t>
  </si>
  <si>
    <t xml:space="preserve"> 7,06 x 100 mil habitantes.    
Fuente: SIVIGILA 2018</t>
  </si>
  <si>
    <t>Disminuir la Tasa de mortalidad por tumor maligno de cérvix igual a la media nacional de 6,41x 100 mil habitantes.</t>
  </si>
  <si>
    <t>6.5</t>
  </si>
  <si>
    <t>Tasa de mortalidad por cáncer infantil</t>
  </si>
  <si>
    <t>2,59 x 100 mil habitantes
Fuente: SIVIGILA 2018</t>
  </si>
  <si>
    <t xml:space="preserve">1.63  </t>
  </si>
  <si>
    <t>Tasa de morbilidad ajustada a pacientes con caries dental en menores de doce (12) años.</t>
  </si>
  <si>
    <t>2.6
Fuente: SIVIGILA 2018</t>
  </si>
  <si>
    <t>Disminuir el índice de caries dentales (COP) a 2.3 en menores de doce (12) años.</t>
  </si>
  <si>
    <t>Porcentaje de atención oportuna en los casos identificados con hipoacusia en primera infancia e infancia (0 a 12 años)</t>
  </si>
  <si>
    <t>100%
Fuente: Programa de Salud Auditiva (2019)</t>
  </si>
  <si>
    <t>Mantener la atención oportuna  al 100% de  los casos identificados con hipoacusia en primera infancia e infancia (0 a 12 años).</t>
  </si>
  <si>
    <t>Porcentaje de atención oportuna en los casos identificados con defectos refractivos en primera infancia e infancia (2 a 8 años).</t>
  </si>
  <si>
    <t>100%
Fuente: Programa de Salud Visual (2019)</t>
  </si>
  <si>
    <t xml:space="preserve"> Verificar  la atención  oportuna al 100% de  los casos identificados con defectos refractivos en primera infancia e infancia (2 a 8 años).</t>
  </si>
  <si>
    <t>Número de odontólogos con desarrollo de capacidades sobre el impacto en salud pública de la fluorosis dental y uso controlado del flúor y no utilización del mercurio.</t>
  </si>
  <si>
    <t>100
Fuente: Programa de Salud Oral (2019)</t>
  </si>
  <si>
    <t>Realizar desarrollo de capacidades anualmente a 100 odontólogos de   instituciones prestadoras de servicios de salud del Distrito de Cartagena, sobre el impacto en salud pública de la fluorosis dental y uso controlado del flúor y no utilización del mercurio.</t>
  </si>
  <si>
    <t>Número de EAPB con desarrollo de capacidades sobre las enfermedades que impactan la salud bucal en el distrito de Cartagena.</t>
  </si>
  <si>
    <t>18
Fuente: Programa de Salud Oral (2019)</t>
  </si>
  <si>
    <t>Mantener el Desarrollo de capacidades anual al talento humano de las EAPB (18) sobre las enfermedades que impactan la salud bucal en el distrito de Cartagena.</t>
  </si>
  <si>
    <t>Número de niños diagnosticados con hipoacusia entre 0 a 12 año con seguimiento</t>
  </si>
  <si>
    <t>75
Fuente: Programa de Salud Auditiva (2019)</t>
  </si>
  <si>
    <t>Mantener el Desarrollo de Seguimiento anual a la atención oportuna a 75 niños diagnosticados con hipoacusia entre 0 a 12 años, en las EPS y régimen especial del distrito de Cartagena.</t>
  </si>
  <si>
    <t>Número de EPS con desarrollo de capacidades sobre las enfermedades que impactan la salud auditiva en el distrito de Cartagena.</t>
  </si>
  <si>
    <t>18
Fuente: Programa de Salud Auditiva (2019)</t>
  </si>
  <si>
    <t>Mantener el Desarrollo de capacidades anual al talento humano de las EPS (18) de las enfermedades que impactan la salud auditiva en el distrito de Cartagena.</t>
  </si>
  <si>
    <t xml:space="preserve">Número de niños entre 2 a 8 años diagnosticados con defectos refractivos </t>
  </si>
  <si>
    <t>100
Fuente: Programa de Salud Visual (2019)</t>
  </si>
  <si>
    <t>Mantener el Seguimiento anual a la atención oportuna a 100 niños entre 2 a 8 años diagnosticados con defectos refractivos en las EPS y régimen especial.</t>
  </si>
  <si>
    <t>Programa: Convivencia social y salud mental</t>
  </si>
  <si>
    <t>Política Nacional de Salud Mental y Política Integral para la prevención y atención del consumo de sustancias psicoactivas, adoptada,  adaptada e implementada</t>
  </si>
  <si>
    <t>Adoptar, adaptar e implementar la Política Nacional de Salud Mental y Política Integral para la prevención y atención del consumo de sustancias psicoactivassegún el contexto Distrital.</t>
  </si>
  <si>
    <t>Porcentaje de los casos de intento de suicidio atendidos en el Distrito, notificado al SIVIGILA.</t>
  </si>
  <si>
    <t>100%
Fuente: SIVIGILA (2019)</t>
  </si>
  <si>
    <t>Realizar seguimiento anual al 100% de los casos de intento de suicidio atendidos en el Distrito, notificado al SIVIGILA.</t>
  </si>
  <si>
    <t xml:space="preserve">Tasa de mortalidad por suicidio -  casos por cada 100.000 habitantes (primera infancia, infancia, adolescencia, jóvenes y adultos)  </t>
  </si>
  <si>
    <t>4
Fuente: Programa Salud mental (2019)</t>
  </si>
  <si>
    <t xml:space="preserve">Disminuir la Tasa de suicidio a menos de 4 casos por cada 100.000 habitantes (primera infancia, infancia, adolescencia, jóvenes y adultos)  </t>
  </si>
  <si>
    <t>&lt;4</t>
  </si>
  <si>
    <r>
      <rPr>
        <sz val="7"/>
        <color theme="1"/>
        <rFont val="Arial"/>
        <family val="2"/>
      </rPr>
      <t>Porcentaje de EAPB e IPS de salud mental habilitadas en el Distrito con Acompañamiento técnico para el desarrollo de capacidades</t>
    </r>
    <r>
      <rPr>
        <sz val="7"/>
        <color theme="1"/>
        <rFont val="Calibri"/>
        <family val="2"/>
      </rPr>
      <t xml:space="preserve"> </t>
    </r>
    <r>
      <rPr>
        <sz val="7"/>
        <color theme="1"/>
        <rFont val="Arial"/>
        <family val="2"/>
      </rPr>
      <t>en la atención integral del consumo de sustancias psicoactivas y los problemas y trastornos mentales</t>
    </r>
  </si>
  <si>
    <t>100%
Fuente: Programa Salud mental (2019)</t>
  </si>
  <si>
    <t>Realizar anualmente acompañamiento técnico para el desarrollo de capacidades en la atención integral del consumo de sustancias psicoactivas y los problemas y trastornos mentales, al 100% de las EAPB e IPS de salud mental habilitadas en el Distrito</t>
  </si>
  <si>
    <r>
      <rPr>
        <sz val="7"/>
        <color theme="1"/>
        <rFont val="Arial"/>
        <family val="2"/>
      </rPr>
      <t>Porcentaje de EAPB e IPS de salud mental habilitadas en el Distrito con Acompañamiento técnico para el desarrollo de capacidades</t>
    </r>
    <r>
      <rPr>
        <sz val="7"/>
        <color theme="1"/>
        <rFont val="Calibri"/>
        <family val="2"/>
      </rPr>
      <t xml:space="preserve"> tendientes a fortalecer la atención integral a las personas con diagnótico con COVID 19, Epilepsia, problemas y trastornos y consumo de sustancias psicoactivas</t>
    </r>
  </si>
  <si>
    <t>Programa Nutrición e inocuidad de alimentos</t>
  </si>
  <si>
    <t>Número de IPS y EAPB  con desarrollo de  capacidades en estrategia IAMI y Consejería en Lactancia materna</t>
  </si>
  <si>
    <t>40
Fuente: Programa de Nutrición (2019)</t>
  </si>
  <si>
    <t xml:space="preserve"> Mantener el Desarrollo de capacidades a 40 IPS y EAPB en estrategia IAMI y Consejería en Lactancia. </t>
  </si>
  <si>
    <t>Número de  CDI y Hogares infantiles  con desarrollo de  capacidades en Guías Alimentarias basadas en Alimentos GABAS.</t>
  </si>
  <si>
    <t>120
Fuente: Programa de Nutrición (2019)</t>
  </si>
  <si>
    <t>Desarrollar capacidades a 80 CDI y 40 Hogares infantiles en Guías Alimentarias basadas en Alimentos GABAS.</t>
  </si>
  <si>
    <t>Número de entornos escolares alimentarios saludables, para niñas, niños y adolescentes.</t>
  </si>
  <si>
    <t>Implementar entornos  escolares alimentarios saludables en el distrito en las 105 Instituciones Educativas Oficiales de Cartagena.</t>
  </si>
  <si>
    <t>Tasa de Desnutrición global (bajo peso para la edad) en menores de 5 años (hombres y mujeres)</t>
  </si>
  <si>
    <t>5,4
Fuente: Programa de Nutrición (2019)</t>
  </si>
  <si>
    <t>Mantener por debajo de 5,4 la tasa de desnutrición en menores de 5 años (hombres y mujeres)</t>
  </si>
  <si>
    <t>Número de establecimientos de alimentos priorizados y vigilados</t>
  </si>
  <si>
    <t>3000
Fuente: Programa IVC alimento (2019)</t>
  </si>
  <si>
    <t>Vigilar anualmente 3.000 establecimientos de alimentos priorizados en el Distrito Cartagena</t>
  </si>
  <si>
    <t>Programa Sexualidad, derechos sexuales y reproductivos</t>
  </si>
  <si>
    <t>Número de EAPB, su red prestadora y usuarios fortalecidos en acciones encaminadas a disminuir la mortalidad materna.</t>
  </si>
  <si>
    <t>20
Fuente: Programa SSR (2019)</t>
  </si>
  <si>
    <t> Ejecutar anualmente acciones encaminadas a disminuir la mortalidad materna con el fortalecimiento en las 20 EAPB, su red prestadora y usuarios</t>
  </si>
  <si>
    <t>Tasa de Fecundidad 10 a 14 años</t>
  </si>
  <si>
    <t>3,63%
Fuente: Ministerio de Salud  y Protección Social</t>
  </si>
  <si>
    <t>Disminuir 0,87x1000 la Tasa de Fecundidad especifica en adolescentes de 10 a 14 años</t>
  </si>
  <si>
    <t xml:space="preserve"> 0,87x1000</t>
  </si>
  <si>
    <t>3 x 1000</t>
  </si>
  <si>
    <t>0,87 x 1000</t>
  </si>
  <si>
    <t>0,87x1000</t>
  </si>
  <si>
    <t>Tasa de Fecundidad 15 a 19 años</t>
  </si>
  <si>
    <t>72,87%
Fuente: Ministerio de Salud  y Protección Social</t>
  </si>
  <si>
    <t>Disminuir 47,60x1000 la Tasa de Fecundidad especifica en adolescentes de 15 a 19 años</t>
  </si>
  <si>
    <t xml:space="preserve"> 47,60x1000 </t>
  </si>
  <si>
    <t>70x1000</t>
  </si>
  <si>
    <t>Número de  EAPB, su red prestadora vigilada y monitoreada en la aplicación de la estrategia de prevención de embarazo en adolescentes.</t>
  </si>
  <si>
    <t>70
Fuente: Programa SSR (2019)</t>
  </si>
  <si>
    <t xml:space="preserve"> Vigilar y monitorear anualmente las capacidades de 20 EAPB, su red prestadora y 50 instituciones prestadoras de salud a través del desarrollo de una estrategia de prevención de embarazo en adolescentes.</t>
  </si>
  <si>
    <t>Número de EAPB, su red prestadora y usuarios fortalecidas en acciones encaminadas a erradicar la transmisión materno –perinatal de VIH-Sífilis y hepatitis B y C</t>
  </si>
  <si>
    <t>20
Fuente: Programa SSR (2019)</t>
  </si>
  <si>
    <t> Realizar acciones encaminadas a erradicar la transmisión materno –perinatal de VIH-Sífilis y hepatitis B y C con el fortalecimiento en las 20 EAPB, su red prestadora y usuarios.</t>
  </si>
  <si>
    <t>Tasa de Transmisión materno infantil del VIH/Sífilis, sobre el número de niños expuestos</t>
  </si>
  <si>
    <t>0%
Fuente: ASIS (2018)</t>
  </si>
  <si>
    <t>Registrar Tasa de Transmisión materno infantil del VIH/Sífilis, entre 0% y el 2% (sobre el número de niños expuestos )</t>
  </si>
  <si>
    <t>entre 0% y el 2%</t>
  </si>
  <si>
    <t>0% y el 2%</t>
  </si>
  <si>
    <t>Número de estrategia intersectorial para promoción de los derechos sexuales y reproductivos implementada.</t>
  </si>
  <si>
    <t>Implementar (1) una estrategia intersectorial para promoción de los derechos sexuales y reproductivos y la adopción e implementación de las Rutas Integrales de atención en Salud Sexual y Reproductiva.</t>
  </si>
  <si>
    <t>Número de EAPB, su red prestadora y usuarios fortalecidas en acciones encaminadas a mejorar la Atención de las Víctimas de Violencia Basada en Género</t>
  </si>
  <si>
    <t>Realizar acciones encaminadas a mejorar las competencias del personal de salud en la Atención Integral en Salud a Víctimas de Violencia de Género en 20 EAPB</t>
  </si>
  <si>
    <t>Realizar anualmente 1 movilización social alrededor del apoyo a la garantía y restablecimiento de los derechos en salud a las personas victima de violencia de género</t>
  </si>
  <si>
    <t xml:space="preserve">1 Movilización anual
Fuente: Archivos de la Dimensión de la Sexualidad </t>
  </si>
  <si>
    <t>1 movilización social anual alrededor del apoyo a la garantía y restablecimiento de los derechos en salud a las personas victima de violencia de género</t>
  </si>
  <si>
    <t>Mujeres formadas para la Promoción de sus derechos y la igualdad de género</t>
  </si>
  <si>
    <t xml:space="preserve">0
Fuente: Archivos de la Dimensión de la Sexualidad </t>
  </si>
  <si>
    <t>2.000 Mujeres formadas para la Promoción de sus derechos Sexuales y Reproductivos  y la igualdad de género</t>
  </si>
  <si>
    <t>Programa: Vida saludable y enfermedades transmisibles</t>
  </si>
  <si>
    <t>Número de niños y niñas menores de un año vacunados con todos los biológicos del esquema de acuerdo a la edad.</t>
  </si>
  <si>
    <t>16575
Fuente: Sistema de Información PAI (2019)</t>
  </si>
  <si>
    <t>Vacunar anualmente a 17.600 niños y niñas menores de un año con todos los biológicos del esquema de acuerdo a la edad.</t>
  </si>
  <si>
    <t>Número de niños y niñas de un año vacunados con todos los biológicos del esquema de acuerdo a la edad.</t>
  </si>
  <si>
    <t>17082
Fuente: Sistema de Información PAI (2019)</t>
  </si>
  <si>
    <t>Vacunar anualmente a 17.700 niños y niñas de un año con todos los biológicos del esquema de acuerdo con la edad.</t>
  </si>
  <si>
    <t>Número de IPS que prestan el servicio de vacunación con desarrollo de capacidades al recurso humano asistencial en salud en la normatividad, planes y estrategias del PAI</t>
  </si>
  <si>
    <t>70
Fuente: Sistema de Información PAI (2019)</t>
  </si>
  <si>
    <t xml:space="preserve">Desarrollar capacidades del recurso humano asistencial en salud en la normatividad, planes y estrategias del PAI a  70 IPS que prestan el servicio de vacunación. </t>
  </si>
  <si>
    <t>Tasa de Letalidad por Dengue</t>
  </si>
  <si>
    <r>
      <rPr>
        <sz val="7"/>
        <color theme="1"/>
        <rFont val="Arial"/>
        <family val="2"/>
      </rPr>
      <t xml:space="preserve">5%                               </t>
    </r>
    <r>
      <rPr>
        <sz val="7"/>
        <color theme="1"/>
        <rFont val="Arial"/>
        <family val="2"/>
      </rPr>
      <t>Fuente: ASIS (2018)</t>
    </r>
  </si>
  <si>
    <t>Disminuir la Tasa de Letalidad por Dengue a menos del 5%</t>
  </si>
  <si>
    <t>Porcentaje de implementación de la Estrategia de Gestión Integrada (EGI) para la vigilancia, promoción de la salud, prevención de la enfermedad y control de la ETV</t>
  </si>
  <si>
    <t>70%
Fuente: Sistema de Información PAI (2019)</t>
  </si>
  <si>
    <t xml:space="preserve">Implementar al 100% de sus componentes la Estrategia de Gestión Integrada (EGI) para la vigilancia,  promoción de la salud prevención de la enfermedad y control de la ETV. </t>
  </si>
  <si>
    <t>Número de Instituciones prestadoras de salud priorizadas que cuentan con Salas de atención a Enfermedades respiratorias agudas en el Distrito de Cartagena con desarrollo de capacidades técnicas en guías y protocolo.</t>
  </si>
  <si>
    <t>10
Fuente: Progrma IRA  (2019)</t>
  </si>
  <si>
    <t xml:space="preserve">Mantener anualmente las capacidades técnicas en guías y protocolo a   Diez (10) Instituciones prestadoras de salud priorizadas que cuentan con Salas de atención a Enfermedades respiratorias agudas en el Distrito de Cartagena </t>
  </si>
  <si>
    <t>Tasa de Mortalidad IRA en menores de 5 años – casos por 100.000 menores 5 años.</t>
  </si>
  <si>
    <t>32,01
Fuente: Programa IRA  (2019)</t>
  </si>
  <si>
    <t>Reducir a niveles de 28 x 100.000 la Tasa de Mortalidad IRA en menores de 5 años</t>
  </si>
  <si>
    <t>9.8</t>
  </si>
  <si>
    <t xml:space="preserve">28 x 100.000 </t>
  </si>
  <si>
    <t>Número de agentes de cambio (líderes voluntarios AIEPI- EPS) con capacidades en prevención y manejo la Infección respiratoria Aguda</t>
  </si>
  <si>
    <t>150
Fuente: Programa IRA  (2019)</t>
  </si>
  <si>
    <t>Aumentar a 600 los agentes de cambio (líderes voluntarios AIEPI- EPS) en fortalecimiento de  capacidades en prevención y manejo la Infección respiratoria Aguda en menores 5 años.</t>
  </si>
  <si>
    <t>Porcentaje de conformación y fortalecimiento de las organizaciones de base comunitarias (OBC) que apoyen las acciones de prevención y control de la Tuberculosis</t>
  </si>
  <si>
    <t>50%
Fuente: Sistema de Información TB y Lepra (2019)</t>
  </si>
  <si>
    <t>Conformación y fortalecimiento anual del 100% de las organizaciones de base comunitarias (OBC) que apoyen las acciones de prevención y control de la Tuberculosis</t>
  </si>
  <si>
    <t>Porcentaje implementación del plan de acción de investigación operativa en tuberculosis de la Red Distrital de Investigación operativa y gestión del conocimiento en TB.</t>
  </si>
  <si>
    <t>25%
Fuente: Sistema de Información TB  (2019)</t>
  </si>
  <si>
    <t>Lograr el 100% de la Implementación del plan de acción de investigación operativa en tuberculosis, a 2023.</t>
  </si>
  <si>
    <t>Porcentaje de estudio de contactos con seguimiento para la búsqueda activa de sintomáticos y detección oportuna de casos de Tuberculosis</t>
  </si>
  <si>
    <t>98%
Fuente: Sistema de Información TB  (2019)</t>
  </si>
  <si>
    <t>Aumentar el Seguimiento anual al 100% de los contactos para la búsqueda activa de sintomáticos y detección oportuna de casos de tuberculosis</t>
  </si>
  <si>
    <t>Tasa de Mortalidad por Tuberculosis – Casos por  100.000 Habitantes</t>
  </si>
  <si>
    <t>4,43
Fuente: ASIS (2018)</t>
  </si>
  <si>
    <t> Reducir a 2,21 Casos por  100.000 Habitantes la mortalidad por tuberculosis</t>
  </si>
  <si>
    <t>Porcentaje de estudio de convivientes con seguimiento para la detección oportuna de casos de Lepra de acuerdo al protocolo</t>
  </si>
  <si>
    <t>100%
Fuente: Sistema de Información Lepra (2019)</t>
  </si>
  <si>
    <t>Mantener el Seguimiento anual del 100% de convivientes para la detección oportuna de casos de Lepra de acuerdo al protocolo</t>
  </si>
  <si>
    <t>Tasa de Discapacidad Grado 2 Lepra</t>
  </si>
  <si>
    <t>0,1 x 100.000 Habitantes
Fuente: Sistema de Información Lepra (2019)</t>
  </si>
  <si>
    <t>Disminuir la Tasa de Discapacidad Grado 2 a niveles de 0,05 x 100.000 Habitantes</t>
  </si>
  <si>
    <t xml:space="preserve"> 0,05 x 100.000</t>
  </si>
  <si>
    <t>Porcentaje de conformación y fortalecimiento de las organizaciones de base comunitarias (OBC) que apoyen las acciones de prevención y control de la lepra.</t>
  </si>
  <si>
    <t>50%
Fuente: Sistema de Información TB y Lepra (2019)</t>
  </si>
  <si>
    <t xml:space="preserve">Lograr la conformación y fortalecimiento anual del 100% de las organizaciones de base comunitarias (OBC) que apoyen las acciones de prevención y control de la lepra </t>
  </si>
  <si>
    <t>Programa: Salud pública en emergencias y desastres</t>
  </si>
  <si>
    <t>Tasa de  Mortalidad por emergencias y desastres</t>
  </si>
  <si>
    <t>1,27
Fuente: CRUE 2019</t>
  </si>
  <si>
    <t> Reducir a niveles menores a 1 por cada 100.000 habitantes la mortalidad por urgencias, emergencias y desastres.</t>
  </si>
  <si>
    <t xml:space="preserve"> 1 por cada 100.000 habitantes </t>
  </si>
  <si>
    <t xml:space="preserve"> 1 por cada 100.000</t>
  </si>
  <si>
    <t>Porcentaje de Instituciones con servicios de urgencias aplicando el reglamento sanitario internacional</t>
  </si>
  <si>
    <t>100%
Fuente:CRUE 2019</t>
  </si>
  <si>
    <t>Lograr anualmente que el 100% de Instituciones con servicios de urgencias apliquen el reglamento sanitario internacional</t>
  </si>
  <si>
    <t>Porcentaje de Instituciones con servicios de urgencias respondiendo oportunamente ante las emergencias y desastres que enfrenten.</t>
  </si>
  <si>
    <t>100%
Fuente:CRUE 2019</t>
  </si>
  <si>
    <t>Lograr anualmente que el 100% de Instituciones con servicios de urgencias respondan oportunamente ante las emergencias y desastres que enfrenten.</t>
  </si>
  <si>
    <t>Programa: Salud y ámbito laboral</t>
  </si>
  <si>
    <t>Tasa de Accidentalidad en el Trabajo - casos por cada 100 trabajadores</t>
  </si>
  <si>
    <t>5,02
Fuente: DADIS 2019</t>
  </si>
  <si>
    <t>Reducir la tasa de accidentalidad a niveles de 5 casos por cada 100 trabajadores</t>
  </si>
  <si>
    <t>Número de visitas de  asistencias técnica relacionadas con el Sistema General de Seguridad y Salud en el Trabajo (SGSST) de conformidad con la normatividad Vigente realizadas a microempresas o macroempresas del Distrito </t>
  </si>
  <si>
    <t>480
Fuente:DADIS 2019</t>
  </si>
  <si>
    <t>Aumentar a  600 el número de visitas de asistencia técnica a microempresas o macroempresas del Distrito de Cartagena para el fortalecimiento y desarrollo de capacidades relacionadas con el Sistema General de Seguridad y Salud en el Trabajo (SGSST) de conformidad con la normatividad Vigente.</t>
  </si>
  <si>
    <t>Número de sinergias y planes de acción con los actores del Distrito</t>
  </si>
  <si>
    <t>28
Fuente:DADIS 2019</t>
  </si>
  <si>
    <t>Aumentar a  36 el número de  actividades de sinergia y Planes de Acción con la coordinación de actores de las instituciones, entidades y otras de los sectores público, privado y comunitario del Distrito para el abordaje de la población trabajadora informal</t>
  </si>
  <si>
    <t xml:space="preserve">Porcentaje de Administradoras de Riesgos Laborales desarrollo de capacidades para el fortalecimiento  en temas de salud y ámbito laboral </t>
  </si>
  <si>
    <t>100%
Fuente:DADIS 2019</t>
  </si>
  <si>
    <t xml:space="preserve">Realizar desarrollo de capacidades para el fortalecimiento  en temas de salud y ámbito laboral al 100% de las  Administradoras de Riesgos Laborales (ARL) </t>
  </si>
  <si>
    <t>Número de intervenciones colectivas a la población del sector de la economía informal del Distrito.</t>
  </si>
  <si>
    <t>15
Fuente:DADIS 2019</t>
  </si>
  <si>
    <t>Aumentar a  20 intervenciones colectivas a la población del sector de la economía informal del Distrito.</t>
  </si>
  <si>
    <t xml:space="preserve">LÍNEA ESTRATÉGICA: DEPORTE Y RECREACIÓN PARA  LA TRANSFORMACIÓN SOCIAL </t>
  </si>
  <si>
    <t>Porcentaje de la población cartagenera vinculadas a las actividades y eventos deportivos, pre deportivos y paralímpicos.</t>
  </si>
  <si>
    <t>1.049.212
Fuente: Dane 2019</t>
  </si>
  <si>
    <t xml:space="preserve"> Vincular el  13%  de  la población cartagenera a las actividades y eventos deportivos, predeportivos y paralímpicos.</t>
  </si>
  <si>
    <t xml:space="preserve">Programa “La escuela y el deporte son de todos” </t>
  </si>
  <si>
    <t>Número de Niños, niñas y adolescentes inscritos en la Escuela de Iniciación y Formación Deportiva</t>
  </si>
  <si>
    <t>5260
Fuente: Oficina Asesora de Planeación IDER
2019</t>
  </si>
  <si>
    <t xml:space="preserve"> Incrementar a 5.400 niñas, niños, adolescentes inscritos en los diversos niveles de iniciación y formación</t>
  </si>
  <si>
    <t>Porcentaje de la población cartagenera vinculada a la actividad física y eventos recreativos.</t>
  </si>
  <si>
    <t>Vincular  el 8% de la población cartagenera a la actividad física y eventos recreativos.</t>
  </si>
  <si>
    <t xml:space="preserve">Número de núcleos de Escuela de Iniciación y Formación Deportiva creados </t>
  </si>
  <si>
    <t>50
Fuente: Oficina Asesora de Planeación IDER
2019</t>
  </si>
  <si>
    <t>Incrementar a 54 los núcleos para masificar la práctica del deporte en las comunidades del Distrito de Cartagena de Indias</t>
  </si>
  <si>
    <t>Porcentaje de la población cartagenera que hace uso y disfrute de los escenarios deportivos y recreativos</t>
  </si>
  <si>
    <t xml:space="preserve"> Vincular  el 20% de la población cartagenera en el uso y disfrute de los escenarios deportivos y recreativos</t>
  </si>
  <si>
    <t xml:space="preserve">Número de participantes en los torneos del deporte estudiantil </t>
  </si>
  <si>
    <t>10.176
Fuente: Oficina Asesora de Planeación IDER
2019</t>
  </si>
  <si>
    <t xml:space="preserve">Mantener    10.176 los  participantes en los diferentes torneos de las instituciones educativas y las universidades </t>
  </si>
  <si>
    <t>Programa: Deporte asociado “incentivos con-sentido”</t>
  </si>
  <si>
    <t>Número de estímulos y/o apoyos otorgados a ligas, clubes, federaciones y otras organizaciones deportivas</t>
  </si>
  <si>
    <t xml:space="preserve">375
Fuente: Oficina Asesora de Planeación IDER
2019
</t>
  </si>
  <si>
    <t>Otorgar 400 estímulos y/o apoyos a las ligas, clubes, federaciones y otras organizaciones deportivas</t>
  </si>
  <si>
    <t>Número de personas beneficiadas por los estímulos y/o apoyos otorgados a ligas, clubes, federaciones y otras organizaciones deportivas</t>
  </si>
  <si>
    <t>Beneficiar 4.000  personas con los estímulos y/o apoyos otorgados a las ligas, clubes, federaciones y otras organizaciones deportivas</t>
  </si>
  <si>
    <t>Número de estímulos y/o apoyos otorgados a deportistas de altos logros, futuras estrellas y Viejas Glorias del Deporte convencional y paralímpico</t>
  </si>
  <si>
    <t>288
Fuente: Oficina Asesora de Planeación IDER
2019</t>
  </si>
  <si>
    <t>Otorgar estímulos y/o apoyos a 576 atletas de altos logros, futuras estrellas y viejas glorias del deporte convencional y paralímpico</t>
  </si>
  <si>
    <t xml:space="preserve">Número de eventos de carácter regional, nacional e internacional realizados y/o apoyados </t>
  </si>
  <si>
    <t>49
Fuente: Oficina Asesora de Planeación IDER
2019</t>
  </si>
  <si>
    <t>Realizar 20 eventos deportivos de carácter regional,  nacional e internacional   en el Distrito de Cartagena de Indias</t>
  </si>
  <si>
    <t>Programa: Deporte social comunitario con inclusión “Cartagena Incluyente”</t>
  </si>
  <si>
    <t xml:space="preserve">Número de participantes en los eventos o torneos de deporte social comunitario con inclusión  </t>
  </si>
  <si>
    <t>100.881
Fuente: Oficina Asesora de Planeación IDER
2019</t>
  </si>
  <si>
    <t>Incrementar a 120.000 los participantes en el desarrollo de eventos o torneos de deporte social comunitario con inclusión</t>
  </si>
  <si>
    <t>Número de eventos o torneos de deporte social comunitario con inclusión realizados y/o apoyados</t>
  </si>
  <si>
    <t>12
Fuente: Oficina Asesora de Planeación IDER
2019</t>
  </si>
  <si>
    <t>Realizar 15 eventos o torneos de deporte social comunitario con inclusión dirigidos a la comunidad</t>
  </si>
  <si>
    <t>Programa: Hábitos y estilos de vida saludable “actívate por tu salud”.</t>
  </si>
  <si>
    <t>Número de participantes vinculados a la actividad física.</t>
  </si>
  <si>
    <t>13310
Fuente: Oficina Asesora de Planeación IDER
2019</t>
  </si>
  <si>
    <t>Incrementar a 14.131 los  participantes vinculados a la actividad física.</t>
  </si>
  <si>
    <t xml:space="preserve">Número de asistentes a los eventos de hábitos y estilos de vida saludable de carácter local, nacional e internacional realizados y/o apoyados </t>
  </si>
  <si>
    <t>14300
Fuente: Oficina Asesora de Planeación IDER
2019</t>
  </si>
  <si>
    <t xml:space="preserve">Incrementar a 19.448 los asistentes a los eventos de hábitos y estilos de vida saludable dirigidos a todas las edades </t>
  </si>
  <si>
    <t xml:space="preserve">Número de eventos de hábitos y estilos de vida saludable de carácter local, nacional e internacional realizados y/o apoyados </t>
  </si>
  <si>
    <t>28
Fuente: Oficina Asesora de Planeación IDER
2019</t>
  </si>
  <si>
    <t xml:space="preserve">Realizar 18 eventos de hábitos y estilos de vida saludable dirigidos a todas las edades </t>
  </si>
  <si>
    <t xml:space="preserve">Programa: Recreación comunitaria “Recréate Cartagena” </t>
  </si>
  <si>
    <t xml:space="preserve">Número de participantes en las actividades de recreación comunitaria </t>
  </si>
  <si>
    <t>27432
Fuente: Oficina Asesora de Planeación IDER
2019</t>
  </si>
  <si>
    <t>Atender a 24.984 participantes de las actividades recreativas en el Distrito de Cartagena de Indias.</t>
  </si>
  <si>
    <t>Número de asistentes a los eventos de recreación de carácter local, nacional e internacional realizados y/o apoyados</t>
  </si>
  <si>
    <t>16428
Fuente: Oficina Asesora de Planeación IDER
2019</t>
  </si>
  <si>
    <t>Incrementar  a 22.999 los  asistentes a los eventos de recreación comunitaria dirigidos a todas las edades</t>
  </si>
  <si>
    <t xml:space="preserve">Número de eventos de recreación de carácter local, nacional e internacional realizados y/o apoyados </t>
  </si>
  <si>
    <t>16
Fuente: Oficina Asesora de Planeación IDER
2019</t>
  </si>
  <si>
    <t xml:space="preserve">Realizar 17 eventos de recreación comunitaria dirigidos a todas las edades </t>
  </si>
  <si>
    <t>Programa: Observatorio de ciencias aplicadas al deporte, la recreación, la actividad física y el aprovechamiento del tiempo libre en el distrito de Cartagena de indias.</t>
  </si>
  <si>
    <t>Número de documentos elaborados y publicados</t>
  </si>
  <si>
    <t>Publicar 4 documentos históricos y científicos sobre el deporte, la recreación, la actividad física y el aprovechamiento del tiempo libre en el Distrito de Cartagena de Indias</t>
  </si>
  <si>
    <t>Número de personas con apropiación social de conocimiento.</t>
  </si>
  <si>
    <t>11147
Fuente: Oficina Asesora de Planeación IDER
2019</t>
  </si>
  <si>
    <t>Incrementar  a 16.720 las personas con apropiación social de conocimiento</t>
  </si>
  <si>
    <t xml:space="preserve">Número de piezas de Memoria Histórica del Deporte Cartagenero inventariadas </t>
  </si>
  <si>
    <t>Caracterizar 10 piezas con todos los documentos e investigaciones científicas existentes de memoria histórica del deporte</t>
  </si>
  <si>
    <t xml:space="preserve">Número de semilleros de investigación </t>
  </si>
  <si>
    <t>Conformar y organizar  1 semillero de investigación científica deportiva</t>
  </si>
  <si>
    <t>Número de alianzas y convenios para la generación y apropiación social del conocimiento</t>
  </si>
  <si>
    <t>4
Fuente: Oficina Asesora de Planeación IDER
2019</t>
  </si>
  <si>
    <t>Realizar 10 convenios institucionales para la generación y apropiación social del conocimiento</t>
  </si>
  <si>
    <t xml:space="preserve">Programa Administración, Mantenimiento, Adecuación, Mejoramiento y Construcción de Escenarios Deportivos  </t>
  </si>
  <si>
    <t>Número de permisos autorizados para el uso temporal y/o permanente de los escenarios deportivos.</t>
  </si>
  <si>
    <t>Autorizar  2.400 permisos para el uso temporal y/o permanente de los escenarios deportivos.</t>
  </si>
  <si>
    <t>Número de personas que hace uso y disfrute de los escenarios deportivos y recreativos</t>
  </si>
  <si>
    <t>Impactar  a 209.842 personas en el uso y disfrute de los escenarios deportivos y recreativos</t>
  </si>
  <si>
    <t xml:space="preserve">Número de escenarios deportivos mantenidos, adecuados, y/o mejorados en el distrito de Cartagena de Indias  </t>
  </si>
  <si>
    <t>Mantener, adecuar o mejorar  110  escenarios deportivos (4 en territorios afro, negro, Palenquero) en el distrito de Cartagena de Indias</t>
  </si>
  <si>
    <t xml:space="preserve">Número de nuevos escenarios deportivos construidos  </t>
  </si>
  <si>
    <t xml:space="preserve"> Construir   10 nuevos escenarios  deportivos en el Distrito de Cartagena de Indias </t>
  </si>
  <si>
    <t>LÍNEA ESTRATÉGICA ARTES, CULTURA Y PATRIMONIO PARA UNA CARTAGENA INCLUYENTE</t>
  </si>
  <si>
    <t>Porcentaje de participantes en procesos de lectura en las bibliotecas del Distrito de Cartagena</t>
  </si>
  <si>
    <t>*35.57% 
Fuente IPCC- 2019
-335815</t>
  </si>
  <si>
    <t>Incrementar   en un 20% los participantes en procesos de lectura</t>
  </si>
  <si>
    <r>
      <rPr>
        <sz val="7"/>
        <color theme="1"/>
        <rFont val="Calibri"/>
        <family val="2"/>
      </rPr>
      <t xml:space="preserve"> </t>
    </r>
    <r>
      <rPr>
        <b/>
        <sz val="7"/>
        <color theme="1"/>
        <rFont val="Arial"/>
        <family val="2"/>
      </rPr>
      <t xml:space="preserve">Programa: Mediación  y bibliotecas para la Inclusión </t>
    </r>
  </si>
  <si>
    <t>Número de personas con asistencias técnicas en asuntos de gestión de bibliotecas públicas y programas de lectura y escritura creativa vinculadas en forma presencial y en línea</t>
  </si>
  <si>
    <t>335815
Fuente: IPCC-2019</t>
  </si>
  <si>
    <t xml:space="preserve"> 402.978 personas con asistencias técnicas en asuntos de gestión de bibliotecas públicas y programas de lectura y escritura  creativa vinculadas en forma presenciales y en línea adecuados a las condiciones sanitarias, de comunicación y a las restricciones de bioseguridad que establezcan las autoridades competentes</t>
  </si>
  <si>
    <t>Porcentaje  de infraestructura cultural mantenida y conservada.</t>
  </si>
  <si>
    <t>57%
18 bibliotecas, plaza de toros, Teatro Adolfo Mejía, Teatrino El  Socorro</t>
  </si>
  <si>
    <t>Mantener y conservar el 100% de la infraestructura cultural</t>
  </si>
  <si>
    <t>Número de asistencias técnicas en encuentros de saberes en las  bibliotecas públicas presencial y en línea</t>
  </si>
  <si>
    <t>N/D</t>
  </si>
  <si>
    <t>720 asistencias técnicas en encuentros de saberes en las  bibliotecas públicas presencial y en línea adecuados a las condiciones sanitarias, de comunicación y a las restricciones de bioseguridad que establezcan las autoridades competentes</t>
  </si>
  <si>
    <t>Porcentaje de  proyectos apoyados en el impulso y creación de industrias culturales creativas a través de convocatorias</t>
  </si>
  <si>
    <t>120 proyectos apoyados de creación de industrias culturales creativas</t>
  </si>
  <si>
    <t>Incrementar en 100% los proyectos apoyados en el impulso y creación de industrias culturales</t>
  </si>
  <si>
    <t>Número de asistencias técnicas en actividades de extensión  bibliotecaria en la comunidad</t>
  </si>
  <si>
    <t>217
Fuente: IPCC-2019</t>
  </si>
  <si>
    <t>300 asistencias técnicas en actividades de extensión bibliotecaria en la comunidad adecuados a las condiciones sanitarias, de comunicación y a las restricciones de bioseguridad que establezcan las autoridades competentes</t>
  </si>
  <si>
    <t>Porcentaje de portadores de la tradición y participantes en  las fiestas  y festivales del distrito cualificados (medido en grupos participantes)</t>
  </si>
  <si>
    <t>60%
(178 grupos)</t>
  </si>
  <si>
    <t>Aumentar a un  80%  el proceso de cualificación de los grupos participantes en las Fiestas de Independencia y participantes en festivales gastronómicos</t>
  </si>
  <si>
    <t>Programa: Estímulos para las artes y el Emprendimiento incluyente</t>
  </si>
  <si>
    <t xml:space="preserve">Número de personas del sector artístico y cultural participando en los procesos de formación formal e informal  </t>
  </si>
  <si>
    <t xml:space="preserve"> 38.062 personas 
Fuente: IPCC-2019</t>
  </si>
  <si>
    <t xml:space="preserve">53.286 personas del sector artístico y cultural participando en los procesos de formación formal e informal de manera presencial y/o en línea adecuados a las condiciones sanitarias, de comunicación y a las restricciones de bioseguridad que establezcan las autoridades competentes </t>
  </si>
  <si>
    <t>Porcentaje patrimonio cultural inmueble del centro histórico, su área de influencia y periferia histórica conservado</t>
  </si>
  <si>
    <t>70% del inventario de bienes inmuebles del centro histórico, su área de influencia y periferia histórica (1.767 inmuebles de 2.523)</t>
  </si>
  <si>
    <t>Mantener y Aumentar a  75%  el patrimonio cultural  inmuebles del centro histórico, su área de influencia y periferia histórica conservados</t>
  </si>
  <si>
    <t>Número de proyectos  de fomento para el acceso de la oferta cultural  en estímulos y becas</t>
  </si>
  <si>
    <t>120 proyectos
Fuente: IPCC-2019</t>
  </si>
  <si>
    <t xml:space="preserve">240 proyectos  de fomento para el acceso de la oferta cultural  en estímulos y becas adecuados a las condiciones sanitarias, de comunicación y a las restricciones de bioseguridad que establezcan las autoridades competentes </t>
  </si>
  <si>
    <t xml:space="preserve">Número de grupos en circulación apoyados en   servicios para la  oferta cultural   </t>
  </si>
  <si>
    <t>120
Fuente: IPCC-2019</t>
  </si>
  <si>
    <t xml:space="preserve">240 grupos en circulación apoyados en   servicios para la oferta cultural adecuados a las condiciones sanitarias, de comunicación y a las restricciones de bioseguridad que establezcan las autoridades competentes  </t>
  </si>
  <si>
    <t>Número de eventos presenciales y/o virtuales (laboratorios de innovación social y ciudadana, encuentros comunitarios, experiencias barriales, hackatones,) relacionados con encuentros ciudadanos realizados</t>
  </si>
  <si>
    <t xml:space="preserve">Realizar 12 eventos presenciales y/o virtuales (laboratorios de innovación social y ciudadana, encuentros comunitarios, experiencias barriales, hackatones,) relacionados con encuentros ciudadanos, adecuados a las condiciones sanitarias, de comunicación y a las restricciones de bioseguridad que establezcan las autoridades competentes </t>
  </si>
  <si>
    <t>Programa: Patrimonio Inmaterial: Prácticas significativas para la memoria</t>
  </si>
  <si>
    <t>Número grupos participantes en las fiestas y festejos del distrito fortalecidos para la  salvaguardia del patrimonio inmaterial</t>
  </si>
  <si>
    <t xml:space="preserve"> 178 grupos
Fuente: IPCC-2019</t>
  </si>
  <si>
    <t xml:space="preserve">237 grupos participantes en las fiestas y festejos del distrito fortalecidos para la  salvaguardia  del patrimonio inmaterial, adecuados a las condiciones sanitarias, de comunicación y a las restricciones de bioseguridad que establezcan las autoridades competentes </t>
  </si>
  <si>
    <t>Número de festivales y ferias  de salvaguardia al patrimonio inmaterial, realizados</t>
  </si>
  <si>
    <t>12 festivales 
Fuente: IPCC-2019</t>
  </si>
  <si>
    <t xml:space="preserve">16 festivales y ferias  de salvaguardia al patrimonio inmaterial, realizados adecuados a las condiciones sanitarias, de comunicación y a las restricciones de bioseguridad que establezcan las autoridades competentes </t>
  </si>
  <si>
    <t>Número de Planes Especiales de Salvaguardia formulados</t>
  </si>
  <si>
    <t>Formular 2 Planes Especiales de Salvaguardia para inclusión de las manifestaciones culturales en la lista representativa de Patrimonio Cultural Inmaterial</t>
  </si>
  <si>
    <t xml:space="preserve"> Programa: Valoración, Cuidado y Apropiación Social del Patrimonio Material</t>
  </si>
  <si>
    <t xml:space="preserve">Servicios  relacionados con la preservación  del patrimonio material inmueble (gestiones de control, verificación, supervisión y asesorías) realizados para su conservación </t>
  </si>
  <si>
    <t>1.767 Inmuebles del centro histórico  y su área de influencia que han tenido algún tipo de intervención (restauración, consolidación, adecuación, mantenimiento, obras de apuntalamiento preventivo, etc.)</t>
  </si>
  <si>
    <t>Servicios  relacionados con la preservación  del patrimonio material inmueble (gestiones de control, verificación, supervisión asesorías del IPCC.) para el mantenimiento de los inmuebles del centro Histórico y su área de influencia</t>
  </si>
  <si>
    <t>1.767 inmuebles del Centro Histórico  y su área de influencia que han tenido algún tipo de intervención (restauración, consolidación, adecuación, mantenimiento, obras de apuntalamiento preventivo, etc)</t>
  </si>
  <si>
    <t>Mantener  los 1.767 Inmuebles del Centro Histórico  y su área de influencia que han tenido algún tipo de intervención, conservados a través gestiones de control, verificación, supervisión asesorías del IPCC.</t>
  </si>
  <si>
    <t>Número de acciones de divulgación sobre preservación del patrimonio material, las amenazas y mitigación de la emergencia climática</t>
  </si>
  <si>
    <t>30 acciones de divulgación y puestas en valor del patrimonio cultural, asi como de preservación frente a la amenaza de la emergencia climatica y las acciones de mitigacion adecuadas a las condiciones sanitarias, de comunicación y a las restrinciones de bioseguridad que establezcan las autoridades competentes</t>
  </si>
  <si>
    <t>numero de acciones de apropiacion social del patrimonio material, divulgacion y comunicación social del patrimonio, presenciales y/o virtual.(campañas, lineamientos para apropiacion social del patrimonio, seminarios internacionales etc)</t>
  </si>
  <si>
    <t>18 fuente IPCC</t>
  </si>
  <si>
    <t>36 acciones de apropiacion social del patrimonio material, divulgacion y comunicación social del patrimonio adecuadas a las condiciones sanitarias, de comunicación y a las restrinciones de bioseguridad que establezcan las autoridades competentes</t>
  </si>
  <si>
    <t>Programa: Derechos culturales y buen gobierno para el fortalecimiento institucional y ciudadano</t>
  </si>
  <si>
    <t>Documentos normativos de modernización del IPCC formulado y presentado</t>
  </si>
  <si>
    <t xml:space="preserve">  1 documento de modernización del IPCC formulado y presentado</t>
  </si>
  <si>
    <t>Documentos de políticas públicas presentadas por el IPCC con lineamientos técnicos formulados</t>
  </si>
  <si>
    <t xml:space="preserve">4 políticas públicas formuladas y presentadas  articuladas intersectorialmente </t>
  </si>
  <si>
    <t>Programa: Infraestructura Cultural para la Inclusión</t>
  </si>
  <si>
    <t xml:space="preserve"> Servicio de mantenimiento de infraestructura cultural pública</t>
  </si>
  <si>
    <r>
      <rPr>
        <sz val="7"/>
        <color theme="1"/>
        <rFont val="Arial"/>
        <family val="2"/>
      </rPr>
      <t xml:space="preserve">12  </t>
    </r>
    <r>
      <rPr>
        <sz val="7"/>
        <color theme="1"/>
        <rFont val="Arial"/>
        <family val="2"/>
      </rPr>
      <t xml:space="preserve">infraestructuras culturales conservadas  (Bibliotecas, centros culturales, Teatro Adolfo Mejía, Teatrino El Socorro) </t>
    </r>
  </si>
  <si>
    <t>21 infraestructuras culturales mantenidas y conservadas</t>
  </si>
  <si>
    <t>Servicio de actualización tecnológica de las bibliotecas distritales (colecciones digitales, mejora del internet, de los equipos, etc.)</t>
  </si>
  <si>
    <t>18 bibliotecas</t>
  </si>
  <si>
    <t>6 Bibliotecas con servicios de  actualización tecnológica</t>
  </si>
  <si>
    <t xml:space="preserve">LÍNEA ESTRATÉGICA: PLANEACIÓN SOCIAL DEL TERRITORIO </t>
  </si>
  <si>
    <t>Optimización de los Instrumentos de Planeación Social del Territorio</t>
  </si>
  <si>
    <t>Optimizar al 100% los Instrumentos de Planeación Social del territorio</t>
  </si>
  <si>
    <t xml:space="preserve">Programa: Instrumentos de planificación social del territorio </t>
  </si>
  <si>
    <r>
      <rPr>
        <sz val="7"/>
        <color theme="1"/>
        <rFont val="Arial"/>
        <family val="2"/>
      </rPr>
      <t>Sistema de Identificación de Potenciales Beneficiarios de Programas Sociales</t>
    </r>
    <r>
      <rPr>
        <b/>
        <sz val="7"/>
        <color theme="1"/>
        <rFont val="Arial"/>
        <family val="2"/>
      </rPr>
      <t xml:space="preserve"> - SISBEN IV</t>
    </r>
    <r>
      <rPr>
        <sz val="7"/>
        <color theme="1"/>
        <rFont val="Arial"/>
        <family val="2"/>
      </rPr>
      <t xml:space="preserve"> - </t>
    </r>
    <r>
      <rPr>
        <b/>
        <sz val="7"/>
        <color theme="1"/>
        <rFont val="Arial"/>
        <family val="2"/>
      </rPr>
      <t>Censo</t>
    </r>
  </si>
  <si>
    <r>
      <rPr>
        <sz val="7"/>
        <color theme="1"/>
        <rFont val="Arial"/>
        <family val="2"/>
      </rPr>
      <t>Sistema de Identificación de Potenciales Beneficiarios de Programas Sociales</t>
    </r>
    <r>
      <rPr>
        <b/>
        <sz val="7"/>
        <color theme="1"/>
        <rFont val="Arial"/>
        <family val="2"/>
      </rPr>
      <t xml:space="preserve"> - SISBEN IV</t>
    </r>
    <r>
      <rPr>
        <sz val="7"/>
        <color theme="1"/>
        <rFont val="Arial"/>
        <family val="2"/>
      </rPr>
      <t xml:space="preserve"> - </t>
    </r>
    <r>
      <rPr>
        <b/>
        <sz val="7"/>
        <color theme="1"/>
        <rFont val="Arial"/>
        <family val="2"/>
      </rPr>
      <t>Metodología</t>
    </r>
  </si>
  <si>
    <r>
      <rPr>
        <sz val="7"/>
        <color theme="1"/>
        <rFont val="Arial"/>
        <family val="2"/>
      </rPr>
      <t>Sistema de Identificación de Potenciales Beneficiarios de Programas Sociales</t>
    </r>
    <r>
      <rPr>
        <b/>
        <sz val="7"/>
        <color theme="1"/>
        <rFont val="Arial"/>
        <family val="2"/>
      </rPr>
      <t xml:space="preserve"> - SISBEN IV</t>
    </r>
    <r>
      <rPr>
        <sz val="7"/>
        <color theme="1"/>
        <rFont val="Arial"/>
        <family val="2"/>
      </rPr>
      <t xml:space="preserve"> Fase de Demanda</t>
    </r>
    <r>
      <rPr>
        <sz val="7"/>
        <color theme="1"/>
        <rFont val="Arial"/>
        <family val="2"/>
      </rPr>
      <t xml:space="preserve"> - </t>
    </r>
    <r>
      <rPr>
        <b/>
        <sz val="7"/>
        <color theme="1"/>
        <rFont val="Arial"/>
        <family val="2"/>
      </rPr>
      <t>Conectividad</t>
    </r>
  </si>
  <si>
    <r>
      <rPr>
        <sz val="7"/>
        <color theme="1"/>
        <rFont val="Arial"/>
        <family val="2"/>
      </rPr>
      <t>Sistema de Identificación de Potenciales Beneficiarios de Programas Sociales</t>
    </r>
    <r>
      <rPr>
        <b/>
        <sz val="7"/>
        <color theme="1"/>
        <rFont val="Arial"/>
        <family val="2"/>
      </rPr>
      <t xml:space="preserve"> - SISBEN IV</t>
    </r>
    <r>
      <rPr>
        <sz val="7"/>
        <color theme="1"/>
        <rFont val="Arial"/>
        <family val="2"/>
      </rPr>
      <t xml:space="preserve"> Fase de Demanda – </t>
    </r>
    <r>
      <rPr>
        <b/>
        <sz val="7"/>
        <color theme="1"/>
        <rFont val="Arial"/>
        <family val="2"/>
      </rPr>
      <t>Atención al Usuario</t>
    </r>
  </si>
  <si>
    <t xml:space="preserve">Abrir 2 puntos en la zona corregimental de la ciudad de Cartagena de Indias  (Pasacaballos, Bayunca) </t>
  </si>
  <si>
    <r>
      <rPr>
        <sz val="7"/>
        <color theme="1"/>
        <rFont val="Arial"/>
        <family val="2"/>
      </rPr>
      <t>Mapa Interactivo de Asuntos del Suelo</t>
    </r>
    <r>
      <rPr>
        <b/>
        <sz val="7"/>
        <color theme="1"/>
        <rFont val="Arial"/>
        <family val="2"/>
      </rPr>
      <t xml:space="preserve"> MIDAS Actualizado</t>
    </r>
  </si>
  <si>
    <t>Nomenclatura Urbana actualizada</t>
  </si>
  <si>
    <t>Nueva Estratificación para el Distrito de Cartagena y sus corregimientos</t>
  </si>
  <si>
    <t>50% del proceso de elaboración.</t>
  </si>
  <si>
    <t>Finalizar las fases restantes de la elaboración de la Nueva Estratificación con apoyo del CPE y adoptarla.</t>
  </si>
  <si>
    <t>Programa: Catastro multipropósito</t>
  </si>
  <si>
    <t>Área geográfica del territorio con catastro actualizado</t>
  </si>
  <si>
    <t>100% Área geográfica del territorio con catastro actualizado</t>
  </si>
  <si>
    <t>Definir un modelo de gobernanza institucional efectiva y eficiente para la implementación del catastro multipropósito, que incentive el fortalecimiento de capacidades en las entidades ejecutoras de la política</t>
  </si>
  <si>
    <t xml:space="preserve">PILAR CARTAGENA CONTINGENTE </t>
  </si>
  <si>
    <t xml:space="preserve"> LÍNEA ESTRATÉGICA: DESARROLLO ECONÓMICO Y EMPLEABILIDAD</t>
  </si>
  <si>
    <t>No. De Plataforma de inclusión productiva Distrital en funcionamiento</t>
  </si>
  <si>
    <t>0       Secretaría de Participación y Secretaría de Hacienda</t>
  </si>
  <si>
    <t xml:space="preserve">Programa: Centros para el emprendimiento y la gestión de la empleabilidad en Cartagena de Indias </t>
  </si>
  <si>
    <t>No. De Rutas de atención para la inclusión productiva diseñada (Empresarismo y Empleabilidad).</t>
  </si>
  <si>
    <r>
      <rPr>
        <sz val="11"/>
        <color theme="1"/>
        <rFont val="Arial"/>
        <family val="2"/>
      </rPr>
      <t xml:space="preserve">0
</t>
    </r>
    <r>
      <rPr>
        <sz val="11"/>
        <color theme="1"/>
        <rFont val="Arial"/>
        <family val="2"/>
      </rPr>
      <t>Secretaría de Participación</t>
    </r>
  </si>
  <si>
    <t>Diseñar 1 Ruta de atención para la inclusión productiva (Empresarismo y Empleabilidad).</t>
  </si>
  <si>
    <t xml:space="preserve">N° de personas atendidas en empresarismo y empleabilidad (grupos poblacionales diferenciales) </t>
  </si>
  <si>
    <t>1820 Secretaría de Participación</t>
  </si>
  <si>
    <t xml:space="preserve">Atender a 15.000 personas en empresarismo y empleabilidad (grupos poblacionales diferenciales) </t>
  </si>
  <si>
    <t>N° de unidades productivas financiadas, implementadas y formalizadas.</t>
  </si>
  <si>
    <t>522 Secretaría de Participación</t>
  </si>
  <si>
    <t xml:space="preserve">Formalizar e implementar y financiar 5.000 unidades productivas </t>
  </si>
  <si>
    <t>N° de personas vinculadas laboralmente.</t>
  </si>
  <si>
    <t>Vincular 2.500 personas laboralmente</t>
  </si>
  <si>
    <t>Semana por la productividad en Cartagena, implementada como mecanismo de promoción empresarial.</t>
  </si>
  <si>
    <t>0 Secretaría de Participación</t>
  </si>
  <si>
    <t>Implementar 4 Semanas por la productividad en Cartagena, como mecanismo de promoción empresarial. (1 por año)</t>
  </si>
  <si>
    <t>N° de unidades productivas participando de espacios de promoción,  comercialización y acceso a nuevos mercados (local, nacional e internacional)</t>
  </si>
  <si>
    <t>522 
Secretaría de Participación</t>
  </si>
  <si>
    <t>Vincular 800 unidades productivas participando de espacios de promoción, comercialización y acceso a nuevos mercados (local, nacional e internacional)</t>
  </si>
  <si>
    <t>N° de unidades productivas con enfoque de innovación y uso de nuevas tecnologías. Programa “Emprendimiento INN” y con becas otorgadas.</t>
  </si>
  <si>
    <t>Vincular a 100 unidades productivas con enfoque de innovación y uso de nuevas tecnologías. Programa “Emprendimiento INN” y con becas otorgadas.</t>
  </si>
  <si>
    <t>1 laboratorio empresarial y laboral juvenil implementado (padrinazgo empresarial, cultura empresarial, análisis y estudios sectoriales, modelos asociativos, teletrabajo, voluntariado).</t>
  </si>
  <si>
    <t>0 
Secretaría de Participación</t>
  </si>
  <si>
    <t>Implementar 1  laboratorio empresarial y laboral juvenil (padrinazgo empresarial, cultura empresarial, análisis y estudios sectoriales, modelos asociativos, teletrabajo, voluntariado).</t>
  </si>
  <si>
    <t>N° de personas con formación en competencias específicas, técnicos o tecnólogos, acorde a los diagnósticos laborales.</t>
  </si>
  <si>
    <t>Formar a 1.500 personas con en competencias específicas, técnicos o tecnólogos, acorde a los diagnósticos laborales.</t>
  </si>
  <si>
    <t>Programa: Mujeres con Autonomía Económica</t>
  </si>
  <si>
    <t>Número de mujeres participando en procesos de emprendimientos y encadenamientos productivos incorporando el enfoque diferencial.</t>
  </si>
  <si>
    <t>710
Fuente: Plan de Acción 2016-2019 Grupo asuntos para la mujer 2019</t>
  </si>
  <si>
    <t>1.010 mujeres participando en procesos de emprendimientos y encadenamientos productivos incorporando el enfoque diferencial</t>
  </si>
  <si>
    <t>Número de mujeres formadas en Artes y Oficios y con asistencia técnica</t>
  </si>
  <si>
    <t>340
Fuente: Plan de Acción 2016-2019 Grupo asuntos para la mujer 2019</t>
  </si>
  <si>
    <t>600 mujeres formadas en Artes y Oficios y con asistencia técnica</t>
  </si>
  <si>
    <t>Número de mujeres participando en procesos de empleabilidad víctimas de violencia de pareja</t>
  </si>
  <si>
    <t>15
Fuente: Plan de Acción 2016-2019 Grupo asuntos para la mujer 2019</t>
  </si>
  <si>
    <t>100 mujeres participando en procesos de empleabilidad víctimas de violencia de pareja</t>
  </si>
  <si>
    <t>Programa: "Empleo Inclusivo Para Los Jóvenes”</t>
  </si>
  <si>
    <t>Jóvenes ubicados laboralmente por intermediación laboral</t>
  </si>
  <si>
    <t>1769
Fuente: SPDS, 31 de diciembre de 2019</t>
  </si>
  <si>
    <t>800 los jóvenes ubicados laboralmente</t>
  </si>
  <si>
    <t>Iniciativas productivas creadas adaptadas a las condiciones de crisis sanitarias, sociales y ambientales que se presenten.</t>
  </si>
  <si>
    <t>94
Fuente: SPDS, 31 de diciembre de 2019</t>
  </si>
  <si>
    <t>500  Iniciativas productivas creadas adaptadas a las condiciones de crisis sanitarias, sociales y ambientales que se presenten.</t>
  </si>
  <si>
    <t>Jóvenes formados en emprendimiento</t>
  </si>
  <si>
    <t>838
Fuente: SPDS, 31 de diciembre de 2019</t>
  </si>
  <si>
    <t>2.200  jóvenes formados en emprendimiento.</t>
  </si>
  <si>
    <t>Programa: Encadenamientos productivos</t>
  </si>
  <si>
    <t>No. De estudio de identificación de potenciales encadenamientos productivos con énfasis sectorial realizado.</t>
  </si>
  <si>
    <t>0
 Secretaría de Hacienda</t>
  </si>
  <si>
    <t>Realizar 1 estudio de identificación de potenciales encadenamientos productivos con énfasis sectorial.</t>
  </si>
  <si>
    <t>No. De plataformas implementadas  versión 2.0 Clúster-Cartagena y alinearlo con la estrategia de atracción de inversiones.</t>
  </si>
  <si>
    <t xml:space="preserve">0
 Secretaría de Hacienda </t>
  </si>
  <si>
    <t>Implementar la versión 2.0 de la plataforma Clúster-Cartagena y alinearlo con la estrategia de atracción de inversiones.</t>
  </si>
  <si>
    <t>No. De estrategias de proveedores en los sectores priorizados ejecutadas.</t>
  </si>
  <si>
    <t>Ejecutar 4 estrategias de proveedores en los sectores priorizados.</t>
  </si>
  <si>
    <t>No de  micro y pequeñas empresas de Cartagena vinculadas a redes de proveeduría y/o a encadenamientos productivos.</t>
  </si>
  <si>
    <t>100
 Secretaría de Hacienda 2019</t>
  </si>
  <si>
    <t>Vincular a 200 micro y pequeñas empresas de Cartagena a redes de proveeduría y/o a encadenamientos productivos.</t>
  </si>
  <si>
    <t>Programa: Cartagena facilita el emprendimiento</t>
  </si>
  <si>
    <t>No operaciones financieras a través de alianzas del Distrito con actores del ecosistema de financiamiento a micro y pequeñas empresas realizadas.</t>
  </si>
  <si>
    <t>0 
Secretaría de Hacienda 2019</t>
  </si>
  <si>
    <t>Realizar 5.000 operaciones financieras a través de alianzas del Distrito con actores del ecosistema de financiamiento a micro y pequeñas empresas.</t>
  </si>
  <si>
    <t>No. de  Centros de emprendimiento Distrital creados</t>
  </si>
  <si>
    <t>0
 Secretaría de Hacienda 2019</t>
  </si>
  <si>
    <t>Crear 1 Centro de emprendimiento Distrital</t>
  </si>
  <si>
    <t>30%%</t>
  </si>
  <si>
    <t>No. de incubadoras de empresas de alto impacto con recursos publico privados formuladas y en ejecucion.</t>
  </si>
  <si>
    <t>Formular y poner en marcha 1 incubadora de empresas de alto impacto con recursos publico privados.</t>
  </si>
  <si>
    <t>No. De empresas de base tecnológica a la incubadora de empresas vinculadas.</t>
  </si>
  <si>
    <t>Vincular a 40 empresas de base tecnológica a la incubadora de empresas.</t>
  </si>
  <si>
    <t>Programa: Zonas de aglomeración productiva</t>
  </si>
  <si>
    <t>No. De estudios de identificación de sectores a partir del censo empresarial realizados.</t>
  </si>
  <si>
    <t>Realizar 1 estudio de identificación de sectores a partir del censo empresarial.</t>
  </si>
  <si>
    <t>Porcentaje. De unidades productivas censadas (en los sectores y zonas priorizadas) a los Centros de Servicios Empresariales que participación vinculadas.</t>
  </si>
  <si>
    <t xml:space="preserve">Vincular al 30% de las unidades productivas censadas (en los sectores y zonas priorizadas) a los Centros de Servicios Empresariales </t>
  </si>
  <si>
    <t>Porcentaje de productividad de las zonas de aglomeración asociada a Centros de Servicios Empresariales incrementado.</t>
  </si>
  <si>
    <t>Incrementar en 10% la productividad de las zonas de aglomeración asociada a Centros de Servicios Empresariales.</t>
  </si>
  <si>
    <t>50%%</t>
  </si>
  <si>
    <t>Programa: Cierre de brechas de empleabilidad</t>
  </si>
  <si>
    <t>No. de pactos con sectores empresariales y sociedad civil en contra de la discriminación en el mercado laboral para algunas poblaciones vulnerables realizados.</t>
  </si>
  <si>
    <t>Realizar 6 pactos con sectores empresariales y sociedad civil en contra de la discriminación en el mercado laboral para algunas poblaciones vulnerables.</t>
  </si>
  <si>
    <t>No. de personas vinculadas anualmente a partir de los pactos para el cierre de brechas de población vulnerable.</t>
  </si>
  <si>
    <t>Vincular laboralmente a por lo menos 200 personas anualmente a partir de los pactos para el cierre de brechas de población vulnerable.</t>
  </si>
  <si>
    <t>Programa: Cierre de brechas de capital humano</t>
  </si>
  <si>
    <t>No. De plataforma de orientación socio-ocupacional para los jóvenes de Cartagena creada</t>
  </si>
  <si>
    <t>0
Secretaría de Hcienda 2019</t>
  </si>
  <si>
    <t>Crear 1 plataforma de orientación socio-ocupacional para los jóvenes de Cartagena</t>
  </si>
  <si>
    <t>No. de ejercicios de prospectiva laboral y de identificación de brechas de capital humano realizados</t>
  </si>
  <si>
    <t>Realizar 6 ejercicios de prospectiva laboral y de identificación de brechas de capital humano</t>
  </si>
  <si>
    <t>No. De Instancia de articulación interinstitucional para planeación de la oferta educativa postmedia en el Distrito de Cartagena creadas.</t>
  </si>
  <si>
    <t>Crear 1 instancia de articulación interinstitucional para planeación de la oferta educativa postmedia en el Distrito de Cartagena.</t>
  </si>
  <si>
    <t>Programa: Desarrollo del ecosistema digital basado en la cuarta revolución industrial</t>
  </si>
  <si>
    <t>No. De jovenes formados en TICS y tecnología de la cuarta revolución industrial</t>
  </si>
  <si>
    <t>0
Oficina de informática</t>
  </si>
  <si>
    <t>Formar a 1000 jovenes en TICS y tecnologías de la cuarta revolución industrial</t>
  </si>
  <si>
    <t>No. De funcionarios de la alcaldia de Cartagena formados en TICS y cuarta revolución industrial</t>
  </si>
  <si>
    <t>Formar a 600 funcionarios de la alcaldia distrital de Cartagena en TICS y cuarta revolución industrial</t>
  </si>
  <si>
    <t>No. De plataforma de e-learning para funcionarios y ciudadanos de capacitar en TICS, tecnología de la cuarta revolución implementada</t>
  </si>
  <si>
    <t xml:space="preserve">Implementar 1 plataforma de e-learning para funcionarios y ciudadanos capacitar en TICS, tecnología de la cuarta revolución </t>
  </si>
  <si>
    <t>No. De política pública de CTel formulada</t>
  </si>
  <si>
    <t>Formular una política pública de Ctel</t>
  </si>
  <si>
    <t>Programa: Cartagena emprendedora para pequeños productores rurales</t>
  </si>
  <si>
    <t xml:space="preserve">No. De Emprendimientos rurales, agropecuarios, pesqueros o piscícolas acompañados desde lo social, productivo fomentados o fortalecidos y articulados con el mercado local. </t>
  </si>
  <si>
    <t xml:space="preserve">Fortalecer, acompañar y articular con el mercado local 8 emprendimientos rurales, agropecuarios, pesqueros o piscícolas </t>
  </si>
  <si>
    <t>Programa: Sistemas de Mercados públicos</t>
  </si>
  <si>
    <t>Red de mercados sectoriales construida</t>
  </si>
  <si>
    <t>25% de la plaza de Santa Rita funcionando</t>
  </si>
  <si>
    <t>Construir y adecuar 3 plazas de mercados sectoriales</t>
  </si>
  <si>
    <t>No. De comerciantes minoristas adjudicatarios formalizados/ reubicados</t>
  </si>
  <si>
    <t xml:space="preserve">Formalizar a 1665 Comerciantes del minoristas </t>
  </si>
  <si>
    <t xml:space="preserve">No. De OEP que fueron rebuscados en zonas al interior del mercado formalizados (tramo 5A Transcaribe y otros) </t>
  </si>
  <si>
    <t>176 OEP según resolución 9174 de 2015</t>
  </si>
  <si>
    <t>No. De OEP de zonas no intervenidas en el mercado de Bazurto pendientes por formalizar en mercados sectoriales</t>
  </si>
  <si>
    <t>50 OEP reubicados en plaza de mercado</t>
  </si>
  <si>
    <t>647 OEP según registro único de vendedores del 2015</t>
  </si>
  <si>
    <t>No. De Comerciantes del sistema de mercados formalizados</t>
  </si>
  <si>
    <t xml:space="preserve">Formalizar 300 Comerciantes del sistema de mercados </t>
  </si>
  <si>
    <t>Programa: Más Cooperación Internacional</t>
  </si>
  <si>
    <t>No. de recursos gestionados para robustecer la financiación del Plan de Desarrollo Salvemos Juntos a Cartagena</t>
  </si>
  <si>
    <t>$4.766.698.146 
Fuente: Oficina de Cooperación 2019 (1)</t>
  </si>
  <si>
    <t>Gestionar 40.000.000.000 para financiar el Plan de desarrollo</t>
  </si>
  <si>
    <t>No. de organizaciones habilitadas para cooperar</t>
  </si>
  <si>
    <t>108 organizaciones mapeadas. 61 han cooperado. Fuente: Mapeo Oficina de Cooperación 2020 (2)</t>
  </si>
  <si>
    <t>Habilitar 50 organizaciones para cooperación</t>
  </si>
  <si>
    <t>No. De Plan de Internacionalización de la Ciudad Formulado</t>
  </si>
  <si>
    <t>0
Fuente: Oficina de Cooperación 2019</t>
  </si>
  <si>
    <t>Formular el primer Plan de Internacionalización de la Ciudad</t>
  </si>
  <si>
    <t>LÍNEA ESTRATÉGICA: COMPETITIVIDAD E INNOVACIÓN</t>
  </si>
  <si>
    <t>No de puesto en Índice de competitividad entre ciudades. Posición de Colombia</t>
  </si>
  <si>
    <t>Puesto12. Fuente: Consejo privado de competitividad 2019</t>
  </si>
  <si>
    <t>Programa: Cartagena ciudad Innovadora</t>
  </si>
  <si>
    <t>No. encuentros anuales sobre innovación en Cartagena.</t>
  </si>
  <si>
    <t>0
Secretaría de Hacienda 2019</t>
  </si>
  <si>
    <t>Establecer 1 encuentro anual sobre innovación en Cartagena.</t>
  </si>
  <si>
    <t>No. de concurso anual a los mejores resultados de investigación e innovación, pública, privada y académica.</t>
  </si>
  <si>
    <t>Estudio de prefactibilidad de un parque tecnológico en Cartagena realizado</t>
  </si>
  <si>
    <t>Realizar 1 estudio de prefactibilidad de un parque tecnológico en Cartagena.</t>
  </si>
  <si>
    <t xml:space="preserve">No. de sistema de innovación del Distrito de Cartagena creado </t>
  </si>
  <si>
    <t xml:space="preserve">Crear el sistema de innovación del Distrito de Cartagena </t>
  </si>
  <si>
    <t>Programa: Cartagena destino de inversión</t>
  </si>
  <si>
    <t>No de  estrategia de promoción y posicionamiento de la ciudad implementada</t>
  </si>
  <si>
    <t>Implementar 1 estrategia de promoción y posicionamiento de la ciudad</t>
  </si>
  <si>
    <t>No de  sistema de información para inversionistas implementado</t>
  </si>
  <si>
    <t xml:space="preserve">Implementar un sistema de información para inversionistas </t>
  </si>
  <si>
    <t>No. De   ventanilla única empresarial Diseñada</t>
  </si>
  <si>
    <t>Diseñar la  ventanilla única empresarial</t>
  </si>
  <si>
    <t>Programa: Cartagena fomenta la ciencia, tecnología e innovación agropecuaria: juntos por la extensión agropecuaria a pequeños productores.</t>
  </si>
  <si>
    <t>Productores atendidos con servicio de extensión agropecuaria</t>
  </si>
  <si>
    <t>2200
Fuente: Umata 2019</t>
  </si>
  <si>
    <t>Atender 2.500 productores con servicio de extensión agropecuaria</t>
  </si>
  <si>
    <t>Mujeres productoras atendidas con servicio de extensión agropecuaria</t>
  </si>
  <si>
    <t>500 Mujeres productoras atendidas con servicio de extensión agropecuaria</t>
  </si>
  <si>
    <t>LÍNEA ESTRATÉGICA: TURISMO, MOTOR DE REACTIVACIÓN ECONÓMICA PARA CARTAGENA DE INDIAS</t>
  </si>
  <si>
    <t>Número de visitantes que llegan a la ciudad de Cartagena de Indias</t>
  </si>
  <si>
    <t>3207999
Fuente: Corpoturismo  2019</t>
  </si>
  <si>
    <t>Programa: Promoción Nacional e Internacional de Cartagena de Indias</t>
  </si>
  <si>
    <t>Número de visitantes llegando a Cartagena de Indias por vía aérea, marítima y terrestre</t>
  </si>
  <si>
    <t>Mantener el número de visitantes en 3.207.999 llegando a Cartagena por vía aérea, marítima y terrestre</t>
  </si>
  <si>
    <t>Programa: Conectividad</t>
  </si>
  <si>
    <t>Número de rutas aéreas conectando directamente a Cartagena de Indias con otros destinos nacionales e internacionales</t>
  </si>
  <si>
    <t>18 rutas aéreas</t>
  </si>
  <si>
    <t>Mantener 18 rutas aéreas conectada directamente a Cartagena</t>
  </si>
  <si>
    <t>Programa: Turismo Competitivo y Sostenible</t>
  </si>
  <si>
    <t>Numero de Zonas turísticas Ordenadas</t>
  </si>
  <si>
    <t>Mantener 4 zonas turísticas ordenadas</t>
  </si>
  <si>
    <t>Número de Centros de atención turística funcionando</t>
  </si>
  <si>
    <t>Mantener en funcionamiento 5 centros de atención turística</t>
  </si>
  <si>
    <t>Número de Puntos de Información Turística funcionando</t>
  </si>
  <si>
    <t>Mantener en funcionamiento 3 puntos de información turística</t>
  </si>
  <si>
    <t>Número de prestadores de servicios turísticos que promuevan la calidad y sostenibilidad del sector a través de la implementación de protocolos, normas y/o certificaciones.</t>
  </si>
  <si>
    <t>Promover la calidad y sostenibilidad del sector turístico a 400 prestadores de servicios turísticos</t>
  </si>
  <si>
    <t>LÍNEA ESTRATÉGICA: PLANEACIÓN E INTEGRACIÓN CONTINGENTE DEL TERRITORIO</t>
  </si>
  <si>
    <t>No. Áreas de integración constituidas</t>
  </si>
  <si>
    <t>0
Fuente: Secretaría de Planeación Distrital</t>
  </si>
  <si>
    <t>Programa Integración y proyectos entre ciudades</t>
  </si>
  <si>
    <t xml:space="preserve">No. De proyectos diseñados en conjunto con municipios cercanos y/o ciudades de la región </t>
  </si>
  <si>
    <t xml:space="preserve">Diseñar 2 proyectos en conjunto con municipios cercanos y/o ciudades de la región </t>
  </si>
  <si>
    <t>No de proyectos medio ambiental para la competitividad impulsado</t>
  </si>
  <si>
    <t xml:space="preserve">Impulsar 1 proyecto medio ambiental para la competitividad </t>
  </si>
  <si>
    <t>Programa: Normas de promoción del desarrollo urbano y económico</t>
  </si>
  <si>
    <t xml:space="preserve">% de suelo habilitado para desarrollo económico y urbano </t>
  </si>
  <si>
    <t>Habilitar el 35% del suelo para desarrollo económico y urbano</t>
  </si>
  <si>
    <t>PILAR CARTAGENA TRANSPARENTE</t>
  </si>
  <si>
    <t>LÍNEA ESTRATÉGICA GESTIÓN Y DESEMPEÑO INSTITUCIONAL PARA LA GOBERNANZA</t>
  </si>
  <si>
    <t>Elevar el índice de desempeño institucional medido a través de  FURAG (Formulario Único de Reporte de Avances de la Gestión</t>
  </si>
  <si>
    <t>Programa: Gestión pública integrada y transparente</t>
  </si>
  <si>
    <t>Numero de Dimensiones del  Modelo Integrado de Planeación y Gestión (MIPG) Implementado</t>
  </si>
  <si>
    <t>Dimensiones:
1.    Talento Humano= 61,8%
2.    Direccionamiento Estratégico y Planeación = 61,2%
3.    Gestión para Resultados con Valores = 58%
4.    Evaluación de Resultados = 59,2%
5.    Información y Comunicaciones = 57,9%
6.    Gestión del Conocimiento = 57,4%
7.    Control Interno = 57,1%</t>
  </si>
  <si>
    <t xml:space="preserve">Implementar integralmente las  7 dimensiones y sus políticas del Modelo Integrado de Planeación y Gestión (MIPG) </t>
  </si>
  <si>
    <t>Porcentaje de avance en la implementación de los proyectos del Plan Institucional de Archivo del Distrito de Cartagena (PINAR)</t>
  </si>
  <si>
    <t>Implementar el 60% de los proyectos establecidos en el PINAR (de corto y  mediano plazo )</t>
  </si>
  <si>
    <t>Dependencias administrativa de la Alcaldía Mayor de Cartagena con proceso modernización y reestructuración Implementados</t>
  </si>
  <si>
    <t>Numero   de rendición públicas de cuentas realizadas</t>
  </si>
  <si>
    <t>2 Rendición publica de cuentas
Fuente: Oficina de Prensa 
2019</t>
  </si>
  <si>
    <t xml:space="preserve">Realizar 8 procesos de rendición publica de cuentas a la ciudadanía </t>
  </si>
  <si>
    <t>Porcentaje de proponentes  en  licitación pública, mínima cuantía, selección abreviada, subasta y concurso de méritos con más de un proponente incrementado</t>
  </si>
  <si>
    <r>
      <rPr>
        <b/>
        <sz val="6"/>
        <color theme="1"/>
        <rFont val="Arial"/>
        <family val="2"/>
      </rPr>
      <t xml:space="preserve">49.1%
</t>
    </r>
    <r>
      <rPr>
        <sz val="6"/>
        <color theme="1"/>
        <rFont val="Arial"/>
        <family val="2"/>
      </rPr>
      <t>Los procesos de mínima cuantía, selección abreviada, subasta y concursos de méritos, solo se presenta un (1) solo proponente
Fuente: Observatorio a la Transparencia de la Contratación Estatal de Funcicar.</t>
    </r>
  </si>
  <si>
    <t>Numero de estrategia de rendición publica de cuentas implementadas</t>
  </si>
  <si>
    <t>Implementar Una(1) estrategia de rendición publica de cuentas    periódica  en el Distrito de Cartagena</t>
  </si>
  <si>
    <t>LÍNEA ESTRATÉGICA: CARTAGENA INTELIGENTE CON TODOS Y PARA  TODOS</t>
  </si>
  <si>
    <t>Porcentaje Ciudadanos cartageneros conectados, alfabetizados digitalmente.</t>
  </si>
  <si>
    <t>Programa: Cartagena inteligente con todos y para todos</t>
  </si>
  <si>
    <t>Política pública formulada entre Universidad-Empresa-Estado- Sociedad.</t>
  </si>
  <si>
    <t>Documento de Política Pública de Tecnología de la Información (TIC´S) del Distrito 
30%
Fuente: Secretaría General-Oficina Asesora de Informática</t>
  </si>
  <si>
    <t>Formular 1 política pública  entre Universidad-Empresa-Estado-Sociedad en tres fases</t>
  </si>
  <si>
    <t xml:space="preserve">Infraestructura tecnológica global diseñada e implementada para el distrito conforme se plantea en la política de gobierno digital </t>
  </si>
  <si>
    <t>1 infraestructura tecnológica global diseñada e implementada en cinco fases conforme se plantea en la política de gobierno digital</t>
  </si>
  <si>
    <t>Infraestructura tecnológica y modelo general de datos abiertos del distrito adoptando la política nacional de explotación de datos.</t>
  </si>
  <si>
    <t>1 infraestructura tecnológica global de datos abiertos diseñada e implementada en las cinco fases.</t>
  </si>
  <si>
    <t>Centro Integrado de Operación y Control (CIOC).</t>
  </si>
  <si>
    <t>1 CIOC consolidado y operativo.</t>
  </si>
  <si>
    <t>Política de gobierno digital implementad.</t>
  </si>
  <si>
    <t>Política de gobierno digital implementada en un 50%</t>
  </si>
  <si>
    <t xml:space="preserve">Aplicaciones pilotos basadas en inteligencia artificial </t>
  </si>
  <si>
    <t>4 Aplicaciones piloto basadas en inteligencia artificial</t>
  </si>
  <si>
    <t>Diseño y  reglamentación para remover barreras a instalación de infraestructura de telecomunicaciones en Cartagena implementada</t>
  </si>
  <si>
    <t>Diseñar e Implementar 1 reglamentación para remover las barreras a la instalación de Infraestructuras de telecomunicaciones en Cartagena</t>
  </si>
  <si>
    <t>Programa: Cartageneros conectados y alfabetizados</t>
  </si>
  <si>
    <t>Numero Zonas wifi de acceso libre Implementadas  en Cartagena</t>
  </si>
  <si>
    <t xml:space="preserve">Implementar 8 zonas wifi  en Cartagena </t>
  </si>
  <si>
    <t xml:space="preserve">Numero de Corredores wifi turísticos Implementados </t>
  </si>
  <si>
    <t>Implementar 3 zonas extensa de wifi  para mejorar la experiencia de usuarios de los turistas en la ciudad de Cartagena</t>
  </si>
  <si>
    <t>Programa: Cartagena hacia la modernidad</t>
  </si>
  <si>
    <t xml:space="preserve">Fases para Modernización y restructuración administrativa realizadas </t>
  </si>
  <si>
    <t>1 Fase realizada</t>
  </si>
  <si>
    <t>Realizar y operacionalizar las 5 fases del proceso de Modernización y restructuración Administrativa de la Alcaldía de Cartagena</t>
  </si>
  <si>
    <t>Proyecto de acuerdo de modernización de la alcaldía presentado  al Concejo Distrital</t>
  </si>
  <si>
    <t xml:space="preserve">Presentar al Concejo Distrital  el proyecto de acuerdo de modernización de la Alcaldía de Cartagena </t>
  </si>
  <si>
    <t xml:space="preserve">Programa: Organización y recuperación del patrimonio público del distrito de Cartagena </t>
  </si>
  <si>
    <t>Numero  de Auditorías Forenses realizadas</t>
  </si>
  <si>
    <t>Realizar 1 Auditorias Forense</t>
  </si>
  <si>
    <t>Inventario de Bienes Inmuebles del Distrito de Cartagena actualizados</t>
  </si>
  <si>
    <t>1 inventario</t>
  </si>
  <si>
    <t>Actualizar 1 inventario de inmuebles pertenecientes al Distrito.</t>
  </si>
  <si>
    <t>Programa: Premio Jorge Piedrahita Aduen</t>
  </si>
  <si>
    <t>Número de  Premios otorgados</t>
  </si>
  <si>
    <t>Otorgar 12 reconocimientos en el concurso sobre investigaciones del impacto de la corrupción en Cartagena</t>
  </si>
  <si>
    <t>LÍNEA ESTRATÉGICA: CONVIVENCIA Y SEGURIDAD PARA LA GOBERNABILIDAD</t>
  </si>
  <si>
    <t>Tasa de homicidio por cien mil habitantes (por curso de vida)</t>
  </si>
  <si>
    <t>19,02
Fuente Policía Metropolitana</t>
  </si>
  <si>
    <t>Programa:   Plan integral de seguridad y convivencia ciudadana</t>
  </si>
  <si>
    <t>Plan Integral de  Seguridad y Convivencia Ciudadana-PISCC 2020-2023 formulado y ejecutado</t>
  </si>
  <si>
    <t>PISCC 2016-2019 ejecutado</t>
  </si>
  <si>
    <t>Formular y ejecutar un Plan integral de Seguridad y Convivencia Ciudadana-PISCC para el período 2020-2023</t>
  </si>
  <si>
    <t>Tasa de hurto a personas por cada 100 mil habitantes</t>
  </si>
  <si>
    <t>Programa:    Fortalecimiento de la convivencia y la seguridad ciudadana</t>
  </si>
  <si>
    <t>Numero Operativos para la seguridad y la convivencia realizados</t>
  </si>
  <si>
    <t>60 Operativos para la seguridad y la convivencia realizados</t>
  </si>
  <si>
    <t>Tasa de hurto a residencias por cada 100 mil habitantes</t>
  </si>
  <si>
    <t xml:space="preserve">Numero de Consejos comunitarios de seguridad realizados </t>
  </si>
  <si>
    <t>13
Fuente: Secretaría del Interior y Covivencia Ciudadana
2019</t>
  </si>
  <si>
    <t>60 Consejos comunitarios de seguridad realizados</t>
  </si>
  <si>
    <t xml:space="preserve">Numero de Lesiones Personales reducidas </t>
  </si>
  <si>
    <t>Programa:   Mejorar la convivencia ciudadana con la implementación del código nacional de policía y convivencia</t>
  </si>
  <si>
    <t>Numero de Centro de Traslado por Protección en funcionamiento.</t>
  </si>
  <si>
    <t>Un Centro de Traslado por Protección-CTP en funcionamiento anualmente en el Distrito de Cartagena.</t>
  </si>
  <si>
    <t>Numero de riñas  entre adolescentes y jóvenes que pertenecen a grupos de pandilla.</t>
  </si>
  <si>
    <t>Iniciativas para la promoción de la convivencia implementadas.</t>
  </si>
  <si>
    <t>2 iniciativas  realizadas en 2019.</t>
  </si>
  <si>
    <t>Implementar 8 Iniciativas para la promoción de la convivencia en el Distrito de Cartagena</t>
  </si>
  <si>
    <t>Número de casos de Violencia intrafamiliar reducidos</t>
  </si>
  <si>
    <t>Inspecciones de policía  fortalecidas en sus condiciones operativas y de infraestructura.</t>
  </si>
  <si>
    <t>33 inspecciones de policía en el Distrito de Cartagena ( 16 intervenidas a 2018)</t>
  </si>
  <si>
    <t>Modernizar en sus condiciones operativas y de infraestructura a 17 Inspecciones de policía en el Distrito de Cartagena.</t>
  </si>
  <si>
    <t>Tasa de Violencia contra niños, niñas y adolescentes</t>
  </si>
  <si>
    <t>Programa:    Fortalecimiento capacidad operativa de la secretaria del interior y convivencia ciudadana</t>
  </si>
  <si>
    <t>Numero de Operativos de control a espectáculos públicos realizados en el Distrito</t>
  </si>
  <si>
    <t>256
Fuente: Secretaría del Interior y Covivencia Ciudadana
2019.</t>
  </si>
  <si>
    <t>Realizar 260  operativos de control a espectáculos públicos realizados en el Distrito</t>
  </si>
  <si>
    <t>Número de casos de abuso sexual de menores reducidos.</t>
  </si>
  <si>
    <t>Programa:   Promoción al acceso a la justicia</t>
  </si>
  <si>
    <t xml:space="preserve">Número de Casas de justicia operando con instalaciones en óptimas condiciones </t>
  </si>
  <si>
    <t>3 Casas de Justicia en el Distrito.
Fuente: Secretaría del Interior y Covivencia Ciudadana
2019</t>
  </si>
  <si>
    <t>3 Casas de Justicia operando en el Distrito con instalaciones en óptimas condiciones</t>
  </si>
  <si>
    <t>Número de casos de comportamientos que ponen en riesgo la vida e integridad reducidos.</t>
  </si>
  <si>
    <t>Número de usuarios informados a través de las campañas de divulgación sobre rutas de atención del programa para el uso del servicio público de    acceso  a la justicia.</t>
  </si>
  <si>
    <t>2859
Fuente: Secretaría del Interior y Covivencia Ciudadana
2019</t>
  </si>
  <si>
    <t>Informar a 3.000 personas  a través de las campañas de divulgación de las rutas de atención del programa para el uso del servicio público de    acceso  a la justicia.</t>
  </si>
  <si>
    <t>Número de casos de Feminicidio reducidos.</t>
  </si>
  <si>
    <t>Numero de Comisarias de familia adecuadas y  en funcionamiento con   infraestructura  con un modelo de gestión e información eficaz.</t>
  </si>
  <si>
    <t>6 Comisarías de Familia en el Distrito.
Fuente: Secretaría del Interior y Covivencia Ciudadana
2019</t>
  </si>
  <si>
    <t>Adecuar  6  comisarías de familias existentes en el Distrito con una infraestructura óptima y un modelo de gestión e información eficaz.</t>
  </si>
  <si>
    <t>Número de Jornadas de información y  promoción de  los Métodos alternativos de solución de conflictos - MASC</t>
  </si>
  <si>
    <t xml:space="preserve">Realizar 8 Jornadas de información y  promoción de  los Métodos alternativos de solución de conflictos- MASC- en el Distrito de Cartagena. </t>
  </si>
  <si>
    <t>Programa:    Asistencia y atención integral a los niños, niñas,  adolescentes y jóvenes en riesgo de vincularse a actividades delictivas</t>
  </si>
  <si>
    <t>Numero de pandillas y sus integrantes caracterizados en el Distrito de Cartagena</t>
  </si>
  <si>
    <t>Realizar una caracterización de los  grupos de pandillas y sus integrantes en el Distrito de Cartagena</t>
  </si>
  <si>
    <t>Número de Niños, niñas,  adolescentes y jóvenes en riesgo de vincularse a actividades delictivas atendidos Psicosocialmente</t>
  </si>
  <si>
    <t>2063
Fuente: Secretaría del Interior y Covivencia Ciudadana
2019</t>
  </si>
  <si>
    <t>Atender  Psicosocialmente  a 2.500 Niños, niñas,  adolescentes y jóvenes en riesgo de vincularse a actividades delictivas.</t>
  </si>
  <si>
    <t>Número de Iniciativas juveniles de  emprendimiento apoyadas y con seguimiento por parte del Distrito.</t>
  </si>
  <si>
    <t>118
Fuente: Secretaría del Interior y Covivencia Ciudadana
2019</t>
  </si>
  <si>
    <t>Apoyar y hacer seguimiento a 120 Iniciativas juveniles de  emprendimiento en el Distrito de Cartagena.</t>
  </si>
  <si>
    <t>Programa:    Fortalecimiento sistema de responsabilidad penal para adolescentes –SRPA</t>
  </si>
  <si>
    <t>Estrategia  de atención integral para la atención de  jóvenes y adolescentes  en el  Sistema de Responsabilidad Penal para Adolescentes- SRP apoyada por el Distrito anualmente.</t>
  </si>
  <si>
    <t>Convenio con Asomenores  suscrito en los años 2016-2017-2018</t>
  </si>
  <si>
    <t>Garantizar anualmente una estrategia  de atención integral para la atención de  jóvenes y adolescentes  del Distrito de Cartagena en el  Sistema de Responsabilidad Penal para Adolescentes- SRP</t>
  </si>
  <si>
    <t>Programa: Implementación y sostenimiento de herramientas tecnológicas para seguridad y socorro</t>
  </si>
  <si>
    <t>Numero Cámaras de video vigilancia adicionales dotadas e Instaladas</t>
  </si>
  <si>
    <t>699
Fuente: Distritseguridad 
2019</t>
  </si>
  <si>
    <t>Dotar  e Instalar  107  Cámaras de video vigilancia adicionales como componente del SIES Cartagena Instaladas</t>
  </si>
  <si>
    <t xml:space="preserve">Numero de Alarmas comunitarias adicionales instaladas </t>
  </si>
  <si>
    <t>280
Fuente: Distritseguridad 
2019</t>
  </si>
  <si>
    <t>Instalar 100 Alarmas comunitarias adicionales como componente del SIES Cartagena Instaladas</t>
  </si>
  <si>
    <t>Número de Equipos de comunicación para los organismos de seguridad, socorro y convivencia entregados.</t>
  </si>
  <si>
    <t>195
Fuente: Distritseguridad 
2019</t>
  </si>
  <si>
    <t xml:space="preserve">Entregar 585 Equipos de comunicación para los organismos de seguridad, socorro y convivencia como componente del SIES Cartagena </t>
  </si>
  <si>
    <t xml:space="preserve">Numero Línea de atención y emergencia 123 modernizada </t>
  </si>
  <si>
    <t>Línea de atención y emergencia 123
Fuente: Distritseguridad 
2019</t>
  </si>
  <si>
    <t>Modernizar Una (1) Línea de atención y emergencia 123 como componente del SIES Cartagena Modernizada.</t>
  </si>
  <si>
    <t>Programa: Optimización de la infraestructura y movilidad de los organismos de seguridad y socorro</t>
  </si>
  <si>
    <t xml:space="preserve">Número de Infraestructuras para la seguridad en el Distrito de Cartagena entregadas </t>
  </si>
  <si>
    <t xml:space="preserve">Entregar 4 Infraestructuras  para la seguridad en el Distrito de Cartagena </t>
  </si>
  <si>
    <t>Número de Vehículos a los organismos de seguridad, socorro y convivencia ciudadana Entregados</t>
  </si>
  <si>
    <t>Entregar 20 vehículos a los organismos de seguridad, socorro y convivencia ciudadana.</t>
  </si>
  <si>
    <t>Programa: Vigilancia de las playas del distrito de Cartagena</t>
  </si>
  <si>
    <t>Garitas adicionales de salvavidas Instaladas</t>
  </si>
  <si>
    <t xml:space="preserve">Instalar 5 garitas en las playas  adicionales para salvavidas </t>
  </si>
  <si>
    <t>Metros lineales  de playas el Distrito de Cartagena señalizados</t>
  </si>
  <si>
    <t>Señalizar 1.000 Metros lineales de  playas el Distrito de Cartagena</t>
  </si>
  <si>
    <t>Numero de avisos de prevención  para las playas de Cartagena Instalados</t>
  </si>
  <si>
    <t xml:space="preserve">Colocar 20 avisos de información y prevención  para las playas de Cartagena </t>
  </si>
  <si>
    <t>Numero de Salvaviadas vinculados a la planta de personal de la Adinistracion Distrital</t>
  </si>
  <si>
    <t>65 Servidores(as) publicos vinculados como salvavidas en la planta de personal de la administracion  Distrital</t>
  </si>
  <si>
    <t>Programa Convivencia para la Seguridad</t>
  </si>
  <si>
    <t>Numero  de personas formadas en normas de conductas y convivencia ciudadana</t>
  </si>
  <si>
    <t>Divulgar a 20.000 personas las normas de conductas y convivencia ciudadana Convivencia ciudadana en Cartagena</t>
  </si>
  <si>
    <t>Numero de habitantes de Cartagena formados como Gestores de convivencia ciudadana.</t>
  </si>
  <si>
    <t>Formar a 2.000 habitantes de Cartagena como Gestores de Convivencia Ciudadana</t>
  </si>
  <si>
    <t>LÍNEA ESTRATÉGICA DERECHOS HUMANOS PARA LA PAZ</t>
  </si>
  <si>
    <t xml:space="preserve">Porcentaje de personas en proceso de  Reintegración y reincorporación que acceden a beneficio de inserción económica en el Distrito (creación y/o fortalecimiento) </t>
  </si>
  <si>
    <t>Total población Reincorporación en Cartagena 100%: (64)</t>
  </si>
  <si>
    <t>Programa: Prevención, promoción y protección de los derechos humanos en el distrito de Cartagena</t>
  </si>
  <si>
    <t>Personas en proceso de  Reintegración y reincorporación que acceden a beneficio de inserción económica en el Distrito (creación y/o fortalecimiento)</t>
  </si>
  <si>
    <t>52 en 2019
Fuente: Secretaría del Interior y Convivencia Ciudadana</t>
  </si>
  <si>
    <t>Garantizar que  61 personas en proceso de  reintegración y reincorporación en el Distrito  de Cartagena accedan a beneficio de inserción económica (creación y/o fortalecimiento)</t>
  </si>
  <si>
    <t xml:space="preserve"> Total población Reintegración Regular y Especial: 28)
Fuente: ARN Bolívar – Sucre, sede Cartagena</t>
  </si>
  <si>
    <t>Acciones afirmativas de reconocimiento y legitimación de la labor de los defensores de DDHH, líderes y lideresas sociales implementadas</t>
  </si>
  <si>
    <t>Realizar 8 acciones afirmativas de reconocimiento y legitimación de la labor de los defensores de DDHH, líderes y lideresas sociales en el Distrito de Cartagena.</t>
  </si>
  <si>
    <t>Acciones afirmativas de reconocimiento a defensores de DDHH,  líderes y lideresas sociales</t>
  </si>
  <si>
    <t>Centro de Atención al migrante dotado y funcionando  en el Distrito</t>
  </si>
  <si>
    <t>Crear y dotar con un Centro de Atención al migrante en el Distrito de Cartagena con apoyo de la cooperación internacional.</t>
  </si>
  <si>
    <t>Porcentaje de personas con medidas de prevención temprana y urgente adoptadas</t>
  </si>
  <si>
    <t>14% (5) personas   medidas adoptadas.</t>
  </si>
  <si>
    <t>Mesa  técnica de refugiados,  migrantes y retornados reglamentada y sesionando en el Distrito de Cartagena</t>
  </si>
  <si>
    <t>Mesa  técnica de refugiados,  migrantes y retornados sesionando en el Distrito de Cartagena sin reglamentación.2019</t>
  </si>
  <si>
    <t>Reglamentar una mesa  técnica de refugiados,  migrantes y retornados en el Distrito de Cartagena.</t>
  </si>
  <si>
    <t>Porcentaje de funcionamiento del Consejo de Paz, Reconciliación, Convivencia y DDHH</t>
  </si>
  <si>
    <t>Consejo de Paz, Reconciliación, Convivencia y DDHH creado mediante Acuerdo 024 de 30 de Diciembre de 2019</t>
  </si>
  <si>
    <t>Equipo de Acción Inmediata (EAI) a nivel territorial para operativizar las rutas de prevención temprana, urgente y de protección en materia DDHH creado y funcionando en el Distrito</t>
  </si>
  <si>
    <t>Garantizar el funcionamiento de un Equipo de Acción Inmediata (EAI) a nivel territorial para operativizar las rutas de prevención temprana, urgente y de protección en materia DDHH  en el Distrito de Cartagena.</t>
  </si>
  <si>
    <t>Porcentaje de condiciones de prisionalización de Cárcel Distrital de Mujeres y cárcel de Ternera mejorado</t>
  </si>
  <si>
    <t>Consejo de Paz, Reconciliación, Convivencia y DDHH activo y sesionando en el Distrito de Cartagena</t>
  </si>
  <si>
    <t>Consejo de Paz, Reconciliación, Convivencia y DDHH creado mediante   Acuerdo 024 de 30 de Diciembre  2019</t>
  </si>
  <si>
    <t>Garantizar la operación del Consejo de Paz, Reconciliación, Convivencia y DDHH en el Distrito de Cartagena</t>
  </si>
  <si>
    <t>Crear comité intersectorial de libertad religiosa como espacio de interlocuccion con la administracion garantizando la participacion de todas las confesiones y entidades religiosas del Distrito</t>
  </si>
  <si>
    <t>1 Comité intersectorial de Libertad religiosa creado como espacio de interlocucion con la Administracion, garantizando la  participacion de todas las confesiones y entidades religiosas del Distrito</t>
  </si>
  <si>
    <t>Programa:   Sistema penitenciario y carcelario en el marco de los derechos humanos</t>
  </si>
  <si>
    <t>Numero de guardas para aumentar capacidad operativa de la  Cárcel Distrital de Mujeres</t>
  </si>
  <si>
    <t>25 guardias vinculados, pero 5 de ellos están prestando servicios de guardia en la cárcel masculina en virtud del convenio INPEC.</t>
  </si>
  <si>
    <t>Aumentar en 20 el número de guardias de seguridad en la Cárcel Distrital de Cartagena para el cuatrienio</t>
  </si>
  <si>
    <t>Establecimiento de reclusión Distrital funcionando en inmueble  del Distrito.</t>
  </si>
  <si>
    <t>1 inmueble en arriendo.</t>
  </si>
  <si>
    <t xml:space="preserve">Garantizar un inmueble propio para el funcionamiento de la  Cárcel Distrital de Mujeres </t>
  </si>
  <si>
    <t>Personas privadas de la libertad (PPL) vinculadas a programas psicosociales</t>
  </si>
  <si>
    <t>69  internas vinculadas a  programas psicosociales.</t>
  </si>
  <si>
    <t>Garantizar que 150 personas privadas de la libertad (PPL) en la Cárcel Distrital sean vinculadas a programas psicosociales</t>
  </si>
  <si>
    <t>Convenio INPEC  suscrito anualmente</t>
  </si>
  <si>
    <t>Ultimo Convenio INPEC suscrito en el año 2019</t>
  </si>
  <si>
    <t xml:space="preserve">Suscribir anualmente un convenio con el INPEC </t>
  </si>
  <si>
    <t>LÍNEA ESTRATÉGICA: ATENCIÓN Y REPARACIÓN A VICTIMAS PARA LA CONSTRUCCIÓN DE LA  PAZ TERRITORIAL</t>
  </si>
  <si>
    <t>Porcentaje de  población víctima del conflicto atendida en la modalidad de atención inmediata (interna y externa) diferencial con enfoque de género y étnico</t>
  </si>
  <si>
    <t>Programa: Atención, asistencia y reparación integral a las víctimas</t>
  </si>
  <si>
    <t>Numero de Albergues de atención inmediata (interna y externa) funcionando en el Distrito</t>
  </si>
  <si>
    <t>Un albergue  de Atención Humanitaria en 2019.</t>
  </si>
  <si>
    <t>Garantizar  el funcionamiento de 2 albergues  de atención inmediata (interna y externa) anualmente.</t>
  </si>
  <si>
    <t>Porcentaje de niños y niñas y adolescentes víctima del conflicto armado</t>
  </si>
  <si>
    <t xml:space="preserve">Número de acciones afirmativas de reconocimiento  de memoria histórica realizadas </t>
  </si>
  <si>
    <t>2 acciones afirmativas  realizadas en 2019.</t>
  </si>
  <si>
    <t>Realizar 8 acciones afirmativas de reconocimiento  de memoria histórica en el cuatrienio.</t>
  </si>
  <si>
    <t>Medidas de Satisfacción a Población Victima en el Distrito.</t>
  </si>
  <si>
    <t>Número de representantes de  organizaciones de víctimas asistidas técnicamente</t>
  </si>
  <si>
    <t>22 representantes de las organizaciones victima  recibieron incentivos técnicos y logísticos en 2019</t>
  </si>
  <si>
    <t xml:space="preserve">Garantizar que anualmente  los 24 representantes de las organizaciones de víctimas en el Distrito reciban incentivos técnicos y logísticos para su participación. </t>
  </si>
  <si>
    <t>Numero de Planes de Acción Territorial- PAT aprobados.</t>
  </si>
  <si>
    <t>PAT 201-2019 aprobado mediante decreto 1755 de 2016.</t>
  </si>
  <si>
    <t>Adoptar un Plan de Acción Territorial- PAT para el cuatrienio 2020-2023</t>
  </si>
  <si>
    <t>Porcentaje de atención a  los integrantes de la mesa Distrital de Victimas.</t>
  </si>
  <si>
    <t>Mesa Distrital de Victimas integrada por 24 lideres</t>
  </si>
  <si>
    <t>Número de personas víctimas del conflicto que atención psicosocial</t>
  </si>
  <si>
    <t>736 atendidas psicosocialmente solo en 2019</t>
  </si>
  <si>
    <t>Garantizar que 3665 personas víctimas del conflicto accedan  a procesos de atención psicosocial en el cuatrienio.</t>
  </si>
  <si>
    <t>Porcentaje de Personas víctimas del conflicto que accede a procesos de atención sicosocial</t>
  </si>
  <si>
    <t>9% (7335 fueron atendidas psicosocialmente en el cuatrienio 2016-2019)
Fuente: RUV-Secretaría del Interior</t>
  </si>
  <si>
    <t>Programa: Construcción de paz territorial</t>
  </si>
  <si>
    <t>Numero de encuentros Convivencia y reconciliación en las Localidades realizados</t>
  </si>
  <si>
    <t>Realizar 3 encuentros anualmente para Fomentar la Convivencia y la reconciliación en las Localidades</t>
  </si>
  <si>
    <t>Número de Informe y recomendaciones de la Comisión de la Verdad adoptados</t>
  </si>
  <si>
    <t>Adoptar el informe y las recomendaciones de la comisión de la verdad para Cartagena</t>
  </si>
  <si>
    <t>Numero de divulgaciones y socializaciones del Acuerdo de Paz  en las Unidades Comuneras de Gobierno urbanas y Rurales realizada</t>
  </si>
  <si>
    <t>Divulgar y socializar  los Acuerdos de Paz en las Unidades Comuneras de Gobierno Urbanas y Rurales</t>
  </si>
  <si>
    <t>LÍNEA ESTRATÉGICA: CULTURA CIUDADANA PARA LA DEMOCRACIA Y LA PAZ</t>
  </si>
  <si>
    <t>Plan Decenal de Cultura Ciudadana y Cartageneidad formulado e implementado.</t>
  </si>
  <si>
    <t xml:space="preserve">0
Fuente: Escuela de Gobierno y liderazgo </t>
  </si>
  <si>
    <t>Programa: Servidor y servidora pública al servicio de la ciudadanía</t>
  </si>
  <si>
    <t xml:space="preserve">Número de Funcionarios y servidores  públicos Formados y Capacitados. </t>
  </si>
  <si>
    <t>738
Fuente: Escuela de Gobierno y Liderazgo 2019</t>
  </si>
  <si>
    <t xml:space="preserve">Capacitar a 1.054  los funcionarios y servidores públicos de la Administración Distrital. </t>
  </si>
  <si>
    <t>Programa: Ciudadanía libre, incluyente y transformadora</t>
  </si>
  <si>
    <t xml:space="preserve">Numero de organizaciones de la sociedad civil y comunales que inciden y hacen control a las decisiones del gobierno distrital y de las alcaldías locales. </t>
  </si>
  <si>
    <t xml:space="preserve">128  Organizaciones comunales y sociales participan,  inciden y hacen control a las decisiones de la administración Distrital.  </t>
  </si>
  <si>
    <t>Programa: Cartagena te quiere, quiere a Cartagena: plan decenal de cultura ciudadana y Cartageneidad.</t>
  </si>
  <si>
    <t>Formular e implementar  un Plan de Cultura Ciudadana y Cartageneidad.</t>
  </si>
  <si>
    <t>Programa: Yo soy Cartagena</t>
  </si>
  <si>
    <t>Numero de Cartageneros y Cartageneras se sienten Orgullosos de su Ciudad</t>
  </si>
  <si>
    <t>52%. De los Cartgeneros se sienten Orgullosos de su Ciudad.
Fuente Cartagena Como Vamos. 2018</t>
  </si>
  <si>
    <t>Lograr que 822.899 (80%) de las y los Cartageneros se sientan orgullosos de su Ciudad</t>
  </si>
  <si>
    <t>Programa: Nuestra Cartagena soñada.</t>
  </si>
  <si>
    <t>Número de ciudadanas y ciudadanos participantes en la construccion del plan estrategico prospectivo para  cartagena 2040</t>
  </si>
  <si>
    <t>Alcanzar la participacion de 102.837 ciudadanas y ciudadanos (10%) de la poblacion Cartagenera en la construccion de un plan estrategico prospectivo</t>
  </si>
  <si>
    <t>Programa Conéctate Con Cartagena</t>
  </si>
  <si>
    <t>Porcentaje de implementación de la Escuela Virtual y aplicativo aplicación Cartagena Reporta.</t>
  </si>
  <si>
    <t>Implementar las etapas de diseño, montaje y funcionamiento de la Escuela Virtual</t>
  </si>
  <si>
    <t xml:space="preserve">LÍNEA ESTRATÉGICA: PARTICIPACIÓN Y DESCENTRALIZACIÓN </t>
  </si>
  <si>
    <t>% Organizaciones Comunales  administrativamente competente</t>
  </si>
  <si>
    <t>Organizaciones Comunales Activas y en Funcionamiento
Fuente: Secretaría de Participación y Desarrollo Social
2019</t>
  </si>
  <si>
    <t>Programa: Participando salvamos a Cartagena</t>
  </si>
  <si>
    <t>Numero de  Organizaciones Comunales  administrativamente competente</t>
  </si>
  <si>
    <t>427 Organizaciones Comunales Activas y en Funcionamiento
Fuente: Secretaría de Participación y Desarrollo Social-2019</t>
  </si>
  <si>
    <t>427 Organizaciones Comunales capacitadas, controladas, inspeccionadas y vigiladas</t>
  </si>
  <si>
    <t>299 Organizaciones Comunales con Dignatarios capacitados</t>
  </si>
  <si>
    <t xml:space="preserve">256 Organizaciones comunales dotadas </t>
  </si>
  <si>
    <t xml:space="preserve">171 Organizaciones Comunales intervenidas con emprendimiento comunal, proyectos productivos y sociales </t>
  </si>
  <si>
    <t>8% de  Dignatarios y líderes  comunales amenazados</t>
  </si>
  <si>
    <t>36 Dignatarios y líderes  comunales amenazados
Fuente: Secretaría de Participación y Desarrollo Social-2019</t>
  </si>
  <si>
    <t>36 Dignatarios y líderes comunales con garantías para el ejercicio de sus derechos</t>
  </si>
  <si>
    <t>0
Fuente: Secretaría de Participación y Desarrollo Social-2019</t>
  </si>
  <si>
    <t>Una (1) Plataforma Comunal construida</t>
  </si>
  <si>
    <t xml:space="preserve">Una (1) Política Pública Comunal del Distrito de Cartagena construida e implementada </t>
  </si>
  <si>
    <t>% Ciudadanos que participan en los procesos de construcción de lo público y ciudadanía activa</t>
  </si>
  <si>
    <t>Número de  Ciudadanos que participan en los procesos de construcción de lo público y ciudadanía activa.</t>
  </si>
  <si>
    <t>820.588 Ciudadanos mayores de 14 años que participan en los procesos de construcción de lo público y ciudadanía activa.</t>
  </si>
  <si>
    <t xml:space="preserve">82.059 Ciudadanos que participan en los procesos de construcción de lo público y ciudadanía activa. </t>
  </si>
  <si>
    <t>0.</t>
  </si>
  <si>
    <t>Un (1) Consejo Distrital de Participación Ciudadana conformado y en funcionamiento.</t>
  </si>
  <si>
    <t>Una (1) Política Pública de Participación Ciudadana construida e implementada</t>
  </si>
  <si>
    <t xml:space="preserve">Porcentaje Sistema Distrital de planeación modernizado </t>
  </si>
  <si>
    <t>33%
Fuente: Secretaria de Planeación Distrital</t>
  </si>
  <si>
    <t xml:space="preserve">Programa: Modernización del Sistema Distrital de Planeación y Descentralización  </t>
  </si>
  <si>
    <t>Numero de planes estratégicos de gestión para el desarrollo Formulados</t>
  </si>
  <si>
    <t>5
Fuente: Secretaría de Planeación Distrital-2019</t>
  </si>
  <si>
    <t>Formular 5 nuevos Planes Estratégicos de Gestión para el Desarrollo comunitarios</t>
  </si>
  <si>
    <t>Procesos de Seguimientos físicos y financieros  a instrumentos de planificación realizados</t>
  </si>
  <si>
    <t xml:space="preserve">Planes de Desarrollo: 2 anual
Planes Indicativos: 1 anual
Planes de Acción: 4 anual
Políticas Publicas: 8 anual
Planes de Desarrollo Local: 6 anuales
Fuente: Secretaría de Planeación Distrital-2019 </t>
  </si>
  <si>
    <t xml:space="preserve">Realizar 21 procesos de seguimiento físico y financiero anual a  las metas del plan de desarrollo, planes indicativos y de Acción,   y  planes de Desarrollo Locales </t>
  </si>
  <si>
    <t>Planes de Desarrollo Locales, de Gestión y Políticas públicas formulados</t>
  </si>
  <si>
    <t>Formulados:</t>
  </si>
  <si>
    <r>
      <rPr>
        <sz val="6"/>
        <color theme="1"/>
        <rFont val="Arial"/>
        <family val="2"/>
      </rPr>
      <t>Formular:</t>
    </r>
    <r>
      <rPr>
        <sz val="6"/>
        <color theme="1"/>
        <rFont val="Calibri"/>
        <family val="2"/>
      </rPr>
      <t xml:space="preserve"> (1) </t>
    </r>
    <r>
      <rPr>
        <sz val="6"/>
        <color theme="1"/>
        <rFont val="Arial"/>
        <family val="2"/>
      </rPr>
      <t>Plan de Desarrollo Distrital</t>
    </r>
  </si>
  <si>
    <t>Planes de Desarrollo Distrital(8),</t>
  </si>
  <si>
    <t xml:space="preserve"> 3 Planes de Desarrollo Locales,</t>
  </si>
  <si>
    <t>Planes de Desarrollo Locales(12),</t>
  </si>
  <si>
    <t>(7) Políticas Publicas,</t>
  </si>
  <si>
    <t>Políticas Publicas Formuladas(10),</t>
  </si>
  <si>
    <t>(5) Planes de Gestión para el Desarrollo Comunitario</t>
  </si>
  <si>
    <t>Índice de calificación del sistema General de regalías mejorado</t>
  </si>
  <si>
    <t>Estado Critico
Fuente: DNP-2019</t>
  </si>
  <si>
    <t>Mejorar la calificación del Índice del sistema General de Regalías (Sobresaliente)</t>
  </si>
  <si>
    <t>Bancos de programas y proyectos en las localidades asesorados</t>
  </si>
  <si>
    <t>3 Bancos de Programas y Proyectos creados
Fuente: Secretaria de Planeación Distrital</t>
  </si>
  <si>
    <t>Asesorar los 3  Bancos de Programas y Proyectos en las Localidades para formular proyectos con metodología MGA WEB</t>
  </si>
  <si>
    <t xml:space="preserve">Numero de Consejos Locales de Planeación, Consejo Territorial de Planeación, Consejo Consultivo de Ordenamiento Territorial dotados de capacidades y logística </t>
  </si>
  <si>
    <t xml:space="preserve">  Consejos Locales de Planeación (3), Consejo Territorial de Planeación (1), Consejo Consultivo de Ordenamiento Territorial (1).
Fuente: Secretaría de Planeación Distrital - 2019</t>
  </si>
  <si>
    <t>Dotar de capacidades y logística los  Consejos Locales de Planeación, Consejo Territorial de Planeación, Consejo Consultivo de Ordenamiento Territorial para formular proyectos con metodología de formulación MGA WEB</t>
  </si>
  <si>
    <t xml:space="preserve">Programa: Políticas Públicas intersectoriales y con visión Integral de enfoques basados en derechos humanos </t>
  </si>
  <si>
    <t xml:space="preserve">No. de Políticas Públicas formuladas bajo la metodología CONPES </t>
  </si>
  <si>
    <t xml:space="preserve">5 políticas públicas formuladas bajo la metodología CONPES </t>
  </si>
  <si>
    <t xml:space="preserve">No. de Planes de Acción formulados bajo la metodología CONPES  </t>
  </si>
  <si>
    <t>5 planes de acción de las políticas públicas formuladas bajo la metodología CONPES</t>
  </si>
  <si>
    <t>Porcentaje de ejecución de los proyectos de presupuesto participativo  priorizados por la comunidad.</t>
  </si>
  <si>
    <t>Programa:   Presupuesto participativo</t>
  </si>
  <si>
    <t>Numero de priorizaciones de proyectos de presupuesto realizadas.</t>
  </si>
  <si>
    <t>Ultima priorización realizada en 2009.
Fuente: Secretaria del Interior y Convivencia Ciudadana</t>
  </si>
  <si>
    <t>Realizar una priorización de proyectos de presupuesto participativo en cada una de las  UCG urbanas y rurales en el Distrito de Cartagena.</t>
  </si>
  <si>
    <t>Número de proyectos por presupuesto participativo ejecutados.</t>
  </si>
  <si>
    <t>Ejecutar 30 proyectos priorizados por presupuesto participativo en el Distrito de Cartagena.</t>
  </si>
  <si>
    <t>LÍNEA ESTRATÉGICA: FINANZAS PÚBLICAS PARA SALVAR A CARTAGENA</t>
  </si>
  <si>
    <t>%IPU – Vigencia Actual</t>
  </si>
  <si>
    <t>8%
Fuente: Secretaría de Hacienda 2019</t>
  </si>
  <si>
    <t>Programa: Finanzas sostenibles para salvar a Cartagena</t>
  </si>
  <si>
    <t xml:space="preserve">Recaudo de  Impuesto Predial  en un monto de         $1.047.261.338.899  </t>
  </si>
  <si>
    <t>$931.838.490.672
Fuente: Secretaría de Hacienda 2019</t>
  </si>
  <si>
    <t>Recaudar $1.047.261.338.899 por concepto de IPU</t>
  </si>
  <si>
    <t>%IPU – Vigencias Anteriores</t>
  </si>
  <si>
    <t xml:space="preserve">Recaudo de  Impuesto de Industria y comercio  en un monto de         $1.189.376.917.533 por concepto de </t>
  </si>
  <si>
    <t>$1.052.980.949.605
Fuente: Secretaría de Hacienda 2019</t>
  </si>
  <si>
    <t xml:space="preserve">Recaudar $1.189.376.917.533 por concepto de ICA </t>
  </si>
  <si>
    <t>%ICA – Vigencia Actual</t>
  </si>
  <si>
    <t>7%
Fuente: Secretaría de Hacienda 2019</t>
  </si>
  <si>
    <t xml:space="preserve">Recaudo del  Impuesto de Delineación Urbana  en un monto de         $14.454.734.972 </t>
  </si>
  <si>
    <t xml:space="preserve">Recaudar $14.454.734.972 por concepto de Delineación Urbana </t>
  </si>
  <si>
    <t>%ICA – Vigencias anteriores</t>
  </si>
  <si>
    <t xml:space="preserve">Recaudo del  Impuesto de Sobretasa a la gasolina en un monto de         $176.659.841.306 </t>
  </si>
  <si>
    <t>Recaudar $176.659.841.306 por concepto de Sobretasa a la gasolina</t>
  </si>
  <si>
    <t>%Sobretasa a la gasolina</t>
  </si>
  <si>
    <t>Software Tecnológico implementado</t>
  </si>
  <si>
    <t>Implementar (1) software para la modernización tecnológica de la secretaría de Hacienda</t>
  </si>
  <si>
    <t xml:space="preserve">Número de Estrategias implementadas </t>
  </si>
  <si>
    <t>Implementar  (3) estrategias de impacto que propendan por fortalecer las acciones de recaudo de los  tributos para incrementar los ingresos.</t>
  </si>
  <si>
    <t>% del Déficit presupuestal disminuido</t>
  </si>
  <si>
    <t>Programa: Saneamiento fiscal y financiero</t>
  </si>
  <si>
    <t xml:space="preserve">Valor de $396.000.000.000 para cubrimiento en el cuatrienio de obligaciones del Plan de Saneamiento Fiscal y Financiero del Distrito de Cartagena de Indias </t>
  </si>
  <si>
    <t>$54.000.000.000
Fuente: Secretaría de Hacienda 2019</t>
  </si>
  <si>
    <t>Valor de $396.000.000.000 para cubrimiento en el cuatrienio de obligaciones del Plan de Saneamiento Fiscal y Financiero del Distrito de Cartagena de Indias</t>
  </si>
  <si>
    <t xml:space="preserve">    $ 37.086.083.903                                           $ 25.079.470.195.25</t>
  </si>
  <si>
    <t>LINEA ESTRATEGICA PARA LA EQUIDAD E INCLUSIÓN DE LOS NEGROS, AFROS, PALENQUEROS E INDIGENA.</t>
  </si>
  <si>
    <t>Porcentaje de la población Afro, Negra, raizal, palenquera e Indígena que habita el Distrito de Cartagena con  reconocimiento de sus derechos, diversidad étnica y cultural como un principio fundamental del Estado Social y Democrático de Derecho.</t>
  </si>
  <si>
    <t xml:space="preserve">Fortalecimiento de Población Negra, Afrocolombiana, Raizal y Palenquera en el Distrito de Cartagena </t>
  </si>
  <si>
    <t>Planes Administrativos de Territorio</t>
  </si>
  <si>
    <t>7 de 33 Consejos comunitarios tienen reglamentos internos
Fuente: Secretaría del Interior y Convivencia Ciudadana.  2019</t>
  </si>
  <si>
    <t xml:space="preserve">Elaborar 26 Planes Administrativos de Territorio  </t>
  </si>
  <si>
    <t>Número de funcionarios de la alcaldía distrital formados en enfoque étnico</t>
  </si>
  <si>
    <t>Formar 100 funcionarios de la alcaldía distrital en enfoque étnico</t>
  </si>
  <si>
    <t>Fortalecimiento e Inclusión Productiva para Población Negra, Afrocolombiana, Raizal y Palenquera en el Distrito de Cartagena.</t>
  </si>
  <si>
    <t>Número de proyectos desarrollados para la generación de ingresos en los consejos comunitarios.</t>
  </si>
  <si>
    <t>33 proyectos de generación de ingresos desarrollados en consejos comunitarios</t>
  </si>
  <si>
    <t>Dotación de materiales a organizaciones pesqueras pertenecientes a grupos étnicos</t>
  </si>
  <si>
    <t>15 organizaciones de pescadores pertenecientes a grupos étnicos dotadas de materiales.</t>
  </si>
  <si>
    <t>1,,5</t>
  </si>
  <si>
    <t>Programa: Inclusión Educativa para el Desarrollo para Población Negra, Afrocolombiana, Raizal y Palenquera en el Distrito de Cartagena.</t>
  </si>
  <si>
    <t>Número de becas para programas de pregrado  para grupos étnicos</t>
  </si>
  <si>
    <t>Becar a  24 miembro de grupos (Afro, negros, raizales y palenqueros) egresados de Instituciones Educativas Oficiales  en programas de pregrado</t>
  </si>
  <si>
    <t>Programa: Promoción, Prevención y Atención En Salud para población Negra, Afrocolombiana, Raizal y Palenquera en el Distrito De Cartagena.</t>
  </si>
  <si>
    <t>Ruta y Modelo de atención en salud diferenciada con enfoque diferencial étnico diseñada e implementada.</t>
  </si>
  <si>
    <t>Diseño e Implementación de 1 Modelo y Ruta de atención en salud diferenciadas con enfoque diferencial étnico (Salud materno infantil, mental  sexual y reproductiva,  atención de personas con discapacidad, entre otros)</t>
  </si>
  <si>
    <t>Adecuación de centros de salud comunidades étnicas</t>
  </si>
  <si>
    <t>Adecuación de 26 centros de salud en territorios de consejos comunitarios.</t>
  </si>
  <si>
    <t>Programa: Sostenibilidad Ambiental y Fomento Tradicional</t>
  </si>
  <si>
    <t>Territorios de grupos étnicos arborizados</t>
  </si>
  <si>
    <t>18 Territorios de grupos étnicos arborizados</t>
  </si>
  <si>
    <t>Grupos étnicos con guardia ambiental creadas</t>
  </si>
  <si>
    <t>8 Grupos étnicos con guardia ambiental creadas</t>
  </si>
  <si>
    <t>Programa: Sostenibilidad Cultural como Garantía de Permanencia.</t>
  </si>
  <si>
    <t>Realización de festival de la memoria oral</t>
  </si>
  <si>
    <t>Realización de 3 festivales de memoria oral</t>
  </si>
  <si>
    <t>Apoyo a grupos culturales</t>
  </si>
  <si>
    <t>12 grupos culturales apoyados</t>
  </si>
  <si>
    <t>Programa: Fortalecimiento de la Población Indígena en el Distrito de Cartagena.</t>
  </si>
  <si>
    <t xml:space="preserve">Número de Cabildos indígenas asentados en el Distrito con Planes de Vida </t>
  </si>
  <si>
    <t>1
Fuente: Secretaría del Interior y Convivencia Ciudadana.  2019</t>
  </si>
  <si>
    <t>Aumentar a 6 el Número  de Cabildos indígenas asentados en el Distrito con Planes de Vida</t>
  </si>
  <si>
    <t>Encuentros  de autoridades tradicionales indígenas de la región Caribe realizados en  el Distrito de Cartagena</t>
  </si>
  <si>
    <t>Realizar 4 Encuentros  de autoridades tradicionales indígenas de la región Caribe realizados en el Distrito de Cartagena</t>
  </si>
  <si>
    <t>Centro de Estudio de Pensamiento Mayor Indígenas Intercultural.</t>
  </si>
  <si>
    <t>Diseñar el Centro de Estudio de Pensamiento  Mayor Indígenas Intercultural.</t>
  </si>
  <si>
    <t>Número de proyectos diseñados para la generación de ingresos en la población indígena  a través de proyectos productivos.</t>
  </si>
  <si>
    <t>Desarrollar 2 proyectos diseñados para la generación de ingresos en la población indígena a través de proyectos productivos, el fortalecimiento de la seguridad alimentaria, la gestión ambiental y el uso sostenible de la biodiversidad y la sostenibilidad económica.</t>
  </si>
  <si>
    <t>Modelo de atención integral étnico para los niños, las niñas, los adolescentes y las familias de comunidades indígenas.</t>
  </si>
  <si>
    <t>Implementación de un Modelo de atención integral de Salud étnico para los niños, las niñas, los adolescentes, jóvenes y las familias de comunidades indígenas.</t>
  </si>
  <si>
    <t>Programa: Educación con Enfoque Diferencial Indígena SISTEMA EDUCATIVO INDIGENA PROPIO - SEIP</t>
  </si>
  <si>
    <t>Sistema Educativo Propio creado e implementado</t>
  </si>
  <si>
    <t>Crear e Implementar  1 sistema educativo propio</t>
  </si>
  <si>
    <t>Indígenas con becas para Educación Superior</t>
  </si>
  <si>
    <t>Becar a  36 indígenas egresados de Instituciones Educativas Oficiales  en educación superior,  tecnóloga y técnica</t>
  </si>
  <si>
    <t>Programa: Intercultural de Salud Propia Preventiva Indígena- SISPI</t>
  </si>
  <si>
    <t>Sistema Intercultural de Salud Propia Indígena, Salud Preventiva- SISPI</t>
  </si>
  <si>
    <t>Crear e Implementar 1 Sistema Intercultural de Salud Propia Indígena, Salud Preventiva</t>
  </si>
  <si>
    <t>Programa: Integridad Cultural, Gobierno Propio, Vivienda y Hábitat para las Comunidades Indígenas en el Distrito Cartagena</t>
  </si>
  <si>
    <t>Jurisdicción especial Indígena JEI aplicada</t>
  </si>
  <si>
    <t>1 Jurisdicción especial Indígena JEI aplicada</t>
  </si>
  <si>
    <t>Familias Indígenas Atendidas con Programa De Vivienda</t>
  </si>
  <si>
    <t xml:space="preserve">60 familias indígenas atendidas en programas de vivienda </t>
  </si>
  <si>
    <t>Población Indígena aplicando la recuperación de las prácticas ancestrales</t>
  </si>
  <si>
    <t>1 cabildo indígenas del distrito, aplicando la recuperación de las prácticas ancestrales</t>
  </si>
  <si>
    <t>Programa: Empoderamiento del Liderazgo de las Mujeres, Niñez, Jóvenes, Familia y Generación Indígena</t>
  </si>
  <si>
    <t>Mujeres Indígenas Empoderadas, Formadas en Generación de Ingresos</t>
  </si>
  <si>
    <t>240 mujeres indígenas empoderadas, formadas en generación de ingresos</t>
  </si>
  <si>
    <t xml:space="preserve">Jóvenes y mujeres indígenas microempresarios, desarrollando actividad comercial </t>
  </si>
  <si>
    <t>120 jóvenes y mujeres microempresarios, desarrollando actividad comercial</t>
  </si>
  <si>
    <t>Niños y Niñas Indígena Con Asistencia Integral</t>
  </si>
  <si>
    <t>220 niños y niñas indígena con asistencia integral</t>
  </si>
  <si>
    <t>Mujeres indígenas fortalecidas en la producción propia</t>
  </si>
  <si>
    <t>48 mujeres indígenas fortalecidas en la producción propia</t>
  </si>
  <si>
    <t>LINEA ESTRATEGICA MUJERES CARTAGENERAS POR SUS DERECHOS.</t>
  </si>
  <si>
    <t xml:space="preserve">Porcentaje de mujeres participando en procesos productivos, políticos, sociales y participativos sobre el total de la población de género femenino del Distrito de Cartagena de Indias. </t>
  </si>
  <si>
    <t>Programa: Las Mujeres Decidimos Sobre el Ejercicio del Poder</t>
  </si>
  <si>
    <t>Número de mujeres formadas en liderazgo femenino. social, comunitario y político con enfoque diferencial y pertinencia cultural,</t>
  </si>
  <si>
    <t>400
Fuente: Plan de acción 2016-2019 Grupo Asuntos para la Mujer. 2019.</t>
  </si>
  <si>
    <t>1000 mujeres formadas en liderazgo femenino. social, comunitario y político con enfoque diferencial y pertinencia cultural</t>
  </si>
  <si>
    <t xml:space="preserve">Organizaciones sociales de mujeres con enfoque diferencial fortalecidas en acciones para el reconocimiento y apoyo de las diferentes formas organizativas. </t>
  </si>
  <si>
    <t>10 Organizaciones sociales de mujeres con enfoque diferencial fortalecidas en acciones para el reconocimiento y apoyo.</t>
  </si>
  <si>
    <t>Política Pública Reformulada y actualizada con línea base y documento final</t>
  </si>
  <si>
    <t>1
Fuente: Plan de acción 2016-2019 Grupo Asuntos para la Mujer. 2019.</t>
  </si>
  <si>
    <t xml:space="preserve">1 Política Pública Reformulada y actualizada </t>
  </si>
  <si>
    <t>Instancia rectora de la Política Pública de Mujeres incluida en el proceso de modernización.</t>
  </si>
  <si>
    <t>1 Instancia rectora de la Política Pública de Mujeres incluida en el proceso de modernización.</t>
  </si>
  <si>
    <t>Programa: Una Vida Libre de Violencias para las Mujeres</t>
  </si>
  <si>
    <t>Número de personas que participan en acciones para prevenir y eliminar la violencia contra la mujer</t>
  </si>
  <si>
    <t>2500
Fuente: Plan de acción 2016-2019 Grupo Asuntos para la Mujer. 2019.</t>
  </si>
  <si>
    <t>4.900 personas que participan en acciones para prevenir y eliminar la violencia contra la mujer</t>
  </si>
  <si>
    <t>Número de Acciones de prevención de las diferentes formas de violencia basada en género y contra la discriminación y xenofobia hacia niñas y mujeres provenientes de Venezuela.</t>
  </si>
  <si>
    <t>165
Fuente: Plan de acción 2016-2019 Grupo Asuntos para la Mujer. 2019.</t>
  </si>
  <si>
    <t>175 Acciones de prevención de las diferentes formas de violencia basados en género y contra la discriminación y xenofobia hacia niñas y mujeres provenientes de Venezuela</t>
  </si>
  <si>
    <t>Número de acciones estratégicas  de cumplimiento al comité unificado de lucha contra el delito de la trata de personas.</t>
  </si>
  <si>
    <t>4
Fuente: Plan de acción 2016-2019 Grupo Asuntos para la Mujer. 2019.</t>
  </si>
  <si>
    <t>14 acciones estratégicas  de cumplimiento al comité unificado de lucha contra el delito de la trata de personas.</t>
  </si>
  <si>
    <t xml:space="preserve">Número de mujeres víctimas de violencia de pareja, violencia sexual y trata de personas atendidas </t>
  </si>
  <si>
    <t>413
Fuente: Plan de acción 2016-2019 Grupo Asuntos para la Mujer. 2019.</t>
  </si>
  <si>
    <t>700  mujeres víctimas de violencia de pareja, violencia sexual y trata de personas atendidas</t>
  </si>
  <si>
    <t>Programa: Mujer, Constructoras De Paz</t>
  </si>
  <si>
    <t>Formulación del Plan de Acción Estratégico (A/49/587) para el cumplimiento de la Resolución 1325 del 31 de octubre del año 2000.</t>
  </si>
  <si>
    <t>Formular 1 Plan de Acción Estratégico (A/49/587) para el cumplimiento de la Resolución 1325 del 31 de octubre del año 2000</t>
  </si>
  <si>
    <t>Programa: Cartagena Libre de una Cultura Machista</t>
  </si>
  <si>
    <t>Instituciones Educativas del Distrito desarrollando la estrategia Escuelas Libres de Sexismo</t>
  </si>
  <si>
    <t>45
Fuente: Plan de acción 2016-2019 Grupo Asuntos para la Mujer. 2019</t>
  </si>
  <si>
    <t>55  Instituciones Educativas del Distrito desarrollando la estrategia Escuelas Libres de Sexismo</t>
  </si>
  <si>
    <t>Número de campañas desarrolladas para el cuidado, y transformación de los estereotipos</t>
  </si>
  <si>
    <t>Desarrollar 4 campañas para el cuidado, y transformación de los estereotipos</t>
  </si>
  <si>
    <t>LINEA ESTRATEGICA: INCLUSION Y OPORTUNIDAD PARA NIÑOS, NIÑAS Y ADOLESCENTES Y FAMILIAS.</t>
  </si>
  <si>
    <t>Porcentaje de Padres, madres y/o cuidadores que participan en acciones formativas que promuevan el desarrollo de entornos protectores de niños y niñas de 0 a 5 años del total del Distrito.</t>
  </si>
  <si>
    <t>10%
Fuente: Secretaría de Participación y Desarrollo Social – Oficina de Niñez, Infancia y Adolescencia. 2019.</t>
  </si>
  <si>
    <t>Programa: Comprometidos con la Salvación de Nuestra Primera Infancia</t>
  </si>
  <si>
    <t>Porcentaje de niños, niñas y adolescentes en situación de alto riesgo social vinculados a acciones de prevención que favorecen el desarrollo de factores autoprotectores y mitigan la discriminación y la violencia de género.</t>
  </si>
  <si>
    <t>15%
Fuente: Secretaría de Participación y Desarrollo Social – Oficina de Niñez, Infancia y Adolescencia. 2019.</t>
  </si>
  <si>
    <t>Mantener el porcentaje de los 15% niños, niñas y adolescentes en situación de alto riesgo social vinculados a acciones de prevención que favorecen el desarrollo de factores autoprotectores y mitigan la discriminación y la violencia de género.</t>
  </si>
  <si>
    <t>Porcentaje de Familias que participan en acciones de prevención de riesgos sociales que afectan a los niños, niñas y adolescentes para el fortalecimiento de vínculos afectivos y entornos protectores y la mitigación de la discriminación y la violencia de género.</t>
  </si>
  <si>
    <t>2%
Fuente: Secretaría de Participación y Desarrollo Social – Oficina de Niñez, Infancia y Adolescencia. 2019.</t>
  </si>
  <si>
    <t xml:space="preserve">Número de padres, madres de niños y niñas de 0 a 5 años del total del Distrito y cuidadores formados y participando en acciones que promuevan el desarrollo de entornos protectores </t>
  </si>
  <si>
    <t>12.187
Fuente: Secretaría de Participación y Desarrollo Social – Oficina de Niñez, Infancia y Adolescencia. 2019.</t>
  </si>
  <si>
    <t>14.000 padres, madres de niños y niñas de 0 a 5 años del total del Distrito y cuidadores formados y participando en acciones que promuevan el desarrollo de entornos protectores.</t>
  </si>
  <si>
    <t xml:space="preserve">Porcentaje de cupos para la atención oportuna, inmediata y de calidad a niñas, niños y adolescentes con derechos amenazados, Inobservados y/o vulnerados a través de Hogar de paso. </t>
  </si>
  <si>
    <t>1,30%
Fuente: Secretaría de Participación y Desarrollo Social – Oficina de Niñez, Infancia y Adolescencia. 2019.</t>
  </si>
  <si>
    <t>Número de campañas de comunicación implementadas que promuevan la garantía de los derechos de la primera infancia.</t>
  </si>
  <si>
    <t>Una (1) campaña de comunicación implementada que promueve la garantía de los derechos de la primera infancia.</t>
  </si>
  <si>
    <t xml:space="preserve">Porcentaje de cupos para la atención especializada a niñas, niños y adolescentes con derechos amenazados, inobservados y/o vulnerados (en situación de explotación laboral y/o víctimas de violencia sexual u otro tipo de violencia). </t>
  </si>
  <si>
    <t>Programa Protección de la Infancia y la Adolescencia para la Prevención y atención de Violencias.</t>
  </si>
  <si>
    <t xml:space="preserve">Numero cupos habilitados para la atención transitoria e inmediata a través de Hogar de Paso para niñas, niños y adolescentes con derechos amenazados, Inobservados y/o vulnerados. </t>
  </si>
  <si>
    <t>700 cupos habilitados para la atención de niñas, niños y adolescentes con derechos amenazados, Inobservados y/o vulnerados atendidos de forma transitoria e inmediata a través de Hogar de Paso.</t>
  </si>
  <si>
    <t>Porcentaje de niños, niñas y adolescentes que disfrutan del ejercicio del derecho al juego, desde las ludotecas o de actividades lúdicas extramurales o virtuales y/o ejercen el derecho de la participación en los espacios dispuestos en el territorio</t>
  </si>
  <si>
    <t>15%
Fuente: Secretaría de Participación y Desarrollo Social – Oficina de Niñez, Infancia y Adolescencia. 2019</t>
  </si>
  <si>
    <t xml:space="preserve">Numero cupos habilitados para la atención especializada de niños, niñas y adolescentes con derechos amenazados, inobservados y/o vulnerados (en situación de explotación laboral y/o víctimas de violencia sexual u otro tipo de violencia). </t>
  </si>
  <si>
    <t>800 cupos habilitados para la atención especializada de niños, niñas y adolescentes con derechos amenazados, inobservados y/o vulnerados (en situación de explotación laboral y/o víctimas de violencia sexual u otro tipo de violencia).</t>
  </si>
  <si>
    <t>Número de niños, niños y adolescentes en situación de alto riesgo social vinculados a acciones de prevención que favorecen el desarrollo de factores autoprotectores y mitigan la discriminación y la violencia de género.</t>
  </si>
  <si>
    <t>23.000 niños, niñas y adolescentes en situación de alto riesgo social vinculados a acciones de prevención que favorecen el desarrollo de factores autoprotectores y mitigan la discriminación y la violencia de género.</t>
  </si>
  <si>
    <t xml:space="preserve">Número de rutas de atención a niños, niñas y adolescentes en Trabajo Infantil, atención a Niños, niñas y adolescentes víctimas de violencia sexual, atención a niños, niñas y adolescentes en mendicidad, atención a niños, niñas y adolescentes con alta permanencia en calle o en situación de calle, reformuladas. </t>
  </si>
  <si>
    <t>Mantener las cuatro (4) rutas de atención a niños, niñas y adolescentes en Trabajo Infantil, atención a Niños, niñas y adolescentes víctimas de violencia sexual, atención a niños, niñas y adolescentes en mendicidad, atención a niños, niñas y adolescentes con alta permanencia en calle o en situación de calle, reformuladas.</t>
  </si>
  <si>
    <t>Número de acciones afirmativas de promoción de la denuncia de situaciones de riesgo social como el trabajo infantil, la violencia sexual, el maltrato infantil desarrolladas.</t>
  </si>
  <si>
    <t>Mantener las cuatro (4) acciones afirmativas de promoción de la denuncia de situaciones de riesgo social como el trabajo infantil, la violencia sexual, el maltrato infantil desarrolladas.</t>
  </si>
  <si>
    <t>Programa los Niños, las Niñas y Adolescentes de Cartagena Participan y Disfrutan sus Derechos.</t>
  </si>
  <si>
    <t>Número de niños, niñas y adolescentes que participan y disfrutan de actividades lúdicas extramurales y del ejercicio del derecho al juego al interior de las ludotecas distritales.</t>
  </si>
  <si>
    <t>47.000 niños, niñas y adolescentes participan y disfrutan de actividades lúdicas extramurales y del ejercicio del derecho al juego al interior de las ludotecas distritales.</t>
  </si>
  <si>
    <t>Número de niños, niñas y adolescentes que participan de los consejos de infancia y adolescencia u otros escenarios de participación.</t>
  </si>
  <si>
    <t>1.600 niños, niñas y adolescentes que  participan de los consejos de infancia y adolescencia u otros escenarios de participación</t>
  </si>
  <si>
    <t xml:space="preserve">Política Pública de Infancia, Adolescencia y Fortalecimiento Familiar </t>
  </si>
  <si>
    <t xml:space="preserve">Una (1) Política Pública de Infancia, Adolescencia y Fortalecimiento Familiar implementada y en ejecución. </t>
  </si>
  <si>
    <t xml:space="preserve">Documento de Caracterización de la problemática de trabajo infantil en el Distrito </t>
  </si>
  <si>
    <t>Formular el primer año de la actual administración, un (1) documento de Caracterización de la problemática de trabajo infantil en el Distrito</t>
  </si>
  <si>
    <t>Programa Fortalecimiento Familiar.</t>
  </si>
  <si>
    <t>Número de Familias que participan en acciones de prevención de riesgos sociales que afectan a los niños, niñas y adolescentes.</t>
  </si>
  <si>
    <t>2624
Fuente: Secretaría de Participación y Desarrollo Social- Oficina de niñez, infancia y adolescencia 2019</t>
  </si>
  <si>
    <t xml:space="preserve">2.812 familias que participan en acciones de prevención de riesgos sociales que afectan a los niños, niñas y adolescentes </t>
  </si>
  <si>
    <t>Número de jornadas lúdicas intra y extramurales dirigidas al fortalecimiento de las familias con participación de adultos mayores.</t>
  </si>
  <si>
    <t>15
Fuente: Secretaría de Participación y Desarrollo Social- Oficina de niñez, infancia y adolescencia 2019</t>
  </si>
  <si>
    <t>20 jornadas lúdicas intra y extramurales dirigidas al fortalecimiento de las familias con participación de adultos mayores realizadas en el cuatrienio.</t>
  </si>
  <si>
    <t>Número de familias de niños, niñas y adolescentes con discapacidad atendida y orientada para atención integral.</t>
  </si>
  <si>
    <t>0
Fuente: Secretaría de Participación y Desarrollo Social- Oficina de niñez, infancia y adolescencia 2019</t>
  </si>
  <si>
    <t>200 familias de niños, niñas y adolescentes con discapacidad atendida y orientada para atención integral.</t>
  </si>
  <si>
    <t>Servicio de acompañamiento, social y asesoría legal a familias para la gestión de la atención a sus problemáticas funcionando.</t>
  </si>
  <si>
    <t>Creación de Un (1) servicio de asesoría legal a familias para la gestión de la atención a sus problemáticas funcionando.</t>
  </si>
  <si>
    <t>LINEA ESTRATEGICA JOVENES SALVANDO A CARTAGENA</t>
  </si>
  <si>
    <t>Porcentaje de Jóvenes que participan en instancias de participación ciudadana</t>
  </si>
  <si>
    <r>
      <rPr>
        <sz val="9"/>
        <color theme="1"/>
        <rFont val="Arial"/>
        <family val="2"/>
      </rPr>
      <t xml:space="preserve">4.5% </t>
    </r>
    <r>
      <rPr>
        <b/>
        <sz val="9"/>
        <color theme="1"/>
        <rFont val="Arial"/>
        <family val="2"/>
      </rPr>
      <t>(30.587) 
Fuente: SPDS, 31 de Diciembre de 2019.</t>
    </r>
  </si>
  <si>
    <t>Programa: Jóvenes Participando y Salvando a Cartagena</t>
  </si>
  <si>
    <t>Jóvenes que participan de los espacios de representación ciudadana y grupos juveniles.</t>
  </si>
  <si>
    <t>3277
Fuente: SPDS, 31 de Diciembre de 2019.</t>
  </si>
  <si>
    <t>9.000 Jóvenes que participan de los espacios de representación ciudadana y grupos juveniles.</t>
  </si>
  <si>
    <t>Porcentaje de jóvenes en condición de desempleo.</t>
  </si>
  <si>
    <t>17,5%
Fuente: DANE (Estadísticas por tema Mercado Laboral de la juventud, trimestre Octubre, Noviembre y Diciembre de 2018)</t>
  </si>
  <si>
    <t>Jóvenes participando de actividades de formación sociopolítica.</t>
  </si>
  <si>
    <t xml:space="preserve">6254
Fuente: SPDS, 31 de Diciembre de 2019.
</t>
  </si>
  <si>
    <t>10.000 jóvenes participan de actividades de formación sociopolítica.</t>
  </si>
  <si>
    <t>Jóvenes que participan en espacios de representación juvenil y ciudadana y procesos formativos de prevención de riesgos sociales.</t>
  </si>
  <si>
    <t>5700
Fuente: SPDS, 31 de Diciembre de 2019.</t>
  </si>
  <si>
    <t xml:space="preserve">10.000 los jóvenes que participan en espacios de participación juvenil (Concejo de Juventud, Plataforma, Asamblea) y ciudadana </t>
  </si>
  <si>
    <t>Jóvenes participando en espacios culturales, deportivos y de acciones de cultura de paz.</t>
  </si>
  <si>
    <t>14729
Fuente: SPDS, 31 de Diciembre de 2019.</t>
  </si>
  <si>
    <t xml:space="preserve">20.000 los jóvenes que participan en espacios culturales, deportivos y acciones de cultura de paz. </t>
  </si>
  <si>
    <t>Programa: Política Pública De Juventud</t>
  </si>
  <si>
    <t>Documento de Política Pública formulado y aprobado.</t>
  </si>
  <si>
    <t xml:space="preserve">Formular e implementar 1 política pública de Juventud </t>
  </si>
  <si>
    <t>LINEA ESTRATEGICA EN CARTAGENA SALVAMOS NUESTROS ADULTOS MAYORES.</t>
  </si>
  <si>
    <t>Porcentaje de  personas mayores atendidas en CDV y GO y familiares y/o cuidadores formados en derechos, autocuidado y hábitos de vida saludable atendidos o beneficiados por programas de Adulto Mayor del Distrito sobre el total de la población mayor a 65 años.</t>
  </si>
  <si>
    <t xml:space="preserve">32%
Fuente: Secretaría de Participación y Desarrollo Social </t>
  </si>
  <si>
    <t>Programa: Atención Integral Para Mantener a Salvo a los Adultos Mayores</t>
  </si>
  <si>
    <t>No. De personas mayores atendidas en Centros de Vida y Grupos Organizados</t>
  </si>
  <si>
    <t>8.400 personas mayores atendidas en Centros de Vida y Grupos Organizados
Fuente: Secretaría de Participación y Desarrollo Social</t>
  </si>
  <si>
    <t>9.000 personas mayores atendidas en Centros de Vida y Grupos Organizados</t>
  </si>
  <si>
    <t>No. de CDV adecuados</t>
  </si>
  <si>
    <t>30
Fuente: Secretaría de Participación y Desarrollo Social</t>
  </si>
  <si>
    <t xml:space="preserve">Adecuar 15 nuevos CDV del Distrito. (fortalecer la infraestructura de los CDV) </t>
  </si>
  <si>
    <t>No. De CDV reconstruidos</t>
  </si>
  <si>
    <t>Reconstruir 5 CDV del Distrito. (reparación de CDV en estado crítico)</t>
  </si>
  <si>
    <t>No. De familiares y/o cuidadores formados en derechos, autocuidado y hábitos de vida saludable.</t>
  </si>
  <si>
    <t>6.272 familiares y/o cuidadores formados en derechos, autocuidado y hábitos de vida saludable.
Fuente: Secretaría de Participación y Desarrollo Social</t>
  </si>
  <si>
    <t>10.000 familiares y/o cuidadores nuevas formados en derechos, autocuidado y hábitos de vida saludable.</t>
  </si>
  <si>
    <t>LÍNEA ESTRATÉGICA: TODOS POR LA PROTECCIÓN SOCIAL DE LAS PERSONAS CON DISCAPACIDAD: “RECONOCIDAS, EMPODERADAS Y RESPETADAS”.</t>
  </si>
  <si>
    <t>Tasa de cobertura en protección social a las personas con Discapacidad.</t>
  </si>
  <si>
    <t xml:space="preserve"> 25%
Fuente de Datos: Ministerio de Salud y protección social, cubo de Datos RCLPD, corte 21 de junio 2018.</t>
  </si>
  <si>
    <t>Programa: Gestión Social Integral y Articuladora por la Protección de las Personas Con Discapacidad y/o su Familia o Cuidador.</t>
  </si>
  <si>
    <t>No. De personas con Discapacidad con atención intersectorial en Asistencia y Acompañamiento integral, sus familias y/o sus cuidadores en el trascurrir del ciclo vital humano</t>
  </si>
  <si>
    <t>4.320.
Fuente de Datos: Secretaria de Planeación, Plan de acción, corte 31de diciembre 2019</t>
  </si>
  <si>
    <t>7.120 PcD registradas en el RCLPD en atención intersectorial en el desarrollo y protección social integral.</t>
  </si>
  <si>
    <t>No de Ajustes Razonables Impulsados en dimensiones institucionales, sociales y económicas.</t>
  </si>
  <si>
    <t>Impulsar 3 modificaciones y adaptaciones necesarias y adecuadas, que no impongan carga desproporcionada o indebida, en las dimensiones institucionales, sociales y económicas.</t>
  </si>
  <si>
    <t>Programa: Pacto o Alianza Por La Inclusión Social y Productiva de las Personas Con Discapacidad.</t>
  </si>
  <si>
    <t>Numero pactos (alianzas) implementados por la inclusión social y productiva de las Personas con discapacidad.</t>
  </si>
  <si>
    <t>Implementar 20 pactos (alianzas) por la inclusión social y productiva de las personas con discapacidad de acuerdo con lineamientos técnicos y metodológicos en las dimensiones sociales, institucionales y económicas.</t>
  </si>
  <si>
    <t>Números de organizaciones de personas con discapacidad consolidadas en la libre asociación y acorde a la reglamentación normativa.</t>
  </si>
  <si>
    <t>4
Fuente de Datos: Secretaria de Planeación, Plan de acción, corte 31 de Diciembre 2019</t>
  </si>
  <si>
    <t>Consolidar 20 organizaciones de personas con discapacidad en el marco de la libre asociación, la representatividad y reglamentación normativa.</t>
  </si>
  <si>
    <t>Programa: Desarrollo Local Inclusivo de las Personas Con Discapacidad: Reconocimiento de Capacidades, Diferencias y Diversidad.</t>
  </si>
  <si>
    <t>Numero de comités Territoriales de Discapacidad e Inclusión Social empoderados y participativos.</t>
  </si>
  <si>
    <t>Establecer la asistencia técnica permanente a los 4 comités Territoriales de Discapacidad e Inclusión Social dentro del marco normativo Distrital y nacional.</t>
  </si>
  <si>
    <t>Numero de planes de Fortalecimiento técnico y metodológico al documento base de la Política pública focalizada integradora de discapacidad e inclusión social.</t>
  </si>
  <si>
    <t>Desarrollar 1 plan de Fortalecimiento técnico y metodológico al documento base de la Política Pública focalizada integradora de discapacidad e inclusión social</t>
  </si>
  <si>
    <t>Política pública de  discapacidad e inclusión social reformulada e implementada</t>
  </si>
  <si>
    <t>1
Fuente: Secretaría de Participación y Desarrollo Social</t>
  </si>
  <si>
    <t>Reformulación e Implementación de la política pública discapacidad e inclusión social</t>
  </si>
  <si>
    <t>LINEA ESTRATEGICA TRATO HUMANITARIO AL HABITANTE DE CALLE</t>
  </si>
  <si>
    <t>Porcentaje de la  Población en Situación de Calle del Distrito de Cartagena atendidos</t>
  </si>
  <si>
    <t>100%
Secretaría de Participación y Desarrollo Social</t>
  </si>
  <si>
    <r>
      <rPr>
        <b/>
        <sz val="9"/>
        <color theme="1"/>
        <rFont val="Arial"/>
        <family val="2"/>
      </rPr>
      <t>Programa: Habitante De Calle Con Desarrollo Humano Integral</t>
    </r>
    <r>
      <rPr>
        <sz val="9"/>
        <color theme="1"/>
        <rFont val="Arial"/>
        <family val="2"/>
      </rPr>
      <t xml:space="preserve"> </t>
    </r>
  </si>
  <si>
    <t>Proceso de Caracterización de población de Habitantes de Calle en el  Distrito de Cartagena</t>
  </si>
  <si>
    <t xml:space="preserve">Realizar 1 proceso de caracterización de la población de Habitante de Calle </t>
  </si>
  <si>
    <t xml:space="preserve">Número de Hogares de Paso      Habitantes de Calle en el  Distrito de Cartagena                                 </t>
  </si>
  <si>
    <t>1 Hogares de paso
Fuente: Secretaría de Participación y Desarrollo Social. 2019</t>
  </si>
  <si>
    <t>Aumentar a 4 Hogares de Paso          </t>
  </si>
  <si>
    <t>Programa Formación Para El Trabajo - Generación De Ingresos y Responsabilidad Social Empresarial.</t>
  </si>
  <si>
    <t xml:space="preserve">Número de habitantes de calle beneficiados con Programas de Responsabilidad Social  del Sector Privado </t>
  </si>
  <si>
    <t>25 habitantes de calle beneficiados con Programas de Responsabilidad Social  del Sector Privado</t>
  </si>
  <si>
    <t xml:space="preserve">Número de habitantes de calle beneficiados con Programas de educación  para el trabajo </t>
  </si>
  <si>
    <t xml:space="preserve">Organizaciones legalmente constituidas por habitantes de calle de acuerdo a su interés </t>
  </si>
  <si>
    <t>3 Organizaciones legalmente constituidas por habitantes de calle de acuerdo a su interés</t>
  </si>
  <si>
    <t>LINEA ESTRATEGICA DIVERSIDAD SEXUAL Y NUEVAS IDENTIDADES DE GÉNERO.</t>
  </si>
  <si>
    <t>Porcentaje de la  Población LGTBIQ+ en del Distrito de Cartagena atendidos</t>
  </si>
  <si>
    <t>Programa: Diversidad Sexual e Identidades de Género</t>
  </si>
  <si>
    <t>Política Pública de Diversidad Sexual e Identidades de Género Distrital formulada</t>
  </si>
  <si>
    <t>Formular 1 Política Pública de Diversidad Sexual e Identidades de Género Distrital</t>
  </si>
  <si>
    <t>Número De Acciones Afirmativas para el Reconocimiento de Derechos.</t>
  </si>
  <si>
    <t>6
Fuente: Secretaría de Participación y Desarrollo Social. 2019</t>
  </si>
  <si>
    <t>15 Acciones Afirmativas para el Reconocimiento de Derechos.</t>
  </si>
  <si>
    <t>Observatorio en Diversidad Sexual e Identidades de Género Distrital creado</t>
  </si>
  <si>
    <t>Crear 1 Observatorio en Diversidad Sexual e Identidades de Género Distrital</t>
  </si>
  <si>
    <t>PILAR/LINEA ESTRATEGICA/PROGRAMA</t>
  </si>
  <si>
    <t>AVANCE LOGRADO ACUMULADO AÑO 2020 (CORTE 30 DE DIC)</t>
  </si>
  <si>
    <t>AVANCE ACUMULADO CUATRENIO  DIC 2020</t>
  </si>
  <si>
    <t>IDEAL GENERAL AÑO 2020</t>
  </si>
  <si>
    <t>IDEAL GENERAL AÑO 2021</t>
  </si>
  <si>
    <t>AVANCE LOGRADO ACUMULADO AÑO 2021 (CORTE DICIEMBRE 2021)</t>
  </si>
  <si>
    <t>AVANCE ACUMULADO CUATRENIO  CORTE DICIEMBRE 2021</t>
  </si>
  <si>
    <t>AVANCE ACUMULADO CUATRENIO DE DIC 2020 A CORTE JUNIO 2021</t>
  </si>
  <si>
    <t>RESPONSABLES</t>
  </si>
  <si>
    <t>PLAN DE DESARROLLO "SALVEMOS JUNTOS A CARTAGENA 2020 - 2023)</t>
  </si>
  <si>
    <t>Revisar</t>
  </si>
  <si>
    <t>A  DIC  2020, ESTOS SON LOS RANGOS.</t>
  </si>
  <si>
    <t>NIVEL DE EFICACIA.</t>
  </si>
  <si>
    <t>ESTADO INJUNADORES TABLERO DE CONTROL</t>
  </si>
  <si>
    <t>CALIFICACIÓN</t>
  </si>
  <si>
    <t>Ato</t>
  </si>
  <si>
    <r>
      <rPr>
        <sz val="10"/>
        <color theme="1"/>
        <rFont val="Arial"/>
        <family val="2"/>
      </rPr>
      <t xml:space="preserve"> </t>
    </r>
    <r>
      <rPr>
        <b/>
        <sz val="14"/>
        <color rgb="FF0070C0"/>
        <rFont val="Arial"/>
        <family val="2"/>
      </rPr>
      <t>(17,6% o mas)</t>
    </r>
  </si>
  <si>
    <t xml:space="preserve"> Establecimiento Público Ambiental - EPA</t>
  </si>
  <si>
    <t xml:space="preserve">Medio </t>
  </si>
  <si>
    <t>(17,59% - 8,6%)</t>
  </si>
  <si>
    <t>Establecimiento Público Ambiental EPA  - Secretaría de Planeación Distrital</t>
  </si>
  <si>
    <t>Bajo</t>
  </si>
  <si>
    <t>(Menor 8,59%)</t>
  </si>
  <si>
    <t>A   DICIEMBRE 2021, ESTOS SON LOS RANGOS.</t>
  </si>
  <si>
    <t>PLAN DE DESARROLLO / PILAR</t>
  </si>
  <si>
    <t>(50,65% o mas)</t>
  </si>
  <si>
    <t>PLAN DE DESARROLLO "SALVEMOS JUNTOS A CARTAGENA 2020 - 2023) ACUMULADO CUATRENIO CORTE JUNIO 2021</t>
  </si>
  <si>
    <t>(33,77% - 50,64%)</t>
  </si>
  <si>
    <t xml:space="preserve">UMATA 
ALCALDIAS LOCALES   DADIS
</t>
  </si>
  <si>
    <t>(Menor 33,76%)</t>
  </si>
  <si>
    <t>Gerencia del Espacio Público y Movilidad – Secretaria de Participación  ci</t>
  </si>
  <si>
    <t>Gerencia del Espacio Público</t>
  </si>
  <si>
    <t>Gerencia del Espacio Público - EPA – IDER – Secretaría de Infraestructura.</t>
  </si>
  <si>
    <t>Gerencia del Espacio Público - Datt -  Secretaría de Planeación y  Secretaría de Infraestructura</t>
  </si>
  <si>
    <t>Transcaribe</t>
  </si>
  <si>
    <t xml:space="preserve">Departamento Administrativo de Tránsito y Transporte, EPA, UMATA, DADIS, Secretaría de Participación </t>
  </si>
  <si>
    <t xml:space="preserve">Secretaria de Infraestructura </t>
  </si>
  <si>
    <t>Secretaria de Infraestructura - Departamento de Valorización Distrital</t>
  </si>
  <si>
    <t>Departamento Administrativo  de Valorización Distrital</t>
  </si>
  <si>
    <t>Sec de Planeación, Secretaria de Infraestructura, EPA - Edurbe</t>
  </si>
  <si>
    <t>Oficina Asesora de Gestión del Riesgo de Desastres</t>
  </si>
  <si>
    <t>Secretaría del Interior y Convivencia Ciudadana</t>
  </si>
  <si>
    <t>Corvivienda</t>
  </si>
  <si>
    <t>Secretaria General-  Servicios públicos, Aguas de Cartagena</t>
  </si>
  <si>
    <t>Secretaria General- Servicios públicos</t>
  </si>
  <si>
    <t>Secretaria General y empresas prestadoras de servicio</t>
  </si>
  <si>
    <t>Secretaria general,  oficina de informática, Sec de  Planeación</t>
  </si>
  <si>
    <t>Secretaria General- Apoyo Logístico - IPCC</t>
  </si>
  <si>
    <t>Sec. de Planeación</t>
  </si>
  <si>
    <t xml:space="preserve">Sec.  de planeación, Secretaria de Infraestructura,  Departamento Administrativo  de Valorización Distrital,  EPA,  Secretaria General
</t>
  </si>
  <si>
    <t>Plan de Emergencia Social Pedro Romero- PES PR</t>
  </si>
  <si>
    <t xml:space="preserve">Plan de Emergencia Social Pedro Romero-PES PR
Secretaria de Educación Distrital
</t>
  </si>
  <si>
    <t>Plan de Emergencia Social Pedro Romero-PES PR - Corvivienda - E.P.A- Oficina Servicios Públicos</t>
  </si>
  <si>
    <t xml:space="preserve">Plan de Emergencia Social PES PR-DADIS-Secretaría de Participación </t>
  </si>
  <si>
    <t>SEC. EDUCACIÓN</t>
  </si>
  <si>
    <t>Secretaría General - Escuela Taller Cartagena de Indias</t>
  </si>
  <si>
    <t>Colegio Mayor de Bolívar</t>
  </si>
  <si>
    <t>Departamento Administrativo Distrital de Salud DADIS</t>
  </si>
  <si>
    <t>IDER Y S.E.D.</t>
  </si>
  <si>
    <t>IDER</t>
  </si>
  <si>
    <t>IDER – DADIS</t>
  </si>
  <si>
    <t>IPCC</t>
  </si>
  <si>
    <t>Sec.  de Planeación</t>
  </si>
  <si>
    <t xml:space="preserve">Secretaría de Participación </t>
  </si>
  <si>
    <t>Secretaria de Hacienda</t>
  </si>
  <si>
    <t>Oficina de Informática</t>
  </si>
  <si>
    <t>UMATA (Secretaria de Participación)</t>
  </si>
  <si>
    <t xml:space="preserve">Secretaria general
Oficina Mercados                    Espacio Publico
</t>
  </si>
  <si>
    <t>Oficina de Cooperación Internacional</t>
  </si>
  <si>
    <t>UMATA</t>
  </si>
  <si>
    <t>CORPOTURISMO</t>
  </si>
  <si>
    <t xml:space="preserve">Secretaria General UAC
</t>
  </si>
  <si>
    <t>Secretaria General</t>
  </si>
  <si>
    <t>Secretaría General-Secretaría de Hacienda- Control Interno- Secretaría de Planeación- Secretaría del Interior</t>
  </si>
  <si>
    <t>Secretaría General – Escuela de Gobierno y Liderazgo – Instituto de Patrimonio y Cultura de Cartagena</t>
  </si>
  <si>
    <t>Distriseguridad</t>
  </si>
  <si>
    <t>Secretaría del Interior y Convivencia Ciudadana    Secretaría General Dirección de Talento Humano</t>
  </si>
  <si>
    <t>Escuela de Gobierno y Liderazgo</t>
  </si>
  <si>
    <t>ESCUELA DE GOBIERNO Y LIDERAZGO. -SDP</t>
  </si>
  <si>
    <t>ESCUELA DE GOBIERNO Y LIDERAZGO-GEPM</t>
  </si>
  <si>
    <t>Secretaria del Interior y Convivencia Ciudadana</t>
  </si>
  <si>
    <t>Secretaria de Hacienda Distrital</t>
  </si>
  <si>
    <t>Secretaría del Interior y Convivencia Ciudadana.</t>
  </si>
  <si>
    <t>Secretaría de Hacienda (UDE) – Secretaría del Interior y Convivencia Ciudadana. - UMATA</t>
  </si>
  <si>
    <t>DADIS-Secretaría de Infraestructura</t>
  </si>
  <si>
    <t>Establecimiento Público Ambiental-E.P.A</t>
  </si>
  <si>
    <t>DADIS</t>
  </si>
  <si>
    <t>Secretaría del Interior y Convivencia Ciudadana - Corvivienda</t>
  </si>
  <si>
    <t xml:space="preserve">Secretaría del Interior y Convivencia Ciudadana.    </t>
  </si>
  <si>
    <t xml:space="preserve"> RANGOS DE EFICIENCIA POR TRIMESTRE DE EVALUACIÖN. 2021. PDD</t>
  </si>
  <si>
    <t>ESTADO INDICADORES TABLERO DE CONTROL</t>
  </si>
  <si>
    <t xml:space="preserve"> JUNIO</t>
  </si>
  <si>
    <t>SEPTIEMBRE</t>
  </si>
  <si>
    <t>NOVIEMBRE</t>
  </si>
  <si>
    <t>DICIEMBRE</t>
  </si>
  <si>
    <t>Alto</t>
  </si>
  <si>
    <r>
      <rPr>
        <sz val="10"/>
        <color theme="1"/>
        <rFont val="Arial"/>
        <family val="2"/>
      </rPr>
      <t xml:space="preserve"> </t>
    </r>
    <r>
      <rPr>
        <b/>
        <sz val="14"/>
        <color rgb="FF0070C0"/>
        <rFont val="Arial"/>
        <family val="2"/>
      </rPr>
      <t>(33,9% o mas)</t>
    </r>
  </si>
  <si>
    <t>(42,21% o mas)</t>
  </si>
  <si>
    <t>(48,04% o mas)</t>
  </si>
  <si>
    <t>(33,89% - 22,6%)</t>
  </si>
  <si>
    <t>(28,14% - 42,20%)</t>
  </si>
  <si>
    <t>(32,03% - 48,03%)</t>
  </si>
  <si>
    <t>(Menor 22,59%)</t>
  </si>
  <si>
    <t>(Menor 28,13%)</t>
  </si>
  <si>
    <t>(Menor 32,02%)</t>
  </si>
  <si>
    <t>PILAR/LINEA ESTRATEGICA</t>
  </si>
  <si>
    <t>PILAR / PROGRAMA</t>
  </si>
  <si>
    <t>AVANCE DIC 2020</t>
  </si>
  <si>
    <t xml:space="preserve">LÍNEA EDUCACIÓN: CULTURA DE LA FORMACIÓN </t>
  </si>
  <si>
    <t>LÍNEA ESTRATÉGICA SALUD PARA TODOS.</t>
  </si>
  <si>
    <t>PRIMER CALCULO</t>
  </si>
  <si>
    <t>SEGUNDO CALCULO</t>
  </si>
  <si>
    <t>TERCER CALCULO</t>
  </si>
  <si>
    <t>CUARTO CALCULO</t>
  </si>
  <si>
    <t>ENTIDADES INGRESADAS</t>
  </si>
  <si>
    <t>dadis</t>
  </si>
  <si>
    <t>educacion</t>
  </si>
  <si>
    <t>PES</t>
  </si>
  <si>
    <t>INTERIOR</t>
  </si>
  <si>
    <t>COL MAYOR</t>
  </si>
  <si>
    <t>VALORIZACION</t>
  </si>
  <si>
    <t>TODO EN CERO</t>
  </si>
  <si>
    <t>RIESGO</t>
  </si>
  <si>
    <t>NO SE PUDO ABRIR EL DOCUMENTO</t>
  </si>
  <si>
    <t>ESCUELA TALLER</t>
  </si>
  <si>
    <t>DATT</t>
  </si>
  <si>
    <t>INFRAESTRUCTURA</t>
  </si>
  <si>
    <t>GEPM</t>
  </si>
  <si>
    <t>EPA</t>
  </si>
  <si>
    <t>TRANSCARIBE</t>
  </si>
  <si>
    <t>COORVIVIENDA</t>
  </si>
  <si>
    <t>HACIENDA</t>
  </si>
  <si>
    <t>PARTICIPACION</t>
  </si>
  <si>
    <t>PLANEACION</t>
  </si>
  <si>
    <r>
      <t>170</t>
    </r>
    <r>
      <rPr>
        <sz val="7"/>
        <color theme="1"/>
        <rFont val="Calibri"/>
        <family val="2"/>
      </rPr>
      <t xml:space="preserve"> </t>
    </r>
    <r>
      <rPr>
        <sz val="7"/>
        <color theme="1"/>
        <rFont val="Arial"/>
        <family val="2"/>
      </rPr>
      <t>habitantes de calle beneficiados con Programas de educación  para el trabajo</t>
    </r>
  </si>
  <si>
    <t>IDEAL GENERAL AÑO 2022</t>
  </si>
  <si>
    <t>Para el acumulado de marzo 2022, se le incluye un  18% adicional al reportado a marzo 2022 proveniente de un ajuste de diciemre 2021 pasa de 32% a 50%</t>
  </si>
  <si>
    <t>Llevar al 50% el porcentaje de la población con acceso a servicios de acueducto de forma segura en las comunidades de Tierra Bomba, Archipiélago de San Bernardo, Isla Fuerte e Isla de Barú, ubicadas en suelo insular</t>
  </si>
  <si>
    <t>Llevar al 90% la cobertura de saneamiento de forma segura en barrios de Villa Rosa, Arroz Barato, Policarpa y Puerta de Hierro y 19 barrios más del distrito de Cartagena</t>
  </si>
  <si>
    <t xml:space="preserve"> RANGOS DE EFICIENCIA POR TRIMESTRE DE EVALUACIÖN. 2022. PDD</t>
  </si>
  <si>
    <t>MARZO</t>
  </si>
  <si>
    <t>Para el año 2021, se ajustó y se incluyó otra ora de ampliación, por lo tanto, son 3 y no dos, la cual se incluye en el reporte acumulado de Plan de Desarrollo a corte de marzo</t>
  </si>
  <si>
    <t>Se inlcuye 1 (una) plaza de mercado sectorial al acumulado cuatrenio a corte marzo 2022. Que no se reportó a dic 2021.</t>
  </si>
  <si>
    <t>(53,59% o mas)</t>
  </si>
  <si>
    <t>(53,58% - 35,72%)</t>
  </si>
  <si>
    <t>(Menor 35,71%)</t>
  </si>
  <si>
    <t>(61,49% o mas)</t>
  </si>
  <si>
    <t>(61,48% - 40,99%)</t>
  </si>
  <si>
    <t>(Menor 40,98%)</t>
  </si>
  <si>
    <t>(69,39% o mas)</t>
  </si>
  <si>
    <t>(69,38% - 46,26%)</t>
  </si>
  <si>
    <t>(Menor 46,25%)</t>
  </si>
  <si>
    <t>(77,03% o mas)</t>
  </si>
  <si>
    <t>(77,02% - 51,53%)</t>
  </si>
  <si>
    <t>(Menor 51,52%)</t>
  </si>
  <si>
    <t>Ajustado de 60 a 30 como acumulado</t>
  </si>
  <si>
    <t>16.000 familias en pobreza extrema beneficiadas con la implementación de la nueva estrategia Mercado Móvil.</t>
  </si>
  <si>
    <r>
      <t>Mantener la tasa de muertes prematuras por enfermedades circulatorias entre 30 a 70 años debajo de 113,23 x 100.000</t>
    </r>
    <r>
      <rPr>
        <sz val="7"/>
        <rFont val="Calibri"/>
        <family val="2"/>
      </rPr>
      <t xml:space="preserve"> </t>
    </r>
    <r>
      <rPr>
        <sz val="7"/>
        <rFont val="Arial"/>
        <family val="2"/>
      </rPr>
      <t>habitantes</t>
    </r>
  </si>
  <si>
    <r>
      <t xml:space="preserve"> Mantener la Tasa de mortalidad por cáncer infantil por debajo de 2,59 por cada 100</t>
    </r>
    <r>
      <rPr>
        <sz val="7"/>
        <rFont val="Calibri"/>
        <family val="2"/>
      </rPr>
      <t xml:space="preserve"> </t>
    </r>
    <r>
      <rPr>
        <sz val="7"/>
        <rFont val="Arial"/>
        <family val="2"/>
      </rPr>
      <t>mil habitantes</t>
    </r>
  </si>
  <si>
    <t>3 estaciones de bomberos del Distrito de Cartagena dotadas</t>
  </si>
  <si>
    <t>Dotar con equipos operativos de rescate técnico, contra incendios y materiales peligrosos las 3 estaciones de bomberos del Distrito de Cartagena.</t>
  </si>
  <si>
    <t>Llevar al 95% el porcentaje de la población con acceso a servicios de acueducto de forma segura en las comunidades de Bayunca, Manzanillo del Mar, Tierra Baja y Puerto Rey ubicadas en suelo rural</t>
  </si>
  <si>
    <t>Llevar al 80% el porcentaje de la población con acceso a servicios de acueducto de forma segura en el corregimiento de Pasacaballos, ubicas en suelo rural</t>
  </si>
  <si>
    <t>Llevar al 50% el Porcentaje de la población con acceso a servicios de saneamiento de forma segura en las cuatro poblaciones de Tierra Bomba, La Isla de Barú, Isla Fuerte y Archipiélago de San Bernardo</t>
  </si>
  <si>
    <t>ESPERADO 2022</t>
  </si>
  <si>
    <t>ACUMULADO DICIEMBRE  2021</t>
  </si>
  <si>
    <t>Proyecto de asistencia integral para el sector industrial, diseñado e implementado</t>
  </si>
  <si>
    <t>AVANCE SEPTIEMBRE 2021</t>
  </si>
  <si>
    <t>El ultimo reporte es el que se registra</t>
  </si>
  <si>
    <t>Meta cumplida</t>
  </si>
  <si>
    <t>Meta cumplida para el tercer trimestre de 2022</t>
  </si>
  <si>
    <t>El ultimo reporte es el que se registra - meta cumplida</t>
  </si>
  <si>
    <t xml:space="preserve">Avance parcial </t>
  </si>
  <si>
    <t>Hasta el tercer trimestre de 2022 no presentaba avance en esta vigencia</t>
  </si>
  <si>
    <t>Reporte Final de vigencia 2022</t>
  </si>
  <si>
    <t xml:space="preserve">El ultimo reporte es el que se registra </t>
  </si>
  <si>
    <t>21,82% 6 programas articulados</t>
  </si>
  <si>
    <t>4
Aceptable</t>
  </si>
  <si>
    <t>Revisar con enlace</t>
  </si>
  <si>
    <t>NA(se entregan al final de la vigencia)</t>
  </si>
  <si>
    <t>Ajustado con Enlace, cifra definitiva</t>
  </si>
  <si>
    <t>Meta cumplida - mantenimiento</t>
  </si>
  <si>
    <t>Se incluye el avance acumulado del cuatrienio el ultimo trimestre</t>
  </si>
  <si>
    <t>Revisar con enlace el acumulado de la politica</t>
  </si>
  <si>
    <t>Meta cumplida - Meta de mantenimiento</t>
  </si>
  <si>
    <t>Meta cumplida - Se estima en meta de mantenimiento</t>
  </si>
  <si>
    <t>1.85</t>
  </si>
  <si>
    <t xml:space="preserve">El acumulado a dic 2021 se ajusta a 51% </t>
  </si>
  <si>
    <t>Se toma el ultimo valor reportado del trimestre</t>
  </si>
  <si>
    <t>Meta cumplida - se estima en meta de mantenimiento</t>
  </si>
  <si>
    <t>1,5 x 100.000</t>
  </si>
  <si>
    <t>El valor acumulado final  a dic 2021 se ajusta a 60 según el ultimo reporte de sep 2022</t>
  </si>
  <si>
    <t>427 Planes de gestión social comunal formulados e implementados.</t>
  </si>
  <si>
    <t>Meta cumplida - se estima meta de mantenimiento</t>
  </si>
  <si>
    <t xml:space="preserve">Meta cumplida </t>
  </si>
  <si>
    <t>Llevar al 50% el porcentaje de la población con acceso a saneamiento  de forma segura en las poblaciones de Bayunca, Pontezuela, Arroyo Grande y las Canoas, Arroyo de Piedra, Vereda el Zapatero, La Sevillana, Manzanillo del Mar, Tierra Baja y Puerto Rey</t>
  </si>
  <si>
    <t>Llevar al 50% el Porcentaje de la población con acceso a servicios de saneamiento de forma segura en las comunidades de Jorge Eliecer Gaitán, Meza Valdez, Madre Herlinda, La Esmeralda y Membrillal, en suelo rural</t>
  </si>
  <si>
    <t>Realizar un (1) diseño y estudio técnico de una Estación de Clasificación y Aprovechamiento ECA para Residuos de demolición y construcción RCD con capacidad para 180 m3/día</t>
  </si>
  <si>
    <r>
      <t>Intervenir 4</t>
    </r>
    <r>
      <rPr>
        <b/>
        <sz val="6"/>
        <color theme="3"/>
        <rFont val="Arial"/>
        <family val="2"/>
      </rPr>
      <t xml:space="preserve">  </t>
    </r>
    <r>
      <rPr>
        <sz val="6"/>
        <color theme="3"/>
        <rFont val="Arial"/>
        <family val="2"/>
      </rPr>
      <t>Cuerpos de agua para la optimización de sus condiciones físicas, hidráulicas y ambientales. (Urbanos y rurales)</t>
    </r>
  </si>
  <si>
    <r>
      <t xml:space="preserve">Llevar al 85% el </t>
    </r>
    <r>
      <rPr>
        <sz val="6"/>
        <color theme="3"/>
        <rFont val="Arial"/>
        <family val="2"/>
      </rPr>
      <t>porcentaje de Cobertura de energía asequibles en la Zona Rural e Insular</t>
    </r>
  </si>
  <si>
    <r>
      <t>Llevar al 30%</t>
    </r>
    <r>
      <rPr>
        <b/>
        <sz val="6"/>
        <color theme="3"/>
        <rFont val="Arial"/>
        <family val="2"/>
      </rPr>
      <t xml:space="preserve"> el </t>
    </r>
    <r>
      <rPr>
        <sz val="6"/>
        <color theme="3"/>
        <rFont val="Arial"/>
        <family val="2"/>
      </rPr>
      <t>porcentaje de la capacidad instalada de generación de energía eléctrica que corresponde a fuentes renovables</t>
    </r>
  </si>
  <si>
    <r>
      <t>Llevar al 90%</t>
    </r>
    <r>
      <rPr>
        <b/>
        <sz val="6"/>
        <color theme="3"/>
        <rFont val="Arial"/>
        <family val="2"/>
      </rPr>
      <t xml:space="preserve"> del </t>
    </r>
    <r>
      <rPr>
        <sz val="6"/>
        <color theme="3"/>
        <rFont val="Arial"/>
        <family val="2"/>
      </rPr>
      <t>Porcentaje de Intensidad Energética del sistema económico de Cartagena</t>
    </r>
  </si>
  <si>
    <t>Meta compartida entre Sec de Planeación e Infraestructura. La segunda reporta cero avance. Por lo tanto se incluye solo avance de Planeación.</t>
  </si>
  <si>
    <t>Programa: Transparencia para el fortalecimiento de la   confianza en las instituciones del distrito de Cartagena.</t>
  </si>
  <si>
    <t>Se incluye el rezago para ajustar la cifra</t>
  </si>
  <si>
    <t>Ajustado en el trimestre  de septiembre 0,9 para lograr 1</t>
  </si>
  <si>
    <t xml:space="preserve">Se ajusta ultimo avance acumulado a diciembre 2022 en 51% </t>
  </si>
  <si>
    <t>Meta cumplida se estima sea de mantenimiento</t>
  </si>
  <si>
    <t>Este avance es dinamico, según disminuyan los dias de atención reportados.</t>
  </si>
  <si>
    <t>Meta cumplida - se estima de mantenimiento</t>
  </si>
  <si>
    <t>Se incluye el valor del avance del ultimo reporte del año 2022, de lo contrario se le califica como cero avance</t>
  </si>
  <si>
    <t>Cifras ajustadas  de vacunación de caninos y felinos</t>
  </si>
  <si>
    <t>Se ajusta la meta cuatrienio a 144.</t>
  </si>
  <si>
    <t>La meta producto por ajuste por pandemia se proyecta a 3 años y no a 4</t>
  </si>
  <si>
    <t>A la fecha se ha registado un cumplimiento entre el 0% y el 2%</t>
  </si>
  <si>
    <t>Esta meta se ajustó al 25%, ya que despues de revisar los avances solo se había ejecutado una sola movilización de 4 programadas</t>
  </si>
  <si>
    <r>
      <t>10.000 personas en extrema pobreza capacitadas virtual y presencialmente en  “</t>
    </r>
    <r>
      <rPr>
        <b/>
        <sz val="7"/>
        <rFont val="Arial"/>
        <family val="2"/>
      </rPr>
      <t>Salud Integral a la Comunidad”</t>
    </r>
  </si>
  <si>
    <r>
      <t>1.200</t>
    </r>
    <r>
      <rPr>
        <b/>
        <sz val="7"/>
        <rFont val="Arial"/>
        <family val="2"/>
      </rPr>
      <t xml:space="preserve"> </t>
    </r>
    <r>
      <rPr>
        <sz val="7"/>
        <rFont val="Arial"/>
        <family val="2"/>
      </rPr>
      <t>jóvenes y adultos alfabetizados en articulación con la   Secretaría de educación para el periodo 2020 – 2023.</t>
    </r>
  </si>
  <si>
    <r>
      <t>2.000</t>
    </r>
    <r>
      <rPr>
        <b/>
        <sz val="7"/>
        <rFont val="Arial"/>
        <family val="2"/>
      </rPr>
      <t xml:space="preserve"> </t>
    </r>
    <r>
      <rPr>
        <sz val="7"/>
        <rFont val="Arial"/>
        <family val="2"/>
      </rPr>
      <t>nuevos</t>
    </r>
    <r>
      <rPr>
        <b/>
        <sz val="7"/>
        <rFont val="Arial"/>
        <family val="2"/>
      </rPr>
      <t xml:space="preserve"> </t>
    </r>
    <r>
      <rPr>
        <sz val="7"/>
        <rFont val="Arial"/>
        <family val="2"/>
      </rPr>
      <t>Jóvenes y Adultos acceden a educación técnica, tecnológica y/o superior, articulado con</t>
    </r>
  </si>
  <si>
    <r>
      <t>3.000</t>
    </r>
    <r>
      <rPr>
        <sz val="7"/>
        <rFont val="Arial"/>
        <family val="2"/>
      </rPr>
      <t xml:space="preserve"> personas en condición de pobreza extrema, afrodescendientes, indígena y palenqueras asesoradas en Sistemas de Derecho Propio.</t>
    </r>
  </si>
  <si>
    <r>
      <t>72 jornadas de atención integral “</t>
    </r>
    <r>
      <rPr>
        <b/>
        <sz val="7"/>
        <rFont val="Arial"/>
        <family val="2"/>
      </rPr>
      <t>Salvemos juntos a Cartagena</t>
    </r>
    <r>
      <rPr>
        <sz val="7"/>
        <rFont val="Arial"/>
        <family val="2"/>
      </rPr>
      <t>” a personas en pobreza extrema en área urbana y rural</t>
    </r>
  </si>
  <si>
    <r>
      <t xml:space="preserve">Atender con modelos de alfabetización (CLEI 1) a </t>
    </r>
    <r>
      <rPr>
        <b/>
        <sz val="7"/>
        <rFont val="Arial"/>
        <family val="2"/>
      </rPr>
      <t>1.200</t>
    </r>
    <r>
      <rPr>
        <sz val="7"/>
        <rFont val="Arial"/>
        <family val="2"/>
      </rPr>
      <t xml:space="preserve"> jóvenes y adultos a 2023 </t>
    </r>
  </si>
  <si>
    <r>
      <t> </t>
    </r>
    <r>
      <rPr>
        <sz val="7"/>
        <rFont val="Arial"/>
        <family val="2"/>
      </rPr>
      <t>Obtener un Índice de Riesgo de Calidad del Agua (IRCA) menor a 5</t>
    </r>
  </si>
  <si>
    <r>
      <t>Realizar anualmente acompañamiento tecnico al 100% de EAPB e IPS de salud mental habilitadas en el Distrito  para el desarrollo de capacidades</t>
    </r>
    <r>
      <rPr>
        <sz val="7"/>
        <rFont val="Calibri"/>
        <family val="2"/>
      </rPr>
      <t xml:space="preserve"> tendientes a fortalecer la atención integral a las personas con diagnótico con COVID 19, Epilepsia, problemas y trastornos y consumo de sustancias psicoactivas</t>
    </r>
  </si>
  <si>
    <r>
      <t>Realizar acciones de preservación del patrimonio material inmueble (gestiones de control, verificación, supervisión y asesorías) en 127</t>
    </r>
    <r>
      <rPr>
        <b/>
        <sz val="7"/>
        <rFont val="Arial"/>
        <family val="2"/>
      </rPr>
      <t xml:space="preserve"> </t>
    </r>
    <r>
      <rPr>
        <sz val="7"/>
        <rFont val="Arial"/>
        <family val="2"/>
      </rPr>
      <t>inmuebles para su conservación</t>
    </r>
  </si>
  <si>
    <r>
      <t xml:space="preserve">Finalizar Censo de la Metodología </t>
    </r>
    <r>
      <rPr>
        <b/>
        <sz val="7"/>
        <rFont val="Arial"/>
        <family val="2"/>
      </rPr>
      <t>IV Sisben</t>
    </r>
    <r>
      <rPr>
        <sz val="7"/>
        <rFont val="Arial"/>
        <family val="2"/>
      </rPr>
      <t xml:space="preserve"> al  100%</t>
    </r>
  </si>
  <si>
    <r>
      <t xml:space="preserve">Implementar Metodología General de Articulación  </t>
    </r>
    <r>
      <rPr>
        <b/>
        <sz val="7"/>
        <rFont val="Arial"/>
        <family val="2"/>
      </rPr>
      <t>IV Sisben</t>
    </r>
    <r>
      <rPr>
        <sz val="7"/>
        <rFont val="Arial"/>
        <family val="2"/>
      </rPr>
      <t xml:space="preserve"> 100%</t>
    </r>
  </si>
  <si>
    <r>
      <t xml:space="preserve">Habilitar una red independiente para la dependencia </t>
    </r>
    <r>
      <rPr>
        <b/>
        <sz val="7"/>
        <rFont val="Arial"/>
        <family val="2"/>
      </rPr>
      <t>SISBEN</t>
    </r>
    <r>
      <rPr>
        <sz val="7"/>
        <rFont val="Arial"/>
        <family val="2"/>
      </rPr>
      <t xml:space="preserve"> (Internet), para el correcto funcionamiento y conectividad  del </t>
    </r>
    <r>
      <rPr>
        <b/>
        <sz val="7"/>
        <rFont val="Arial"/>
        <family val="2"/>
      </rPr>
      <t>SISBENAPP</t>
    </r>
    <r>
      <rPr>
        <sz val="7"/>
        <rFont val="Arial"/>
        <family val="2"/>
      </rPr>
      <t xml:space="preserve">, en los diferentes  puntos de atención al usuario </t>
    </r>
    <r>
      <rPr>
        <b/>
        <sz val="7"/>
        <rFont val="Arial"/>
        <family val="2"/>
      </rPr>
      <t>SISBEN</t>
    </r>
    <r>
      <rPr>
        <sz val="7"/>
        <rFont val="Arial"/>
        <family val="2"/>
      </rPr>
      <t>.</t>
    </r>
  </si>
  <si>
    <r>
      <t>Mantener actualizado el Mapa Interactivo de Asuntos del Suelo</t>
    </r>
    <r>
      <rPr>
        <b/>
        <sz val="7"/>
        <rFont val="Arial"/>
        <family val="2"/>
      </rPr>
      <t xml:space="preserve"> MIDAS</t>
    </r>
  </si>
  <si>
    <r>
      <t xml:space="preserve">Mantener la </t>
    </r>
    <r>
      <rPr>
        <b/>
        <sz val="7"/>
        <rFont val="Arial"/>
        <family val="2"/>
      </rPr>
      <t>Nomenclatura Urbana</t>
    </r>
    <r>
      <rPr>
        <sz val="7"/>
        <rFont val="Arial"/>
        <family val="2"/>
      </rPr>
      <t xml:space="preserve"> Estructurada y Actualizada</t>
    </r>
  </si>
  <si>
    <t>Esta meta será evalauda al final del la vigencia, según sea su avance parcial</t>
  </si>
  <si>
    <t>Informe adoptado</t>
  </si>
  <si>
    <t>Meta de mantenimiento</t>
  </si>
  <si>
    <t>Revisar con enlace, ya hay un acumualdo a dic 2021</t>
  </si>
  <si>
    <t>Ya se había reportado a dic 2021 21 infraestructuras mantenidas</t>
  </si>
  <si>
    <t>No se incluyen hasta certificación</t>
  </si>
  <si>
    <t>Revisado con IPCC</t>
  </si>
  <si>
    <t>Se incluyen 80 reportados por el IPCC</t>
  </si>
  <si>
    <t>Se reporta en Septiembre de 2022, la que hicieron en junio y no lo reportaron</t>
  </si>
  <si>
    <t>Se reportará en dic de 2022</t>
  </si>
  <si>
    <t>Esta meta por año debe multiplicarse por 0,25 el logro por año.</t>
  </si>
  <si>
    <t>A   SEPTIEMBRE 2022, ESTOS SON LOS RANGOS.</t>
  </si>
  <si>
    <t>SEGUIMIENTO PLAN DE DESARROLLO ACUMULADO SEPTIEMBRE -   ESPERADO A DICIEMBRE 2022</t>
  </si>
  <si>
    <t>CORTE  SEPTIEMBRE 2022</t>
  </si>
  <si>
    <t>CORTE  SEPTIEMBRE  2022</t>
  </si>
  <si>
    <t>SEGUIMIENTO PLAN DE DESARROLLO ACUMULADO SEPTIEMBRE 2022 - LOGRADO A DICIEMBRE 2021</t>
  </si>
  <si>
    <t>AVANCE DE DICIEMBRE 2021 A SEPTIEMBRE DE 2022</t>
  </si>
  <si>
    <t>SEGUIMIENTO PLAN DE DESARROLLO ACUMULADO SEPTIEMBRE 2022  - LOGRADO A DICIEMBRE 2021</t>
  </si>
  <si>
    <t>ACUMULADO A DICIEMBRE  2021</t>
  </si>
  <si>
    <t>ACUMULADO ESPERADO HASTA EL TERCER TRIMESTRE DE 2022</t>
  </si>
  <si>
    <r>
      <t xml:space="preserve">Departamento </t>
    </r>
    <r>
      <rPr>
        <sz val="10"/>
        <rFont val="Arial"/>
        <family val="2"/>
      </rPr>
      <t>Administrativo de Tránsito y Transporte</t>
    </r>
  </si>
  <si>
    <r>
      <t xml:space="preserve">Departamento </t>
    </r>
    <r>
      <rPr>
        <sz val="10"/>
        <rFont val="Arial"/>
        <family val="2"/>
      </rPr>
      <t>Administrativo de Tránsito y Transporte DATT</t>
    </r>
  </si>
  <si>
    <t>AVANCE LOGRADO ACUMULADO AÑO 2022 (CORTE DICIEMBRE 2022)</t>
  </si>
  <si>
    <t>AVANCE ACUMULADO CUATRENIO  CORTE DICIEMBRE  2022</t>
  </si>
  <si>
    <t xml:space="preserve"> RANGOS DE EFICIENCIA POR TRIMESTRE DE EVALUACIÖN. 2023. PDD</t>
  </si>
  <si>
    <t>AVANCE DICIEMBRE2022</t>
  </si>
  <si>
    <t xml:space="preserve">AVANCE A DICIEMBRE 2022 </t>
  </si>
  <si>
    <t>AVANCE A DICIEMBRE 2022</t>
  </si>
  <si>
    <t>AVANCE DICIEMBRE  2022</t>
  </si>
  <si>
    <t xml:space="preserve">AVANCE DICIEMBRE 2022 </t>
  </si>
  <si>
    <t>AVANCE DICIEMBRE 2022</t>
  </si>
  <si>
    <t>No Programada para la vigencia 2022</t>
  </si>
  <si>
    <t>Esta meta es compartida con la secretaría de Participación y Sec de Hacienda. Ambas suman en cifras</t>
  </si>
  <si>
    <t>33% adicional, ya que la fase de implementación está ejecutada</t>
  </si>
  <si>
    <t xml:space="preserve">11,6 x 100.000 </t>
  </si>
  <si>
    <t xml:space="preserve">CORTE DICIEMBRE 2022 </t>
  </si>
  <si>
    <t>CORTE  DICIEMBRE 2022</t>
  </si>
  <si>
    <t>SEGUIMIENTO PLAN DE DESARROLLO ACUMULADO DICIEMBRE  2022</t>
  </si>
  <si>
    <t>Se ajustó el reporte acumulado 2020 - 2021 en 11</t>
  </si>
  <si>
    <t>Para esta vigencia se le incluye cero de avance cuatrienio, pero no aplica para el año, ya que no se programó para 2022</t>
  </si>
  <si>
    <t>Meta cumplida. Se programa en vigencias futuras para mantenimiento</t>
  </si>
  <si>
    <t>Revisar esta meta para analizar cumplimiento para vigencia 2022</t>
  </si>
  <si>
    <t>Organizar 1 concurso anual a los mejores resultados de investigación e innovación, pública, privada y académica.</t>
  </si>
  <si>
    <t>Con respecto al cálculo de la tasa de deserción, se está a la espera de que el MEN genere el informe de situación académica, el cual metodológicamente sirve de referente para el cálculo del indicador.  Se anexa soporte de la última comunicación enviada al MEN con relación a este tema.</t>
  </si>
  <si>
    <t>El ultimo reporte a Dic 2022  lo entregó la Sec de Planeación</t>
  </si>
  <si>
    <t>A   DICIEMBRE 2022, ESTOS SON LOS RANGOS.</t>
  </si>
  <si>
    <t>Programa</t>
  </si>
  <si>
    <t>Responsable</t>
  </si>
  <si>
    <t>CORVIVIENDA</t>
  </si>
  <si>
    <t>Avance a Dic de 2022</t>
  </si>
  <si>
    <t>SEC DEL INTERIOR Y CONVIVENCIA CIUDADANA</t>
  </si>
  <si>
    <t>Secretaria de Infraestructura -  Valorización Distrital</t>
  </si>
  <si>
    <t>Valorización Distrital</t>
  </si>
  <si>
    <t>Secretaria general / 
oficina de informática 
/ Planeación</t>
  </si>
  <si>
    <t>SEC GENERAL / UNIDAD DE SERVICIOS PÚBLICOS</t>
  </si>
  <si>
    <t>Sec de Planeación / Secretaria de Infraestructura /  EPA / Edurbe</t>
  </si>
  <si>
    <t>Programas en Estado Critico pero con potencial avance a 2023</t>
  </si>
  <si>
    <t>Programas en Estado Critico de muy dificil avance a 2023</t>
  </si>
  <si>
    <t>(Menor 48,25%)</t>
  </si>
  <si>
    <t>(48,26% - 72,39%)</t>
  </si>
  <si>
    <t>(72,4% o mas)</t>
  </si>
  <si>
    <t>(Menor 52,26%)</t>
  </si>
  <si>
    <t>(52,27% - 78,25%)</t>
  </si>
  <si>
    <t>(78,26% o mas)</t>
  </si>
  <si>
    <t>(Menor 56,09%)</t>
  </si>
  <si>
    <t>(56,1% - 84,12%)</t>
  </si>
  <si>
    <t>(84,13% o mas)</t>
  </si>
  <si>
    <t>(Menor 59,9%)</t>
  </si>
  <si>
    <t>(60% - 89,9%)</t>
  </si>
  <si>
    <t>(90% o mas)</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</si>
</sst>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41" formatCode="_-* #,##0_-;\-* #,##0_-;_-* &quot;-&quot;_-;_-@_-"/>
    <numFmt numFmtId="43" formatCode="_-* #,##0.00_-;\-* #,##0.00_-;_-* &quot;-&quot;??_-;_-@_-"/>
    <numFmt numFmtId="164" formatCode="&quot;$&quot;\ #,##0;[Red]\-&quot;$&quot;\ #,##0"/>
    <numFmt numFmtId="165" formatCode="&quot;$&quot;\ #,##0.00;[Red]\-&quot;$&quot;\ #,##0.00"/>
    <numFmt numFmtId="166" formatCode="_-&quot;$&quot;\ * #,##0_-;\-&quot;$&quot;\ * #,##0_-;_-&quot;$&quot;\ * &quot;-&quot;_-;_-@_-"/>
    <numFmt numFmtId="167" formatCode="_-&quot;$&quot;\ * #,##0.00_-;\-&quot;$&quot;\ * #,##0.00_-;_-&quot;$&quot;\ * &quot;-&quot;??_-;_-@_-"/>
    <numFmt numFmtId="168" formatCode="0.0%"/>
    <numFmt numFmtId="169" formatCode="_-* #,##0.0_-;\-* #,##0.0_-;_-* &quot;-&quot;_-;_-@"/>
    <numFmt numFmtId="170" formatCode="0.000%"/>
    <numFmt numFmtId="171" formatCode="&quot;$&quot;\ #,##0_);[Red]\(&quot;$&quot;\ #,##0\)"/>
    <numFmt numFmtId="172" formatCode="_-* #,##0_-;\-* #,##0_-;_-* &quot;-&quot;_-;_-@"/>
    <numFmt numFmtId="173" formatCode="_-* #,##0.00_-;\-* #,##0.00_-;_-* &quot;-&quot;_-;_-@"/>
    <numFmt numFmtId="174" formatCode="_-* #,##0.00_-;\-* #,##0.00_-;_-* &quot;-&quot;??_-;_-@"/>
    <numFmt numFmtId="175" formatCode="_-* #,##0.0000_-;\-* #,##0.0000_-;_-* &quot;-&quot;_-;_-@"/>
    <numFmt numFmtId="176" formatCode="_-* #,##0.000_-;\-* #,##0.000_-;_-* &quot;-&quot;_-;_-@"/>
    <numFmt numFmtId="177" formatCode="0.0"/>
    <numFmt numFmtId="178" formatCode="#,##0.0"/>
    <numFmt numFmtId="179" formatCode="#,##0.000"/>
    <numFmt numFmtId="180" formatCode="_-* #,##0_-;\-* #,##0_-;_-* &quot;-&quot;??_-;_-@"/>
    <numFmt numFmtId="181" formatCode="_-&quot;$&quot;\ * #,##0_-;\-&quot;$&quot;\ * #,##0_-;_-&quot;$&quot;\ * &quot;-&quot;_-;_-@"/>
    <numFmt numFmtId="182" formatCode="0.0000"/>
    <numFmt numFmtId="183" formatCode="_-* #,##0.0_-;\-* #,##0.0_-;_-* &quot;-&quot;_-;_-@_-"/>
    <numFmt numFmtId="184" formatCode="_-* #,##0.00_-;\-* #,##0.00_-;_-* &quot;-&quot;_-;_-@_-"/>
    <numFmt numFmtId="185" formatCode="_-* #,##0.000_-;\-* #,##0.000_-;_-* &quot;-&quot;??_-;_-@_-"/>
    <numFmt numFmtId="186" formatCode="_-* #,##0.0000_-;\-* #,##0.0000_-;_-* &quot;-&quot;??_-;_-@_-"/>
    <numFmt numFmtId="187" formatCode="#,##0.0000"/>
    <numFmt numFmtId="188" formatCode="_-* #,##0_-;\-* #,##0_-;_-* &quot;-&quot;??_-;_-@_-"/>
    <numFmt numFmtId="189" formatCode="_-&quot;$&quot;\ * #,##0_-;\-&quot;$&quot;\ * #,##0_-;_-&quot;$&quot;\ * &quot;-&quot;??_-;_-@_-"/>
  </numFmts>
  <fonts count="142" x14ac:knownFonts="1">
    <font>
      <sz val="11"/>
      <color theme="1"/>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b/>
      <sz val="20"/>
      <color theme="1"/>
      <name val="Arial"/>
      <family val="2"/>
    </font>
    <font>
      <b/>
      <sz val="20"/>
      <color rgb="FFFF0000"/>
      <name val="Arial"/>
      <family val="2"/>
    </font>
    <font>
      <b/>
      <sz val="20"/>
      <color theme="1"/>
      <name val="Calibri"/>
      <family val="2"/>
    </font>
    <font>
      <sz val="11"/>
      <color theme="1"/>
      <name val="Calibri"/>
      <family val="2"/>
    </font>
    <font>
      <sz val="18"/>
      <color theme="1"/>
      <name val="Calibri"/>
      <family val="2"/>
    </font>
    <font>
      <b/>
      <sz val="11"/>
      <color theme="1"/>
      <name val="Calibri"/>
      <family val="2"/>
    </font>
    <font>
      <sz val="11"/>
      <name val="Arial"/>
      <family val="2"/>
    </font>
    <font>
      <b/>
      <sz val="6"/>
      <color theme="1"/>
      <name val="Arial"/>
      <family val="2"/>
    </font>
    <font>
      <b/>
      <sz val="6"/>
      <color theme="1"/>
      <name val="Calibri"/>
      <family val="2"/>
    </font>
    <font>
      <b/>
      <sz val="6"/>
      <color rgb="FF44546A"/>
      <name val="Arial"/>
      <family val="2"/>
    </font>
    <font>
      <b/>
      <sz val="6"/>
      <color rgb="FFFF0000"/>
      <name val="Arial"/>
      <family val="2"/>
    </font>
    <font>
      <sz val="6"/>
      <color theme="1"/>
      <name val="Calibri"/>
      <family val="2"/>
    </font>
    <font>
      <sz val="6"/>
      <color theme="1"/>
      <name val="Arial"/>
      <family val="2"/>
    </font>
    <font>
      <sz val="7"/>
      <color theme="1"/>
      <name val="Calibri"/>
      <family val="2"/>
    </font>
    <font>
      <strike/>
      <sz val="6"/>
      <color theme="1"/>
      <name val="Arial"/>
      <family val="2"/>
    </font>
    <font>
      <sz val="6"/>
      <color rgb="FFFF0000"/>
      <name val="Arial"/>
      <family val="2"/>
    </font>
    <font>
      <u/>
      <sz val="6"/>
      <color theme="1"/>
      <name val="Arial"/>
      <family val="2"/>
    </font>
    <font>
      <b/>
      <sz val="6"/>
      <color rgb="FF000000"/>
      <name val="Arial"/>
      <family val="2"/>
    </font>
    <font>
      <sz val="6"/>
      <color theme="1"/>
      <name val="Times New Roman"/>
      <family val="1"/>
    </font>
    <font>
      <b/>
      <sz val="6"/>
      <color rgb="FF00B050"/>
      <name val="Calibri"/>
      <family val="2"/>
    </font>
    <font>
      <sz val="6"/>
      <color rgb="FF00B050"/>
      <name val="Calibri"/>
      <family val="2"/>
    </font>
    <font>
      <sz val="6"/>
      <color rgb="FF000000"/>
      <name val="Arial"/>
      <family val="2"/>
    </font>
    <font>
      <b/>
      <sz val="6"/>
      <color rgb="FF000000"/>
      <name val="Calibri"/>
      <family val="2"/>
    </font>
    <font>
      <b/>
      <sz val="7"/>
      <color theme="1"/>
      <name val="Arial"/>
      <family val="2"/>
    </font>
    <font>
      <b/>
      <sz val="7"/>
      <color theme="1"/>
      <name val="Calibri"/>
      <family val="2"/>
    </font>
    <font>
      <b/>
      <sz val="7"/>
      <color rgb="FF000000"/>
      <name val="Calibri"/>
      <family val="2"/>
    </font>
    <font>
      <sz val="7"/>
      <color theme="1"/>
      <name val="Arial"/>
      <family val="2"/>
    </font>
    <font>
      <sz val="7"/>
      <color rgb="FF000000"/>
      <name val="Calibri"/>
      <family val="2"/>
    </font>
    <font>
      <b/>
      <sz val="7"/>
      <color rgb="FF000000"/>
      <name val="Arial"/>
      <family val="2"/>
    </font>
    <font>
      <sz val="7"/>
      <color rgb="FF00B050"/>
      <name val="Calibri"/>
      <family val="2"/>
    </font>
    <font>
      <b/>
      <sz val="7"/>
      <color rgb="FF00B050"/>
      <name val="Calibri"/>
      <family val="2"/>
    </font>
    <font>
      <sz val="7"/>
      <color theme="1"/>
      <name val="Arial Narrow"/>
      <family val="2"/>
    </font>
    <font>
      <sz val="7"/>
      <color rgb="FF00B050"/>
      <name val="Arial Narrow"/>
      <family val="2"/>
    </font>
    <font>
      <b/>
      <sz val="8"/>
      <color theme="1"/>
      <name val="Arial"/>
      <family val="2"/>
    </font>
    <font>
      <b/>
      <sz val="11"/>
      <color theme="1"/>
      <name val="Arial"/>
      <family val="2"/>
    </font>
    <font>
      <b/>
      <sz val="9"/>
      <color theme="1"/>
      <name val="Arial"/>
      <family val="2"/>
    </font>
    <font>
      <sz val="11"/>
      <color theme="1"/>
      <name val="Arial"/>
      <family val="2"/>
    </font>
    <font>
      <b/>
      <sz val="8"/>
      <color rgb="FF000000"/>
      <name val="Arial"/>
      <family val="2"/>
    </font>
    <font>
      <sz val="11"/>
      <color rgb="FF000000"/>
      <name val="Arial"/>
      <family val="2"/>
    </font>
    <font>
      <sz val="9"/>
      <color theme="1"/>
      <name val="Arial"/>
      <family val="2"/>
    </font>
    <font>
      <sz val="8"/>
      <color theme="1"/>
      <name val="Arial"/>
      <family val="2"/>
    </font>
    <font>
      <sz val="6"/>
      <color rgb="FF000000"/>
      <name val="Calibri"/>
      <family val="2"/>
    </font>
    <font>
      <b/>
      <sz val="9"/>
      <color theme="1"/>
      <name val="Calibri"/>
      <family val="2"/>
    </font>
    <font>
      <b/>
      <sz val="5"/>
      <color theme="1"/>
      <name val="Arial"/>
      <family val="2"/>
    </font>
    <font>
      <b/>
      <sz val="5"/>
      <color theme="1"/>
      <name val="Calibri"/>
      <family val="2"/>
    </font>
    <font>
      <b/>
      <sz val="5"/>
      <color rgb="FFFF0000"/>
      <name val="Arial"/>
      <family val="2"/>
    </font>
    <font>
      <sz val="9"/>
      <color theme="1"/>
      <name val="Calibri"/>
      <family val="2"/>
    </font>
    <font>
      <sz val="11"/>
      <color rgb="FFFF0000"/>
      <name val="Calibri"/>
      <family val="2"/>
    </font>
    <font>
      <b/>
      <sz val="11"/>
      <color theme="0"/>
      <name val="Arial"/>
      <family val="2"/>
    </font>
    <font>
      <sz val="11"/>
      <color rgb="FFFF0000"/>
      <name val="Arial"/>
      <family val="2"/>
    </font>
    <font>
      <sz val="11"/>
      <color theme="0"/>
      <name val="Arial"/>
      <family val="2"/>
    </font>
    <font>
      <sz val="11"/>
      <color rgb="FFFFFFFF"/>
      <name val="Arial"/>
      <family val="2"/>
    </font>
    <font>
      <b/>
      <sz val="24"/>
      <color theme="1"/>
      <name val="Calibri"/>
      <family val="2"/>
    </font>
    <font>
      <b/>
      <sz val="15"/>
      <color theme="1"/>
      <name val="Calibri"/>
      <family val="2"/>
    </font>
    <font>
      <b/>
      <sz val="21"/>
      <color theme="1"/>
      <name val="Calibri"/>
      <family val="2"/>
    </font>
    <font>
      <b/>
      <sz val="25"/>
      <color theme="1"/>
      <name val="Calibri"/>
      <family val="2"/>
    </font>
    <font>
      <b/>
      <sz val="18"/>
      <color theme="1"/>
      <name val="Calibri"/>
      <family val="2"/>
    </font>
    <font>
      <sz val="10"/>
      <color theme="1"/>
      <name val="Arial"/>
      <family val="2"/>
    </font>
    <font>
      <sz val="10"/>
      <color rgb="FF33CC33"/>
      <name val="Arial"/>
      <family val="2"/>
    </font>
    <font>
      <b/>
      <sz val="14"/>
      <color rgb="FF0070C0"/>
      <name val="Arial"/>
      <family val="2"/>
    </font>
    <font>
      <sz val="14"/>
      <color theme="1"/>
      <name val="Arial"/>
      <family val="2"/>
    </font>
    <font>
      <b/>
      <sz val="10"/>
      <color rgb="FF000000"/>
      <name val="Arial Narrow"/>
      <family val="2"/>
    </font>
    <font>
      <b/>
      <sz val="12"/>
      <color rgb="FF000000"/>
      <name val="Calibri"/>
      <family val="2"/>
    </font>
    <font>
      <sz val="12"/>
      <color rgb="FF000000"/>
      <name val="Calibri"/>
      <family val="2"/>
    </font>
    <font>
      <sz val="10"/>
      <color rgb="FF000000"/>
      <name val="Arial Narrow"/>
      <family val="2"/>
    </font>
    <font>
      <sz val="6"/>
      <color rgb="FF0070C0"/>
      <name val="Arial"/>
      <family val="2"/>
    </font>
    <font>
      <sz val="7"/>
      <color theme="1"/>
      <name val="Calibri Light"/>
      <family val="2"/>
    </font>
    <font>
      <sz val="11"/>
      <color theme="1"/>
      <name val="Arial"/>
      <family val="2"/>
      <scheme val="minor"/>
    </font>
    <font>
      <sz val="8"/>
      <color theme="1"/>
      <name val="Arial"/>
      <family val="2"/>
      <scheme val="minor"/>
    </font>
    <font>
      <sz val="7"/>
      <color theme="1"/>
      <name val="Arial"/>
      <family val="2"/>
    </font>
    <font>
      <sz val="7"/>
      <name val="Calibri"/>
      <family val="2"/>
    </font>
    <font>
      <b/>
      <sz val="7"/>
      <name val="Calibri"/>
      <family val="2"/>
    </font>
    <font>
      <sz val="7"/>
      <name val="Arial Narrow"/>
      <family val="2"/>
    </font>
    <font>
      <sz val="7"/>
      <name val="Arial"/>
      <family val="2"/>
      <scheme val="minor"/>
    </font>
    <font>
      <sz val="8"/>
      <color theme="1"/>
      <name val="Arial"/>
      <family val="2"/>
    </font>
    <font>
      <b/>
      <sz val="8"/>
      <color theme="1"/>
      <name val="Arial"/>
      <family val="2"/>
    </font>
    <font>
      <sz val="8"/>
      <color rgb="FF000000"/>
      <name val="Arial"/>
      <family val="2"/>
    </font>
    <font>
      <sz val="8"/>
      <color theme="1"/>
      <name val="Calibri"/>
      <family val="2"/>
    </font>
    <font>
      <b/>
      <sz val="7"/>
      <color theme="1"/>
      <name val="Arial"/>
      <family val="2"/>
    </font>
    <font>
      <b/>
      <sz val="7"/>
      <color rgb="FFFF0000"/>
      <name val="Arial"/>
      <family val="2"/>
    </font>
    <font>
      <b/>
      <sz val="7"/>
      <color rgb="FF000000"/>
      <name val="Arial"/>
      <family val="2"/>
    </font>
    <font>
      <sz val="7"/>
      <color theme="1"/>
      <name val="Arial"/>
      <family val="2"/>
      <scheme val="minor"/>
    </font>
    <font>
      <b/>
      <sz val="6"/>
      <color theme="3"/>
      <name val="Calibri"/>
      <family val="2"/>
    </font>
    <font>
      <sz val="6"/>
      <color rgb="FF00B050"/>
      <name val="Calibri"/>
      <family val="2"/>
    </font>
    <font>
      <b/>
      <sz val="6"/>
      <color theme="1"/>
      <name val="Calibri"/>
      <family val="2"/>
    </font>
    <font>
      <sz val="6"/>
      <color theme="1"/>
      <name val="Calibri"/>
      <family val="2"/>
    </font>
    <font>
      <b/>
      <sz val="7"/>
      <color theme="1"/>
      <name val="Calibri"/>
      <family val="2"/>
    </font>
    <font>
      <sz val="7"/>
      <color theme="1"/>
      <name val="Calibri"/>
      <family val="2"/>
    </font>
    <font>
      <b/>
      <sz val="7"/>
      <color rgb="FF00B050"/>
      <name val="Calibri"/>
      <family val="2"/>
    </font>
    <font>
      <b/>
      <sz val="7"/>
      <color theme="3"/>
      <name val="Calibri"/>
      <family val="2"/>
    </font>
    <font>
      <b/>
      <sz val="14"/>
      <color theme="1"/>
      <name val="Arial"/>
      <family val="2"/>
    </font>
    <font>
      <b/>
      <sz val="11"/>
      <color theme="1"/>
      <name val="Arial"/>
      <family val="2"/>
    </font>
    <font>
      <b/>
      <sz val="11"/>
      <color theme="1"/>
      <name val="Calibri"/>
      <family val="2"/>
    </font>
    <font>
      <b/>
      <sz val="14"/>
      <color rgb="FF0070C0"/>
      <name val="Arial"/>
      <family val="2"/>
    </font>
    <font>
      <sz val="4"/>
      <color theme="1"/>
      <name val="Calibri"/>
      <family val="2"/>
    </font>
    <font>
      <sz val="6"/>
      <color rgb="FFFF0000"/>
      <name val="Calibri"/>
      <family val="2"/>
    </font>
    <font>
      <b/>
      <sz val="15"/>
      <color theme="1"/>
      <name val="Calibri"/>
      <family val="2"/>
    </font>
    <font>
      <sz val="11"/>
      <color rgb="FFFF0000"/>
      <name val="Arial"/>
      <family val="2"/>
      <scheme val="minor"/>
    </font>
    <font>
      <sz val="11"/>
      <color theme="2"/>
      <name val="Arial"/>
      <family val="2"/>
    </font>
    <font>
      <sz val="11"/>
      <color theme="1"/>
      <name val="Arial"/>
      <family val="2"/>
      <scheme val="minor"/>
    </font>
    <font>
      <sz val="7"/>
      <name val="Arial"/>
      <family val="2"/>
    </font>
    <font>
      <sz val="5"/>
      <color theme="1"/>
      <name val="Calibri"/>
      <family val="2"/>
    </font>
    <font>
      <sz val="11"/>
      <color theme="0"/>
      <name val="Arial"/>
      <family val="2"/>
      <scheme val="minor"/>
    </font>
    <font>
      <b/>
      <sz val="50"/>
      <color theme="1"/>
      <name val="Calibri"/>
      <family val="2"/>
    </font>
    <font>
      <b/>
      <sz val="50"/>
      <color theme="1"/>
      <name val="Arial"/>
      <family val="2"/>
    </font>
    <font>
      <b/>
      <sz val="6.5"/>
      <color theme="1"/>
      <name val="Arial"/>
      <family val="2"/>
    </font>
    <font>
      <sz val="6.5"/>
      <color theme="1"/>
      <name val="Calibri"/>
      <family val="2"/>
    </font>
    <font>
      <b/>
      <sz val="6.5"/>
      <color theme="1"/>
      <name val="Calibri"/>
      <family val="2"/>
    </font>
    <font>
      <b/>
      <sz val="6.5"/>
      <color rgb="FFFF0000"/>
      <name val="Arial"/>
      <family val="2"/>
    </font>
    <font>
      <sz val="6.5"/>
      <color theme="1"/>
      <name val="Arial"/>
      <family val="2"/>
      <scheme val="minor"/>
    </font>
    <font>
      <b/>
      <sz val="4"/>
      <color theme="1"/>
      <name val="Arial"/>
      <family val="2"/>
    </font>
    <font>
      <b/>
      <sz val="60"/>
      <color theme="1"/>
      <name val="Calibri"/>
      <family val="2"/>
    </font>
    <font>
      <sz val="6"/>
      <color theme="3"/>
      <name val="Arial"/>
      <family val="2"/>
    </font>
    <font>
      <b/>
      <strike/>
      <sz val="6"/>
      <color theme="3"/>
      <name val="Arial"/>
      <family val="2"/>
    </font>
    <font>
      <b/>
      <sz val="6"/>
      <color theme="3"/>
      <name val="Arial"/>
      <family val="2"/>
    </font>
    <font>
      <sz val="6"/>
      <color theme="3"/>
      <name val="Times New Roman"/>
      <family val="1"/>
    </font>
    <font>
      <sz val="6"/>
      <color theme="3"/>
      <name val="Calibri"/>
      <family val="2"/>
    </font>
    <font>
      <sz val="11"/>
      <color theme="3"/>
      <name val="Arial"/>
      <family val="2"/>
      <scheme val="minor"/>
    </font>
    <font>
      <b/>
      <sz val="6.5"/>
      <name val="Calibri"/>
      <family val="2"/>
    </font>
    <font>
      <b/>
      <sz val="7"/>
      <name val="Arial"/>
      <family val="2"/>
    </font>
    <font>
      <sz val="11"/>
      <name val="Arial"/>
      <family val="2"/>
      <scheme val="minor"/>
    </font>
    <font>
      <b/>
      <sz val="11"/>
      <color theme="1"/>
      <name val="Arial"/>
      <family val="2"/>
      <scheme val="minor"/>
    </font>
    <font>
      <sz val="6"/>
      <name val="Calibri"/>
      <family val="2"/>
    </font>
    <font>
      <sz val="11"/>
      <name val="Calibri"/>
      <family val="2"/>
    </font>
    <font>
      <b/>
      <sz val="15"/>
      <name val="Calibri"/>
      <family val="2"/>
    </font>
    <font>
      <sz val="10"/>
      <name val="Arial"/>
      <family val="2"/>
    </font>
    <font>
      <b/>
      <sz val="24"/>
      <name val="Calibri"/>
      <family val="2"/>
    </font>
    <font>
      <b/>
      <sz val="11"/>
      <name val="Calibri"/>
      <family val="2"/>
    </font>
    <font>
      <b/>
      <sz val="25"/>
      <name val="Calibri"/>
      <family val="2"/>
    </font>
    <font>
      <b/>
      <sz val="18"/>
      <name val="Calibri"/>
      <family val="2"/>
    </font>
    <font>
      <sz val="11"/>
      <color theme="1"/>
      <name val="Arial"/>
      <family val="2"/>
      <scheme val="major"/>
    </font>
    <font>
      <b/>
      <sz val="11"/>
      <name val="Arial"/>
      <family val="2"/>
    </font>
    <font>
      <b/>
      <sz val="14"/>
      <color theme="4"/>
      <name val="Arial"/>
      <family val="2"/>
    </font>
    <font>
      <sz val="6"/>
      <color theme="1"/>
      <name val="Arial"/>
      <family val="2"/>
      <scheme val="minor"/>
    </font>
    <font>
      <b/>
      <sz val="12"/>
      <color theme="1"/>
      <name val="Calibri"/>
      <family val="2"/>
    </font>
    <font>
      <sz val="11"/>
      <color rgb="FF00B050"/>
      <name val="Arial"/>
      <family val="2"/>
      <scheme val="minor"/>
    </font>
    <font>
      <sz val="9"/>
      <color theme="1"/>
      <name val="Arial"/>
      <family val="2"/>
      <scheme val="minor"/>
    </font>
  </fonts>
  <fills count="82">
    <fill>
      <patternFill patternType="none"/>
    </fill>
    <fill>
      <patternFill patternType="gray125"/>
    </fill>
    <fill>
      <patternFill patternType="solid">
        <fgColor rgb="FFD0CECE"/>
        <bgColor rgb="FFD0CECE"/>
      </patternFill>
    </fill>
    <fill>
      <patternFill patternType="solid">
        <fgColor rgb="FF8EAADB"/>
        <bgColor rgb="FF8EAADB"/>
      </patternFill>
    </fill>
    <fill>
      <patternFill patternType="solid">
        <fgColor rgb="FFA8D08D"/>
        <bgColor rgb="FFA8D08D"/>
      </patternFill>
    </fill>
    <fill>
      <patternFill patternType="solid">
        <fgColor rgb="FFFBE4D5"/>
        <bgColor rgb="FFFBE4D5"/>
      </patternFill>
    </fill>
    <fill>
      <patternFill patternType="solid">
        <fgColor rgb="FFFFFF00"/>
        <bgColor rgb="FFFFFF00"/>
      </patternFill>
    </fill>
    <fill>
      <patternFill patternType="solid">
        <fgColor rgb="FFFFC000"/>
        <bgColor rgb="FFFFC000"/>
      </patternFill>
    </fill>
    <fill>
      <patternFill patternType="solid">
        <fgColor rgb="FFFF0000"/>
        <bgColor rgb="FFFF0000"/>
      </patternFill>
    </fill>
    <fill>
      <patternFill patternType="solid">
        <fgColor rgb="FFB4C6E7"/>
        <bgColor rgb="FFB4C6E7"/>
      </patternFill>
    </fill>
    <fill>
      <patternFill patternType="solid">
        <fgColor rgb="FFC5E0B3"/>
        <bgColor rgb="FFC5E0B3"/>
      </patternFill>
    </fill>
    <fill>
      <patternFill patternType="solid">
        <fgColor theme="8"/>
        <bgColor theme="8"/>
      </patternFill>
    </fill>
    <fill>
      <patternFill patternType="solid">
        <fgColor rgb="FF92D050"/>
        <bgColor rgb="FF92D050"/>
      </patternFill>
    </fill>
    <fill>
      <patternFill patternType="solid">
        <fgColor rgb="FF00B050"/>
        <bgColor rgb="FF00B050"/>
      </patternFill>
    </fill>
    <fill>
      <patternFill patternType="solid">
        <fgColor theme="0"/>
        <bgColor theme="0"/>
      </patternFill>
    </fill>
    <fill>
      <patternFill patternType="solid">
        <fgColor rgb="FF00FFFF"/>
        <bgColor rgb="FF00FFFF"/>
      </patternFill>
    </fill>
    <fill>
      <patternFill patternType="solid">
        <fgColor rgb="FF7030A0"/>
        <bgColor rgb="FF7030A0"/>
      </patternFill>
    </fill>
    <fill>
      <patternFill patternType="solid">
        <fgColor rgb="FF00B0F0"/>
        <bgColor rgb="FF00B0F0"/>
      </patternFill>
    </fill>
    <fill>
      <patternFill patternType="solid">
        <fgColor rgb="FFF4B083"/>
        <bgColor rgb="FFF4B083"/>
      </patternFill>
    </fill>
    <fill>
      <patternFill patternType="solid">
        <fgColor rgb="FFFFD965"/>
        <bgColor rgb="FFFFD965"/>
      </patternFill>
    </fill>
    <fill>
      <patternFill patternType="solid">
        <fgColor rgb="FFFEF2CB"/>
        <bgColor rgb="FFFEF2CB"/>
      </patternFill>
    </fill>
    <fill>
      <patternFill patternType="solid">
        <fgColor rgb="FFF7CAAC"/>
        <bgColor rgb="FFF7CAAC"/>
      </patternFill>
    </fill>
    <fill>
      <patternFill patternType="solid">
        <fgColor rgb="FFFFFFFF"/>
        <bgColor rgb="FFFFFFFF"/>
      </patternFill>
    </fill>
    <fill>
      <patternFill patternType="solid">
        <fgColor rgb="FFADB9CA"/>
        <bgColor rgb="FFADB9CA"/>
      </patternFill>
    </fill>
    <fill>
      <patternFill patternType="solid">
        <fgColor rgb="FFFFF2CC"/>
        <bgColor rgb="FFFFF2CC"/>
      </patternFill>
    </fill>
    <fill>
      <patternFill patternType="solid">
        <fgColor rgb="FFF26640"/>
        <bgColor rgb="FFF26640"/>
      </patternFill>
    </fill>
    <fill>
      <patternFill patternType="solid">
        <fgColor theme="7"/>
        <bgColor theme="7"/>
      </patternFill>
    </fill>
    <fill>
      <patternFill patternType="solid">
        <fgColor rgb="FFFCE5CD"/>
        <bgColor rgb="FFFCE5CD"/>
      </patternFill>
    </fill>
    <fill>
      <patternFill patternType="solid">
        <fgColor rgb="FFE69ACD"/>
        <bgColor rgb="FFE69ACD"/>
      </patternFill>
    </fill>
    <fill>
      <patternFill patternType="solid">
        <fgColor rgb="FFDEEAF6"/>
        <bgColor rgb="FFDEEAF6"/>
      </patternFill>
    </fill>
    <fill>
      <patternFill patternType="solid">
        <fgColor rgb="FFD9E2F3"/>
        <bgColor rgb="FFD9E2F3"/>
      </patternFill>
    </fill>
    <fill>
      <patternFill patternType="solid">
        <fgColor rgb="FFF2F2F2"/>
        <bgColor rgb="FFF2F2F2"/>
      </patternFill>
    </fill>
    <fill>
      <patternFill patternType="solid">
        <fgColor rgb="FFFFFF66"/>
        <bgColor rgb="FFFFFF66"/>
      </patternFill>
    </fill>
    <fill>
      <patternFill patternType="solid">
        <fgColor rgb="FFD8D8D8"/>
        <bgColor rgb="FFD8D8D8"/>
      </patternFill>
    </fill>
    <fill>
      <patternFill patternType="solid">
        <fgColor rgb="FFAEABAB"/>
        <bgColor rgb="FFAEABAB"/>
      </patternFill>
    </fill>
    <fill>
      <patternFill patternType="solid">
        <fgColor rgb="FF33CC33"/>
        <bgColor rgb="FF33CC33"/>
      </patternFill>
    </fill>
    <fill>
      <patternFill patternType="solid">
        <fgColor rgb="FFFFFF00"/>
        <bgColor indexed="64"/>
      </patternFill>
    </fill>
    <fill>
      <patternFill patternType="solid">
        <fgColor rgb="FFFFFF00"/>
        <bgColor theme="0"/>
      </patternFill>
    </fill>
    <fill>
      <patternFill patternType="solid">
        <fgColor rgb="FF00B050"/>
        <bgColor indexed="64"/>
      </patternFill>
    </fill>
    <fill>
      <patternFill patternType="solid">
        <fgColor theme="5" tint="0.59999389629810485"/>
        <bgColor indexed="64"/>
      </patternFill>
    </fill>
    <fill>
      <patternFill patternType="solid">
        <fgColor theme="5" tint="0.59999389629810485"/>
        <bgColor rgb="FFFBE4D5"/>
      </patternFill>
    </fill>
    <fill>
      <patternFill patternType="solid">
        <fgColor theme="5" tint="0.79998168889431442"/>
        <bgColor indexed="64"/>
      </patternFill>
    </fill>
    <fill>
      <patternFill patternType="solid">
        <fgColor theme="5" tint="0.79998168889431442"/>
        <bgColor rgb="FFFBE4D5"/>
      </patternFill>
    </fill>
    <fill>
      <patternFill patternType="solid">
        <fgColor theme="5" tint="0.79998168889431442"/>
        <bgColor rgb="FFFCE5CD"/>
      </patternFill>
    </fill>
    <fill>
      <patternFill patternType="solid">
        <fgColor theme="0"/>
        <bgColor indexed="64"/>
      </patternFill>
    </fill>
    <fill>
      <patternFill patternType="solid">
        <fgColor theme="5" tint="0.79998168889431442"/>
        <bgColor rgb="FFFFF2CC"/>
      </patternFill>
    </fill>
    <fill>
      <patternFill patternType="solid">
        <fgColor theme="2"/>
        <bgColor indexed="64"/>
      </patternFill>
    </fill>
    <fill>
      <patternFill patternType="solid">
        <fgColor rgb="FFFFFF00"/>
        <bgColor rgb="FF00B050"/>
      </patternFill>
    </fill>
    <fill>
      <patternFill patternType="solid">
        <fgColor rgb="FFFF0000"/>
        <bgColor indexed="64"/>
      </patternFill>
    </fill>
    <fill>
      <patternFill patternType="solid">
        <fgColor rgb="FFFF0000"/>
        <bgColor rgb="FFFBE4D5"/>
      </patternFill>
    </fill>
    <fill>
      <patternFill patternType="solid">
        <fgColor rgb="FF00B050"/>
        <bgColor rgb="FFFFD965"/>
      </patternFill>
    </fill>
    <fill>
      <patternFill patternType="solid">
        <fgColor rgb="FFFF0000"/>
        <bgColor theme="0"/>
      </patternFill>
    </fill>
    <fill>
      <patternFill patternType="solid">
        <fgColor rgb="FF92D050"/>
        <bgColor rgb="FFD0CECE"/>
      </patternFill>
    </fill>
    <fill>
      <patternFill patternType="solid">
        <fgColor rgb="FF92D050"/>
        <bgColor rgb="FFFFC000"/>
      </patternFill>
    </fill>
    <fill>
      <patternFill patternType="solid">
        <fgColor rgb="FF92D050"/>
        <bgColor rgb="FFBFBFBF"/>
      </patternFill>
    </fill>
    <fill>
      <patternFill patternType="solid">
        <fgColor rgb="FF92D050"/>
        <bgColor rgb="FFFF0000"/>
      </patternFill>
    </fill>
    <fill>
      <patternFill patternType="solid">
        <fgColor rgb="FF92D050"/>
        <bgColor rgb="FFFFFF00"/>
      </patternFill>
    </fill>
    <fill>
      <patternFill patternType="solid">
        <fgColor rgb="FF92D050"/>
        <bgColor theme="8"/>
      </patternFill>
    </fill>
    <fill>
      <patternFill patternType="solid">
        <fgColor rgb="FF92D050"/>
        <bgColor indexed="64"/>
      </patternFill>
    </fill>
    <fill>
      <patternFill patternType="solid">
        <fgColor theme="9" tint="0.39997558519241921"/>
        <bgColor rgb="FFD0CECE"/>
      </patternFill>
    </fill>
    <fill>
      <patternFill patternType="solid">
        <fgColor theme="9" tint="0.39997558519241921"/>
        <bgColor rgb="FFFFC000"/>
      </patternFill>
    </fill>
    <fill>
      <patternFill patternType="solid">
        <fgColor theme="9" tint="0.39997558519241921"/>
        <bgColor rgb="FF00B0F0"/>
      </patternFill>
    </fill>
    <fill>
      <patternFill patternType="solid">
        <fgColor theme="9" tint="0.39997558519241921"/>
        <bgColor rgb="FFF4B083"/>
      </patternFill>
    </fill>
    <fill>
      <patternFill patternType="solid">
        <fgColor theme="9" tint="0.39997558519241921"/>
        <bgColor rgb="FF92D050"/>
      </patternFill>
    </fill>
    <fill>
      <patternFill patternType="solid">
        <fgColor theme="9" tint="0.39997558519241921"/>
        <bgColor theme="0"/>
      </patternFill>
    </fill>
    <fill>
      <patternFill patternType="solid">
        <fgColor theme="9" tint="0.39997558519241921"/>
        <bgColor rgb="FF00B050"/>
      </patternFill>
    </fill>
    <fill>
      <patternFill patternType="solid">
        <fgColor theme="9" tint="0.39997558519241921"/>
        <bgColor rgb="FFBFBFBF"/>
      </patternFill>
    </fill>
    <fill>
      <patternFill patternType="solid">
        <fgColor theme="9" tint="0.39997558519241921"/>
        <bgColor indexed="64"/>
      </patternFill>
    </fill>
    <fill>
      <patternFill patternType="solid">
        <fgColor theme="9" tint="0.39997558519241921"/>
        <bgColor rgb="FFFF0000"/>
      </patternFill>
    </fill>
    <fill>
      <patternFill patternType="solid">
        <fgColor theme="9" tint="0.39997558519241921"/>
        <bgColor rgb="FFFFFF00"/>
      </patternFill>
    </fill>
    <fill>
      <patternFill patternType="solid">
        <fgColor theme="9" tint="0.39997558519241921"/>
        <bgColor theme="8"/>
      </patternFill>
    </fill>
    <fill>
      <patternFill patternType="solid">
        <fgColor theme="7"/>
        <bgColor rgb="FFFFFF00"/>
      </patternFill>
    </fill>
    <fill>
      <patternFill patternType="solid">
        <fgColor theme="2"/>
        <bgColor rgb="FFF4B083"/>
      </patternFill>
    </fill>
    <fill>
      <patternFill patternType="solid">
        <fgColor theme="4" tint="-0.249977111117893"/>
        <bgColor rgb="FFAEABAB"/>
      </patternFill>
    </fill>
    <fill>
      <patternFill patternType="solid">
        <fgColor theme="4" tint="-0.249977111117893"/>
        <bgColor indexed="64"/>
      </patternFill>
    </fill>
    <fill>
      <patternFill patternType="solid">
        <fgColor theme="5" tint="-0.249977111117893"/>
        <bgColor rgb="FF92D050"/>
      </patternFill>
    </fill>
    <fill>
      <patternFill patternType="solid">
        <fgColor theme="5" tint="-0.249977111117893"/>
        <bgColor theme="0"/>
      </patternFill>
    </fill>
    <fill>
      <patternFill patternType="solid">
        <fgColor rgb="FF00B050"/>
        <bgColor rgb="FFFFFF00"/>
      </patternFill>
    </fill>
    <fill>
      <patternFill patternType="solid">
        <fgColor rgb="FFFFFF00"/>
        <bgColor rgb="FFFF0000"/>
      </patternFill>
    </fill>
    <fill>
      <patternFill patternType="solid">
        <fgColor rgb="FFFF0000"/>
        <bgColor rgb="FFFFFF00"/>
      </patternFill>
    </fill>
    <fill>
      <patternFill patternType="solid">
        <fgColor rgb="FFFF0000"/>
        <bgColor rgb="FF00B050"/>
      </patternFill>
    </fill>
    <fill>
      <patternFill patternType="solid">
        <fgColor rgb="FF00B050"/>
        <bgColor rgb="FFFF0000"/>
      </patternFill>
    </fill>
  </fills>
  <borders count="105">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bottom/>
      <diagonal/>
    </border>
    <border>
      <left style="thin">
        <color rgb="FF000000"/>
      </left>
      <right/>
      <top/>
      <bottom/>
      <diagonal/>
    </border>
    <border>
      <left/>
      <right style="thin">
        <color rgb="FF000000"/>
      </right>
      <top style="thin">
        <color rgb="FF000000"/>
      </top>
      <bottom/>
      <diagonal/>
    </border>
    <border>
      <left/>
      <right style="thin">
        <color rgb="FF000000"/>
      </right>
      <top/>
      <bottom/>
      <diagonal/>
    </border>
    <border>
      <left/>
      <right/>
      <top style="thin">
        <color rgb="FF000000"/>
      </top>
      <bottom/>
      <diagonal/>
    </border>
    <border>
      <left/>
      <right/>
      <top style="thin">
        <color rgb="FF000000"/>
      </top>
      <bottom/>
      <diagonal/>
    </border>
    <border>
      <left/>
      <right/>
      <top style="thin">
        <color rgb="FF000000"/>
      </top>
      <bottom/>
      <diagonal/>
    </border>
    <border>
      <left/>
      <right style="thin">
        <color rgb="FF000000"/>
      </right>
      <top/>
      <bottom style="thin">
        <color rgb="FF000000"/>
      </bottom>
      <diagonal/>
    </border>
    <border>
      <left/>
      <right/>
      <top style="medium">
        <color rgb="FF000000"/>
      </top>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style="thin">
        <color rgb="FF000000"/>
      </bottom>
      <diagonal/>
    </border>
    <border>
      <left style="thin">
        <color rgb="FF000000"/>
      </left>
      <right style="thin">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bottom style="thin">
        <color rgb="FF000000"/>
      </bottom>
      <diagonal/>
    </border>
    <border>
      <left style="medium">
        <color rgb="FF000000"/>
      </left>
      <right/>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rgb="FF000000"/>
      </bottom>
      <diagonal/>
    </border>
    <border>
      <left/>
      <right style="medium">
        <color rgb="FF000000"/>
      </right>
      <top style="medium">
        <color indexed="64"/>
      </top>
      <bottom style="medium">
        <color indexed="64"/>
      </bottom>
      <diagonal/>
    </border>
    <border>
      <left style="medium">
        <color rgb="FF000000"/>
      </left>
      <right/>
      <top/>
      <bottom style="medium">
        <color rgb="FF000000"/>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indexed="64"/>
      </bottom>
      <diagonal/>
    </border>
    <border>
      <left style="medium">
        <color rgb="FF000000"/>
      </left>
      <right/>
      <top/>
      <bottom/>
      <diagonal/>
    </border>
    <border>
      <left/>
      <right style="medium">
        <color indexed="64"/>
      </right>
      <top/>
      <bottom style="medium">
        <color rgb="FF000000"/>
      </bottom>
      <diagonal/>
    </border>
    <border>
      <left/>
      <right style="medium">
        <color indexed="64"/>
      </right>
      <top style="medium">
        <color rgb="FF000000"/>
      </top>
      <bottom style="medium">
        <color indexed="64"/>
      </bottom>
      <diagonal/>
    </border>
    <border>
      <left style="medium">
        <color indexed="64"/>
      </left>
      <right style="medium">
        <color indexed="64"/>
      </right>
      <top style="medium">
        <color indexed="64"/>
      </top>
      <bottom/>
      <diagonal/>
    </border>
    <border>
      <left style="thin">
        <color rgb="FF000000"/>
      </left>
      <right style="thin">
        <color rgb="FF000000"/>
      </right>
      <top style="thin">
        <color rgb="FF000000"/>
      </top>
      <bottom style="thin">
        <color indexed="64"/>
      </bottom>
      <diagonal/>
    </border>
    <border>
      <left/>
      <right/>
      <top style="medium">
        <color indexed="64"/>
      </top>
      <bottom style="medium">
        <color indexed="64"/>
      </bottom>
      <diagonal/>
    </border>
    <border>
      <left style="thin">
        <color rgb="FF000000"/>
      </left>
      <right style="thin">
        <color rgb="FF000000"/>
      </right>
      <top style="thin">
        <color indexed="64"/>
      </top>
      <bottom/>
      <diagonal/>
    </border>
    <border>
      <left/>
      <right style="thin">
        <color rgb="FF000000"/>
      </right>
      <top style="thin">
        <color indexed="64"/>
      </top>
      <bottom/>
      <diagonal/>
    </border>
    <border>
      <left style="medium">
        <color indexed="64"/>
      </left>
      <right style="medium">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diagonal/>
    </border>
    <border>
      <left style="medium">
        <color indexed="64"/>
      </left>
      <right style="medium">
        <color rgb="FF000000"/>
      </right>
      <top style="medium">
        <color rgb="FF000000"/>
      </top>
      <bottom/>
      <diagonal/>
    </border>
    <border>
      <left style="medium">
        <color indexed="64"/>
      </left>
      <right/>
      <top style="medium">
        <color rgb="FF000000"/>
      </top>
      <bottom style="medium">
        <color rgb="FF000000"/>
      </bottom>
      <diagonal/>
    </border>
    <border>
      <left style="medium">
        <color indexed="64"/>
      </left>
      <right style="medium">
        <color rgb="FF000000"/>
      </right>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rgb="FF000000"/>
      </right>
      <top style="medium">
        <color rgb="FF000000"/>
      </top>
      <bottom style="medium">
        <color indexed="64"/>
      </bottom>
      <diagonal/>
    </border>
    <border>
      <left style="medium">
        <color rgb="FF000000"/>
      </left>
      <right style="medium">
        <color rgb="FF000000"/>
      </right>
      <top style="medium">
        <color rgb="FF000000"/>
      </top>
      <bottom style="medium">
        <color indexed="64"/>
      </bottom>
      <diagonal/>
    </border>
    <border>
      <left style="medium">
        <color indexed="64"/>
      </left>
      <right style="thin">
        <color rgb="FF000000"/>
      </right>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right style="medium">
        <color indexed="64"/>
      </right>
      <top style="medium">
        <color indexed="64"/>
      </top>
      <bottom style="medium">
        <color rgb="FF000000"/>
      </bottom>
      <diagonal/>
    </border>
    <border>
      <left/>
      <right style="medium">
        <color indexed="64"/>
      </right>
      <top/>
      <bottom style="thin">
        <color rgb="FF000000"/>
      </bottom>
      <diagonal/>
    </border>
    <border>
      <left style="medium">
        <color indexed="64"/>
      </left>
      <right/>
      <top style="medium">
        <color indexed="64"/>
      </top>
      <bottom/>
      <diagonal/>
    </border>
    <border>
      <left style="medium">
        <color rgb="FF000000"/>
      </left>
      <right style="medium">
        <color rgb="FF000000"/>
      </right>
      <top style="medium">
        <color indexed="64"/>
      </top>
      <bottom/>
      <diagonal/>
    </border>
    <border>
      <left/>
      <right/>
      <top style="medium">
        <color indexed="64"/>
      </top>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top style="thin">
        <color rgb="FF000000"/>
      </top>
      <bottom style="medium">
        <color indexed="64"/>
      </bottom>
      <diagonal/>
    </border>
    <border>
      <left style="medium">
        <color indexed="64"/>
      </left>
      <right style="thin">
        <color rgb="FF000000"/>
      </right>
      <top style="medium">
        <color indexed="64"/>
      </top>
      <bottom style="thin">
        <color rgb="FF000000"/>
      </bottom>
      <diagonal/>
    </border>
    <border>
      <left style="medium">
        <color rgb="FF000000"/>
      </left>
      <right style="medium">
        <color indexed="64"/>
      </right>
      <top style="medium">
        <color indexed="64"/>
      </top>
      <bottom style="medium">
        <color rgb="FF000000"/>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style="medium">
        <color indexed="64"/>
      </bottom>
      <diagonal/>
    </border>
  </borders>
  <cellStyleXfs count="6">
    <xf numFmtId="0" fontId="0" fillId="0" borderId="0"/>
    <xf numFmtId="41" fontId="72" fillId="0" borderId="0" applyFont="0" applyFill="0" applyBorder="0" applyAlignment="0" applyProtection="0"/>
    <xf numFmtId="9" fontId="72" fillId="0" borderId="0" applyFont="0" applyFill="0" applyBorder="0" applyAlignment="0" applyProtection="0"/>
    <xf numFmtId="166" fontId="72" fillId="0" borderId="0" applyFont="0" applyFill="0" applyBorder="0" applyAlignment="0" applyProtection="0"/>
    <xf numFmtId="43" fontId="104" fillId="0" borderId="0" applyFont="0" applyFill="0" applyBorder="0" applyAlignment="0" applyProtection="0"/>
    <xf numFmtId="167" fontId="104" fillId="0" borderId="0" applyFont="0" applyFill="0" applyBorder="0" applyAlignment="0" applyProtection="0"/>
  </cellStyleXfs>
  <cellXfs count="1899">
    <xf numFmtId="0" fontId="0" fillId="0" borderId="0" xfId="0"/>
    <xf numFmtId="0" fontId="5" fillId="2"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6" fillId="9" borderId="1" xfId="0" applyFont="1" applyFill="1" applyBorder="1" applyAlignment="1">
      <alignment horizontal="center" vertical="center" wrapText="1"/>
    </xf>
    <xf numFmtId="0" fontId="6" fillId="10" borderId="1"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6" fillId="11" borderId="1" xfId="0" applyFont="1" applyFill="1" applyBorder="1" applyAlignment="1">
      <alignment horizontal="center" vertical="center" wrapText="1"/>
    </xf>
    <xf numFmtId="0" fontId="8" fillId="0" borderId="0" xfId="0" applyFont="1" applyAlignment="1">
      <alignment vertical="center"/>
    </xf>
    <xf numFmtId="0" fontId="8" fillId="0" borderId="0" xfId="0" applyFont="1" applyAlignment="1">
      <alignment horizontal="center" vertical="center"/>
    </xf>
    <xf numFmtId="0" fontId="8" fillId="0" borderId="0" xfId="0" applyFont="1" applyAlignment="1">
      <alignment horizontal="left" vertical="center"/>
    </xf>
    <xf numFmtId="0" fontId="8" fillId="0" borderId="0" xfId="0" applyFont="1" applyAlignment="1">
      <alignment horizontal="left" vertical="center" wrapText="1"/>
    </xf>
    <xf numFmtId="0" fontId="9" fillId="0" borderId="0" xfId="0" applyFont="1" applyAlignment="1">
      <alignment horizontal="center" vertical="center" wrapText="1"/>
    </xf>
    <xf numFmtId="0" fontId="10" fillId="6" borderId="1" xfId="0" applyFont="1" applyFill="1" applyBorder="1"/>
    <xf numFmtId="0" fontId="10" fillId="6" borderId="1" xfId="0" applyFont="1" applyFill="1" applyBorder="1" applyAlignment="1">
      <alignment horizontal="center" wrapText="1"/>
    </xf>
    <xf numFmtId="0" fontId="10" fillId="6" borderId="1" xfId="0" applyFont="1" applyFill="1" applyBorder="1" applyAlignment="1">
      <alignment horizontal="center"/>
    </xf>
    <xf numFmtId="0" fontId="8" fillId="0" borderId="1" xfId="0" applyFont="1" applyBorder="1" applyAlignment="1">
      <alignment wrapText="1"/>
    </xf>
    <xf numFmtId="165" fontId="8" fillId="0" borderId="1" xfId="0" applyNumberFormat="1" applyFont="1" applyBorder="1" applyAlignment="1">
      <alignment horizontal="center" vertical="center"/>
    </xf>
    <xf numFmtId="168" fontId="10" fillId="0" borderId="1" xfId="0" applyNumberFormat="1" applyFont="1" applyBorder="1" applyAlignment="1">
      <alignment horizontal="center" vertical="center"/>
    </xf>
    <xf numFmtId="0" fontId="10" fillId="0" borderId="1" xfId="0" applyFont="1" applyBorder="1" applyAlignment="1">
      <alignment horizontal="center"/>
    </xf>
    <xf numFmtId="0" fontId="10" fillId="0" borderId="1" xfId="0" applyFont="1" applyBorder="1" applyAlignment="1">
      <alignment horizontal="center" wrapText="1"/>
    </xf>
    <xf numFmtId="0" fontId="10" fillId="0" borderId="1" xfId="0" applyFont="1" applyBorder="1" applyAlignment="1">
      <alignment horizontal="center" vertical="center" wrapText="1"/>
    </xf>
    <xf numFmtId="0" fontId="8" fillId="0" borderId="1" xfId="0" applyFont="1" applyBorder="1"/>
    <xf numFmtId="10" fontId="8" fillId="0" borderId="1" xfId="0" applyNumberFormat="1" applyFont="1" applyBorder="1" applyAlignment="1">
      <alignment horizontal="center" vertical="center"/>
    </xf>
    <xf numFmtId="9" fontId="8" fillId="0" borderId="1" xfId="0" applyNumberFormat="1" applyFont="1" applyBorder="1" applyAlignment="1">
      <alignment horizontal="center" vertical="center"/>
    </xf>
    <xf numFmtId="169" fontId="8" fillId="0" borderId="1" xfId="0" applyNumberFormat="1" applyFont="1" applyBorder="1"/>
    <xf numFmtId="169" fontId="8" fillId="0" borderId="1" xfId="0" applyNumberFormat="1" applyFont="1" applyBorder="1" applyAlignment="1">
      <alignment horizontal="center"/>
    </xf>
    <xf numFmtId="168" fontId="8" fillId="0" borderId="1" xfId="0" applyNumberFormat="1" applyFont="1" applyBorder="1" applyAlignment="1">
      <alignment horizontal="center"/>
    </xf>
    <xf numFmtId="10" fontId="8" fillId="0" borderId="0" xfId="0" applyNumberFormat="1" applyFont="1" applyAlignment="1">
      <alignment horizontal="center"/>
    </xf>
    <xf numFmtId="168" fontId="8" fillId="0" borderId="0" xfId="0" applyNumberFormat="1" applyFont="1"/>
    <xf numFmtId="9" fontId="8" fillId="0" borderId="0" xfId="0" applyNumberFormat="1" applyFont="1"/>
    <xf numFmtId="168" fontId="8" fillId="0" borderId="1" xfId="0" applyNumberFormat="1" applyFont="1" applyBorder="1" applyAlignment="1">
      <alignment horizontal="center" vertical="center"/>
    </xf>
    <xf numFmtId="170" fontId="8" fillId="0" borderId="1" xfId="0" applyNumberFormat="1" applyFont="1" applyBorder="1" applyAlignment="1">
      <alignment horizontal="center"/>
    </xf>
    <xf numFmtId="10" fontId="10" fillId="7" borderId="1" xfId="0" applyNumberFormat="1" applyFont="1" applyFill="1" applyBorder="1" applyAlignment="1">
      <alignment horizontal="center" vertical="center"/>
    </xf>
    <xf numFmtId="10" fontId="8" fillId="0" borderId="1" xfId="0" applyNumberFormat="1" applyFont="1" applyBorder="1"/>
    <xf numFmtId="168" fontId="10" fillId="7" borderId="1" xfId="0" applyNumberFormat="1" applyFont="1" applyFill="1" applyBorder="1" applyAlignment="1">
      <alignment horizontal="center" vertical="center"/>
    </xf>
    <xf numFmtId="10" fontId="8" fillId="0" borderId="0" xfId="0" applyNumberFormat="1" applyFont="1"/>
    <xf numFmtId="0" fontId="10" fillId="7" borderId="1" xfId="0" applyFont="1" applyFill="1" applyBorder="1" applyAlignment="1">
      <alignment horizontal="center"/>
    </xf>
    <xf numFmtId="9" fontId="10" fillId="7" borderId="1" xfId="0" applyNumberFormat="1" applyFont="1" applyFill="1" applyBorder="1" applyAlignment="1">
      <alignment horizontal="center"/>
    </xf>
    <xf numFmtId="0" fontId="8" fillId="0" borderId="1" xfId="0" applyFont="1" applyBorder="1" applyAlignment="1">
      <alignment horizontal="center"/>
    </xf>
    <xf numFmtId="168" fontId="10" fillId="0" borderId="1" xfId="0" applyNumberFormat="1" applyFont="1" applyBorder="1" applyAlignment="1">
      <alignment horizontal="center"/>
    </xf>
    <xf numFmtId="0" fontId="16" fillId="0" borderId="1" xfId="0" applyFont="1" applyBorder="1" applyAlignment="1">
      <alignment vertical="center"/>
    </xf>
    <xf numFmtId="0" fontId="16" fillId="0" borderId="1" xfId="0" applyFont="1" applyBorder="1" applyAlignment="1">
      <alignment horizontal="center" vertical="center"/>
    </xf>
    <xf numFmtId="0" fontId="17" fillId="10" borderId="1" xfId="0" applyFont="1" applyFill="1" applyBorder="1" applyAlignment="1">
      <alignment horizontal="center" vertical="center" wrapText="1"/>
    </xf>
    <xf numFmtId="3" fontId="17" fillId="10" borderId="1" xfId="0" applyNumberFormat="1" applyFont="1" applyFill="1" applyBorder="1" applyAlignment="1">
      <alignment horizontal="center" vertical="center" wrapText="1"/>
    </xf>
    <xf numFmtId="0" fontId="17" fillId="10" borderId="1" xfId="0" applyFont="1" applyFill="1" applyBorder="1" applyAlignment="1">
      <alignment horizontal="left" vertical="center" wrapText="1"/>
    </xf>
    <xf numFmtId="9" fontId="16" fillId="0" borderId="1" xfId="0" applyNumberFormat="1" applyFont="1" applyBorder="1" applyAlignment="1">
      <alignment horizontal="center" vertical="center"/>
    </xf>
    <xf numFmtId="168" fontId="16" fillId="0" borderId="1" xfId="0" applyNumberFormat="1" applyFont="1" applyBorder="1" applyAlignment="1">
      <alignment horizontal="center" vertical="center"/>
    </xf>
    <xf numFmtId="172" fontId="16" fillId="0" borderId="1" xfId="0" applyNumberFormat="1" applyFont="1" applyBorder="1" applyAlignment="1">
      <alignment horizontal="center" vertical="center"/>
    </xf>
    <xf numFmtId="10" fontId="16" fillId="0" borderId="1" xfId="0" applyNumberFormat="1" applyFont="1" applyBorder="1" applyAlignment="1">
      <alignment horizontal="center" vertical="center"/>
    </xf>
    <xf numFmtId="10" fontId="18" fillId="0" borderId="1" xfId="0" applyNumberFormat="1" applyFont="1" applyBorder="1" applyAlignment="1">
      <alignment horizontal="center" vertical="center"/>
    </xf>
    <xf numFmtId="0" fontId="16" fillId="0" borderId="1" xfId="0" applyFont="1" applyBorder="1" applyAlignment="1">
      <alignment horizontal="left" vertical="center" wrapText="1"/>
    </xf>
    <xf numFmtId="0" fontId="16" fillId="0" borderId="1" xfId="0" applyFont="1" applyBorder="1" applyAlignment="1">
      <alignment horizontal="left" vertical="center"/>
    </xf>
    <xf numFmtId="0" fontId="16" fillId="0" borderId="1" xfId="0" applyFont="1" applyBorder="1" applyAlignment="1">
      <alignment horizontal="center" vertical="center" wrapText="1"/>
    </xf>
    <xf numFmtId="0" fontId="16" fillId="14" borderId="1" xfId="0" applyFont="1" applyFill="1" applyBorder="1" applyAlignment="1">
      <alignment vertical="center"/>
    </xf>
    <xf numFmtId="0" fontId="16" fillId="14" borderId="1" xfId="0" applyFont="1" applyFill="1" applyBorder="1" applyAlignment="1">
      <alignment horizontal="center" vertical="center"/>
    </xf>
    <xf numFmtId="0" fontId="13" fillId="14" borderId="1" xfId="0" applyFont="1" applyFill="1" applyBorder="1" applyAlignment="1">
      <alignment horizontal="center" vertical="center"/>
    </xf>
    <xf numFmtId="9" fontId="16" fillId="14" borderId="1" xfId="0" applyNumberFormat="1" applyFont="1" applyFill="1" applyBorder="1" applyAlignment="1">
      <alignment horizontal="center" vertical="center"/>
    </xf>
    <xf numFmtId="168" fontId="16" fillId="14" borderId="1" xfId="0" applyNumberFormat="1" applyFont="1" applyFill="1" applyBorder="1" applyAlignment="1">
      <alignment horizontal="center" vertical="center"/>
    </xf>
    <xf numFmtId="173" fontId="16" fillId="0" borderId="1" xfId="0" applyNumberFormat="1" applyFont="1" applyBorder="1" applyAlignment="1">
      <alignment horizontal="center" vertical="center"/>
    </xf>
    <xf numFmtId="0" fontId="16" fillId="14" borderId="1" xfId="0" applyFont="1" applyFill="1" applyBorder="1" applyAlignment="1">
      <alignment horizontal="left" vertical="center" wrapText="1"/>
    </xf>
    <xf numFmtId="0" fontId="16" fillId="14" borderId="1" xfId="0" applyFont="1" applyFill="1" applyBorder="1" applyAlignment="1">
      <alignment horizontal="left" vertical="center"/>
    </xf>
    <xf numFmtId="0" fontId="16" fillId="14" borderId="1" xfId="0" applyFont="1" applyFill="1" applyBorder="1" applyAlignment="1">
      <alignment horizontal="center" vertical="center" wrapText="1"/>
    </xf>
    <xf numFmtId="0" fontId="19" fillId="5" borderId="1" xfId="0" applyFont="1" applyFill="1" applyBorder="1" applyAlignment="1">
      <alignment horizontal="center" vertical="center" wrapText="1"/>
    </xf>
    <xf numFmtId="0" fontId="16" fillId="5" borderId="1" xfId="0" applyFont="1" applyFill="1" applyBorder="1" applyAlignment="1">
      <alignment horizontal="center" vertical="center"/>
    </xf>
    <xf numFmtId="168" fontId="13" fillId="5" borderId="1" xfId="0" applyNumberFormat="1" applyFont="1" applyFill="1" applyBorder="1" applyAlignment="1">
      <alignment horizontal="center" vertical="center"/>
    </xf>
    <xf numFmtId="0" fontId="13" fillId="5" borderId="1" xfId="0" applyFont="1" applyFill="1" applyBorder="1" applyAlignment="1">
      <alignment horizontal="center" vertical="center"/>
    </xf>
    <xf numFmtId="0" fontId="16" fillId="5" borderId="1" xfId="0" applyFont="1" applyFill="1" applyBorder="1" applyAlignment="1">
      <alignment vertical="center"/>
    </xf>
    <xf numFmtId="0" fontId="16" fillId="5" borderId="1" xfId="0" applyFont="1" applyFill="1" applyBorder="1" applyAlignment="1">
      <alignment horizontal="left" vertical="center" wrapText="1"/>
    </xf>
    <xf numFmtId="0" fontId="16" fillId="5" borderId="1" xfId="0" applyFont="1" applyFill="1" applyBorder="1" applyAlignment="1">
      <alignment horizontal="left" vertical="center"/>
    </xf>
    <xf numFmtId="0" fontId="16" fillId="5" borderId="1" xfId="0" applyFont="1" applyFill="1" applyBorder="1" applyAlignment="1">
      <alignment horizontal="center" vertical="center" wrapText="1"/>
    </xf>
    <xf numFmtId="172" fontId="16" fillId="14" borderId="1" xfId="0" applyNumberFormat="1" applyFont="1" applyFill="1" applyBorder="1" applyAlignment="1">
      <alignment horizontal="center" vertical="center"/>
    </xf>
    <xf numFmtId="169" fontId="16" fillId="14" borderId="1" xfId="0" applyNumberFormat="1" applyFont="1" applyFill="1" applyBorder="1" applyAlignment="1">
      <alignment horizontal="center" vertical="center"/>
    </xf>
    <xf numFmtId="0" fontId="20" fillId="10" borderId="1" xfId="0" applyFont="1" applyFill="1" applyBorder="1" applyAlignment="1">
      <alignment horizontal="center" vertical="center" wrapText="1"/>
    </xf>
    <xf numFmtId="0" fontId="21" fillId="10" borderId="1" xfId="0" applyFont="1" applyFill="1" applyBorder="1" applyAlignment="1">
      <alignment horizontal="center" vertical="center" wrapText="1"/>
    </xf>
    <xf numFmtId="4" fontId="16" fillId="0" borderId="1" xfId="0" applyNumberFormat="1" applyFont="1" applyBorder="1" applyAlignment="1">
      <alignment horizontal="center" vertical="center"/>
    </xf>
    <xf numFmtId="4" fontId="16" fillId="14" borderId="1" xfId="0" applyNumberFormat="1" applyFont="1" applyFill="1" applyBorder="1" applyAlignment="1">
      <alignment horizontal="center" vertical="center"/>
    </xf>
    <xf numFmtId="0" fontId="17" fillId="5" borderId="1" xfId="0" applyFont="1" applyFill="1" applyBorder="1" applyAlignment="1">
      <alignment horizontal="center" vertical="center" wrapText="1"/>
    </xf>
    <xf numFmtId="9" fontId="13" fillId="5" borderId="1" xfId="0" applyNumberFormat="1" applyFont="1" applyFill="1" applyBorder="1" applyAlignment="1">
      <alignment horizontal="center" vertical="center"/>
    </xf>
    <xf numFmtId="1" fontId="16" fillId="0" borderId="1" xfId="0" applyNumberFormat="1" applyFont="1" applyBorder="1" applyAlignment="1">
      <alignment horizontal="center" vertical="center"/>
    </xf>
    <xf numFmtId="169" fontId="16" fillId="0" borderId="1" xfId="0" applyNumberFormat="1" applyFont="1" applyBorder="1" applyAlignment="1">
      <alignment horizontal="center" vertical="center"/>
    </xf>
    <xf numFmtId="173" fontId="16" fillId="14" borderId="1" xfId="0" applyNumberFormat="1" applyFont="1" applyFill="1" applyBorder="1" applyAlignment="1">
      <alignment horizontal="center" vertical="center"/>
    </xf>
    <xf numFmtId="2" fontId="16" fillId="0" borderId="1" xfId="0" applyNumberFormat="1" applyFont="1" applyBorder="1" applyAlignment="1">
      <alignment horizontal="center" vertical="center"/>
    </xf>
    <xf numFmtId="2" fontId="16" fillId="14" borderId="1" xfId="0" applyNumberFormat="1" applyFont="1" applyFill="1" applyBorder="1" applyAlignment="1">
      <alignment horizontal="center" vertical="center"/>
    </xf>
    <xf numFmtId="174" fontId="16" fillId="0" borderId="1" xfId="0" applyNumberFormat="1" applyFont="1" applyBorder="1" applyAlignment="1">
      <alignment horizontal="center" vertical="center"/>
    </xf>
    <xf numFmtId="174" fontId="16" fillId="14" borderId="1" xfId="0" applyNumberFormat="1" applyFont="1" applyFill="1" applyBorder="1" applyAlignment="1">
      <alignment horizontal="center" vertical="center"/>
    </xf>
    <xf numFmtId="0" fontId="16" fillId="5" borderId="1" xfId="0" applyFont="1" applyFill="1" applyBorder="1" applyAlignment="1">
      <alignment horizontal="center"/>
    </xf>
    <xf numFmtId="175" fontId="16" fillId="0" borderId="1" xfId="0" applyNumberFormat="1" applyFont="1" applyBorder="1" applyAlignment="1">
      <alignment horizontal="center"/>
    </xf>
    <xf numFmtId="9" fontId="16" fillId="0" borderId="1" xfId="0" applyNumberFormat="1" applyFont="1" applyBorder="1" applyAlignment="1">
      <alignment vertical="center"/>
    </xf>
    <xf numFmtId="9" fontId="16" fillId="5" borderId="1" xfId="0" applyNumberFormat="1" applyFont="1" applyFill="1" applyBorder="1" applyAlignment="1">
      <alignment horizontal="center" vertical="center"/>
    </xf>
    <xf numFmtId="172" fontId="16" fillId="5" borderId="1" xfId="0" applyNumberFormat="1" applyFont="1" applyFill="1" applyBorder="1" applyAlignment="1">
      <alignment horizontal="center"/>
    </xf>
    <xf numFmtId="176" fontId="16" fillId="14" borderId="1" xfId="0" applyNumberFormat="1" applyFont="1" applyFill="1" applyBorder="1" applyAlignment="1">
      <alignment horizontal="center" vertical="center"/>
    </xf>
    <xf numFmtId="0" fontId="16" fillId="6" borderId="1" xfId="0" applyFont="1" applyFill="1" applyBorder="1" applyAlignment="1">
      <alignment horizontal="center" vertical="center"/>
    </xf>
    <xf numFmtId="9" fontId="17" fillId="10" borderId="1" xfId="0" applyNumberFormat="1" applyFont="1" applyFill="1" applyBorder="1" applyAlignment="1">
      <alignment horizontal="center" vertical="center" wrapText="1"/>
    </xf>
    <xf numFmtId="9" fontId="17" fillId="5" borderId="1" xfId="0" applyNumberFormat="1" applyFont="1" applyFill="1" applyBorder="1" applyAlignment="1">
      <alignment horizontal="center" vertical="center" wrapText="1"/>
    </xf>
    <xf numFmtId="9" fontId="16" fillId="0" borderId="1" xfId="0" applyNumberFormat="1" applyFont="1" applyBorder="1" applyAlignment="1">
      <alignment horizontal="center" vertical="center" wrapText="1"/>
    </xf>
    <xf numFmtId="9" fontId="16" fillId="8" borderId="1" xfId="0" applyNumberFormat="1" applyFont="1" applyFill="1" applyBorder="1" applyAlignment="1">
      <alignment horizontal="center" vertical="center"/>
    </xf>
    <xf numFmtId="1" fontId="16" fillId="14" borderId="1" xfId="0" applyNumberFormat="1" applyFont="1" applyFill="1" applyBorder="1" applyAlignment="1">
      <alignment horizontal="center" vertical="center"/>
    </xf>
    <xf numFmtId="169" fontId="16" fillId="14" borderId="1" xfId="0" applyNumberFormat="1" applyFont="1" applyFill="1" applyBorder="1" applyAlignment="1">
      <alignment vertical="center"/>
    </xf>
    <xf numFmtId="10" fontId="13" fillId="5" borderId="1" xfId="0" applyNumberFormat="1" applyFont="1" applyFill="1" applyBorder="1" applyAlignment="1">
      <alignment horizontal="center" vertical="center"/>
    </xf>
    <xf numFmtId="0" fontId="12" fillId="13" borderId="1" xfId="0" applyFont="1" applyFill="1" applyBorder="1" applyAlignment="1">
      <alignment horizontal="center" vertical="center" wrapText="1"/>
    </xf>
    <xf numFmtId="0" fontId="17" fillId="13" borderId="1" xfId="0" applyFont="1" applyFill="1" applyBorder="1" applyAlignment="1">
      <alignment horizontal="center" vertical="center" wrapText="1"/>
    </xf>
    <xf numFmtId="0" fontId="16" fillId="13" borderId="1" xfId="0" applyFont="1" applyFill="1" applyBorder="1" applyAlignment="1">
      <alignment horizontal="center" vertical="center"/>
    </xf>
    <xf numFmtId="168" fontId="13" fillId="13" borderId="1" xfId="0" applyNumberFormat="1" applyFont="1" applyFill="1" applyBorder="1" applyAlignment="1">
      <alignment horizontal="center" vertical="center"/>
    </xf>
    <xf numFmtId="9" fontId="13" fillId="13" borderId="1" xfId="0" applyNumberFormat="1" applyFont="1" applyFill="1" applyBorder="1" applyAlignment="1">
      <alignment horizontal="center" vertical="center"/>
    </xf>
    <xf numFmtId="10" fontId="13" fillId="13" borderId="1" xfId="0" applyNumberFormat="1" applyFont="1" applyFill="1" applyBorder="1" applyAlignment="1">
      <alignment horizontal="center" vertical="center"/>
    </xf>
    <xf numFmtId="0" fontId="13" fillId="0" borderId="1" xfId="0" applyFont="1" applyBorder="1" applyAlignment="1">
      <alignment horizontal="center" vertical="center" wrapText="1"/>
    </xf>
    <xf numFmtId="0" fontId="13" fillId="0" borderId="1" xfId="0" applyFont="1" applyBorder="1" applyAlignment="1">
      <alignment horizontal="center" vertical="center"/>
    </xf>
    <xf numFmtId="0" fontId="17" fillId="0" borderId="1" xfId="0" applyFont="1" applyBorder="1" applyAlignment="1">
      <alignment horizontal="center" vertical="center" wrapText="1"/>
    </xf>
    <xf numFmtId="0" fontId="17" fillId="0" borderId="1" xfId="0" applyFont="1" applyBorder="1" applyAlignment="1">
      <alignment horizontal="center" vertical="center"/>
    </xf>
    <xf numFmtId="0" fontId="17" fillId="14" borderId="1" xfId="0" applyFont="1" applyFill="1" applyBorder="1" applyAlignment="1">
      <alignment horizontal="center" vertical="center" wrapText="1"/>
    </xf>
    <xf numFmtId="0" fontId="17" fillId="14" borderId="1" xfId="0" applyFont="1" applyFill="1" applyBorder="1" applyAlignment="1">
      <alignment horizontal="center" vertical="center"/>
    </xf>
    <xf numFmtId="9" fontId="13" fillId="0" borderId="1" xfId="0" applyNumberFormat="1" applyFont="1" applyBorder="1" applyAlignment="1">
      <alignment horizontal="center" vertical="center" wrapText="1"/>
    </xf>
    <xf numFmtId="168" fontId="13" fillId="0" borderId="1" xfId="0" applyNumberFormat="1" applyFont="1" applyBorder="1" applyAlignment="1">
      <alignment horizontal="center" vertical="center" wrapText="1"/>
    </xf>
    <xf numFmtId="9" fontId="13" fillId="0" borderId="1" xfId="0" applyNumberFormat="1" applyFont="1" applyBorder="1" applyAlignment="1">
      <alignment horizontal="center" vertical="center"/>
    </xf>
    <xf numFmtId="168" fontId="17" fillId="0" borderId="1" xfId="0" applyNumberFormat="1" applyFont="1" applyBorder="1" applyAlignment="1">
      <alignment horizontal="center" vertical="center" wrapText="1"/>
    </xf>
    <xf numFmtId="9" fontId="17" fillId="0" borderId="1" xfId="0" applyNumberFormat="1" applyFont="1" applyBorder="1" applyAlignment="1">
      <alignment horizontal="center" vertical="center"/>
    </xf>
    <xf numFmtId="0" fontId="17" fillId="5" borderId="1" xfId="0" applyFont="1" applyFill="1" applyBorder="1" applyAlignment="1">
      <alignment horizontal="center" vertical="center"/>
    </xf>
    <xf numFmtId="3" fontId="13" fillId="0" borderId="1" xfId="0" applyNumberFormat="1" applyFont="1" applyBorder="1" applyAlignment="1">
      <alignment horizontal="center" vertical="center" wrapText="1"/>
    </xf>
    <xf numFmtId="0" fontId="16" fillId="0" borderId="0" xfId="0" applyFont="1" applyAlignment="1">
      <alignment horizontal="center" vertical="center"/>
    </xf>
    <xf numFmtId="3" fontId="17" fillId="0" borderId="1" xfId="0" applyNumberFormat="1" applyFont="1" applyBorder="1" applyAlignment="1">
      <alignment horizontal="center" vertical="center" wrapText="1"/>
    </xf>
    <xf numFmtId="0" fontId="13" fillId="0" borderId="4" xfId="0" applyFont="1" applyBorder="1" applyAlignment="1">
      <alignment horizontal="center" vertical="center" wrapText="1"/>
    </xf>
    <xf numFmtId="4" fontId="13" fillId="0" borderId="1" xfId="0" applyNumberFormat="1" applyFont="1" applyBorder="1" applyAlignment="1">
      <alignment horizontal="center" vertical="center"/>
    </xf>
    <xf numFmtId="0" fontId="16" fillId="0" borderId="8" xfId="0" applyFont="1" applyBorder="1" applyAlignment="1">
      <alignment horizontal="center" vertical="center"/>
    </xf>
    <xf numFmtId="0" fontId="24" fillId="5" borderId="1" xfId="0" applyFont="1" applyFill="1" applyBorder="1" applyAlignment="1">
      <alignment horizontal="center" vertical="center"/>
    </xf>
    <xf numFmtId="0" fontId="17" fillId="0" borderId="0" xfId="0" applyFont="1"/>
    <xf numFmtId="9" fontId="24" fillId="5" borderId="1" xfId="0" applyNumberFormat="1" applyFont="1" applyFill="1" applyBorder="1" applyAlignment="1">
      <alignment horizontal="center" vertical="center"/>
    </xf>
    <xf numFmtId="0" fontId="25" fillId="5" borderId="1" xfId="0" applyFont="1" applyFill="1" applyBorder="1" applyAlignment="1">
      <alignment horizontal="center" vertical="center"/>
    </xf>
    <xf numFmtId="0" fontId="26" fillId="10" borderId="1" xfId="0" applyFont="1" applyFill="1" applyBorder="1" applyAlignment="1">
      <alignment horizontal="center" vertical="center" wrapText="1"/>
    </xf>
    <xf numFmtId="9" fontId="16" fillId="0" borderId="9" xfId="0" applyNumberFormat="1" applyFont="1" applyBorder="1" applyAlignment="1">
      <alignment horizontal="center" vertical="center"/>
    </xf>
    <xf numFmtId="0" fontId="16" fillId="0" borderId="9" xfId="0" applyFont="1" applyBorder="1" applyAlignment="1">
      <alignment horizontal="center" vertical="center" wrapText="1"/>
    </xf>
    <xf numFmtId="0" fontId="16" fillId="15" borderId="1" xfId="0" applyFont="1" applyFill="1" applyBorder="1" applyAlignment="1">
      <alignment horizontal="center" vertical="center"/>
    </xf>
    <xf numFmtId="0" fontId="26" fillId="5" borderId="1" xfId="0" applyFont="1" applyFill="1" applyBorder="1" applyAlignment="1">
      <alignment horizontal="center" vertical="center" wrapText="1"/>
    </xf>
    <xf numFmtId="9" fontId="26" fillId="10" borderId="1" xfId="0" applyNumberFormat="1" applyFont="1" applyFill="1" applyBorder="1" applyAlignment="1">
      <alignment horizontal="center" vertical="center" wrapText="1"/>
    </xf>
    <xf numFmtId="10" fontId="16" fillId="6" borderId="1" xfId="0" applyNumberFormat="1" applyFont="1" applyFill="1" applyBorder="1" applyAlignment="1">
      <alignment horizontal="center" vertical="center"/>
    </xf>
    <xf numFmtId="9" fontId="27" fillId="5" borderId="1" xfId="0" applyNumberFormat="1" applyFont="1" applyFill="1" applyBorder="1" applyAlignment="1">
      <alignment horizontal="center" vertical="center"/>
    </xf>
    <xf numFmtId="176" fontId="16" fillId="0" borderId="1" xfId="0" applyNumberFormat="1" applyFont="1" applyBorder="1" applyAlignment="1">
      <alignment horizontal="center" vertical="center"/>
    </xf>
    <xf numFmtId="177" fontId="16" fillId="0" borderId="1" xfId="0" applyNumberFormat="1" applyFont="1" applyBorder="1" applyAlignment="1">
      <alignment horizontal="center" vertical="center"/>
    </xf>
    <xf numFmtId="3" fontId="16" fillId="14" borderId="1" xfId="0" applyNumberFormat="1" applyFont="1" applyFill="1" applyBorder="1" applyAlignment="1">
      <alignment horizontal="center" vertical="center"/>
    </xf>
    <xf numFmtId="0" fontId="17" fillId="8" borderId="1" xfId="0" applyFont="1" applyFill="1" applyBorder="1" applyAlignment="1">
      <alignment horizontal="center" vertical="center"/>
    </xf>
    <xf numFmtId="168" fontId="16" fillId="5" borderId="1" xfId="0" applyNumberFormat="1" applyFont="1" applyFill="1" applyBorder="1" applyAlignment="1">
      <alignment horizontal="center" vertical="center"/>
    </xf>
    <xf numFmtId="170" fontId="16" fillId="0" borderId="1" xfId="0" applyNumberFormat="1" applyFont="1" applyBorder="1" applyAlignment="1">
      <alignment horizontal="center" vertical="center"/>
    </xf>
    <xf numFmtId="0" fontId="13" fillId="13" borderId="1" xfId="0" applyFont="1" applyFill="1" applyBorder="1" applyAlignment="1">
      <alignment horizontal="center" vertical="center"/>
    </xf>
    <xf numFmtId="0" fontId="12" fillId="13" borderId="1" xfId="0" applyFont="1" applyFill="1" applyBorder="1" applyAlignment="1">
      <alignment horizontal="center" vertical="center"/>
    </xf>
    <xf numFmtId="9" fontId="13" fillId="7" borderId="1" xfId="0" applyNumberFormat="1" applyFont="1" applyFill="1" applyBorder="1" applyAlignment="1">
      <alignment horizontal="center" vertical="center"/>
    </xf>
    <xf numFmtId="10" fontId="16" fillId="14" borderId="1" xfId="0" applyNumberFormat="1" applyFont="1" applyFill="1" applyBorder="1" applyAlignment="1">
      <alignment horizontal="center" vertical="center"/>
    </xf>
    <xf numFmtId="10" fontId="17" fillId="0" borderId="1" xfId="0" applyNumberFormat="1" applyFont="1" applyBorder="1" applyAlignment="1">
      <alignment horizontal="center" vertical="center"/>
    </xf>
    <xf numFmtId="0" fontId="17" fillId="5" borderId="1" xfId="0" applyFont="1" applyFill="1" applyBorder="1" applyAlignment="1">
      <alignment horizontal="left" vertical="center" wrapText="1"/>
    </xf>
    <xf numFmtId="0" fontId="26" fillId="13" borderId="1" xfId="0" applyFont="1" applyFill="1" applyBorder="1" applyAlignment="1">
      <alignment horizontal="center" vertical="center" wrapText="1"/>
    </xf>
    <xf numFmtId="9" fontId="16" fillId="0" borderId="1" xfId="0" applyNumberFormat="1" applyFont="1" applyBorder="1" applyAlignment="1">
      <alignment horizontal="center" vertical="top"/>
    </xf>
    <xf numFmtId="0" fontId="16" fillId="0" borderId="1" xfId="0" applyFont="1" applyBorder="1" applyAlignment="1">
      <alignment horizontal="center" vertical="top"/>
    </xf>
    <xf numFmtId="9" fontId="16" fillId="6" borderId="1" xfId="0" applyNumberFormat="1" applyFont="1" applyFill="1" applyBorder="1" applyAlignment="1">
      <alignment horizontal="center" vertical="top"/>
    </xf>
    <xf numFmtId="9" fontId="16" fillId="6" borderId="1" xfId="0" applyNumberFormat="1" applyFont="1" applyFill="1" applyBorder="1" applyAlignment="1">
      <alignment horizontal="center" vertical="center"/>
    </xf>
    <xf numFmtId="168" fontId="16" fillId="0" borderId="1" xfId="0" applyNumberFormat="1" applyFont="1" applyBorder="1" applyAlignment="1">
      <alignment horizontal="center" vertical="top"/>
    </xf>
    <xf numFmtId="9" fontId="26" fillId="5" borderId="1" xfId="0" applyNumberFormat="1" applyFont="1" applyFill="1" applyBorder="1" applyAlignment="1">
      <alignment horizontal="center" vertical="center" wrapText="1"/>
    </xf>
    <xf numFmtId="0" fontId="26" fillId="10" borderId="1" xfId="0" applyFont="1" applyFill="1" applyBorder="1" applyAlignment="1">
      <alignment horizontal="center" vertical="top" wrapText="1"/>
    </xf>
    <xf numFmtId="0" fontId="17" fillId="10" borderId="1" xfId="0" applyFont="1" applyFill="1" applyBorder="1" applyAlignment="1">
      <alignment horizontal="center" vertical="top" wrapText="1"/>
    </xf>
    <xf numFmtId="9" fontId="13" fillId="15" borderId="1" xfId="0" applyNumberFormat="1" applyFont="1" applyFill="1" applyBorder="1" applyAlignment="1">
      <alignment horizontal="center" vertical="center"/>
    </xf>
    <xf numFmtId="9" fontId="17" fillId="0" borderId="10" xfId="0" applyNumberFormat="1" applyFont="1" applyBorder="1" applyAlignment="1">
      <alignment horizontal="center" vertical="center" wrapText="1"/>
    </xf>
    <xf numFmtId="9" fontId="17" fillId="0" borderId="9" xfId="0" applyNumberFormat="1" applyFont="1" applyBorder="1" applyAlignment="1">
      <alignment horizontal="center" vertical="center" wrapText="1"/>
    </xf>
    <xf numFmtId="4" fontId="17" fillId="0" borderId="9" xfId="0" applyNumberFormat="1" applyFont="1" applyBorder="1" applyAlignment="1">
      <alignment horizontal="center" vertical="center" wrapText="1"/>
    </xf>
    <xf numFmtId="9" fontId="17" fillId="14" borderId="1" xfId="0" applyNumberFormat="1" applyFont="1" applyFill="1" applyBorder="1" applyAlignment="1">
      <alignment horizontal="center" vertical="center" wrapText="1"/>
    </xf>
    <xf numFmtId="0" fontId="16" fillId="14" borderId="7" xfId="0" applyFont="1" applyFill="1" applyBorder="1" applyAlignment="1">
      <alignment horizontal="center" vertical="center" wrapText="1"/>
    </xf>
    <xf numFmtId="0" fontId="16" fillId="14" borderId="11" xfId="0" applyFont="1" applyFill="1" applyBorder="1" applyAlignment="1">
      <alignment horizontal="center" vertical="center" wrapText="1"/>
    </xf>
    <xf numFmtId="9" fontId="17" fillId="0" borderId="1" xfId="0" applyNumberFormat="1" applyFont="1" applyBorder="1" applyAlignment="1">
      <alignment horizontal="center" vertical="center" wrapText="1"/>
    </xf>
    <xf numFmtId="9" fontId="16" fillId="14" borderId="11" xfId="0" applyNumberFormat="1" applyFont="1" applyFill="1" applyBorder="1" applyAlignment="1">
      <alignment horizontal="center" vertical="center" wrapText="1"/>
    </xf>
    <xf numFmtId="0" fontId="16" fillId="0" borderId="9" xfId="0" applyFont="1" applyBorder="1" applyAlignment="1">
      <alignment horizontal="center" vertical="center"/>
    </xf>
    <xf numFmtId="9" fontId="16" fillId="0" borderId="12" xfId="0" applyNumberFormat="1" applyFont="1" applyBorder="1" applyAlignment="1">
      <alignment horizontal="center" vertical="center" wrapText="1"/>
    </xf>
    <xf numFmtId="9" fontId="16" fillId="0" borderId="8" xfId="0" applyNumberFormat="1" applyFont="1" applyBorder="1" applyAlignment="1">
      <alignment horizontal="center" vertical="center" wrapText="1"/>
    </xf>
    <xf numFmtId="4" fontId="16" fillId="0" borderId="8" xfId="0" applyNumberFormat="1" applyFont="1" applyBorder="1" applyAlignment="1">
      <alignment horizontal="center" vertical="center" wrapText="1"/>
    </xf>
    <xf numFmtId="9" fontId="16" fillId="14" borderId="1" xfId="0" applyNumberFormat="1" applyFont="1" applyFill="1" applyBorder="1" applyAlignment="1">
      <alignment horizontal="center" vertical="center" wrapText="1"/>
    </xf>
    <xf numFmtId="0" fontId="16" fillId="5" borderId="1" xfId="0" applyFont="1" applyFill="1" applyBorder="1" applyAlignment="1">
      <alignment vertical="center" wrapText="1"/>
    </xf>
    <xf numFmtId="0" fontId="16" fillId="5" borderId="11" xfId="0" applyFont="1" applyFill="1" applyBorder="1" applyAlignment="1">
      <alignment horizontal="center" vertical="center"/>
    </xf>
    <xf numFmtId="9" fontId="13" fillId="5" borderId="11" xfId="0" applyNumberFormat="1" applyFont="1" applyFill="1" applyBorder="1" applyAlignment="1">
      <alignment horizontal="center" vertical="center"/>
    </xf>
    <xf numFmtId="169" fontId="17" fillId="0" borderId="1" xfId="0" applyNumberFormat="1" applyFont="1" applyBorder="1" applyAlignment="1">
      <alignment horizontal="center" vertical="center"/>
    </xf>
    <xf numFmtId="0" fontId="16" fillId="13" borderId="1" xfId="0" applyFont="1" applyFill="1" applyBorder="1" applyAlignment="1">
      <alignment horizontal="left" vertical="center"/>
    </xf>
    <xf numFmtId="0" fontId="16" fillId="16" borderId="1" xfId="0" applyFont="1" applyFill="1" applyBorder="1" applyAlignment="1">
      <alignment horizontal="center" vertical="center"/>
    </xf>
    <xf numFmtId="0" fontId="16" fillId="16" borderId="1" xfId="0" applyFont="1" applyFill="1" applyBorder="1" applyAlignment="1">
      <alignment vertical="center"/>
    </xf>
    <xf numFmtId="0" fontId="16" fillId="16" borderId="1" xfId="0" applyFont="1" applyFill="1" applyBorder="1" applyAlignment="1">
      <alignment horizontal="left" vertical="center"/>
    </xf>
    <xf numFmtId="0" fontId="16" fillId="0" borderId="0" xfId="0" applyFont="1" applyAlignment="1">
      <alignment vertical="center"/>
    </xf>
    <xf numFmtId="0" fontId="16" fillId="0" borderId="0" xfId="0" applyFont="1" applyAlignment="1">
      <alignment horizontal="left" vertical="center"/>
    </xf>
    <xf numFmtId="0" fontId="16" fillId="0" borderId="0" xfId="0" applyFont="1" applyAlignment="1">
      <alignment horizontal="left" vertical="center" wrapText="1"/>
    </xf>
    <xf numFmtId="0" fontId="16" fillId="0" borderId="0" xfId="0" applyFont="1" applyAlignment="1">
      <alignment horizontal="center" vertical="center" wrapText="1"/>
    </xf>
    <xf numFmtId="0" fontId="28" fillId="14" borderId="1" xfId="0" applyFont="1" applyFill="1" applyBorder="1" applyAlignment="1">
      <alignment horizontal="center" vertical="center" wrapText="1"/>
    </xf>
    <xf numFmtId="0" fontId="28" fillId="13" borderId="1" xfId="0" applyFont="1" applyFill="1" applyBorder="1" applyAlignment="1">
      <alignment horizontal="center" vertical="center" wrapText="1"/>
    </xf>
    <xf numFmtId="0" fontId="29" fillId="14" borderId="1" xfId="0" applyFont="1" applyFill="1" applyBorder="1" applyAlignment="1">
      <alignment horizontal="center" vertical="center" wrapText="1"/>
    </xf>
    <xf numFmtId="0" fontId="31" fillId="19" borderId="1" xfId="0" applyFont="1" applyFill="1" applyBorder="1" applyAlignment="1">
      <alignment horizontal="center" vertical="center" wrapText="1"/>
    </xf>
    <xf numFmtId="0" fontId="18" fillId="0" borderId="1" xfId="0" applyFont="1" applyBorder="1"/>
    <xf numFmtId="3" fontId="18" fillId="0" borderId="1" xfId="0" applyNumberFormat="1" applyFont="1" applyBorder="1" applyAlignment="1">
      <alignment horizontal="center" vertical="center"/>
    </xf>
    <xf numFmtId="9" fontId="18" fillId="0" borderId="1" xfId="0" applyNumberFormat="1" applyFont="1" applyBorder="1" applyAlignment="1">
      <alignment horizontal="center" vertical="center"/>
    </xf>
    <xf numFmtId="3" fontId="18" fillId="14" borderId="11" xfId="0" applyNumberFormat="1" applyFont="1" applyFill="1" applyBorder="1" applyAlignment="1">
      <alignment horizontal="center" vertical="center"/>
    </xf>
    <xf numFmtId="0" fontId="18" fillId="0" borderId="1" xfId="0" applyFont="1" applyBorder="1" applyAlignment="1">
      <alignment horizontal="center" vertical="center"/>
    </xf>
    <xf numFmtId="0" fontId="18" fillId="0" borderId="1" xfId="0" applyFont="1" applyBorder="1" applyAlignment="1">
      <alignment vertical="center"/>
    </xf>
    <xf numFmtId="168" fontId="18" fillId="0" borderId="1" xfId="0" applyNumberFormat="1" applyFont="1" applyBorder="1" applyAlignment="1">
      <alignment vertical="center"/>
    </xf>
    <xf numFmtId="3" fontId="18" fillId="0" borderId="1" xfId="0" applyNumberFormat="1" applyFont="1" applyBorder="1" applyAlignment="1">
      <alignment vertical="center"/>
    </xf>
    <xf numFmtId="168" fontId="18" fillId="0" borderId="2" xfId="0" applyNumberFormat="1" applyFont="1" applyBorder="1" applyAlignment="1">
      <alignment vertical="center"/>
    </xf>
    <xf numFmtId="0" fontId="18" fillId="0" borderId="0" xfId="0" applyFont="1"/>
    <xf numFmtId="3" fontId="18" fillId="14" borderId="1" xfId="0" applyNumberFormat="1" applyFont="1" applyFill="1" applyBorder="1" applyAlignment="1">
      <alignment horizontal="center" vertical="center"/>
    </xf>
    <xf numFmtId="9" fontId="18" fillId="0" borderId="2" xfId="0" applyNumberFormat="1" applyFont="1" applyBorder="1" applyAlignment="1">
      <alignment vertical="center"/>
    </xf>
    <xf numFmtId="0" fontId="31" fillId="21" borderId="1" xfId="0" applyFont="1" applyFill="1" applyBorder="1" applyAlignment="1">
      <alignment horizontal="center" vertical="center" wrapText="1"/>
    </xf>
    <xf numFmtId="0" fontId="18" fillId="21" borderId="1" xfId="0" applyFont="1" applyFill="1" applyBorder="1" applyAlignment="1">
      <alignment horizontal="center" vertical="center"/>
    </xf>
    <xf numFmtId="9" fontId="29" fillId="21" borderId="1" xfId="0" applyNumberFormat="1" applyFont="1" applyFill="1" applyBorder="1" applyAlignment="1">
      <alignment horizontal="center" vertical="center"/>
    </xf>
    <xf numFmtId="10" fontId="29" fillId="21" borderId="14" xfId="0" applyNumberFormat="1" applyFont="1" applyFill="1" applyBorder="1" applyAlignment="1">
      <alignment horizontal="center" vertical="center"/>
    </xf>
    <xf numFmtId="3" fontId="18" fillId="21" borderId="1" xfId="0" applyNumberFormat="1" applyFont="1" applyFill="1" applyBorder="1" applyAlignment="1">
      <alignment horizontal="center" vertical="center"/>
    </xf>
    <xf numFmtId="10" fontId="29" fillId="21" borderId="1" xfId="0" applyNumberFormat="1" applyFont="1" applyFill="1" applyBorder="1" applyAlignment="1">
      <alignment horizontal="center" vertical="center"/>
    </xf>
    <xf numFmtId="0" fontId="29" fillId="5" borderId="1" xfId="0" applyFont="1" applyFill="1" applyBorder="1"/>
    <xf numFmtId="10" fontId="29" fillId="5" borderId="1" xfId="0" applyNumberFormat="1" applyFont="1" applyFill="1" applyBorder="1"/>
    <xf numFmtId="172" fontId="31" fillId="14" borderId="1" xfId="0" applyNumberFormat="1" applyFont="1" applyFill="1" applyBorder="1" applyAlignment="1">
      <alignment horizontal="center" vertical="center" wrapText="1"/>
    </xf>
    <xf numFmtId="3" fontId="18" fillId="14" borderId="1" xfId="0" applyNumberFormat="1" applyFont="1" applyFill="1" applyBorder="1" applyAlignment="1">
      <alignment horizontal="center" vertical="center" wrapText="1"/>
    </xf>
    <xf numFmtId="9" fontId="18" fillId="14" borderId="1" xfId="0" applyNumberFormat="1" applyFont="1" applyFill="1" applyBorder="1" applyAlignment="1">
      <alignment horizontal="center" vertical="center" wrapText="1"/>
    </xf>
    <xf numFmtId="10" fontId="18" fillId="0" borderId="2" xfId="0" applyNumberFormat="1" applyFont="1" applyBorder="1" applyAlignment="1">
      <alignment horizontal="center" vertical="center"/>
    </xf>
    <xf numFmtId="10" fontId="18" fillId="0" borderId="1" xfId="0" applyNumberFormat="1" applyFont="1" applyBorder="1"/>
    <xf numFmtId="0" fontId="31" fillId="14" borderId="1" xfId="0" applyFont="1" applyFill="1" applyBorder="1" applyAlignment="1">
      <alignment horizontal="center" vertical="center" wrapText="1"/>
    </xf>
    <xf numFmtId="168" fontId="29" fillId="21" borderId="14" xfId="0" applyNumberFormat="1" applyFont="1" applyFill="1" applyBorder="1" applyAlignment="1">
      <alignment horizontal="center" vertical="center"/>
    </xf>
    <xf numFmtId="0" fontId="29" fillId="21" borderId="1" xfId="0" applyFont="1" applyFill="1" applyBorder="1" applyAlignment="1">
      <alignment horizontal="center" vertical="center"/>
    </xf>
    <xf numFmtId="0" fontId="29" fillId="21" borderId="13" xfId="0" applyFont="1" applyFill="1" applyBorder="1"/>
    <xf numFmtId="0" fontId="29" fillId="21" borderId="13" xfId="0" applyFont="1" applyFill="1" applyBorder="1" applyAlignment="1">
      <alignment horizontal="center" vertical="center"/>
    </xf>
    <xf numFmtId="168" fontId="29" fillId="21" borderId="1" xfId="0" applyNumberFormat="1" applyFont="1" applyFill="1" applyBorder="1" applyAlignment="1">
      <alignment horizontal="center" vertical="center"/>
    </xf>
    <xf numFmtId="0" fontId="18" fillId="21" borderId="1" xfId="0" applyFont="1" applyFill="1" applyBorder="1"/>
    <xf numFmtId="10" fontId="29" fillId="21" borderId="1" xfId="0" applyNumberFormat="1" applyFont="1" applyFill="1" applyBorder="1"/>
    <xf numFmtId="0" fontId="29" fillId="21" borderId="1" xfId="0" applyFont="1" applyFill="1" applyBorder="1"/>
    <xf numFmtId="0" fontId="18" fillId="21" borderId="13" xfId="0" applyFont="1" applyFill="1" applyBorder="1"/>
    <xf numFmtId="168" fontId="18" fillId="0" borderId="1" xfId="0" applyNumberFormat="1" applyFont="1" applyBorder="1" applyAlignment="1">
      <alignment horizontal="center" vertical="center"/>
    </xf>
    <xf numFmtId="10" fontId="29" fillId="21" borderId="13" xfId="0" applyNumberFormat="1" applyFont="1" applyFill="1" applyBorder="1"/>
    <xf numFmtId="0" fontId="18" fillId="21" borderId="13" xfId="0" applyFont="1" applyFill="1" applyBorder="1" applyAlignment="1">
      <alignment horizontal="center" vertical="center"/>
    </xf>
    <xf numFmtId="9" fontId="18" fillId="0" borderId="2" xfId="0" applyNumberFormat="1" applyFont="1" applyBorder="1" applyAlignment="1">
      <alignment horizontal="center" vertical="center"/>
    </xf>
    <xf numFmtId="0" fontId="18" fillId="0" borderId="2" xfId="0" applyFont="1" applyBorder="1" applyAlignment="1">
      <alignment horizontal="center" vertical="center"/>
    </xf>
    <xf numFmtId="3" fontId="18" fillId="0" borderId="6" xfId="0" applyNumberFormat="1" applyFont="1" applyBorder="1" applyAlignment="1">
      <alignment horizontal="center" vertical="center"/>
    </xf>
    <xf numFmtId="9" fontId="18" fillId="0" borderId="6" xfId="0" applyNumberFormat="1" applyFont="1" applyBorder="1" applyAlignment="1">
      <alignment horizontal="center" vertical="center"/>
    </xf>
    <xf numFmtId="10" fontId="18" fillId="0" borderId="2" xfId="0" applyNumberFormat="1" applyFont="1" applyBorder="1" applyAlignment="1">
      <alignment vertical="center"/>
    </xf>
    <xf numFmtId="3" fontId="18" fillId="0" borderId="9" xfId="0" applyNumberFormat="1" applyFont="1" applyBorder="1" applyAlignment="1">
      <alignment horizontal="center" vertical="center"/>
    </xf>
    <xf numFmtId="0" fontId="18" fillId="0" borderId="1" xfId="0" applyFont="1" applyBorder="1" applyAlignment="1">
      <alignment horizontal="center"/>
    </xf>
    <xf numFmtId="9" fontId="18" fillId="0" borderId="9" xfId="0" applyNumberFormat="1" applyFont="1" applyBorder="1" applyAlignment="1">
      <alignment horizontal="center" vertical="center"/>
    </xf>
    <xf numFmtId="10" fontId="29" fillId="21" borderId="14" xfId="0" applyNumberFormat="1" applyFont="1" applyFill="1" applyBorder="1"/>
    <xf numFmtId="0" fontId="18" fillId="21" borderId="5" xfId="0" applyFont="1" applyFill="1" applyBorder="1"/>
    <xf numFmtId="0" fontId="18" fillId="0" borderId="4" xfId="0" applyFont="1" applyBorder="1"/>
    <xf numFmtId="0" fontId="18" fillId="0" borderId="6" xfId="0" applyFont="1" applyBorder="1" applyAlignment="1">
      <alignment horizontal="center" vertical="center"/>
    </xf>
    <xf numFmtId="0" fontId="18" fillId="0" borderId="2" xfId="0" applyFont="1" applyBorder="1"/>
    <xf numFmtId="0" fontId="31" fillId="5" borderId="1" xfId="0" applyFont="1" applyFill="1" applyBorder="1" applyAlignment="1">
      <alignment horizontal="center" vertical="center" wrapText="1"/>
    </xf>
    <xf numFmtId="0" fontId="18" fillId="5" borderId="1" xfId="0" applyFont="1" applyFill="1" applyBorder="1" applyAlignment="1">
      <alignment horizontal="center" vertical="center"/>
    </xf>
    <xf numFmtId="0" fontId="18" fillId="5" borderId="5" xfId="0" applyFont="1" applyFill="1" applyBorder="1" applyAlignment="1">
      <alignment horizontal="center" vertical="center"/>
    </xf>
    <xf numFmtId="9" fontId="29" fillId="5" borderId="5" xfId="0" applyNumberFormat="1" applyFont="1" applyFill="1" applyBorder="1" applyAlignment="1">
      <alignment horizontal="center" vertical="center"/>
    </xf>
    <xf numFmtId="10" fontId="29" fillId="5" borderId="5" xfId="0" applyNumberFormat="1" applyFont="1" applyFill="1" applyBorder="1" applyAlignment="1">
      <alignment horizontal="center" vertical="center"/>
    </xf>
    <xf numFmtId="3" fontId="18" fillId="5" borderId="1" xfId="0" applyNumberFormat="1" applyFont="1" applyFill="1" applyBorder="1" applyAlignment="1">
      <alignment horizontal="center" vertical="center"/>
    </xf>
    <xf numFmtId="9" fontId="29" fillId="5" borderId="1" xfId="0" applyNumberFormat="1" applyFont="1" applyFill="1" applyBorder="1" applyAlignment="1">
      <alignment horizontal="center" vertical="center"/>
    </xf>
    <xf numFmtId="168" fontId="29" fillId="5" borderId="1" xfId="0" applyNumberFormat="1" applyFont="1" applyFill="1" applyBorder="1" applyAlignment="1">
      <alignment horizontal="center" vertical="center"/>
    </xf>
    <xf numFmtId="0" fontId="18" fillId="0" borderId="0" xfId="0" applyFont="1" applyAlignment="1">
      <alignment horizontal="center" vertical="center"/>
    </xf>
    <xf numFmtId="168" fontId="29" fillId="5" borderId="14" xfId="0" applyNumberFormat="1" applyFont="1" applyFill="1" applyBorder="1" applyAlignment="1">
      <alignment horizontal="center" vertical="center"/>
    </xf>
    <xf numFmtId="0" fontId="32" fillId="0" borderId="1" xfId="0" applyFont="1" applyBorder="1" applyAlignment="1">
      <alignment horizontal="center" vertical="center"/>
    </xf>
    <xf numFmtId="0" fontId="28" fillId="21" borderId="1" xfId="0" applyFont="1" applyFill="1" applyBorder="1" applyAlignment="1">
      <alignment horizontal="center" vertical="center" wrapText="1"/>
    </xf>
    <xf numFmtId="0" fontId="18" fillId="0" borderId="6" xfId="0" applyFont="1" applyBorder="1" applyAlignment="1">
      <alignment vertical="center"/>
    </xf>
    <xf numFmtId="0" fontId="18" fillId="0" borderId="6" xfId="0" applyFont="1" applyBorder="1"/>
    <xf numFmtId="10" fontId="18" fillId="0" borderId="6" xfId="0" applyNumberFormat="1" applyFont="1" applyBorder="1"/>
    <xf numFmtId="0" fontId="18" fillId="21" borderId="14" xfId="0" applyFont="1" applyFill="1" applyBorder="1" applyAlignment="1">
      <alignment horizontal="center" vertical="center"/>
    </xf>
    <xf numFmtId="0" fontId="31" fillId="13" borderId="1" xfId="0" applyFont="1" applyFill="1" applyBorder="1" applyAlignment="1">
      <alignment horizontal="center" vertical="center" wrapText="1"/>
    </xf>
    <xf numFmtId="0" fontId="18" fillId="13" borderId="1" xfId="0" applyFont="1" applyFill="1" applyBorder="1"/>
    <xf numFmtId="0" fontId="18" fillId="13" borderId="1" xfId="0" applyFont="1" applyFill="1" applyBorder="1" applyAlignment="1">
      <alignment horizontal="center" vertical="center"/>
    </xf>
    <xf numFmtId="168" fontId="29" fillId="13" borderId="1" xfId="0" applyNumberFormat="1" applyFont="1" applyFill="1" applyBorder="1" applyAlignment="1">
      <alignment horizontal="center" vertical="center"/>
    </xf>
    <xf numFmtId="0" fontId="29" fillId="13" borderId="1" xfId="0" applyFont="1" applyFill="1" applyBorder="1" applyAlignment="1">
      <alignment horizontal="center" vertical="center"/>
    </xf>
    <xf numFmtId="3" fontId="29" fillId="13" borderId="1" xfId="0" applyNumberFormat="1" applyFont="1" applyFill="1" applyBorder="1" applyAlignment="1">
      <alignment horizontal="center" vertical="center"/>
    </xf>
    <xf numFmtId="0" fontId="18" fillId="13" borderId="14" xfId="0" applyFont="1" applyFill="1" applyBorder="1" applyAlignment="1">
      <alignment horizontal="center" vertical="center"/>
    </xf>
    <xf numFmtId="10" fontId="29" fillId="13" borderId="1" xfId="0" applyNumberFormat="1" applyFont="1" applyFill="1" applyBorder="1" applyAlignment="1">
      <alignment vertical="center"/>
    </xf>
    <xf numFmtId="168" fontId="29" fillId="13" borderId="14" xfId="0" applyNumberFormat="1" applyFont="1" applyFill="1" applyBorder="1" applyAlignment="1">
      <alignment vertical="center"/>
    </xf>
    <xf numFmtId="10" fontId="29" fillId="13" borderId="1" xfId="0" applyNumberFormat="1" applyFont="1" applyFill="1" applyBorder="1"/>
    <xf numFmtId="0" fontId="18" fillId="13" borderId="13" xfId="0" applyFont="1" applyFill="1" applyBorder="1"/>
    <xf numFmtId="10" fontId="31" fillId="14" borderId="1" xfId="0" applyNumberFormat="1" applyFont="1" applyFill="1" applyBorder="1" applyAlignment="1">
      <alignment horizontal="center" vertical="center" wrapText="1"/>
    </xf>
    <xf numFmtId="0" fontId="18" fillId="14" borderId="1" xfId="0" applyFont="1" applyFill="1" applyBorder="1" applyAlignment="1">
      <alignment horizontal="center" vertical="center"/>
    </xf>
    <xf numFmtId="4" fontId="18" fillId="0" borderId="1" xfId="0" applyNumberFormat="1" applyFont="1" applyBorder="1" applyAlignment="1">
      <alignment horizontal="center" vertical="center"/>
    </xf>
    <xf numFmtId="0" fontId="18" fillId="6" borderId="1" xfId="0" applyFont="1" applyFill="1" applyBorder="1" applyAlignment="1">
      <alignment horizontal="center" vertical="center"/>
    </xf>
    <xf numFmtId="0" fontId="18" fillId="0" borderId="9" xfId="0" applyFont="1" applyBorder="1" applyAlignment="1">
      <alignment vertical="center"/>
    </xf>
    <xf numFmtId="0" fontId="18" fillId="0" borderId="9" xfId="0" applyFont="1" applyBorder="1" applyAlignment="1">
      <alignment horizontal="center" vertical="center"/>
    </xf>
    <xf numFmtId="10" fontId="18" fillId="0" borderId="9" xfId="0" applyNumberFormat="1" applyFont="1" applyBorder="1" applyAlignment="1">
      <alignment vertical="center"/>
    </xf>
    <xf numFmtId="10" fontId="18" fillId="0" borderId="1" xfId="0" applyNumberFormat="1" applyFont="1" applyBorder="1" applyAlignment="1">
      <alignment vertical="center"/>
    </xf>
    <xf numFmtId="172" fontId="18" fillId="0" borderId="1" xfId="0" applyNumberFormat="1" applyFont="1" applyBorder="1" applyAlignment="1">
      <alignment horizontal="center" vertical="center"/>
    </xf>
    <xf numFmtId="172" fontId="18" fillId="14" borderId="1" xfId="0" applyNumberFormat="1" applyFont="1" applyFill="1" applyBorder="1" applyAlignment="1">
      <alignment horizontal="center" vertical="center"/>
    </xf>
    <xf numFmtId="172" fontId="18" fillId="0" borderId="1" xfId="0" applyNumberFormat="1" applyFont="1" applyBorder="1" applyAlignment="1">
      <alignment vertical="center"/>
    </xf>
    <xf numFmtId="9" fontId="18" fillId="0" borderId="1" xfId="0" applyNumberFormat="1" applyFont="1" applyBorder="1"/>
    <xf numFmtId="9" fontId="18" fillId="0" borderId="1" xfId="0" applyNumberFormat="1" applyFont="1" applyBorder="1" applyAlignment="1">
      <alignment vertical="center"/>
    </xf>
    <xf numFmtId="0" fontId="18" fillId="5" borderId="1" xfId="0" applyFont="1" applyFill="1" applyBorder="1" applyAlignment="1">
      <alignment vertical="center"/>
    </xf>
    <xf numFmtId="10" fontId="29" fillId="5" borderId="1" xfId="0" applyNumberFormat="1" applyFont="1" applyFill="1" applyBorder="1" applyAlignment="1">
      <alignment vertical="center"/>
    </xf>
    <xf numFmtId="0" fontId="29" fillId="5" borderId="1" xfId="0" applyFont="1" applyFill="1" applyBorder="1" applyAlignment="1">
      <alignment vertical="center"/>
    </xf>
    <xf numFmtId="10" fontId="29" fillId="5" borderId="14" xfId="0" applyNumberFormat="1" applyFont="1" applyFill="1" applyBorder="1" applyAlignment="1">
      <alignment vertical="center"/>
    </xf>
    <xf numFmtId="0" fontId="18" fillId="5" borderId="1" xfId="0" applyFont="1" applyFill="1" applyBorder="1"/>
    <xf numFmtId="0" fontId="18" fillId="5" borderId="13" xfId="0" applyFont="1" applyFill="1" applyBorder="1"/>
    <xf numFmtId="10" fontId="31" fillId="19" borderId="1" xfId="0" applyNumberFormat="1" applyFont="1" applyFill="1" applyBorder="1" applyAlignment="1">
      <alignment horizontal="center" vertical="center" wrapText="1"/>
    </xf>
    <xf numFmtId="0" fontId="31" fillId="0" borderId="0" xfId="0" applyFont="1" applyAlignment="1">
      <alignment horizontal="center" vertical="center"/>
    </xf>
    <xf numFmtId="9" fontId="31" fillId="14" borderId="1" xfId="0" applyNumberFormat="1" applyFont="1" applyFill="1" applyBorder="1" applyAlignment="1">
      <alignment horizontal="center" vertical="center" wrapText="1"/>
    </xf>
    <xf numFmtId="10" fontId="29" fillId="5" borderId="1" xfId="0" applyNumberFormat="1" applyFont="1" applyFill="1" applyBorder="1" applyAlignment="1">
      <alignment horizontal="center" vertical="center"/>
    </xf>
    <xf numFmtId="0" fontId="29" fillId="5" borderId="1" xfId="0" applyFont="1" applyFill="1" applyBorder="1" applyAlignment="1">
      <alignment horizontal="center" vertical="center"/>
    </xf>
    <xf numFmtId="10" fontId="18" fillId="14" borderId="14" xfId="0" applyNumberFormat="1" applyFont="1" applyFill="1" applyBorder="1" applyAlignment="1">
      <alignment horizontal="center" vertical="center"/>
    </xf>
    <xf numFmtId="3" fontId="18" fillId="6" borderId="1" xfId="0" applyNumberFormat="1" applyFont="1" applyFill="1" applyBorder="1" applyAlignment="1">
      <alignment horizontal="center" vertical="center"/>
    </xf>
    <xf numFmtId="0" fontId="18" fillId="5" borderId="13" xfId="0" applyFont="1" applyFill="1" applyBorder="1" applyAlignment="1">
      <alignment horizontal="center" vertical="center"/>
    </xf>
    <xf numFmtId="10" fontId="29" fillId="5" borderId="13" xfId="0" applyNumberFormat="1" applyFont="1" applyFill="1" applyBorder="1"/>
    <xf numFmtId="0" fontId="31" fillId="0" borderId="16" xfId="0" applyFont="1" applyBorder="1" applyAlignment="1">
      <alignment horizontal="center" vertical="center" wrapText="1"/>
    </xf>
    <xf numFmtId="0" fontId="31" fillId="0" borderId="1" xfId="0" applyFont="1" applyBorder="1" applyAlignment="1">
      <alignment horizontal="center" vertical="center" wrapText="1"/>
    </xf>
    <xf numFmtId="9" fontId="31" fillId="0" borderId="1" xfId="0" applyNumberFormat="1" applyFont="1" applyBorder="1" applyAlignment="1">
      <alignment horizontal="center" vertical="center" wrapText="1"/>
    </xf>
    <xf numFmtId="9" fontId="31" fillId="0" borderId="3" xfId="0" applyNumberFormat="1" applyFont="1" applyBorder="1" applyAlignment="1">
      <alignment horizontal="center" vertical="center" wrapText="1"/>
    </xf>
    <xf numFmtId="0" fontId="31" fillId="0" borderId="3" xfId="0" applyFont="1" applyBorder="1" applyAlignment="1">
      <alignment horizontal="center" vertical="center"/>
    </xf>
    <xf numFmtId="0" fontId="31" fillId="14" borderId="1" xfId="0" applyFont="1" applyFill="1" applyBorder="1" applyAlignment="1">
      <alignment horizontal="center" vertical="center"/>
    </xf>
    <xf numFmtId="10" fontId="18" fillId="0" borderId="1" xfId="0" applyNumberFormat="1" applyFont="1" applyBorder="1" applyAlignment="1">
      <alignment horizontal="center"/>
    </xf>
    <xf numFmtId="0" fontId="31" fillId="0" borderId="2" xfId="0" applyFont="1" applyBorder="1" applyAlignment="1">
      <alignment horizontal="center" vertical="center" wrapText="1"/>
    </xf>
    <xf numFmtId="0" fontId="31" fillId="0" borderId="1" xfId="0" applyFont="1" applyBorder="1" applyAlignment="1">
      <alignment horizontal="center" vertical="center"/>
    </xf>
    <xf numFmtId="9" fontId="31" fillId="0" borderId="2" xfId="0" applyNumberFormat="1" applyFont="1" applyBorder="1" applyAlignment="1">
      <alignment horizontal="center" vertical="center" wrapText="1"/>
    </xf>
    <xf numFmtId="168" fontId="31" fillId="0" borderId="1" xfId="0" applyNumberFormat="1" applyFont="1" applyBorder="1" applyAlignment="1">
      <alignment horizontal="center" vertical="center" wrapText="1"/>
    </xf>
    <xf numFmtId="10" fontId="31" fillId="0" borderId="1" xfId="0" applyNumberFormat="1" applyFont="1" applyBorder="1" applyAlignment="1">
      <alignment horizontal="center" vertical="center" wrapText="1"/>
    </xf>
    <xf numFmtId="172" fontId="18" fillId="22" borderId="1" xfId="0" applyNumberFormat="1" applyFont="1" applyFill="1" applyBorder="1" applyAlignment="1">
      <alignment vertical="center"/>
    </xf>
    <xf numFmtId="172" fontId="31" fillId="0" borderId="1" xfId="0" applyNumberFormat="1" applyFont="1" applyBorder="1" applyAlignment="1">
      <alignment horizontal="center" vertical="center" wrapText="1"/>
    </xf>
    <xf numFmtId="172" fontId="18" fillId="0" borderId="1" xfId="0" applyNumberFormat="1" applyFont="1" applyBorder="1"/>
    <xf numFmtId="0" fontId="18" fillId="0" borderId="4" xfId="0" applyFont="1" applyBorder="1" applyAlignment="1">
      <alignment horizontal="center" vertical="center"/>
    </xf>
    <xf numFmtId="0" fontId="18" fillId="5" borderId="14" xfId="0" applyFont="1" applyFill="1" applyBorder="1" applyAlignment="1">
      <alignment horizontal="center" vertical="center"/>
    </xf>
    <xf numFmtId="9" fontId="29" fillId="5" borderId="15" xfId="0" applyNumberFormat="1" applyFont="1" applyFill="1" applyBorder="1" applyAlignment="1">
      <alignment horizontal="center" vertical="center"/>
    </xf>
    <xf numFmtId="0" fontId="18" fillId="5" borderId="15" xfId="0" applyFont="1" applyFill="1" applyBorder="1" applyAlignment="1">
      <alignment horizontal="center" vertical="center"/>
    </xf>
    <xf numFmtId="10" fontId="29" fillId="5" borderId="14" xfId="0" applyNumberFormat="1" applyFont="1" applyFill="1" applyBorder="1"/>
    <xf numFmtId="9" fontId="31" fillId="0" borderId="1" xfId="0" applyNumberFormat="1" applyFont="1" applyBorder="1" applyAlignment="1">
      <alignment horizontal="center" vertical="center"/>
    </xf>
    <xf numFmtId="10" fontId="18" fillId="14" borderId="2" xfId="0" applyNumberFormat="1" applyFont="1" applyFill="1" applyBorder="1" applyAlignment="1">
      <alignment horizontal="center" vertical="center"/>
    </xf>
    <xf numFmtId="168" fontId="29" fillId="5" borderId="14" xfId="0" applyNumberFormat="1" applyFont="1" applyFill="1" applyBorder="1"/>
    <xf numFmtId="0" fontId="18" fillId="0" borderId="1" xfId="0" applyFont="1" applyBorder="1" applyAlignment="1">
      <alignment horizontal="center" vertical="center" wrapText="1"/>
    </xf>
    <xf numFmtId="2" fontId="18" fillId="0" borderId="1" xfId="0" applyNumberFormat="1" applyFont="1" applyBorder="1" applyAlignment="1">
      <alignment horizontal="center" vertical="center"/>
    </xf>
    <xf numFmtId="9" fontId="31" fillId="19" borderId="1" xfId="0" applyNumberFormat="1" applyFont="1" applyFill="1" applyBorder="1" applyAlignment="1">
      <alignment horizontal="center" vertical="center" wrapText="1"/>
    </xf>
    <xf numFmtId="9" fontId="31" fillId="0" borderId="9" xfId="0" applyNumberFormat="1" applyFont="1" applyBorder="1" applyAlignment="1">
      <alignment horizontal="center" vertical="center"/>
    </xf>
    <xf numFmtId="9" fontId="31" fillId="5" borderId="1" xfId="0" applyNumberFormat="1" applyFont="1" applyFill="1" applyBorder="1" applyAlignment="1">
      <alignment horizontal="center" vertical="center" wrapText="1"/>
    </xf>
    <xf numFmtId="0" fontId="31" fillId="14" borderId="5" xfId="0" applyFont="1" applyFill="1" applyBorder="1" applyAlignment="1">
      <alignment horizontal="center" vertical="center" wrapText="1"/>
    </xf>
    <xf numFmtId="0" fontId="31" fillId="0" borderId="6" xfId="0" applyFont="1" applyBorder="1" applyAlignment="1">
      <alignment horizontal="center" vertical="center" wrapText="1"/>
    </xf>
    <xf numFmtId="9" fontId="31" fillId="0" borderId="6" xfId="0" applyNumberFormat="1" applyFont="1" applyBorder="1" applyAlignment="1">
      <alignment horizontal="center" vertical="center" wrapText="1"/>
    </xf>
    <xf numFmtId="9" fontId="18" fillId="0" borderId="1" xfId="0" applyNumberFormat="1" applyFont="1" applyBorder="1" applyAlignment="1">
      <alignment horizontal="center"/>
    </xf>
    <xf numFmtId="3" fontId="31" fillId="19" borderId="1" xfId="0" applyNumberFormat="1" applyFont="1" applyFill="1" applyBorder="1" applyAlignment="1">
      <alignment horizontal="center" vertical="center" wrapText="1"/>
    </xf>
    <xf numFmtId="10" fontId="32" fillId="0" borderId="1" xfId="0" applyNumberFormat="1" applyFont="1" applyBorder="1" applyAlignment="1">
      <alignment horizontal="center" vertical="center"/>
    </xf>
    <xf numFmtId="3" fontId="32" fillId="0" borderId="1" xfId="0" applyNumberFormat="1" applyFont="1" applyBorder="1" applyAlignment="1">
      <alignment horizontal="center" vertical="center"/>
    </xf>
    <xf numFmtId="10" fontId="32" fillId="0" borderId="2" xfId="0" applyNumberFormat="1" applyFont="1" applyBorder="1" applyAlignment="1">
      <alignment horizontal="center" vertical="center"/>
    </xf>
    <xf numFmtId="168" fontId="32" fillId="0" borderId="2" xfId="0" applyNumberFormat="1" applyFont="1" applyBorder="1" applyAlignment="1">
      <alignment horizontal="center" vertical="center"/>
    </xf>
    <xf numFmtId="3" fontId="18" fillId="13" borderId="1" xfId="0" applyNumberFormat="1" applyFont="1" applyFill="1" applyBorder="1" applyAlignment="1">
      <alignment horizontal="center" vertical="center"/>
    </xf>
    <xf numFmtId="10" fontId="29" fillId="13" borderId="1" xfId="0" applyNumberFormat="1" applyFont="1" applyFill="1" applyBorder="1" applyAlignment="1">
      <alignment horizontal="center" vertical="center"/>
    </xf>
    <xf numFmtId="0" fontId="18" fillId="13" borderId="13" xfId="0" applyFont="1" applyFill="1" applyBorder="1" applyAlignment="1">
      <alignment horizontal="center" vertical="center"/>
    </xf>
    <xf numFmtId="10" fontId="29" fillId="13" borderId="13" xfId="0" applyNumberFormat="1" applyFont="1" applyFill="1" applyBorder="1"/>
    <xf numFmtId="168" fontId="29" fillId="13" borderId="13" xfId="0" applyNumberFormat="1" applyFont="1" applyFill="1" applyBorder="1"/>
    <xf numFmtId="0" fontId="31" fillId="19" borderId="1" xfId="0" applyFont="1" applyFill="1" applyBorder="1" applyAlignment="1">
      <alignment vertical="center" wrapText="1"/>
    </xf>
    <xf numFmtId="3" fontId="18" fillId="14" borderId="11" xfId="0" applyNumberFormat="1" applyFont="1" applyFill="1" applyBorder="1" applyAlignment="1">
      <alignment horizontal="center" vertical="center" wrapText="1"/>
    </xf>
    <xf numFmtId="9" fontId="18" fillId="14" borderId="11" xfId="0" applyNumberFormat="1" applyFont="1" applyFill="1" applyBorder="1" applyAlignment="1">
      <alignment horizontal="center" vertical="center" wrapText="1"/>
    </xf>
    <xf numFmtId="0" fontId="31" fillId="19" borderId="1" xfId="0" applyFont="1" applyFill="1" applyBorder="1" applyAlignment="1">
      <alignment horizontal="left" vertical="center" wrapText="1"/>
    </xf>
    <xf numFmtId="3" fontId="18" fillId="14" borderId="5" xfId="0" applyNumberFormat="1" applyFont="1" applyFill="1" applyBorder="1" applyAlignment="1">
      <alignment horizontal="center" vertical="center" wrapText="1"/>
    </xf>
    <xf numFmtId="3" fontId="18" fillId="14" borderId="7" xfId="0" applyNumberFormat="1" applyFont="1" applyFill="1" applyBorder="1" applyAlignment="1">
      <alignment horizontal="center" vertical="center" wrapText="1"/>
    </xf>
    <xf numFmtId="9" fontId="18" fillId="14" borderId="7" xfId="0" applyNumberFormat="1" applyFont="1" applyFill="1" applyBorder="1" applyAlignment="1">
      <alignment horizontal="center" vertical="center" wrapText="1"/>
    </xf>
    <xf numFmtId="4" fontId="18" fillId="14" borderId="7" xfId="0" applyNumberFormat="1" applyFont="1" applyFill="1" applyBorder="1" applyAlignment="1">
      <alignment horizontal="center" vertical="center" wrapText="1"/>
    </xf>
    <xf numFmtId="0" fontId="32" fillId="0" borderId="1" xfId="0" applyFont="1" applyBorder="1"/>
    <xf numFmtId="178" fontId="18" fillId="0" borderId="1" xfId="0" applyNumberFormat="1" applyFont="1" applyBorder="1" applyAlignment="1">
      <alignment horizontal="center" vertical="center"/>
    </xf>
    <xf numFmtId="3" fontId="18" fillId="14" borderId="14" xfId="0" applyNumberFormat="1" applyFont="1" applyFill="1" applyBorder="1" applyAlignment="1">
      <alignment horizontal="center" vertical="center"/>
    </xf>
    <xf numFmtId="9" fontId="18" fillId="14" borderId="14" xfId="0" applyNumberFormat="1" applyFont="1" applyFill="1" applyBorder="1" applyAlignment="1">
      <alignment horizontal="center" vertical="center"/>
    </xf>
    <xf numFmtId="172" fontId="18" fillId="14" borderId="5" xfId="0" applyNumberFormat="1" applyFont="1" applyFill="1" applyBorder="1" applyAlignment="1">
      <alignment horizontal="center" vertical="center"/>
    </xf>
    <xf numFmtId="9" fontId="18" fillId="14" borderId="5" xfId="0" applyNumberFormat="1" applyFont="1" applyFill="1" applyBorder="1" applyAlignment="1">
      <alignment horizontal="center" vertical="center"/>
    </xf>
    <xf numFmtId="172" fontId="18" fillId="18" borderId="5" xfId="0" applyNumberFormat="1" applyFont="1" applyFill="1" applyBorder="1" applyAlignment="1">
      <alignment horizontal="center" vertical="center"/>
    </xf>
    <xf numFmtId="9" fontId="18" fillId="6" borderId="1" xfId="0" applyNumberFormat="1" applyFont="1" applyFill="1" applyBorder="1" applyAlignment="1">
      <alignment horizontal="center" vertical="center"/>
    </xf>
    <xf numFmtId="0" fontId="18" fillId="19" borderId="1" xfId="0" applyFont="1" applyFill="1" applyBorder="1" applyAlignment="1">
      <alignment horizontal="center"/>
    </xf>
    <xf numFmtId="3" fontId="18" fillId="14" borderId="18" xfId="0" applyNumberFormat="1" applyFont="1" applyFill="1" applyBorder="1" applyAlignment="1">
      <alignment horizontal="center" vertical="center"/>
    </xf>
    <xf numFmtId="9" fontId="18" fillId="14" borderId="18" xfId="0" applyNumberFormat="1" applyFont="1" applyFill="1" applyBorder="1" applyAlignment="1">
      <alignment horizontal="center" vertical="center"/>
    </xf>
    <xf numFmtId="1" fontId="18" fillId="0" borderId="1" xfId="0" applyNumberFormat="1" applyFont="1" applyBorder="1" applyAlignment="1">
      <alignment horizontal="center" vertical="center"/>
    </xf>
    <xf numFmtId="0" fontId="18" fillId="14" borderId="18" xfId="0" applyFont="1" applyFill="1" applyBorder="1" applyAlignment="1">
      <alignment horizontal="center" vertical="center"/>
    </xf>
    <xf numFmtId="10" fontId="18" fillId="14" borderId="18" xfId="0" applyNumberFormat="1" applyFont="1" applyFill="1" applyBorder="1" applyAlignment="1">
      <alignment horizontal="center" vertical="center"/>
    </xf>
    <xf numFmtId="9" fontId="18" fillId="14" borderId="1" xfId="0" applyNumberFormat="1" applyFont="1" applyFill="1" applyBorder="1" applyAlignment="1">
      <alignment horizontal="center" vertical="center"/>
    </xf>
    <xf numFmtId="3" fontId="18" fillId="14" borderId="18" xfId="0" applyNumberFormat="1" applyFont="1" applyFill="1" applyBorder="1" applyAlignment="1">
      <alignment horizontal="center" vertical="center" wrapText="1"/>
    </xf>
    <xf numFmtId="3" fontId="18" fillId="14" borderId="5" xfId="0" applyNumberFormat="1" applyFont="1" applyFill="1" applyBorder="1" applyAlignment="1">
      <alignment horizontal="center" vertical="center"/>
    </xf>
    <xf numFmtId="3" fontId="18" fillId="10" borderId="5" xfId="0" applyNumberFormat="1" applyFont="1" applyFill="1" applyBorder="1" applyAlignment="1">
      <alignment horizontal="center" vertical="center"/>
    </xf>
    <xf numFmtId="164" fontId="31" fillId="14" borderId="1" xfId="0" applyNumberFormat="1" applyFont="1" applyFill="1" applyBorder="1" applyAlignment="1">
      <alignment horizontal="center" vertical="center" wrapText="1"/>
    </xf>
    <xf numFmtId="164" fontId="31" fillId="14" borderId="18" xfId="0" applyNumberFormat="1" applyFont="1" applyFill="1" applyBorder="1" applyAlignment="1">
      <alignment horizontal="center" vertical="center" wrapText="1"/>
    </xf>
    <xf numFmtId="0" fontId="18" fillId="22" borderId="1" xfId="0" applyFont="1" applyFill="1" applyBorder="1"/>
    <xf numFmtId="0" fontId="18" fillId="22" borderId="1" xfId="0" applyFont="1" applyFill="1" applyBorder="1" applyAlignment="1">
      <alignment horizontal="center" vertical="center"/>
    </xf>
    <xf numFmtId="168" fontId="29" fillId="5" borderId="13" xfId="0" applyNumberFormat="1" applyFont="1" applyFill="1" applyBorder="1"/>
    <xf numFmtId="9" fontId="29" fillId="5" borderId="13" xfId="0" applyNumberFormat="1" applyFont="1" applyFill="1" applyBorder="1"/>
    <xf numFmtId="170" fontId="18" fillId="0" borderId="1" xfId="0" applyNumberFormat="1" applyFont="1" applyBorder="1" applyAlignment="1">
      <alignment horizontal="center" vertical="center"/>
    </xf>
    <xf numFmtId="168" fontId="18" fillId="0" borderId="2" xfId="0" applyNumberFormat="1" applyFont="1" applyBorder="1" applyAlignment="1">
      <alignment horizontal="center" vertical="center"/>
    </xf>
    <xf numFmtId="168" fontId="18" fillId="5" borderId="1" xfId="0" applyNumberFormat="1" applyFont="1" applyFill="1" applyBorder="1" applyAlignment="1">
      <alignment horizontal="center" vertical="center"/>
    </xf>
    <xf numFmtId="9" fontId="29" fillId="6" borderId="1" xfId="0" applyNumberFormat="1" applyFont="1" applyFill="1" applyBorder="1" applyAlignment="1">
      <alignment horizontal="center" vertical="center"/>
    </xf>
    <xf numFmtId="4" fontId="18" fillId="14" borderId="1" xfId="0" applyNumberFormat="1" applyFont="1" applyFill="1" applyBorder="1" applyAlignment="1">
      <alignment horizontal="center" vertical="center" wrapText="1"/>
    </xf>
    <xf numFmtId="4" fontId="31" fillId="14" borderId="1" xfId="0" applyNumberFormat="1" applyFont="1" applyFill="1" applyBorder="1" applyAlignment="1">
      <alignment horizontal="center" vertical="center" wrapText="1"/>
    </xf>
    <xf numFmtId="3" fontId="18" fillId="23" borderId="1" xfId="0" applyNumberFormat="1" applyFont="1" applyFill="1" applyBorder="1" applyAlignment="1">
      <alignment horizontal="center" vertical="center" wrapText="1"/>
    </xf>
    <xf numFmtId="169" fontId="18" fillId="0" borderId="1" xfId="0" applyNumberFormat="1" applyFont="1" applyBorder="1" applyAlignment="1">
      <alignment horizontal="center" vertical="center"/>
    </xf>
    <xf numFmtId="178" fontId="18" fillId="14" borderId="1" xfId="0" applyNumberFormat="1" applyFont="1" applyFill="1" applyBorder="1" applyAlignment="1">
      <alignment horizontal="center" vertical="center" wrapText="1"/>
    </xf>
    <xf numFmtId="3" fontId="18" fillId="6" borderId="1" xfId="0" applyNumberFormat="1" applyFont="1" applyFill="1" applyBorder="1" applyAlignment="1">
      <alignment horizontal="center" vertical="center" wrapText="1"/>
    </xf>
    <xf numFmtId="0" fontId="18" fillId="5" borderId="1" xfId="0" applyFont="1" applyFill="1" applyBorder="1" applyAlignment="1">
      <alignment horizontal="center"/>
    </xf>
    <xf numFmtId="9" fontId="29" fillId="5" borderId="1" xfId="0" applyNumberFormat="1" applyFont="1" applyFill="1" applyBorder="1" applyAlignment="1">
      <alignment horizontal="center"/>
    </xf>
    <xf numFmtId="9" fontId="29" fillId="5" borderId="14" xfId="0" applyNumberFormat="1" applyFont="1" applyFill="1" applyBorder="1" applyAlignment="1">
      <alignment horizontal="center"/>
    </xf>
    <xf numFmtId="173" fontId="18" fillId="0" borderId="1" xfId="0" applyNumberFormat="1" applyFont="1" applyBorder="1" applyAlignment="1">
      <alignment horizontal="center" vertical="center"/>
    </xf>
    <xf numFmtId="169" fontId="18" fillId="0" borderId="1" xfId="0" applyNumberFormat="1" applyFont="1" applyBorder="1" applyAlignment="1">
      <alignment vertical="center"/>
    </xf>
    <xf numFmtId="3" fontId="18" fillId="5" borderId="1" xfId="0" applyNumberFormat="1" applyFont="1" applyFill="1" applyBorder="1" applyAlignment="1">
      <alignment horizontal="center" vertical="center" wrapText="1"/>
    </xf>
    <xf numFmtId="9" fontId="29" fillId="5" borderId="1" xfId="0" applyNumberFormat="1" applyFont="1" applyFill="1" applyBorder="1" applyAlignment="1">
      <alignment horizontal="center" vertical="center" wrapText="1"/>
    </xf>
    <xf numFmtId="168" fontId="29" fillId="5" borderId="1" xfId="0" applyNumberFormat="1" applyFont="1" applyFill="1" applyBorder="1" applyAlignment="1">
      <alignment horizontal="center"/>
    </xf>
    <xf numFmtId="168" fontId="29" fillId="5" borderId="14" xfId="0" applyNumberFormat="1" applyFont="1" applyFill="1" applyBorder="1" applyAlignment="1">
      <alignment horizontal="center"/>
    </xf>
    <xf numFmtId="0" fontId="18" fillId="8" borderId="1" xfId="0" applyFont="1" applyFill="1" applyBorder="1" applyAlignment="1">
      <alignment horizontal="center" vertical="center"/>
    </xf>
    <xf numFmtId="3" fontId="31" fillId="14" borderId="1" xfId="0" applyNumberFormat="1" applyFont="1" applyFill="1" applyBorder="1" applyAlignment="1">
      <alignment horizontal="center" vertical="center" wrapText="1"/>
    </xf>
    <xf numFmtId="3" fontId="31" fillId="5" borderId="1" xfId="0" applyNumberFormat="1" applyFont="1" applyFill="1" applyBorder="1" applyAlignment="1">
      <alignment horizontal="center" vertical="center" wrapText="1"/>
    </xf>
    <xf numFmtId="9" fontId="29" fillId="5" borderId="14" xfId="0" applyNumberFormat="1" applyFont="1" applyFill="1" applyBorder="1" applyAlignment="1">
      <alignment horizontal="center" vertical="center"/>
    </xf>
    <xf numFmtId="178" fontId="18" fillId="14" borderId="5" xfId="0" applyNumberFormat="1" applyFont="1" applyFill="1" applyBorder="1" applyAlignment="1">
      <alignment horizontal="center" vertical="center" wrapText="1"/>
    </xf>
    <xf numFmtId="9" fontId="18" fillId="14" borderId="2" xfId="0" applyNumberFormat="1" applyFont="1" applyFill="1" applyBorder="1" applyAlignment="1">
      <alignment horizontal="center" vertical="center"/>
    </xf>
    <xf numFmtId="3" fontId="18" fillId="14" borderId="7" xfId="0" applyNumberFormat="1" applyFont="1" applyFill="1" applyBorder="1" applyAlignment="1">
      <alignment horizontal="center" vertical="center"/>
    </xf>
    <xf numFmtId="9" fontId="18" fillId="14" borderId="7" xfId="0" applyNumberFormat="1" applyFont="1" applyFill="1" applyBorder="1" applyAlignment="1">
      <alignment horizontal="center" vertical="center"/>
    </xf>
    <xf numFmtId="9" fontId="18" fillId="14" borderId="5" xfId="0" applyNumberFormat="1" applyFont="1" applyFill="1" applyBorder="1" applyAlignment="1">
      <alignment horizontal="center" vertical="center" wrapText="1"/>
    </xf>
    <xf numFmtId="9" fontId="28" fillId="5" borderId="1" xfId="0" applyNumberFormat="1" applyFont="1" applyFill="1" applyBorder="1" applyAlignment="1">
      <alignment horizontal="center" vertical="center" wrapText="1"/>
    </xf>
    <xf numFmtId="179" fontId="18" fillId="0" borderId="1" xfId="0" applyNumberFormat="1" applyFont="1" applyBorder="1" applyAlignment="1">
      <alignment horizontal="center" vertical="center"/>
    </xf>
    <xf numFmtId="10" fontId="18" fillId="14" borderId="1" xfId="0" applyNumberFormat="1" applyFont="1" applyFill="1" applyBorder="1" applyAlignment="1">
      <alignment horizontal="center" vertical="center"/>
    </xf>
    <xf numFmtId="173" fontId="18" fillId="14" borderId="1" xfId="0" applyNumberFormat="1" applyFont="1" applyFill="1" applyBorder="1" applyAlignment="1">
      <alignment horizontal="center" vertical="center"/>
    </xf>
    <xf numFmtId="4" fontId="18" fillId="14" borderId="1" xfId="0" applyNumberFormat="1" applyFont="1" applyFill="1" applyBorder="1" applyAlignment="1">
      <alignment horizontal="center" vertical="center"/>
    </xf>
    <xf numFmtId="172" fontId="18" fillId="14" borderId="1" xfId="0" applyNumberFormat="1" applyFont="1" applyFill="1" applyBorder="1" applyAlignment="1">
      <alignment horizontal="center" vertical="center" wrapText="1"/>
    </xf>
    <xf numFmtId="4" fontId="18" fillId="14" borderId="5" xfId="0" applyNumberFormat="1" applyFont="1" applyFill="1" applyBorder="1" applyAlignment="1">
      <alignment horizontal="center" vertical="center" wrapText="1"/>
    </xf>
    <xf numFmtId="178" fontId="18" fillId="14" borderId="1" xfId="0" applyNumberFormat="1" applyFont="1" applyFill="1" applyBorder="1" applyAlignment="1">
      <alignment horizontal="center" vertical="center"/>
    </xf>
    <xf numFmtId="9" fontId="29" fillId="5" borderId="1" xfId="0" applyNumberFormat="1" applyFont="1" applyFill="1" applyBorder="1"/>
    <xf numFmtId="4" fontId="18" fillId="6" borderId="1" xfId="0" applyNumberFormat="1" applyFont="1" applyFill="1" applyBorder="1" applyAlignment="1">
      <alignment horizontal="center" vertical="center"/>
    </xf>
    <xf numFmtId="0" fontId="18" fillId="13" borderId="1" xfId="0" applyFont="1" applyFill="1" applyBorder="1" applyAlignment="1">
      <alignment horizontal="center"/>
    </xf>
    <xf numFmtId="168" fontId="29" fillId="13" borderId="14" xfId="0" applyNumberFormat="1" applyFont="1" applyFill="1" applyBorder="1" applyAlignment="1">
      <alignment horizontal="center" vertical="center"/>
    </xf>
    <xf numFmtId="9" fontId="34" fillId="0" borderId="1" xfId="0" applyNumberFormat="1" applyFont="1" applyBorder="1" applyAlignment="1">
      <alignment horizontal="center" vertical="center"/>
    </xf>
    <xf numFmtId="9" fontId="35" fillId="5" borderId="1" xfId="0" applyNumberFormat="1" applyFont="1" applyFill="1" applyBorder="1" applyAlignment="1">
      <alignment horizontal="center" vertical="center"/>
    </xf>
    <xf numFmtId="10" fontId="29" fillId="5" borderId="14" xfId="0" applyNumberFormat="1" applyFont="1" applyFill="1" applyBorder="1" applyAlignment="1">
      <alignment horizontal="center" vertical="center"/>
    </xf>
    <xf numFmtId="0" fontId="18" fillId="19" borderId="1" xfId="0" applyFont="1" applyFill="1" applyBorder="1"/>
    <xf numFmtId="0" fontId="36" fillId="14" borderId="5" xfId="0" applyFont="1" applyFill="1" applyBorder="1" applyAlignment="1">
      <alignment horizontal="center" vertical="center" wrapText="1"/>
    </xf>
    <xf numFmtId="9" fontId="36" fillId="14" borderId="5" xfId="0" applyNumberFormat="1" applyFont="1" applyFill="1" applyBorder="1" applyAlignment="1">
      <alignment horizontal="center" vertical="center" wrapText="1"/>
    </xf>
    <xf numFmtId="178" fontId="36" fillId="14" borderId="5" xfId="0" applyNumberFormat="1" applyFont="1" applyFill="1" applyBorder="1" applyAlignment="1">
      <alignment horizontal="center" vertical="center" wrapText="1"/>
    </xf>
    <xf numFmtId="0" fontId="36" fillId="14" borderId="1" xfId="0" applyFont="1" applyFill="1" applyBorder="1" applyAlignment="1">
      <alignment horizontal="center" vertical="center" wrapText="1"/>
    </xf>
    <xf numFmtId="3" fontId="36" fillId="14" borderId="1" xfId="0" applyNumberFormat="1" applyFont="1" applyFill="1" applyBorder="1" applyAlignment="1">
      <alignment horizontal="center" vertical="center" wrapText="1"/>
    </xf>
    <xf numFmtId="9" fontId="36" fillId="14" borderId="1" xfId="0" applyNumberFormat="1" applyFont="1" applyFill="1" applyBorder="1" applyAlignment="1">
      <alignment horizontal="center" vertical="center" wrapText="1"/>
    </xf>
    <xf numFmtId="0" fontId="18" fillId="14" borderId="1" xfId="0" applyFont="1" applyFill="1" applyBorder="1"/>
    <xf numFmtId="0" fontId="28" fillId="5" borderId="1" xfId="0" applyFont="1" applyFill="1" applyBorder="1" applyAlignment="1">
      <alignment horizontal="center" vertical="center" wrapText="1"/>
    </xf>
    <xf numFmtId="10" fontId="28" fillId="5" borderId="1" xfId="0" applyNumberFormat="1" applyFont="1" applyFill="1" applyBorder="1" applyAlignment="1">
      <alignment horizontal="center" vertical="center" wrapText="1"/>
    </xf>
    <xf numFmtId="0" fontId="31" fillId="14" borderId="1" xfId="0" applyFont="1" applyFill="1" applyBorder="1" applyAlignment="1">
      <alignment horizontal="center" wrapText="1"/>
    </xf>
    <xf numFmtId="10" fontId="28" fillId="24" borderId="1" xfId="0" applyNumberFormat="1" applyFont="1" applyFill="1" applyBorder="1" applyAlignment="1">
      <alignment horizontal="center" wrapText="1"/>
    </xf>
    <xf numFmtId="10" fontId="28" fillId="24" borderId="14" xfId="0" applyNumberFormat="1" applyFont="1" applyFill="1" applyBorder="1" applyAlignment="1">
      <alignment horizontal="center" wrapText="1"/>
    </xf>
    <xf numFmtId="0" fontId="31" fillId="14" borderId="15" xfId="0" applyFont="1" applyFill="1" applyBorder="1" applyAlignment="1">
      <alignment horizontal="center" vertical="center" wrapText="1"/>
    </xf>
    <xf numFmtId="3" fontId="36" fillId="14" borderId="5" xfId="0" applyNumberFormat="1" applyFont="1" applyFill="1" applyBorder="1" applyAlignment="1">
      <alignment horizontal="center" vertical="center" wrapText="1"/>
    </xf>
    <xf numFmtId="180" fontId="36" fillId="0" borderId="1" xfId="0" applyNumberFormat="1" applyFont="1" applyBorder="1" applyAlignment="1">
      <alignment horizontal="center" vertical="center" wrapText="1"/>
    </xf>
    <xf numFmtId="180" fontId="36" fillId="0" borderId="6" xfId="0" applyNumberFormat="1" applyFont="1" applyBorder="1" applyAlignment="1">
      <alignment horizontal="center" vertical="center" wrapText="1"/>
    </xf>
    <xf numFmtId="172" fontId="36" fillId="14" borderId="5" xfId="0" applyNumberFormat="1" applyFont="1" applyFill="1" applyBorder="1" applyAlignment="1">
      <alignment horizontal="center" vertical="center" wrapText="1"/>
    </xf>
    <xf numFmtId="10" fontId="30" fillId="5" borderId="1" xfId="0" applyNumberFormat="1" applyFont="1" applyFill="1" applyBorder="1" applyAlignment="1">
      <alignment horizontal="center"/>
    </xf>
    <xf numFmtId="0" fontId="29" fillId="0" borderId="1" xfId="0" applyFont="1" applyBorder="1" applyAlignment="1">
      <alignment horizontal="center"/>
    </xf>
    <xf numFmtId="10" fontId="30" fillId="5" borderId="14" xfId="0" applyNumberFormat="1" applyFont="1" applyFill="1" applyBorder="1" applyAlignment="1">
      <alignment horizontal="center"/>
    </xf>
    <xf numFmtId="9" fontId="37" fillId="14" borderId="5" xfId="0" applyNumberFormat="1" applyFont="1" applyFill="1" applyBorder="1" applyAlignment="1">
      <alignment horizontal="center" vertical="center" wrapText="1"/>
    </xf>
    <xf numFmtId="10" fontId="29" fillId="24" borderId="1" xfId="0" applyNumberFormat="1" applyFont="1" applyFill="1" applyBorder="1" applyAlignment="1">
      <alignment horizontal="center" vertical="center"/>
    </xf>
    <xf numFmtId="10" fontId="29" fillId="24" borderId="14" xfId="0" applyNumberFormat="1" applyFont="1" applyFill="1" applyBorder="1" applyAlignment="1">
      <alignment horizontal="center" vertical="center"/>
    </xf>
    <xf numFmtId="0" fontId="18" fillId="0" borderId="8" xfId="0" applyFont="1" applyBorder="1" applyAlignment="1">
      <alignment horizontal="center" vertical="center"/>
    </xf>
    <xf numFmtId="10" fontId="29" fillId="24" borderId="1" xfId="0" applyNumberFormat="1" applyFont="1" applyFill="1" applyBorder="1" applyAlignment="1">
      <alignment horizontal="center"/>
    </xf>
    <xf numFmtId="0" fontId="29" fillId="24" borderId="1" xfId="0" applyFont="1" applyFill="1" applyBorder="1" applyAlignment="1">
      <alignment horizontal="center"/>
    </xf>
    <xf numFmtId="10" fontId="29" fillId="24" borderId="14" xfId="0" applyNumberFormat="1" applyFont="1" applyFill="1" applyBorder="1" applyAlignment="1">
      <alignment horizontal="center"/>
    </xf>
    <xf numFmtId="180" fontId="36" fillId="0" borderId="1" xfId="0" applyNumberFormat="1" applyFont="1" applyBorder="1" applyAlignment="1">
      <alignment horizontal="right" vertical="center" wrapText="1"/>
    </xf>
    <xf numFmtId="3" fontId="29" fillId="5" borderId="1" xfId="0" applyNumberFormat="1" applyFont="1" applyFill="1" applyBorder="1" applyAlignment="1">
      <alignment horizontal="center" vertical="center"/>
    </xf>
    <xf numFmtId="180" fontId="36" fillId="14" borderId="1" xfId="0" applyNumberFormat="1" applyFont="1" applyFill="1" applyBorder="1" applyAlignment="1">
      <alignment horizontal="center" vertical="center" wrapText="1"/>
    </xf>
    <xf numFmtId="0" fontId="18" fillId="14" borderId="13" xfId="0" applyFont="1" applyFill="1" applyBorder="1"/>
    <xf numFmtId="1" fontId="36" fillId="14" borderId="1" xfId="0" applyNumberFormat="1" applyFont="1" applyFill="1" applyBorder="1" applyAlignment="1">
      <alignment horizontal="center" vertical="center" wrapText="1"/>
    </xf>
    <xf numFmtId="10" fontId="29" fillId="13" borderId="1" xfId="0" applyNumberFormat="1" applyFont="1" applyFill="1" applyBorder="1" applyAlignment="1">
      <alignment horizontal="center"/>
    </xf>
    <xf numFmtId="10" fontId="29" fillId="13" borderId="14" xfId="0" applyNumberFormat="1" applyFont="1" applyFill="1" applyBorder="1" applyAlignment="1">
      <alignment horizontal="center"/>
    </xf>
    <xf numFmtId="9" fontId="31" fillId="19" borderId="1" xfId="0" applyNumberFormat="1" applyFont="1" applyFill="1" applyBorder="1" applyAlignment="1">
      <alignment horizontal="left" vertical="center" wrapText="1"/>
    </xf>
    <xf numFmtId="10" fontId="29" fillId="5" borderId="1" xfId="0" applyNumberFormat="1" applyFont="1" applyFill="1" applyBorder="1" applyAlignment="1">
      <alignment horizontal="center"/>
    </xf>
    <xf numFmtId="0" fontId="29" fillId="5" borderId="1" xfId="0" applyFont="1" applyFill="1" applyBorder="1" applyAlignment="1">
      <alignment horizontal="center"/>
    </xf>
    <xf numFmtId="10" fontId="29" fillId="5" borderId="14" xfId="0" applyNumberFormat="1" applyFont="1" applyFill="1" applyBorder="1" applyAlignment="1">
      <alignment horizontal="center"/>
    </xf>
    <xf numFmtId="0" fontId="29" fillId="5" borderId="13" xfId="0" applyFont="1" applyFill="1" applyBorder="1"/>
    <xf numFmtId="10" fontId="18" fillId="0" borderId="4" xfId="0" applyNumberFormat="1" applyFont="1" applyBorder="1"/>
    <xf numFmtId="10" fontId="18" fillId="0" borderId="4" xfId="0" applyNumberFormat="1" applyFont="1" applyBorder="1" applyAlignment="1">
      <alignment horizontal="center" vertical="center"/>
    </xf>
    <xf numFmtId="0" fontId="18" fillId="6" borderId="11" xfId="0" applyFont="1" applyFill="1" applyBorder="1" applyAlignment="1">
      <alignment horizontal="center" vertical="center"/>
    </xf>
    <xf numFmtId="168" fontId="18" fillId="13" borderId="1" xfId="0" applyNumberFormat="1" applyFont="1" applyFill="1" applyBorder="1" applyAlignment="1">
      <alignment horizontal="center" vertical="center"/>
    </xf>
    <xf numFmtId="0" fontId="28" fillId="19" borderId="1" xfId="0" applyFont="1" applyFill="1" applyBorder="1" applyAlignment="1">
      <alignment horizontal="center" vertical="center" wrapText="1"/>
    </xf>
    <xf numFmtId="0" fontId="31" fillId="0" borderId="1" xfId="0" applyFont="1" applyBorder="1"/>
    <xf numFmtId="168" fontId="18" fillId="0" borderId="4" xfId="0" applyNumberFormat="1" applyFont="1" applyBorder="1" applyAlignment="1">
      <alignment horizontal="center" vertical="center"/>
    </xf>
    <xf numFmtId="10" fontId="18" fillId="0" borderId="6" xfId="0" applyNumberFormat="1" applyFont="1" applyBorder="1" applyAlignment="1">
      <alignment horizontal="center" vertical="center"/>
    </xf>
    <xf numFmtId="4" fontId="18" fillId="0" borderId="6" xfId="0" applyNumberFormat="1" applyFont="1" applyBorder="1" applyAlignment="1">
      <alignment horizontal="center" vertical="center"/>
    </xf>
    <xf numFmtId="10" fontId="18" fillId="0" borderId="16" xfId="0" applyNumberFormat="1" applyFont="1" applyBorder="1" applyAlignment="1">
      <alignment horizontal="center" vertical="center"/>
    </xf>
    <xf numFmtId="0" fontId="28" fillId="13" borderId="1" xfId="0" applyFont="1" applyFill="1" applyBorder="1" applyAlignment="1">
      <alignment vertical="center" wrapText="1"/>
    </xf>
    <xf numFmtId="9" fontId="29" fillId="13" borderId="1" xfId="0" applyNumberFormat="1" applyFont="1" applyFill="1" applyBorder="1" applyAlignment="1">
      <alignment horizontal="center" vertical="center"/>
    </xf>
    <xf numFmtId="0" fontId="18" fillId="16" borderId="1" xfId="0" applyFont="1" applyFill="1" applyBorder="1"/>
    <xf numFmtId="0" fontId="18" fillId="16" borderId="1" xfId="0" applyFont="1" applyFill="1" applyBorder="1" applyAlignment="1">
      <alignment horizontal="center" vertical="center"/>
    </xf>
    <xf numFmtId="3" fontId="18" fillId="16" borderId="1" xfId="0" applyNumberFormat="1" applyFont="1" applyFill="1" applyBorder="1" applyAlignment="1">
      <alignment horizontal="center" vertical="center"/>
    </xf>
    <xf numFmtId="3" fontId="18" fillId="0" borderId="0" xfId="0" applyNumberFormat="1" applyFont="1" applyAlignment="1">
      <alignment horizontal="center" vertical="center"/>
    </xf>
    <xf numFmtId="0" fontId="17" fillId="0" borderId="0" xfId="0" applyFont="1" applyAlignment="1">
      <alignment horizontal="center" vertical="center"/>
    </xf>
    <xf numFmtId="0" fontId="41" fillId="15" borderId="1" xfId="0" applyFont="1" applyFill="1" applyBorder="1" applyAlignment="1">
      <alignment horizontal="center" vertical="center" wrapText="1"/>
    </xf>
    <xf numFmtId="0" fontId="41" fillId="0" borderId="1" xfId="0" applyFont="1" applyBorder="1"/>
    <xf numFmtId="0" fontId="41" fillId="18" borderId="1" xfId="0" applyFont="1" applyFill="1" applyBorder="1" applyAlignment="1">
      <alignment horizontal="center" vertical="center" wrapText="1"/>
    </xf>
    <xf numFmtId="0" fontId="41" fillId="0" borderId="0" xfId="0" applyFont="1"/>
    <xf numFmtId="9" fontId="41" fillId="0" borderId="0" xfId="0" applyNumberFormat="1" applyFont="1"/>
    <xf numFmtId="168" fontId="41" fillId="0" borderId="0" xfId="0" applyNumberFormat="1" applyFont="1"/>
    <xf numFmtId="0" fontId="41" fillId="5" borderId="1" xfId="0" applyFont="1" applyFill="1" applyBorder="1" applyAlignment="1">
      <alignment horizontal="center" vertical="center" wrapText="1"/>
    </xf>
    <xf numFmtId="0" fontId="43" fillId="15" borderId="1" xfId="0" applyFont="1" applyFill="1" applyBorder="1" applyAlignment="1">
      <alignment horizontal="center" vertical="center" wrapText="1"/>
    </xf>
    <xf numFmtId="0" fontId="43" fillId="18" borderId="1" xfId="0" applyFont="1" applyFill="1" applyBorder="1" applyAlignment="1">
      <alignment horizontal="center" vertical="center" wrapText="1"/>
    </xf>
    <xf numFmtId="0" fontId="43" fillId="5" borderId="1" xfId="0" applyFont="1" applyFill="1" applyBorder="1" applyAlignment="1">
      <alignment horizontal="center" vertical="center" wrapText="1"/>
    </xf>
    <xf numFmtId="3" fontId="43" fillId="18" borderId="1" xfId="0" applyNumberFormat="1" applyFont="1" applyFill="1" applyBorder="1" applyAlignment="1">
      <alignment horizontal="center" vertical="center" wrapText="1"/>
    </xf>
    <xf numFmtId="0" fontId="41" fillId="26" borderId="1" xfId="0" applyFont="1" applyFill="1" applyBorder="1" applyAlignment="1">
      <alignment horizontal="center" vertical="center" wrapText="1"/>
    </xf>
    <xf numFmtId="0" fontId="41" fillId="14" borderId="1" xfId="0" applyFont="1" applyFill="1" applyBorder="1"/>
    <xf numFmtId="0" fontId="41" fillId="14" borderId="1" xfId="0" applyFont="1" applyFill="1" applyBorder="1" applyAlignment="1">
      <alignment horizontal="center" vertical="center" wrapText="1"/>
    </xf>
    <xf numFmtId="0" fontId="41" fillId="14" borderId="13" xfId="0" applyFont="1" applyFill="1" applyBorder="1"/>
    <xf numFmtId="0" fontId="43" fillId="14" borderId="1" xfId="0" applyFont="1" applyFill="1" applyBorder="1" applyAlignment="1">
      <alignment horizontal="center" vertical="center" wrapText="1"/>
    </xf>
    <xf numFmtId="0" fontId="41" fillId="6" borderId="1" xfId="0" applyFont="1" applyFill="1" applyBorder="1" applyAlignment="1">
      <alignment horizontal="center" vertical="center" wrapText="1"/>
    </xf>
    <xf numFmtId="0" fontId="38" fillId="13" borderId="1" xfId="0" applyFont="1" applyFill="1" applyBorder="1" applyAlignment="1">
      <alignment horizontal="center" vertical="center" wrapText="1"/>
    </xf>
    <xf numFmtId="0" fontId="41" fillId="13" borderId="1" xfId="0" applyFont="1" applyFill="1" applyBorder="1" applyAlignment="1">
      <alignment horizontal="center" vertical="center" wrapText="1"/>
    </xf>
    <xf numFmtId="0" fontId="38" fillId="5" borderId="1" xfId="0" applyFont="1" applyFill="1" applyBorder="1" applyAlignment="1">
      <alignment horizontal="center" vertical="center" wrapText="1"/>
    </xf>
    <xf numFmtId="0" fontId="40" fillId="14" borderId="11" xfId="0" applyFont="1" applyFill="1" applyBorder="1" applyAlignment="1">
      <alignment horizontal="center" vertical="center" wrapText="1"/>
    </xf>
    <xf numFmtId="0" fontId="41" fillId="13" borderId="1" xfId="0" applyFont="1" applyFill="1" applyBorder="1"/>
    <xf numFmtId="3" fontId="43" fillId="5" borderId="1" xfId="0" applyNumberFormat="1" applyFont="1" applyFill="1" applyBorder="1" applyAlignment="1">
      <alignment horizontal="center" vertical="center" wrapText="1"/>
    </xf>
    <xf numFmtId="0" fontId="43" fillId="13" borderId="1" xfId="0" applyFont="1" applyFill="1" applyBorder="1" applyAlignment="1">
      <alignment horizontal="center" vertical="center" wrapText="1"/>
    </xf>
    <xf numFmtId="0" fontId="44" fillId="16" borderId="1" xfId="0" applyFont="1" applyFill="1" applyBorder="1"/>
    <xf numFmtId="0" fontId="41" fillId="16" borderId="1" xfId="0" applyFont="1" applyFill="1" applyBorder="1"/>
    <xf numFmtId="0" fontId="45" fillId="16" borderId="1" xfId="0" applyFont="1" applyFill="1" applyBorder="1"/>
    <xf numFmtId="0" fontId="31" fillId="16" borderId="1" xfId="0" applyFont="1" applyFill="1" applyBorder="1"/>
    <xf numFmtId="0" fontId="41" fillId="16" borderId="1" xfId="0" applyFont="1" applyFill="1" applyBorder="1" applyAlignment="1">
      <alignment horizontal="center" vertical="center"/>
    </xf>
    <xf numFmtId="0" fontId="44" fillId="0" borderId="0" xfId="0" applyFont="1"/>
    <xf numFmtId="0" fontId="45" fillId="0" borderId="0" xfId="0" applyFont="1"/>
    <xf numFmtId="0" fontId="31" fillId="0" borderId="0" xfId="0" applyFont="1"/>
    <xf numFmtId="0" fontId="41" fillId="0" borderId="0" xfId="0" applyFont="1" applyAlignment="1">
      <alignment horizontal="center" vertical="center"/>
    </xf>
    <xf numFmtId="0" fontId="17" fillId="28" borderId="1" xfId="0" applyFont="1" applyFill="1" applyBorder="1" applyAlignment="1">
      <alignment horizontal="center" vertical="center" wrapText="1"/>
    </xf>
    <xf numFmtId="10" fontId="17" fillId="28" borderId="1" xfId="0" applyNumberFormat="1" applyFont="1" applyFill="1" applyBorder="1" applyAlignment="1">
      <alignment horizontal="center" vertical="center" wrapText="1"/>
    </xf>
    <xf numFmtId="0" fontId="16" fillId="0" borderId="1" xfId="0" applyFont="1" applyBorder="1"/>
    <xf numFmtId="0" fontId="12" fillId="29" borderId="5" xfId="0" applyFont="1" applyFill="1" applyBorder="1" applyAlignment="1">
      <alignment horizontal="center" vertical="center" wrapText="1"/>
    </xf>
    <xf numFmtId="0" fontId="17" fillId="29" borderId="1" xfId="0" applyFont="1" applyFill="1" applyBorder="1" applyAlignment="1">
      <alignment horizontal="center" vertical="center" wrapText="1"/>
    </xf>
    <xf numFmtId="0" fontId="17" fillId="29" borderId="1" xfId="0" applyFont="1" applyFill="1" applyBorder="1" applyAlignment="1">
      <alignment horizontal="left" vertical="center" wrapText="1"/>
    </xf>
    <xf numFmtId="0" fontId="16" fillId="0" borderId="2" xfId="0" applyFont="1" applyBorder="1" applyAlignment="1">
      <alignment vertical="center"/>
    </xf>
    <xf numFmtId="0" fontId="16" fillId="0" borderId="4" xfId="0" applyFont="1" applyBorder="1" applyAlignment="1">
      <alignment vertical="center"/>
    </xf>
    <xf numFmtId="10" fontId="16" fillId="0" borderId="2" xfId="0" applyNumberFormat="1" applyFont="1" applyBorder="1" applyAlignment="1">
      <alignment horizontal="center" vertical="center"/>
    </xf>
    <xf numFmtId="0" fontId="16" fillId="0" borderId="0" xfId="0" applyFont="1"/>
    <xf numFmtId="0" fontId="12" fillId="29" borderId="11" xfId="0" applyFont="1" applyFill="1" applyBorder="1" applyAlignment="1">
      <alignment horizontal="center" vertical="center" wrapText="1"/>
    </xf>
    <xf numFmtId="0" fontId="17" fillId="6" borderId="1" xfId="0" applyFont="1" applyFill="1" applyBorder="1" applyAlignment="1">
      <alignment horizontal="center" vertical="center" wrapText="1"/>
    </xf>
    <xf numFmtId="9" fontId="17" fillId="29" borderId="1" xfId="0" applyNumberFormat="1" applyFont="1" applyFill="1" applyBorder="1" applyAlignment="1">
      <alignment horizontal="left" vertical="center" wrapText="1"/>
    </xf>
    <xf numFmtId="168" fontId="16" fillId="0" borderId="1" xfId="0" applyNumberFormat="1" applyFont="1" applyBorder="1" applyAlignment="1">
      <alignment horizontal="center" vertical="center" wrapText="1"/>
    </xf>
    <xf numFmtId="10" fontId="16" fillId="0" borderId="1" xfId="0" applyNumberFormat="1" applyFont="1" applyBorder="1" applyAlignment="1">
      <alignment vertical="center"/>
    </xf>
    <xf numFmtId="9" fontId="16" fillId="0" borderId="1" xfId="0" applyNumberFormat="1" applyFont="1" applyBorder="1"/>
    <xf numFmtId="10" fontId="16" fillId="0" borderId="1" xfId="0" applyNumberFormat="1" applyFont="1" applyBorder="1"/>
    <xf numFmtId="0" fontId="16" fillId="5" borderId="13" xfId="0" applyFont="1" applyFill="1" applyBorder="1" applyAlignment="1">
      <alignment horizontal="center" vertical="center"/>
    </xf>
    <xf numFmtId="0" fontId="16" fillId="0" borderId="2" xfId="0" applyFont="1" applyBorder="1"/>
    <xf numFmtId="0" fontId="16" fillId="0" borderId="4" xfId="0" applyFont="1" applyBorder="1"/>
    <xf numFmtId="0" fontId="16" fillId="0" borderId="1" xfId="0" applyFont="1" applyBorder="1" applyAlignment="1">
      <alignment horizontal="center"/>
    </xf>
    <xf numFmtId="0" fontId="13" fillId="0" borderId="1" xfId="0" applyFont="1" applyBorder="1"/>
    <xf numFmtId="9" fontId="13" fillId="5" borderId="14" xfId="0" applyNumberFormat="1" applyFont="1" applyFill="1" applyBorder="1" applyAlignment="1">
      <alignment horizontal="center" vertical="center"/>
    </xf>
    <xf numFmtId="0" fontId="13" fillId="5" borderId="1" xfId="0" applyFont="1" applyFill="1" applyBorder="1"/>
    <xf numFmtId="9" fontId="13" fillId="5" borderId="1" xfId="0" applyNumberFormat="1" applyFont="1" applyFill="1" applyBorder="1"/>
    <xf numFmtId="0" fontId="17" fillId="28" borderId="1" xfId="0" applyFont="1" applyFill="1" applyBorder="1" applyAlignment="1">
      <alignment vertical="center" wrapText="1"/>
    </xf>
    <xf numFmtId="9" fontId="17" fillId="28" borderId="1" xfId="0" applyNumberFormat="1" applyFont="1" applyFill="1" applyBorder="1" applyAlignment="1">
      <alignment horizontal="center" vertical="center" wrapText="1"/>
    </xf>
    <xf numFmtId="0" fontId="16" fillId="0" borderId="2" xfId="0" applyFont="1" applyBorder="1" applyAlignment="1">
      <alignment horizontal="center" vertical="center"/>
    </xf>
    <xf numFmtId="0" fontId="16" fillId="0" borderId="4" xfId="0" applyFont="1" applyBorder="1" applyAlignment="1">
      <alignment horizontal="center" vertical="center"/>
    </xf>
    <xf numFmtId="9" fontId="16" fillId="0" borderId="2" xfId="0" applyNumberFormat="1" applyFont="1" applyBorder="1" applyAlignment="1">
      <alignment horizontal="center" vertical="center"/>
    </xf>
    <xf numFmtId="0" fontId="12" fillId="28" borderId="1" xfId="0" applyFont="1" applyFill="1" applyBorder="1" applyAlignment="1">
      <alignment horizontal="center" vertical="center" wrapText="1"/>
    </xf>
    <xf numFmtId="0" fontId="17" fillId="5" borderId="5" xfId="0" applyFont="1" applyFill="1" applyBorder="1" applyAlignment="1">
      <alignment horizontal="center" vertical="center" wrapText="1"/>
    </xf>
    <xf numFmtId="0" fontId="16" fillId="5" borderId="5" xfId="0" applyFont="1" applyFill="1" applyBorder="1" applyAlignment="1">
      <alignment horizontal="center" vertical="center"/>
    </xf>
    <xf numFmtId="9" fontId="13" fillId="5" borderId="5" xfId="0" applyNumberFormat="1" applyFont="1" applyFill="1" applyBorder="1" applyAlignment="1">
      <alignment horizontal="center" vertical="center"/>
    </xf>
    <xf numFmtId="168" fontId="13" fillId="5" borderId="14" xfId="0" applyNumberFormat="1" applyFont="1" applyFill="1" applyBorder="1" applyAlignment="1">
      <alignment horizontal="center" vertical="center"/>
    </xf>
    <xf numFmtId="9" fontId="17" fillId="13" borderId="1" xfId="0" applyNumberFormat="1" applyFont="1" applyFill="1" applyBorder="1" applyAlignment="1">
      <alignment horizontal="center" vertical="center" wrapText="1"/>
    </xf>
    <xf numFmtId="0" fontId="16" fillId="13" borderId="1" xfId="0" applyFont="1" applyFill="1" applyBorder="1"/>
    <xf numFmtId="0" fontId="16" fillId="13" borderId="14" xfId="0" applyFont="1" applyFill="1" applyBorder="1" applyAlignment="1">
      <alignment horizontal="center" vertical="center"/>
    </xf>
    <xf numFmtId="9" fontId="13" fillId="13" borderId="14" xfId="0" applyNumberFormat="1" applyFont="1" applyFill="1" applyBorder="1" applyAlignment="1">
      <alignment horizontal="center" vertical="center"/>
    </xf>
    <xf numFmtId="10" fontId="16" fillId="0" borderId="2" xfId="0" applyNumberFormat="1" applyFont="1" applyBorder="1" applyAlignment="1">
      <alignment vertical="center"/>
    </xf>
    <xf numFmtId="0" fontId="17" fillId="30" borderId="1" xfId="0" applyFont="1" applyFill="1" applyBorder="1" applyAlignment="1">
      <alignment horizontal="center" vertical="center" wrapText="1"/>
    </xf>
    <xf numFmtId="0" fontId="46" fillId="0" borderId="1" xfId="0" applyFont="1" applyBorder="1" applyAlignment="1">
      <alignment horizontal="center" vertical="center"/>
    </xf>
    <xf numFmtId="0" fontId="46" fillId="0" borderId="4" xfId="0" applyFont="1" applyBorder="1" applyAlignment="1">
      <alignment vertical="center"/>
    </xf>
    <xf numFmtId="0" fontId="46" fillId="0" borderId="1" xfId="0" applyFont="1" applyBorder="1" applyAlignment="1">
      <alignment vertical="center"/>
    </xf>
    <xf numFmtId="0" fontId="16" fillId="5" borderId="14" xfId="0" applyFont="1" applyFill="1" applyBorder="1" applyAlignment="1">
      <alignment horizontal="center" vertical="center"/>
    </xf>
    <xf numFmtId="10" fontId="13" fillId="24" borderId="1" xfId="0" applyNumberFormat="1" applyFont="1" applyFill="1" applyBorder="1"/>
    <xf numFmtId="0" fontId="13" fillId="24" borderId="1" xfId="0" applyFont="1" applyFill="1" applyBorder="1"/>
    <xf numFmtId="10" fontId="13" fillId="13" borderId="14" xfId="0" applyNumberFormat="1" applyFont="1" applyFill="1" applyBorder="1"/>
    <xf numFmtId="0" fontId="46" fillId="0" borderId="2" xfId="0" applyFont="1" applyBorder="1" applyAlignment="1">
      <alignment horizontal="center" vertical="center"/>
    </xf>
    <xf numFmtId="0" fontId="46" fillId="0" borderId="4" xfId="0" applyFont="1" applyBorder="1" applyAlignment="1">
      <alignment horizontal="center" vertical="center"/>
    </xf>
    <xf numFmtId="9" fontId="46" fillId="0" borderId="1" xfId="0" applyNumberFormat="1" applyFont="1" applyBorder="1" applyAlignment="1">
      <alignment horizontal="center" vertical="center"/>
    </xf>
    <xf numFmtId="9" fontId="46" fillId="0" borderId="2" xfId="0" applyNumberFormat="1" applyFont="1" applyBorder="1" applyAlignment="1">
      <alignment horizontal="center" vertical="center"/>
    </xf>
    <xf numFmtId="9" fontId="13" fillId="24" borderId="1" xfId="0" applyNumberFormat="1" applyFont="1" applyFill="1" applyBorder="1" applyAlignment="1">
      <alignment vertical="center"/>
    </xf>
    <xf numFmtId="0" fontId="13" fillId="24" borderId="1" xfId="0" applyFont="1" applyFill="1" applyBorder="1" applyAlignment="1">
      <alignment vertical="center"/>
    </xf>
    <xf numFmtId="10" fontId="13" fillId="13" borderId="14" xfId="0" applyNumberFormat="1" applyFont="1" applyFill="1" applyBorder="1" applyAlignment="1">
      <alignment vertical="center"/>
    </xf>
    <xf numFmtId="0" fontId="17" fillId="28" borderId="5" xfId="0" applyFont="1" applyFill="1" applyBorder="1" applyAlignment="1">
      <alignment horizontal="center" vertical="center" wrapText="1"/>
    </xf>
    <xf numFmtId="0" fontId="17" fillId="29" borderId="5" xfId="0" applyFont="1" applyFill="1" applyBorder="1" applyAlignment="1">
      <alignment horizontal="center" vertical="center" wrapText="1"/>
    </xf>
    <xf numFmtId="0" fontId="16" fillId="5" borderId="1" xfId="0" applyFont="1" applyFill="1" applyBorder="1"/>
    <xf numFmtId="0" fontId="17" fillId="28" borderId="11" xfId="0" applyFont="1" applyFill="1" applyBorder="1" applyAlignment="1">
      <alignment horizontal="center" vertical="center" wrapText="1"/>
    </xf>
    <xf numFmtId="0" fontId="17" fillId="29" borderId="11" xfId="0" applyFont="1" applyFill="1" applyBorder="1" applyAlignment="1">
      <alignment horizontal="center" vertical="center" wrapText="1"/>
    </xf>
    <xf numFmtId="10" fontId="13" fillId="5" borderId="1" xfId="0" applyNumberFormat="1" applyFont="1" applyFill="1" applyBorder="1"/>
    <xf numFmtId="0" fontId="16" fillId="0" borderId="6" xfId="0" applyFont="1" applyBorder="1"/>
    <xf numFmtId="0" fontId="16" fillId="0" borderId="16" xfId="0" applyFont="1" applyBorder="1"/>
    <xf numFmtId="0" fontId="16" fillId="0" borderId="20" xfId="0" applyFont="1" applyBorder="1"/>
    <xf numFmtId="0" fontId="16" fillId="0" borderId="6" xfId="0" applyFont="1" applyBorder="1" applyAlignment="1">
      <alignment horizontal="center"/>
    </xf>
    <xf numFmtId="168" fontId="13" fillId="7" borderId="14" xfId="0" applyNumberFormat="1" applyFont="1" applyFill="1" applyBorder="1" applyAlignment="1">
      <alignment horizontal="center" vertical="center"/>
    </xf>
    <xf numFmtId="168" fontId="13" fillId="13" borderId="14" xfId="0" applyNumberFormat="1" applyFont="1" applyFill="1" applyBorder="1" applyAlignment="1">
      <alignment horizontal="center" vertical="center"/>
    </xf>
    <xf numFmtId="168" fontId="16" fillId="0" borderId="4" xfId="0" applyNumberFormat="1" applyFont="1" applyBorder="1" applyAlignment="1">
      <alignment horizontal="center" vertical="center"/>
    </xf>
    <xf numFmtId="9" fontId="16" fillId="14" borderId="14" xfId="0" applyNumberFormat="1" applyFont="1" applyFill="1" applyBorder="1" applyAlignment="1">
      <alignment horizontal="center" vertical="center"/>
    </xf>
    <xf numFmtId="9" fontId="13" fillId="5" borderId="13" xfId="0" applyNumberFormat="1" applyFont="1" applyFill="1" applyBorder="1" applyAlignment="1">
      <alignment horizontal="center"/>
    </xf>
    <xf numFmtId="0" fontId="17" fillId="0" borderId="9"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21" xfId="0" applyFont="1" applyBorder="1" applyAlignment="1">
      <alignment horizontal="center" vertical="center" wrapText="1"/>
    </xf>
    <xf numFmtId="0" fontId="17" fillId="0" borderId="8" xfId="0" applyFont="1" applyBorder="1" applyAlignment="1">
      <alignment horizontal="center" vertical="center" wrapText="1"/>
    </xf>
    <xf numFmtId="9" fontId="16" fillId="0" borderId="4" xfId="0" applyNumberFormat="1" applyFont="1" applyBorder="1" applyAlignment="1">
      <alignment horizontal="center" vertical="center"/>
    </xf>
    <xf numFmtId="10" fontId="16" fillId="14" borderId="2" xfId="0" applyNumberFormat="1" applyFont="1" applyFill="1" applyBorder="1" applyAlignment="1">
      <alignment horizontal="center" vertical="center"/>
    </xf>
    <xf numFmtId="9" fontId="17" fillId="14" borderId="2" xfId="0" applyNumberFormat="1" applyFont="1" applyFill="1" applyBorder="1" applyAlignment="1">
      <alignment horizontal="center" vertical="center"/>
    </xf>
    <xf numFmtId="0" fontId="12" fillId="5" borderId="1" xfId="0" applyFont="1" applyFill="1" applyBorder="1" applyAlignment="1">
      <alignment horizontal="center" vertical="center"/>
    </xf>
    <xf numFmtId="3" fontId="17" fillId="28" borderId="1" xfId="0" applyNumberFormat="1" applyFont="1" applyFill="1" applyBorder="1" applyAlignment="1">
      <alignment horizontal="center" vertical="center" wrapText="1"/>
    </xf>
    <xf numFmtId="0" fontId="17" fillId="0" borderId="2" xfId="0" applyFont="1" applyBorder="1" applyAlignment="1">
      <alignment horizontal="center" vertical="center"/>
    </xf>
    <xf numFmtId="0" fontId="17" fillId="0" borderId="4" xfId="0" applyFont="1" applyBorder="1" applyAlignment="1">
      <alignment horizontal="center" vertical="center"/>
    </xf>
    <xf numFmtId="0" fontId="17" fillId="0" borderId="8" xfId="0" applyFont="1" applyBorder="1" applyAlignment="1">
      <alignment horizontal="center" vertical="center"/>
    </xf>
    <xf numFmtId="0" fontId="17" fillId="0" borderId="9" xfId="0" applyFont="1" applyBorder="1" applyAlignment="1">
      <alignment horizontal="center" vertical="center"/>
    </xf>
    <xf numFmtId="0" fontId="17" fillId="6" borderId="1" xfId="0" applyFont="1" applyFill="1" applyBorder="1" applyAlignment="1">
      <alignment horizontal="left" vertical="center" wrapText="1"/>
    </xf>
    <xf numFmtId="0" fontId="16" fillId="0" borderId="0" xfId="0" applyFont="1" applyAlignment="1">
      <alignment horizontal="center"/>
    </xf>
    <xf numFmtId="10" fontId="13" fillId="5" borderId="14" xfId="0" applyNumberFormat="1" applyFont="1" applyFill="1" applyBorder="1" applyAlignment="1">
      <alignment horizontal="center" vertical="center"/>
    </xf>
    <xf numFmtId="0" fontId="17" fillId="30" borderId="1" xfId="0" applyFont="1" applyFill="1" applyBorder="1" applyAlignment="1">
      <alignment horizontal="left" vertical="center" wrapText="1"/>
    </xf>
    <xf numFmtId="9" fontId="17" fillId="0" borderId="2" xfId="0" applyNumberFormat="1" applyFont="1" applyBorder="1" applyAlignment="1">
      <alignment horizontal="center" vertical="center"/>
    </xf>
    <xf numFmtId="3" fontId="17" fillId="29" borderId="1" xfId="0" applyNumberFormat="1" applyFont="1" applyFill="1" applyBorder="1" applyAlignment="1">
      <alignment horizontal="center" vertical="center" wrapText="1"/>
    </xf>
    <xf numFmtId="0" fontId="17" fillId="0" borderId="6" xfId="0" applyFont="1" applyBorder="1" applyAlignment="1">
      <alignment horizontal="center" vertical="center"/>
    </xf>
    <xf numFmtId="0" fontId="17" fillId="0" borderId="16" xfId="0" applyFont="1" applyBorder="1" applyAlignment="1">
      <alignment horizontal="center" vertical="center"/>
    </xf>
    <xf numFmtId="0" fontId="16" fillId="28" borderId="1" xfId="0" applyFont="1" applyFill="1" applyBorder="1" applyAlignment="1">
      <alignment horizontal="center"/>
    </xf>
    <xf numFmtId="0" fontId="17" fillId="5" borderId="14" xfId="0" applyFont="1" applyFill="1" applyBorder="1" applyAlignment="1">
      <alignment horizontal="center" vertical="center"/>
    </xf>
    <xf numFmtId="0" fontId="17" fillId="5" borderId="15" xfId="0" applyFont="1" applyFill="1" applyBorder="1" applyAlignment="1">
      <alignment horizontal="center" vertical="center"/>
    </xf>
    <xf numFmtId="0" fontId="17" fillId="5" borderId="7" xfId="0" applyFont="1" applyFill="1" applyBorder="1" applyAlignment="1">
      <alignment horizontal="center" vertical="center"/>
    </xf>
    <xf numFmtId="0" fontId="17" fillId="5" borderId="11" xfId="0" applyFont="1" applyFill="1" applyBorder="1" applyAlignment="1">
      <alignment horizontal="center" vertical="center"/>
    </xf>
    <xf numFmtId="9" fontId="12" fillId="5" borderId="1" xfId="0" applyNumberFormat="1" applyFont="1" applyFill="1" applyBorder="1" applyAlignment="1">
      <alignment horizontal="center" vertical="center"/>
    </xf>
    <xf numFmtId="0" fontId="17" fillId="5" borderId="5" xfId="0" applyFont="1" applyFill="1" applyBorder="1" applyAlignment="1">
      <alignment horizontal="center" vertical="center"/>
    </xf>
    <xf numFmtId="0" fontId="12" fillId="5" borderId="5" xfId="0" applyFont="1" applyFill="1" applyBorder="1" applyAlignment="1">
      <alignment horizontal="center" vertical="center"/>
    </xf>
    <xf numFmtId="168" fontId="13" fillId="5" borderId="18" xfId="0" applyNumberFormat="1" applyFont="1" applyFill="1" applyBorder="1" applyAlignment="1">
      <alignment horizontal="center" vertical="center"/>
    </xf>
    <xf numFmtId="0" fontId="16" fillId="5" borderId="22" xfId="0" applyFont="1" applyFill="1" applyBorder="1" applyAlignment="1">
      <alignment horizontal="center" vertical="center"/>
    </xf>
    <xf numFmtId="0" fontId="17" fillId="29" borderId="1" xfId="0" applyFont="1" applyFill="1" applyBorder="1" applyAlignment="1">
      <alignment horizontal="center" vertical="center"/>
    </xf>
    <xf numFmtId="0" fontId="16" fillId="0" borderId="2" xfId="0" applyFont="1" applyBorder="1" applyAlignment="1">
      <alignment horizontal="center" vertical="center" wrapText="1"/>
    </xf>
    <xf numFmtId="9" fontId="13" fillId="13" borderId="14" xfId="0" applyNumberFormat="1" applyFont="1" applyFill="1" applyBorder="1"/>
    <xf numFmtId="9" fontId="13" fillId="5" borderId="14" xfId="0" applyNumberFormat="1" applyFont="1" applyFill="1" applyBorder="1"/>
    <xf numFmtId="9" fontId="16" fillId="5" borderId="1" xfId="0" applyNumberFormat="1" applyFont="1" applyFill="1" applyBorder="1"/>
    <xf numFmtId="0" fontId="16" fillId="13" borderId="1" xfId="0" applyFont="1" applyFill="1" applyBorder="1" applyAlignment="1">
      <alignment horizontal="center"/>
    </xf>
    <xf numFmtId="0" fontId="17" fillId="13" borderId="1" xfId="0" applyFont="1" applyFill="1" applyBorder="1" applyAlignment="1">
      <alignment horizontal="center" vertical="center"/>
    </xf>
    <xf numFmtId="168" fontId="16" fillId="13" borderId="1" xfId="0" applyNumberFormat="1" applyFont="1" applyFill="1" applyBorder="1" applyAlignment="1">
      <alignment horizontal="center" vertical="center"/>
    </xf>
    <xf numFmtId="168" fontId="13" fillId="13" borderId="13" xfId="0" applyNumberFormat="1" applyFont="1" applyFill="1" applyBorder="1"/>
    <xf numFmtId="10" fontId="13" fillId="13" borderId="1" xfId="0" applyNumberFormat="1" applyFont="1" applyFill="1" applyBorder="1"/>
    <xf numFmtId="0" fontId="13" fillId="13" borderId="1" xfId="0" applyFont="1" applyFill="1" applyBorder="1"/>
    <xf numFmtId="0" fontId="17" fillId="28" borderId="1" xfId="0" applyFont="1" applyFill="1" applyBorder="1" applyAlignment="1">
      <alignment horizontal="left" vertical="center" wrapText="1"/>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9" fontId="16" fillId="0" borderId="2" xfId="0" applyNumberFormat="1" applyFont="1" applyBorder="1" applyAlignment="1">
      <alignment horizontal="center" vertical="center" wrapText="1"/>
    </xf>
    <xf numFmtId="0" fontId="17" fillId="0" borderId="6" xfId="0" applyFont="1" applyBorder="1" applyAlignment="1">
      <alignment horizontal="center" vertical="center" wrapText="1"/>
    </xf>
    <xf numFmtId="0" fontId="16" fillId="0" borderId="6" xfId="0" applyFont="1" applyBorder="1" applyAlignment="1">
      <alignment horizontal="center" vertical="center" wrapText="1"/>
    </xf>
    <xf numFmtId="9" fontId="16" fillId="0" borderId="6" xfId="0" applyNumberFormat="1" applyFont="1" applyBorder="1" applyAlignment="1">
      <alignment horizontal="center" vertical="center" wrapText="1"/>
    </xf>
    <xf numFmtId="9" fontId="16" fillId="0" borderId="16" xfId="0" applyNumberFormat="1" applyFont="1" applyBorder="1" applyAlignment="1">
      <alignment horizontal="center" vertical="center" wrapText="1"/>
    </xf>
    <xf numFmtId="0" fontId="17" fillId="0" borderId="1" xfId="0" applyFont="1" applyBorder="1"/>
    <xf numFmtId="0" fontId="17" fillId="0" borderId="2" xfId="0" applyFont="1" applyBorder="1"/>
    <xf numFmtId="0" fontId="17" fillId="0" borderId="4" xfId="0" applyFont="1" applyBorder="1"/>
    <xf numFmtId="0" fontId="17" fillId="14" borderId="1" xfId="0" applyFont="1" applyFill="1" applyBorder="1" applyAlignment="1">
      <alignment horizontal="left" vertical="center" wrapText="1"/>
    </xf>
    <xf numFmtId="0" fontId="16" fillId="14" borderId="1" xfId="0" applyFont="1" applyFill="1" applyBorder="1"/>
    <xf numFmtId="0" fontId="16" fillId="14" borderId="14" xfId="0" applyFont="1" applyFill="1" applyBorder="1" applyAlignment="1">
      <alignment horizontal="center" vertical="center"/>
    </xf>
    <xf numFmtId="0" fontId="17" fillId="14" borderId="11" xfId="0" applyFont="1" applyFill="1" applyBorder="1" applyAlignment="1">
      <alignment horizontal="center" vertical="center" wrapText="1"/>
    </xf>
    <xf numFmtId="0" fontId="16" fillId="14" borderId="13" xfId="0" applyFont="1" applyFill="1" applyBorder="1"/>
    <xf numFmtId="0" fontId="16" fillId="14" borderId="5" xfId="0" applyFont="1" applyFill="1" applyBorder="1" applyAlignment="1">
      <alignment horizontal="center" vertical="center"/>
    </xf>
    <xf numFmtId="0" fontId="16" fillId="14" borderId="13" xfId="0" applyFont="1" applyFill="1" applyBorder="1" applyAlignment="1">
      <alignment horizontal="center" vertical="center"/>
    </xf>
    <xf numFmtId="0" fontId="16" fillId="0" borderId="8" xfId="0" applyFont="1" applyBorder="1" applyAlignment="1">
      <alignment horizontal="center" vertical="center" wrapText="1"/>
    </xf>
    <xf numFmtId="9" fontId="17" fillId="0" borderId="23" xfId="0" applyNumberFormat="1" applyFont="1" applyBorder="1" applyAlignment="1">
      <alignment horizontal="center" vertical="center" wrapText="1"/>
    </xf>
    <xf numFmtId="9" fontId="17" fillId="0" borderId="2" xfId="0" applyNumberFormat="1" applyFont="1" applyBorder="1" applyAlignment="1">
      <alignment horizontal="center" vertical="center" wrapText="1"/>
    </xf>
    <xf numFmtId="9" fontId="16" fillId="0" borderId="9" xfId="0" applyNumberFormat="1" applyFont="1" applyBorder="1" applyAlignment="1">
      <alignment horizontal="center" vertical="center" wrapText="1"/>
    </xf>
    <xf numFmtId="9" fontId="16" fillId="0" borderId="17" xfId="0" applyNumberFormat="1" applyFont="1" applyBorder="1" applyAlignment="1">
      <alignment horizontal="center" vertical="center" wrapText="1"/>
    </xf>
    <xf numFmtId="0" fontId="12" fillId="30" borderId="5" xfId="0" applyFont="1" applyFill="1" applyBorder="1" applyAlignment="1">
      <alignment horizontal="center" vertical="center" wrapText="1"/>
    </xf>
    <xf numFmtId="0" fontId="12" fillId="30" borderId="11" xfId="0" applyFont="1" applyFill="1" applyBorder="1" applyAlignment="1">
      <alignment horizontal="center" vertical="center" wrapText="1"/>
    </xf>
    <xf numFmtId="9" fontId="13" fillId="5" borderId="1" xfId="0" applyNumberFormat="1" applyFont="1" applyFill="1" applyBorder="1" applyAlignment="1">
      <alignment horizontal="center" vertical="center" wrapText="1"/>
    </xf>
    <xf numFmtId="9" fontId="17" fillId="28" borderId="1" xfId="0" applyNumberFormat="1" applyFont="1" applyFill="1" applyBorder="1" applyAlignment="1">
      <alignment horizontal="left" vertical="center" wrapText="1"/>
    </xf>
    <xf numFmtId="0" fontId="19" fillId="28" borderId="1" xfId="0" applyFont="1" applyFill="1" applyBorder="1" applyAlignment="1">
      <alignment horizontal="left" vertical="center" wrapText="1"/>
    </xf>
    <xf numFmtId="0" fontId="19" fillId="28" borderId="1" xfId="0" applyFont="1" applyFill="1" applyBorder="1" applyAlignment="1">
      <alignment vertical="center" wrapText="1"/>
    </xf>
    <xf numFmtId="0" fontId="17" fillId="30" borderId="5" xfId="0" applyFont="1" applyFill="1" applyBorder="1" applyAlignment="1">
      <alignment horizontal="center" vertical="center" wrapText="1"/>
    </xf>
    <xf numFmtId="9" fontId="17" fillId="5" borderId="1" xfId="0" applyNumberFormat="1" applyFont="1" applyFill="1" applyBorder="1" applyAlignment="1">
      <alignment horizontal="center" vertical="center"/>
    </xf>
    <xf numFmtId="0" fontId="17" fillId="13" borderId="11" xfId="0" applyFont="1" applyFill="1" applyBorder="1" applyAlignment="1">
      <alignment horizontal="center" vertical="center" wrapText="1"/>
    </xf>
    <xf numFmtId="0" fontId="17" fillId="13" borderId="5" xfId="0" applyFont="1" applyFill="1" applyBorder="1" applyAlignment="1">
      <alignment horizontal="center" vertical="center"/>
    </xf>
    <xf numFmtId="9" fontId="13" fillId="13" borderId="5" xfId="0" applyNumberFormat="1" applyFont="1" applyFill="1" applyBorder="1" applyAlignment="1">
      <alignment horizontal="center" vertical="center"/>
    </xf>
    <xf numFmtId="0" fontId="12" fillId="13" borderId="5" xfId="0" applyFont="1" applyFill="1" applyBorder="1" applyAlignment="1">
      <alignment horizontal="center" vertical="center"/>
    </xf>
    <xf numFmtId="9" fontId="13" fillId="13" borderId="18" xfId="0" applyNumberFormat="1" applyFont="1" applyFill="1" applyBorder="1" applyAlignment="1">
      <alignment horizontal="center" vertical="center"/>
    </xf>
    <xf numFmtId="10" fontId="47" fillId="13" borderId="1" xfId="0" applyNumberFormat="1" applyFont="1" applyFill="1" applyBorder="1"/>
    <xf numFmtId="172" fontId="16" fillId="14" borderId="14" xfId="0" applyNumberFormat="1" applyFont="1" applyFill="1" applyBorder="1" applyAlignment="1">
      <alignment horizontal="center" vertical="center"/>
    </xf>
    <xf numFmtId="0" fontId="16" fillId="14" borderId="15" xfId="0" applyFont="1" applyFill="1" applyBorder="1" applyAlignment="1">
      <alignment horizontal="center" vertical="center"/>
    </xf>
    <xf numFmtId="10" fontId="16" fillId="14" borderId="14" xfId="0" applyNumberFormat="1" applyFont="1" applyFill="1" applyBorder="1" applyAlignment="1">
      <alignment horizontal="center" vertical="center"/>
    </xf>
    <xf numFmtId="172" fontId="16" fillId="0" borderId="1" xfId="0" applyNumberFormat="1" applyFont="1" applyBorder="1"/>
    <xf numFmtId="9" fontId="27" fillId="13" borderId="1" xfId="0" applyNumberFormat="1" applyFont="1" applyFill="1" applyBorder="1"/>
    <xf numFmtId="9" fontId="16" fillId="0" borderId="17" xfId="0" applyNumberFormat="1" applyFont="1" applyBorder="1" applyAlignment="1">
      <alignment horizontal="center" vertical="center"/>
    </xf>
    <xf numFmtId="0" fontId="17" fillId="30" borderId="7" xfId="0" applyFont="1" applyFill="1" applyBorder="1" applyAlignment="1">
      <alignment horizontal="center" vertical="center" wrapText="1"/>
    </xf>
    <xf numFmtId="0" fontId="17" fillId="30" borderId="11" xfId="0" applyFont="1" applyFill="1" applyBorder="1" applyAlignment="1">
      <alignment horizontal="center" vertical="center" wrapText="1"/>
    </xf>
    <xf numFmtId="0" fontId="17" fillId="30" borderId="1" xfId="0" applyFont="1" applyFill="1" applyBorder="1" applyAlignment="1">
      <alignment vertical="center" wrapText="1"/>
    </xf>
    <xf numFmtId="0" fontId="16" fillId="0" borderId="6" xfId="0" applyFont="1" applyBorder="1" applyAlignment="1">
      <alignment horizontal="center" vertical="center"/>
    </xf>
    <xf numFmtId="0" fontId="47" fillId="5" borderId="1" xfId="0" applyFont="1" applyFill="1" applyBorder="1"/>
    <xf numFmtId="0" fontId="16" fillId="0" borderId="3" xfId="0" applyFont="1" applyBorder="1"/>
    <xf numFmtId="0" fontId="16" fillId="0" borderId="3" xfId="0" applyFont="1" applyBorder="1" applyAlignment="1">
      <alignment horizontal="center" vertical="center"/>
    </xf>
    <xf numFmtId="9" fontId="8" fillId="0" borderId="1" xfId="0" applyNumberFormat="1" applyFont="1" applyBorder="1"/>
    <xf numFmtId="10" fontId="16" fillId="0" borderId="3" xfId="0" applyNumberFormat="1" applyFont="1" applyBorder="1" applyAlignment="1">
      <alignment horizontal="center" vertical="center"/>
    </xf>
    <xf numFmtId="10" fontId="16" fillId="0" borderId="4" xfId="0" applyNumberFormat="1" applyFont="1" applyBorder="1" applyAlignment="1">
      <alignment horizontal="center" vertical="center"/>
    </xf>
    <xf numFmtId="10" fontId="16" fillId="0" borderId="1" xfId="0" applyNumberFormat="1" applyFont="1" applyBorder="1" applyAlignment="1">
      <alignment horizontal="center"/>
    </xf>
    <xf numFmtId="9" fontId="13" fillId="5" borderId="18" xfId="0" applyNumberFormat="1" applyFont="1" applyFill="1" applyBorder="1" applyAlignment="1">
      <alignment horizontal="center" vertical="center"/>
    </xf>
    <xf numFmtId="0" fontId="16" fillId="5" borderId="7" xfId="0" applyFont="1" applyFill="1" applyBorder="1" applyAlignment="1">
      <alignment horizontal="center" vertical="center"/>
    </xf>
    <xf numFmtId="9" fontId="13" fillId="5" borderId="7" xfId="0" applyNumberFormat="1" applyFont="1" applyFill="1" applyBorder="1" applyAlignment="1">
      <alignment horizontal="center" vertical="center"/>
    </xf>
    <xf numFmtId="0" fontId="13" fillId="5" borderId="7" xfId="0" applyFont="1" applyFill="1" applyBorder="1" applyAlignment="1">
      <alignment horizontal="center" vertical="center"/>
    </xf>
    <xf numFmtId="9" fontId="13" fillId="5" borderId="24" xfId="0" applyNumberFormat="1" applyFont="1" applyFill="1" applyBorder="1" applyAlignment="1">
      <alignment horizontal="center" vertical="center"/>
    </xf>
    <xf numFmtId="9" fontId="16" fillId="13" borderId="1" xfId="0" applyNumberFormat="1" applyFont="1" applyFill="1" applyBorder="1"/>
    <xf numFmtId="0" fontId="17" fillId="28" borderId="11" xfId="0" applyFont="1" applyFill="1" applyBorder="1" applyAlignment="1">
      <alignment vertical="center" wrapText="1"/>
    </xf>
    <xf numFmtId="9" fontId="17" fillId="28" borderId="11" xfId="0" applyNumberFormat="1" applyFont="1" applyFill="1" applyBorder="1" applyAlignment="1">
      <alignment horizontal="center" vertical="center" wrapText="1"/>
    </xf>
    <xf numFmtId="0" fontId="16" fillId="0" borderId="9" xfId="0" applyFont="1" applyBorder="1"/>
    <xf numFmtId="171" fontId="17" fillId="30" borderId="11" xfId="0" applyNumberFormat="1" applyFont="1" applyFill="1" applyBorder="1" applyAlignment="1">
      <alignment horizontal="center" vertical="center" wrapText="1"/>
    </xf>
    <xf numFmtId="181" fontId="16" fillId="14" borderId="1" xfId="0" applyNumberFormat="1" applyFont="1" applyFill="1" applyBorder="1" applyAlignment="1">
      <alignment horizontal="center" vertical="center" wrapText="1"/>
    </xf>
    <xf numFmtId="164" fontId="16" fillId="0" borderId="1" xfId="0" applyNumberFormat="1" applyFont="1" applyBorder="1" applyAlignment="1">
      <alignment horizontal="center" vertical="center" wrapText="1"/>
    </xf>
    <xf numFmtId="181" fontId="16" fillId="0" borderId="1" xfId="0" applyNumberFormat="1" applyFont="1" applyBorder="1" applyAlignment="1">
      <alignment horizontal="center" vertical="center"/>
    </xf>
    <xf numFmtId="164" fontId="16" fillId="0" borderId="9" xfId="0" applyNumberFormat="1" applyFont="1" applyBorder="1" applyAlignment="1">
      <alignment horizontal="center" vertical="center" wrapText="1"/>
    </xf>
    <xf numFmtId="164" fontId="17" fillId="14" borderId="11" xfId="0" applyNumberFormat="1" applyFont="1" applyFill="1" applyBorder="1" applyAlignment="1">
      <alignment horizontal="center" vertical="center" wrapText="1"/>
    </xf>
    <xf numFmtId="164" fontId="17" fillId="14" borderId="1" xfId="0" applyNumberFormat="1" applyFont="1" applyFill="1" applyBorder="1" applyAlignment="1">
      <alignment horizontal="center" vertical="center" wrapText="1"/>
    </xf>
    <xf numFmtId="181" fontId="16" fillId="0" borderId="9" xfId="0" applyNumberFormat="1" applyFont="1" applyBorder="1" applyAlignment="1">
      <alignment horizontal="center" vertical="center"/>
    </xf>
    <xf numFmtId="168" fontId="16" fillId="0" borderId="17" xfId="0" applyNumberFormat="1" applyFont="1" applyBorder="1" applyAlignment="1">
      <alignment horizontal="center" vertical="center"/>
    </xf>
    <xf numFmtId="171" fontId="17" fillId="30" borderId="1" xfId="0" applyNumberFormat="1" applyFont="1" applyFill="1" applyBorder="1" applyAlignment="1">
      <alignment horizontal="center" vertical="center" wrapText="1"/>
    </xf>
    <xf numFmtId="181" fontId="16" fillId="0" borderId="1" xfId="0" applyNumberFormat="1" applyFont="1" applyBorder="1" applyAlignment="1">
      <alignment horizontal="center" vertical="center" wrapText="1"/>
    </xf>
    <xf numFmtId="181" fontId="17" fillId="14" borderId="1" xfId="0" applyNumberFormat="1" applyFont="1" applyFill="1" applyBorder="1" applyAlignment="1">
      <alignment horizontal="center" vertical="center" wrapText="1"/>
    </xf>
    <xf numFmtId="164" fontId="17" fillId="0" borderId="1" xfId="0" applyNumberFormat="1" applyFont="1" applyBorder="1" applyAlignment="1">
      <alignment horizontal="center" vertical="center" wrapText="1"/>
    </xf>
    <xf numFmtId="172" fontId="16" fillId="0" borderId="3" xfId="0" applyNumberFormat="1" applyFont="1" applyBorder="1" applyAlignment="1">
      <alignment horizontal="center" vertical="center"/>
    </xf>
    <xf numFmtId="181" fontId="16" fillId="0" borderId="9" xfId="0" applyNumberFormat="1" applyFont="1" applyBorder="1" applyAlignment="1">
      <alignment horizontal="center" vertical="center" wrapText="1"/>
    </xf>
    <xf numFmtId="168" fontId="16" fillId="0" borderId="2" xfId="0" applyNumberFormat="1" applyFont="1" applyBorder="1" applyAlignment="1">
      <alignment horizontal="center" vertical="center"/>
    </xf>
    <xf numFmtId="164" fontId="16" fillId="14" borderId="1" xfId="0" applyNumberFormat="1" applyFont="1" applyFill="1" applyBorder="1" applyAlignment="1">
      <alignment horizontal="center" vertical="center" wrapText="1"/>
    </xf>
    <xf numFmtId="181" fontId="16" fillId="0" borderId="6" xfId="0" applyNumberFormat="1" applyFont="1" applyBorder="1" applyAlignment="1">
      <alignment horizontal="center" vertical="center" wrapText="1"/>
    </xf>
    <xf numFmtId="181" fontId="16" fillId="0" borderId="8" xfId="0" applyNumberFormat="1" applyFont="1" applyBorder="1" applyAlignment="1">
      <alignment horizontal="center" vertical="center" wrapText="1"/>
    </xf>
    <xf numFmtId="1" fontId="16" fillId="14" borderId="1" xfId="0" applyNumberFormat="1" applyFont="1" applyFill="1" applyBorder="1" applyAlignment="1">
      <alignment horizontal="center" vertical="center" wrapText="1"/>
    </xf>
    <xf numFmtId="172" fontId="16" fillId="14" borderId="1" xfId="0" applyNumberFormat="1" applyFont="1" applyFill="1" applyBorder="1" applyAlignment="1">
      <alignment horizontal="center" vertical="center" wrapText="1"/>
    </xf>
    <xf numFmtId="9" fontId="17" fillId="0" borderId="9" xfId="0" applyNumberFormat="1" applyFont="1" applyBorder="1" applyAlignment="1">
      <alignment horizontal="center" vertical="center"/>
    </xf>
    <xf numFmtId="0" fontId="17" fillId="0" borderId="3" xfId="0" applyFont="1" applyBorder="1" applyAlignment="1">
      <alignment horizontal="center" vertical="center"/>
    </xf>
    <xf numFmtId="168" fontId="12" fillId="5" borderId="1" xfId="0" applyNumberFormat="1" applyFont="1" applyFill="1" applyBorder="1" applyAlignment="1">
      <alignment horizontal="center" vertical="center"/>
    </xf>
    <xf numFmtId="0" fontId="16" fillId="0" borderId="3" xfId="0" applyFont="1" applyBorder="1" applyAlignment="1">
      <alignment horizontal="center"/>
    </xf>
    <xf numFmtId="181" fontId="17" fillId="0" borderId="1" xfId="0" applyNumberFormat="1" applyFont="1" applyBorder="1" applyAlignment="1">
      <alignment horizontal="center" vertical="center" wrapText="1"/>
    </xf>
    <xf numFmtId="0" fontId="16" fillId="13" borderId="5" xfId="0" applyFont="1" applyFill="1" applyBorder="1"/>
    <xf numFmtId="0" fontId="17" fillId="13" borderId="14" xfId="0" applyFont="1" applyFill="1" applyBorder="1" applyAlignment="1">
      <alignment horizontal="center" vertical="center"/>
    </xf>
    <xf numFmtId="0" fontId="17" fillId="13" borderId="15" xfId="0" applyFont="1" applyFill="1" applyBorder="1" applyAlignment="1">
      <alignment horizontal="center" vertical="center"/>
    </xf>
    <xf numFmtId="0" fontId="16" fillId="16" borderId="1" xfId="0" applyFont="1" applyFill="1" applyBorder="1"/>
    <xf numFmtId="0" fontId="16" fillId="16" borderId="14" xfId="0" applyFont="1" applyFill="1" applyBorder="1" applyAlignment="1">
      <alignment horizontal="center" vertical="center"/>
    </xf>
    <xf numFmtId="0" fontId="17" fillId="16" borderId="1" xfId="0" applyFont="1" applyFill="1" applyBorder="1" applyAlignment="1">
      <alignment horizontal="center" vertical="center"/>
    </xf>
    <xf numFmtId="0" fontId="17" fillId="16" borderId="14" xfId="0" applyFont="1" applyFill="1" applyBorder="1" applyAlignment="1">
      <alignment horizontal="center" vertical="center"/>
    </xf>
    <xf numFmtId="0" fontId="17" fillId="16" borderId="15" xfId="0" applyFont="1" applyFill="1" applyBorder="1" applyAlignment="1">
      <alignment horizontal="center" vertical="center"/>
    </xf>
    <xf numFmtId="0" fontId="44" fillId="32" borderId="1" xfId="0" applyFont="1" applyFill="1" applyBorder="1" applyAlignment="1">
      <alignment horizontal="center" vertical="center" wrapText="1"/>
    </xf>
    <xf numFmtId="0" fontId="44" fillId="14" borderId="1" xfId="0" applyFont="1" applyFill="1" applyBorder="1" applyAlignment="1">
      <alignment horizontal="center" vertical="center" wrapText="1"/>
    </xf>
    <xf numFmtId="0" fontId="51" fillId="0" borderId="1" xfId="0" applyFont="1" applyBorder="1"/>
    <xf numFmtId="0" fontId="51" fillId="0" borderId="0" xfId="0" applyFont="1"/>
    <xf numFmtId="0" fontId="44" fillId="5" borderId="1" xfId="0" applyFont="1" applyFill="1" applyBorder="1" applyAlignment="1">
      <alignment horizontal="center" vertical="center" wrapText="1"/>
    </xf>
    <xf numFmtId="0" fontId="51" fillId="0" borderId="0" xfId="0" applyFont="1" applyAlignment="1">
      <alignment horizontal="center" vertical="center"/>
    </xf>
    <xf numFmtId="0" fontId="40" fillId="14" borderId="1" xfId="0" applyFont="1" applyFill="1" applyBorder="1" applyAlignment="1">
      <alignment horizontal="center" vertical="center" wrapText="1"/>
    </xf>
    <xf numFmtId="0" fontId="40" fillId="5" borderId="1" xfId="0" applyFont="1" applyFill="1" applyBorder="1" applyAlignment="1">
      <alignment horizontal="center" vertical="center" wrapText="1"/>
    </xf>
    <xf numFmtId="0" fontId="44" fillId="13" borderId="1" xfId="0" applyFont="1" applyFill="1" applyBorder="1" applyAlignment="1">
      <alignment horizontal="center" vertical="center" wrapText="1"/>
    </xf>
    <xf numFmtId="0" fontId="51" fillId="13" borderId="1" xfId="0" applyFont="1" applyFill="1" applyBorder="1"/>
    <xf numFmtId="0" fontId="40" fillId="13" borderId="1" xfId="0" applyFont="1" applyFill="1" applyBorder="1" applyAlignment="1">
      <alignment horizontal="center" vertical="center" wrapText="1"/>
    </xf>
    <xf numFmtId="3" fontId="44" fillId="14" borderId="1" xfId="0" applyNumberFormat="1" applyFont="1" applyFill="1" applyBorder="1" applyAlignment="1">
      <alignment horizontal="center" vertical="center" wrapText="1"/>
    </xf>
    <xf numFmtId="0" fontId="44" fillId="32" borderId="1" xfId="0" applyFont="1" applyFill="1" applyBorder="1" applyAlignment="1">
      <alignment vertical="center" wrapText="1"/>
    </xf>
    <xf numFmtId="9" fontId="44" fillId="14" borderId="1" xfId="0" applyNumberFormat="1" applyFont="1" applyFill="1" applyBorder="1" applyAlignment="1">
      <alignment horizontal="center" vertical="center" wrapText="1"/>
    </xf>
    <xf numFmtId="10" fontId="44" fillId="32" borderId="1" xfId="0" applyNumberFormat="1" applyFont="1" applyFill="1" applyBorder="1" applyAlignment="1">
      <alignment horizontal="center" vertical="center" wrapText="1"/>
    </xf>
    <xf numFmtId="9" fontId="44" fillId="32" borderId="1" xfId="0" applyNumberFormat="1" applyFont="1" applyFill="1" applyBorder="1" applyAlignment="1">
      <alignment horizontal="center" vertical="center" wrapText="1"/>
    </xf>
    <xf numFmtId="0" fontId="51" fillId="32" borderId="1" xfId="0" applyFont="1" applyFill="1" applyBorder="1" applyAlignment="1">
      <alignment horizontal="center"/>
    </xf>
    <xf numFmtId="0" fontId="51" fillId="13" borderId="1" xfId="0" applyFont="1" applyFill="1" applyBorder="1" applyAlignment="1">
      <alignment horizontal="center"/>
    </xf>
    <xf numFmtId="0" fontId="44" fillId="32" borderId="1" xfId="0" applyFont="1" applyFill="1" applyBorder="1" applyAlignment="1">
      <alignment horizontal="left" vertical="center" wrapText="1"/>
    </xf>
    <xf numFmtId="3" fontId="44" fillId="5" borderId="1" xfId="0" applyNumberFormat="1" applyFont="1" applyFill="1" applyBorder="1" applyAlignment="1">
      <alignment horizontal="center" vertical="center" wrapText="1"/>
    </xf>
    <xf numFmtId="9" fontId="44" fillId="13" borderId="1" xfId="0" applyNumberFormat="1" applyFont="1" applyFill="1" applyBorder="1" applyAlignment="1">
      <alignment horizontal="center" vertical="center" wrapText="1"/>
    </xf>
    <xf numFmtId="0" fontId="40" fillId="16" borderId="1" xfId="0" applyFont="1" applyFill="1" applyBorder="1" applyAlignment="1">
      <alignment horizontal="center" vertical="center" wrapText="1"/>
    </xf>
    <xf numFmtId="0" fontId="44" fillId="16" borderId="1" xfId="0" applyFont="1" applyFill="1" applyBorder="1" applyAlignment="1">
      <alignment horizontal="center" vertical="center" wrapText="1"/>
    </xf>
    <xf numFmtId="0" fontId="51" fillId="16" borderId="1" xfId="0" applyFont="1" applyFill="1" applyBorder="1"/>
    <xf numFmtId="9" fontId="53" fillId="0" borderId="0" xfId="0" applyNumberFormat="1" applyFont="1"/>
    <xf numFmtId="170" fontId="53" fillId="0" borderId="0" xfId="0" applyNumberFormat="1" applyFont="1"/>
    <xf numFmtId="168" fontId="53" fillId="0" borderId="0" xfId="0" applyNumberFormat="1" applyFont="1"/>
    <xf numFmtId="0" fontId="54" fillId="0" borderId="0" xfId="0" applyFont="1"/>
    <xf numFmtId="10" fontId="55" fillId="0" borderId="0" xfId="0" applyNumberFormat="1" applyFont="1"/>
    <xf numFmtId="9" fontId="55" fillId="0" borderId="0" xfId="0" applyNumberFormat="1" applyFont="1"/>
    <xf numFmtId="0" fontId="52" fillId="0" borderId="0" xfId="0" applyFont="1"/>
    <xf numFmtId="0" fontId="55" fillId="0" borderId="0" xfId="0" applyFont="1"/>
    <xf numFmtId="170" fontId="41" fillId="0" borderId="0" xfId="0" applyNumberFormat="1" applyFont="1"/>
    <xf numFmtId="10" fontId="57" fillId="13" borderId="33" xfId="0" applyNumberFormat="1" applyFont="1" applyFill="1" applyBorder="1" applyAlignment="1">
      <alignment horizontal="center" vertical="center" wrapText="1"/>
    </xf>
    <xf numFmtId="10" fontId="60" fillId="13" borderId="33" xfId="0" applyNumberFormat="1" applyFont="1" applyFill="1" applyBorder="1" applyAlignment="1">
      <alignment horizontal="center" vertical="center"/>
    </xf>
    <xf numFmtId="168" fontId="60" fillId="13" borderId="33" xfId="0" applyNumberFormat="1" applyFont="1" applyFill="1" applyBorder="1" applyAlignment="1">
      <alignment horizontal="center" vertical="center"/>
    </xf>
    <xf numFmtId="168" fontId="61" fillId="17" borderId="33" xfId="0" applyNumberFormat="1" applyFont="1" applyFill="1" applyBorder="1" applyAlignment="1">
      <alignment horizontal="center" vertical="center" wrapText="1"/>
    </xf>
    <xf numFmtId="10" fontId="61" fillId="17" borderId="33" xfId="0" applyNumberFormat="1" applyFont="1" applyFill="1" applyBorder="1" applyAlignment="1">
      <alignment horizontal="center" vertical="center"/>
    </xf>
    <xf numFmtId="0" fontId="39" fillId="0" borderId="39" xfId="0" applyFont="1" applyBorder="1" applyAlignment="1">
      <alignment horizontal="center" vertical="top" wrapText="1"/>
    </xf>
    <xf numFmtId="0" fontId="39" fillId="0" borderId="40" xfId="0" applyFont="1" applyBorder="1" applyAlignment="1">
      <alignment horizontal="center" vertical="top" wrapText="1"/>
    </xf>
    <xf numFmtId="0" fontId="62" fillId="0" borderId="36" xfId="0" applyFont="1" applyBorder="1" applyAlignment="1">
      <alignment vertical="center" wrapText="1"/>
    </xf>
    <xf numFmtId="0" fontId="63" fillId="35" borderId="42" xfId="0" applyFont="1" applyFill="1" applyBorder="1" applyAlignment="1">
      <alignment vertical="center" wrapText="1"/>
    </xf>
    <xf numFmtId="0" fontId="62" fillId="0" borderId="34" xfId="0" applyFont="1" applyBorder="1" applyAlignment="1">
      <alignment vertical="center" wrapText="1"/>
    </xf>
    <xf numFmtId="9" fontId="8" fillId="0" borderId="1" xfId="0" applyNumberFormat="1" applyFont="1" applyBorder="1" applyAlignment="1">
      <alignment horizontal="center"/>
    </xf>
    <xf numFmtId="0" fontId="62" fillId="0" borderId="43" xfId="0" applyFont="1" applyBorder="1" applyAlignment="1">
      <alignment vertical="center" wrapText="1"/>
    </xf>
    <xf numFmtId="0" fontId="63" fillId="6" borderId="44" xfId="0" applyFont="1" applyFill="1" applyBorder="1" applyAlignment="1">
      <alignment vertical="center" wrapText="1"/>
    </xf>
    <xf numFmtId="0" fontId="64" fillId="0" borderId="43" xfId="0" applyFont="1" applyBorder="1" applyAlignment="1">
      <alignment vertical="center" wrapText="1"/>
    </xf>
    <xf numFmtId="9" fontId="8" fillId="0" borderId="1" xfId="0" applyNumberFormat="1" applyFont="1" applyBorder="1" applyAlignment="1">
      <alignment horizontal="center" wrapText="1"/>
    </xf>
    <xf numFmtId="0" fontId="62" fillId="0" borderId="33" xfId="0" applyFont="1" applyBorder="1" applyAlignment="1">
      <alignment vertical="center" wrapText="1"/>
    </xf>
    <xf numFmtId="0" fontId="62" fillId="8" borderId="33" xfId="0" applyFont="1" applyFill="1" applyBorder="1" applyAlignment="1">
      <alignment vertical="center" wrapText="1"/>
    </xf>
    <xf numFmtId="0" fontId="56" fillId="0" borderId="0" xfId="0" applyFont="1"/>
    <xf numFmtId="0" fontId="64" fillId="0" borderId="46" xfId="0" applyFont="1" applyBorder="1" applyAlignment="1">
      <alignment horizontal="center" vertical="center" wrapText="1"/>
    </xf>
    <xf numFmtId="10" fontId="53" fillId="0" borderId="0" xfId="0" applyNumberFormat="1" applyFont="1"/>
    <xf numFmtId="10" fontId="56" fillId="0" borderId="0" xfId="0" applyNumberFormat="1" applyFont="1"/>
    <xf numFmtId="0" fontId="41" fillId="0" borderId="33" xfId="0" applyFont="1" applyBorder="1" applyAlignment="1">
      <alignment wrapText="1"/>
    </xf>
    <xf numFmtId="0" fontId="64" fillId="0" borderId="34" xfId="0" applyFont="1" applyBorder="1" applyAlignment="1">
      <alignment horizontal="center" vertical="center" wrapText="1"/>
    </xf>
    <xf numFmtId="0" fontId="56" fillId="0" borderId="0" xfId="0" applyFont="1" applyAlignment="1">
      <alignment horizontal="center" vertical="center"/>
    </xf>
    <xf numFmtId="9" fontId="8" fillId="0" borderId="1" xfId="0" applyNumberFormat="1" applyFont="1" applyBorder="1" applyAlignment="1">
      <alignment horizontal="center" vertical="center" wrapText="1"/>
    </xf>
    <xf numFmtId="0" fontId="41" fillId="0" borderId="47" xfId="0" applyFont="1" applyBorder="1" applyAlignment="1">
      <alignment wrapText="1"/>
    </xf>
    <xf numFmtId="168" fontId="41" fillId="6" borderId="38" xfId="0" applyNumberFormat="1" applyFont="1" applyFill="1" applyBorder="1"/>
    <xf numFmtId="168" fontId="10" fillId="21" borderId="1" xfId="0" applyNumberFormat="1" applyFont="1" applyFill="1" applyBorder="1" applyAlignment="1">
      <alignment horizontal="center" vertical="center" wrapText="1"/>
    </xf>
    <xf numFmtId="10" fontId="10" fillId="21" borderId="1" xfId="0" applyNumberFormat="1" applyFont="1" applyFill="1" applyBorder="1" applyAlignment="1">
      <alignment horizontal="center"/>
    </xf>
    <xf numFmtId="10" fontId="10" fillId="21" borderId="14" xfId="0" applyNumberFormat="1" applyFont="1" applyFill="1" applyBorder="1" applyAlignment="1">
      <alignment horizontal="center"/>
    </xf>
    <xf numFmtId="0" fontId="41" fillId="0" borderId="43" xfId="0" applyFont="1" applyBorder="1" applyAlignment="1">
      <alignment wrapText="1"/>
    </xf>
    <xf numFmtId="172" fontId="8" fillId="0" borderId="0" xfId="0" applyNumberFormat="1" applyFont="1"/>
    <xf numFmtId="9" fontId="10" fillId="21" borderId="1" xfId="0" applyNumberFormat="1" applyFont="1" applyFill="1" applyBorder="1" applyAlignment="1">
      <alignment horizontal="center" vertical="center" wrapText="1"/>
    </xf>
    <xf numFmtId="168" fontId="10" fillId="21" borderId="1" xfId="0" applyNumberFormat="1" applyFont="1" applyFill="1" applyBorder="1" applyAlignment="1">
      <alignment horizontal="center" vertical="center"/>
    </xf>
    <xf numFmtId="168" fontId="10" fillId="21" borderId="14" xfId="0" applyNumberFormat="1" applyFont="1" applyFill="1" applyBorder="1" applyAlignment="1">
      <alignment horizontal="center" vertical="center"/>
    </xf>
    <xf numFmtId="9" fontId="8" fillId="14" borderId="1" xfId="0" applyNumberFormat="1" applyFont="1" applyFill="1" applyBorder="1" applyAlignment="1">
      <alignment horizontal="center" vertical="center" wrapText="1"/>
    </xf>
    <xf numFmtId="168" fontId="8" fillId="14" borderId="1" xfId="0" applyNumberFormat="1" applyFont="1" applyFill="1" applyBorder="1" applyAlignment="1">
      <alignment horizontal="center" vertical="center"/>
    </xf>
    <xf numFmtId="10" fontId="8" fillId="14" borderId="14" xfId="0" applyNumberFormat="1" applyFont="1" applyFill="1" applyBorder="1" applyAlignment="1">
      <alignment horizontal="center" vertical="center"/>
    </xf>
    <xf numFmtId="9" fontId="10" fillId="14" borderId="1" xfId="0" applyNumberFormat="1" applyFont="1" applyFill="1" applyBorder="1" applyAlignment="1">
      <alignment horizontal="center" vertical="center" wrapText="1"/>
    </xf>
    <xf numFmtId="168" fontId="10" fillId="14" borderId="1" xfId="0" applyNumberFormat="1" applyFont="1" applyFill="1" applyBorder="1" applyAlignment="1">
      <alignment horizontal="center" vertical="center"/>
    </xf>
    <xf numFmtId="168" fontId="10" fillId="14" borderId="14" xfId="0" applyNumberFormat="1" applyFont="1" applyFill="1" applyBorder="1" applyAlignment="1">
      <alignment horizontal="center" vertical="center"/>
    </xf>
    <xf numFmtId="168" fontId="10" fillId="21" borderId="1" xfId="0" applyNumberFormat="1" applyFont="1" applyFill="1" applyBorder="1" applyAlignment="1">
      <alignment horizontal="center"/>
    </xf>
    <xf numFmtId="168" fontId="10" fillId="21" borderId="14" xfId="0" applyNumberFormat="1" applyFont="1" applyFill="1" applyBorder="1" applyAlignment="1">
      <alignment horizontal="center"/>
    </xf>
    <xf numFmtId="9" fontId="10" fillId="5" borderId="1" xfId="0" applyNumberFormat="1" applyFont="1" applyFill="1" applyBorder="1" applyAlignment="1">
      <alignment horizontal="center" vertical="center" wrapText="1"/>
    </xf>
    <xf numFmtId="9" fontId="10" fillId="5" borderId="1" xfId="0" applyNumberFormat="1" applyFont="1" applyFill="1" applyBorder="1" applyAlignment="1">
      <alignment horizontal="center" vertical="center"/>
    </xf>
    <xf numFmtId="9" fontId="10" fillId="5" borderId="14" xfId="0" applyNumberFormat="1" applyFont="1" applyFill="1" applyBorder="1" applyAlignment="1">
      <alignment horizontal="center" vertical="center"/>
    </xf>
    <xf numFmtId="9" fontId="8" fillId="8" borderId="1" xfId="0" applyNumberFormat="1" applyFont="1" applyFill="1" applyBorder="1" applyAlignment="1">
      <alignment horizontal="center"/>
    </xf>
    <xf numFmtId="9" fontId="10" fillId="5" borderId="1" xfId="0" applyNumberFormat="1" applyFont="1" applyFill="1" applyBorder="1" applyAlignment="1">
      <alignment horizontal="center" wrapText="1"/>
    </xf>
    <xf numFmtId="9" fontId="10" fillId="21" borderId="1" xfId="0" applyNumberFormat="1" applyFont="1" applyFill="1" applyBorder="1" applyAlignment="1">
      <alignment horizontal="center" vertical="center"/>
    </xf>
    <xf numFmtId="9" fontId="10" fillId="21" borderId="14" xfId="0" applyNumberFormat="1" applyFont="1" applyFill="1" applyBorder="1" applyAlignment="1">
      <alignment horizontal="center" vertical="center"/>
    </xf>
    <xf numFmtId="9" fontId="61" fillId="17" borderId="1" xfId="0" applyNumberFormat="1" applyFont="1" applyFill="1" applyBorder="1" applyAlignment="1">
      <alignment horizontal="center" vertical="center" wrapText="1"/>
    </xf>
    <xf numFmtId="10" fontId="61" fillId="17" borderId="1" xfId="0" applyNumberFormat="1" applyFont="1" applyFill="1" applyBorder="1" applyAlignment="1">
      <alignment horizontal="center" vertical="center" wrapText="1"/>
    </xf>
    <xf numFmtId="10" fontId="61" fillId="17" borderId="14" xfId="0" applyNumberFormat="1" applyFont="1" applyFill="1" applyBorder="1" applyAlignment="1">
      <alignment horizontal="center" vertical="center" wrapText="1"/>
    </xf>
    <xf numFmtId="168" fontId="8" fillId="5" borderId="1" xfId="0" applyNumberFormat="1" applyFont="1" applyFill="1" applyBorder="1" applyAlignment="1">
      <alignment horizontal="center" vertical="center"/>
    </xf>
    <xf numFmtId="168" fontId="8" fillId="5" borderId="14" xfId="0" applyNumberFormat="1" applyFont="1" applyFill="1" applyBorder="1" applyAlignment="1">
      <alignment horizontal="center" vertical="center"/>
    </xf>
    <xf numFmtId="0" fontId="8" fillId="0" borderId="1" xfId="0" applyFont="1" applyBorder="1" applyAlignment="1">
      <alignment horizontal="left" wrapText="1"/>
    </xf>
    <xf numFmtId="168" fontId="8" fillId="0" borderId="1" xfId="0" applyNumberFormat="1" applyFont="1" applyBorder="1" applyAlignment="1">
      <alignment horizontal="center" wrapText="1"/>
    </xf>
    <xf numFmtId="168" fontId="8" fillId="8" borderId="1" xfId="0" applyNumberFormat="1" applyFont="1" applyFill="1" applyBorder="1" applyAlignment="1">
      <alignment horizontal="center" vertical="center"/>
    </xf>
    <xf numFmtId="168" fontId="10" fillId="5" borderId="1" xfId="0" applyNumberFormat="1" applyFont="1" applyFill="1" applyBorder="1" applyAlignment="1">
      <alignment horizontal="center" vertical="center"/>
    </xf>
    <xf numFmtId="168" fontId="10" fillId="5" borderId="14" xfId="0" applyNumberFormat="1" applyFont="1" applyFill="1" applyBorder="1" applyAlignment="1">
      <alignment horizontal="center" vertical="center"/>
    </xf>
    <xf numFmtId="10" fontId="8" fillId="0" borderId="1" xfId="0" applyNumberFormat="1" applyFont="1" applyBorder="1" applyAlignment="1">
      <alignment horizontal="center"/>
    </xf>
    <xf numFmtId="168" fontId="61" fillId="17" borderId="1" xfId="0" applyNumberFormat="1" applyFont="1" applyFill="1" applyBorder="1" applyAlignment="1">
      <alignment horizontal="center" vertical="center" wrapText="1"/>
    </xf>
    <xf numFmtId="10" fontId="10" fillId="5" borderId="1" xfId="0" applyNumberFormat="1" applyFont="1" applyFill="1" applyBorder="1" applyAlignment="1">
      <alignment horizontal="center"/>
    </xf>
    <xf numFmtId="10" fontId="10" fillId="5" borderId="14" xfId="0" applyNumberFormat="1" applyFont="1" applyFill="1" applyBorder="1" applyAlignment="1">
      <alignment horizontal="center"/>
    </xf>
    <xf numFmtId="0" fontId="8" fillId="0" borderId="0" xfId="0" applyFont="1" applyAlignment="1">
      <alignment wrapText="1"/>
    </xf>
    <xf numFmtId="168" fontId="10" fillId="5" borderId="1" xfId="0" applyNumberFormat="1" applyFont="1" applyFill="1" applyBorder="1" applyAlignment="1">
      <alignment horizontal="center"/>
    </xf>
    <xf numFmtId="168" fontId="10" fillId="5" borderId="14" xfId="0" applyNumberFormat="1" applyFont="1" applyFill="1" applyBorder="1" applyAlignment="1">
      <alignment horizontal="center"/>
    </xf>
    <xf numFmtId="9" fontId="10" fillId="5" borderId="1" xfId="0" applyNumberFormat="1" applyFont="1" applyFill="1" applyBorder="1" applyAlignment="1">
      <alignment horizontal="center"/>
    </xf>
    <xf numFmtId="9" fontId="10" fillId="5" borderId="14" xfId="0" applyNumberFormat="1" applyFont="1" applyFill="1" applyBorder="1" applyAlignment="1">
      <alignment horizontal="center"/>
    </xf>
    <xf numFmtId="10" fontId="10" fillId="5" borderId="1" xfId="0" applyNumberFormat="1" applyFont="1" applyFill="1" applyBorder="1" applyAlignment="1">
      <alignment horizontal="center" vertical="center" wrapText="1"/>
    </xf>
    <xf numFmtId="0" fontId="8" fillId="0" borderId="0" xfId="0" applyFont="1"/>
    <xf numFmtId="10" fontId="41" fillId="0" borderId="0" xfId="0" applyNumberFormat="1" applyFont="1"/>
    <xf numFmtId="0" fontId="39" fillId="0" borderId="47" xfId="0" applyFont="1" applyBorder="1" applyAlignment="1">
      <alignment horizontal="center" vertical="top" wrapText="1"/>
    </xf>
    <xf numFmtId="0" fontId="65" fillId="0" borderId="36" xfId="0" applyFont="1" applyBorder="1" applyAlignment="1">
      <alignment vertical="center" wrapText="1"/>
    </xf>
    <xf numFmtId="0" fontId="65" fillId="0" borderId="43" xfId="0" applyFont="1" applyBorder="1" applyAlignment="1">
      <alignment vertical="center" wrapText="1"/>
    </xf>
    <xf numFmtId="0" fontId="64" fillId="0" borderId="43" xfId="0" applyFont="1" applyBorder="1" applyAlignment="1">
      <alignment horizontal="center" vertical="center" wrapText="1"/>
    </xf>
    <xf numFmtId="0" fontId="65" fillId="0" borderId="33" xfId="0" applyFont="1" applyBorder="1" applyAlignment="1">
      <alignment vertical="center" wrapText="1"/>
    </xf>
    <xf numFmtId="0" fontId="10" fillId="7" borderId="33" xfId="0" applyFont="1" applyFill="1" applyBorder="1" applyAlignment="1">
      <alignment horizontal="center"/>
    </xf>
    <xf numFmtId="0" fontId="8" fillId="0" borderId="41" xfId="0" applyFont="1" applyBorder="1"/>
    <xf numFmtId="171" fontId="8" fillId="0" borderId="48" xfId="0" applyNumberFormat="1" applyFont="1" applyBorder="1" applyAlignment="1">
      <alignment wrapText="1"/>
    </xf>
    <xf numFmtId="0" fontId="8" fillId="0" borderId="48" xfId="0" applyFont="1" applyBorder="1" applyAlignment="1">
      <alignment wrapText="1"/>
    </xf>
    <xf numFmtId="0" fontId="8" fillId="0" borderId="49" xfId="0" applyFont="1" applyBorder="1" applyAlignment="1">
      <alignment wrapText="1"/>
    </xf>
    <xf numFmtId="0" fontId="10" fillId="6" borderId="1" xfId="0" applyFont="1" applyFill="1" applyBorder="1" applyAlignment="1">
      <alignment horizontal="center" vertical="center"/>
    </xf>
    <xf numFmtId="0" fontId="10" fillId="6" borderId="1" xfId="0" applyFont="1" applyFill="1" applyBorder="1" applyAlignment="1">
      <alignment horizontal="center" vertical="center" wrapText="1"/>
    </xf>
    <xf numFmtId="171" fontId="10" fillId="0" borderId="1" xfId="0" applyNumberFormat="1" applyFont="1" applyBorder="1" applyAlignment="1">
      <alignment wrapText="1"/>
    </xf>
    <xf numFmtId="0" fontId="10" fillId="0" borderId="1" xfId="0" applyFont="1" applyBorder="1" applyAlignment="1">
      <alignment wrapText="1"/>
    </xf>
    <xf numFmtId="168" fontId="8" fillId="0" borderId="0" xfId="0" applyNumberFormat="1" applyFont="1" applyAlignment="1">
      <alignment horizontal="center" vertical="center"/>
    </xf>
    <xf numFmtId="0" fontId="10" fillId="0" borderId="1" xfId="0" applyFont="1" applyBorder="1"/>
    <xf numFmtId="9" fontId="8" fillId="0" borderId="0" xfId="0" applyNumberFormat="1" applyFont="1" applyAlignment="1">
      <alignment horizontal="center" vertical="center"/>
    </xf>
    <xf numFmtId="9" fontId="8" fillId="0" borderId="0" xfId="0" applyNumberFormat="1" applyFont="1" applyAlignment="1">
      <alignment vertical="center"/>
    </xf>
    <xf numFmtId="168" fontId="8" fillId="0" borderId="1" xfId="0" applyNumberFormat="1" applyFont="1" applyBorder="1" applyAlignment="1">
      <alignment horizontal="left" vertical="center" wrapText="1"/>
    </xf>
    <xf numFmtId="0" fontId="66" fillId="0" borderId="43" xfId="0" applyFont="1" applyBorder="1" applyAlignment="1">
      <alignment horizontal="center" vertical="center" wrapText="1"/>
    </xf>
    <xf numFmtId="10" fontId="68" fillId="22" borderId="45" xfId="0" applyNumberFormat="1" applyFont="1" applyFill="1" applyBorder="1" applyAlignment="1">
      <alignment horizontal="center" vertical="center" wrapText="1"/>
    </xf>
    <xf numFmtId="10" fontId="68" fillId="6" borderId="45" xfId="0" applyNumberFormat="1" applyFont="1" applyFill="1" applyBorder="1" applyAlignment="1">
      <alignment horizontal="center" vertical="center" wrapText="1"/>
    </xf>
    <xf numFmtId="0" fontId="69" fillId="0" borderId="43" xfId="0" applyFont="1" applyBorder="1" applyAlignment="1">
      <alignment horizontal="left" vertical="center" wrapText="1"/>
    </xf>
    <xf numFmtId="9" fontId="68" fillId="22" borderId="45" xfId="0" applyNumberFormat="1" applyFont="1" applyFill="1" applyBorder="1" applyAlignment="1">
      <alignment horizontal="center" vertical="center" wrapText="1"/>
    </xf>
    <xf numFmtId="10" fontId="68" fillId="13" borderId="45" xfId="0" applyNumberFormat="1" applyFont="1" applyFill="1" applyBorder="1" applyAlignment="1">
      <alignment horizontal="center" vertical="center" wrapText="1"/>
    </xf>
    <xf numFmtId="10" fontId="68" fillId="8" borderId="45" xfId="0" applyNumberFormat="1" applyFont="1" applyFill="1" applyBorder="1" applyAlignment="1">
      <alignment horizontal="center" vertical="center" wrapText="1"/>
    </xf>
    <xf numFmtId="0" fontId="10" fillId="0" borderId="1" xfId="0" applyFont="1" applyBorder="1" applyAlignment="1">
      <alignment horizontal="left" wrapText="1"/>
    </xf>
    <xf numFmtId="0" fontId="8" fillId="0" borderId="0" xfId="0" applyFont="1" applyAlignment="1">
      <alignment horizontal="center" wrapText="1"/>
    </xf>
    <xf numFmtId="10" fontId="8" fillId="0" borderId="0" xfId="0" applyNumberFormat="1" applyFont="1" applyAlignment="1">
      <alignment wrapText="1"/>
    </xf>
    <xf numFmtId="10" fontId="8" fillId="0" borderId="0" xfId="0" applyNumberFormat="1" applyFont="1" applyAlignment="1">
      <alignment horizontal="center" vertical="center"/>
    </xf>
    <xf numFmtId="0" fontId="10" fillId="7" borderId="32" xfId="0" applyFont="1" applyFill="1" applyBorder="1" applyAlignment="1">
      <alignment horizontal="center"/>
    </xf>
    <xf numFmtId="0" fontId="8" fillId="0" borderId="51" xfId="0" applyFont="1" applyBorder="1" applyAlignment="1">
      <alignment wrapText="1"/>
    </xf>
    <xf numFmtId="0" fontId="8" fillId="0" borderId="52" xfId="0" applyFont="1" applyBorder="1" applyAlignment="1">
      <alignment wrapText="1"/>
    </xf>
    <xf numFmtId="0" fontId="8" fillId="0" borderId="53" xfId="0" applyFont="1" applyBorder="1" applyAlignment="1">
      <alignment wrapText="1"/>
    </xf>
    <xf numFmtId="0" fontId="16" fillId="0" borderId="14" xfId="0" applyFont="1" applyBorder="1" applyAlignment="1">
      <alignment horizontal="center" vertical="center"/>
    </xf>
    <xf numFmtId="0" fontId="16" fillId="0" borderId="15" xfId="0" applyFont="1" applyBorder="1" applyAlignment="1">
      <alignment horizontal="center" vertical="center"/>
    </xf>
    <xf numFmtId="9" fontId="16" fillId="0" borderId="6" xfId="0" applyNumberFormat="1" applyFont="1" applyBorder="1" applyAlignment="1">
      <alignment horizontal="center" vertical="center"/>
    </xf>
    <xf numFmtId="0" fontId="16" fillId="0" borderId="54" xfId="0" applyFont="1" applyBorder="1" applyAlignment="1">
      <alignment horizontal="center" vertical="center"/>
    </xf>
    <xf numFmtId="9" fontId="18" fillId="36" borderId="1" xfId="0" applyNumberFormat="1" applyFont="1" applyFill="1" applyBorder="1" applyAlignment="1">
      <alignment horizontal="center" vertical="center"/>
    </xf>
    <xf numFmtId="10" fontId="18" fillId="0" borderId="9" xfId="0" applyNumberFormat="1" applyFont="1" applyBorder="1" applyAlignment="1">
      <alignment horizontal="center" vertical="center"/>
    </xf>
    <xf numFmtId="10" fontId="18" fillId="0" borderId="17" xfId="0" applyNumberFormat="1" applyFont="1" applyBorder="1" applyAlignment="1">
      <alignment horizontal="center" vertical="center"/>
    </xf>
    <xf numFmtId="10" fontId="18" fillId="0" borderId="14" xfId="0" applyNumberFormat="1" applyFont="1" applyBorder="1" applyAlignment="1">
      <alignment horizontal="center" vertical="center"/>
    </xf>
    <xf numFmtId="9" fontId="18" fillId="0" borderId="14" xfId="0" applyNumberFormat="1" applyFont="1" applyBorder="1" applyAlignment="1">
      <alignment horizontal="center" vertical="center"/>
    </xf>
    <xf numFmtId="0" fontId="18" fillId="0" borderId="15" xfId="0" applyFont="1" applyBorder="1" applyAlignment="1">
      <alignment horizontal="center" vertical="center"/>
    </xf>
    <xf numFmtId="9" fontId="29" fillId="5" borderId="6" xfId="0" applyNumberFormat="1" applyFont="1" applyFill="1" applyBorder="1" applyAlignment="1">
      <alignment horizontal="center" vertical="center"/>
    </xf>
    <xf numFmtId="10" fontId="29" fillId="5" borderId="11" xfId="0" applyNumberFormat="1" applyFont="1" applyFill="1" applyBorder="1" applyAlignment="1">
      <alignment horizontal="center" vertical="center"/>
    </xf>
    <xf numFmtId="9" fontId="73" fillId="0" borderId="54" xfId="0" applyNumberFormat="1" applyFont="1" applyBorder="1" applyAlignment="1">
      <alignment horizontal="center" vertical="center"/>
    </xf>
    <xf numFmtId="0" fontId="73" fillId="0" borderId="54" xfId="0" applyFont="1" applyBorder="1" applyAlignment="1">
      <alignment horizontal="center" vertical="center"/>
    </xf>
    <xf numFmtId="168" fontId="18" fillId="14" borderId="14" xfId="0" applyNumberFormat="1" applyFont="1" applyFill="1" applyBorder="1" applyAlignment="1">
      <alignment horizontal="center" vertical="center"/>
    </xf>
    <xf numFmtId="0" fontId="74" fillId="14" borderId="1" xfId="0" applyFont="1" applyFill="1" applyBorder="1" applyAlignment="1">
      <alignment horizontal="center" vertical="center" wrapText="1"/>
    </xf>
    <xf numFmtId="0" fontId="18" fillId="0" borderId="1" xfId="0" applyFont="1" applyBorder="1" applyAlignment="1">
      <alignment horizontal="center" wrapText="1"/>
    </xf>
    <xf numFmtId="10" fontId="18" fillId="0" borderId="0" xfId="0" applyNumberFormat="1" applyFont="1"/>
    <xf numFmtId="9" fontId="75" fillId="0" borderId="1" xfId="0" applyNumberFormat="1" applyFont="1" applyBorder="1" applyAlignment="1">
      <alignment horizontal="center" vertical="center"/>
    </xf>
    <xf numFmtId="0" fontId="75" fillId="0" borderId="1" xfId="0" applyFont="1" applyBorder="1" applyAlignment="1">
      <alignment horizontal="center" vertical="center"/>
    </xf>
    <xf numFmtId="178" fontId="75" fillId="14" borderId="1" xfId="0" applyNumberFormat="1" applyFont="1" applyFill="1" applyBorder="1" applyAlignment="1">
      <alignment horizontal="center" vertical="center"/>
    </xf>
    <xf numFmtId="178" fontId="75" fillId="0" borderId="1" xfId="0" applyNumberFormat="1" applyFont="1" applyBorder="1" applyAlignment="1">
      <alignment horizontal="center" vertical="center"/>
    </xf>
    <xf numFmtId="0" fontId="75" fillId="14" borderId="1" xfId="0" applyFont="1" applyFill="1" applyBorder="1" applyAlignment="1">
      <alignment horizontal="center" vertical="center"/>
    </xf>
    <xf numFmtId="10" fontId="75" fillId="14" borderId="1" xfId="0" applyNumberFormat="1" applyFont="1" applyFill="1" applyBorder="1" applyAlignment="1">
      <alignment horizontal="center" vertical="center"/>
    </xf>
    <xf numFmtId="10" fontId="75" fillId="0" borderId="2" xfId="0" applyNumberFormat="1" applyFont="1" applyBorder="1" applyAlignment="1">
      <alignment horizontal="center" vertical="center"/>
    </xf>
    <xf numFmtId="10" fontId="75" fillId="0" borderId="1" xfId="0" applyNumberFormat="1" applyFont="1" applyBorder="1" applyAlignment="1">
      <alignment horizontal="center" vertical="center"/>
    </xf>
    <xf numFmtId="3" fontId="75" fillId="0" borderId="1" xfId="0" applyNumberFormat="1" applyFont="1" applyBorder="1" applyAlignment="1">
      <alignment horizontal="center" vertical="center"/>
    </xf>
    <xf numFmtId="9" fontId="76" fillId="5" borderId="1" xfId="0" applyNumberFormat="1" applyFont="1" applyFill="1" applyBorder="1" applyAlignment="1">
      <alignment horizontal="center" vertical="center"/>
    </xf>
    <xf numFmtId="0" fontId="75" fillId="5" borderId="1" xfId="0" applyFont="1" applyFill="1" applyBorder="1" applyAlignment="1">
      <alignment horizontal="center" vertical="center"/>
    </xf>
    <xf numFmtId="3" fontId="75" fillId="5" borderId="1" xfId="0" applyNumberFormat="1" applyFont="1" applyFill="1" applyBorder="1" applyAlignment="1">
      <alignment horizontal="center" vertical="center"/>
    </xf>
    <xf numFmtId="10" fontId="76" fillId="5" borderId="1" xfId="0" applyNumberFormat="1" applyFont="1" applyFill="1" applyBorder="1" applyAlignment="1">
      <alignment horizontal="center" vertical="center"/>
    </xf>
    <xf numFmtId="0" fontId="76" fillId="5" borderId="1" xfId="0" applyFont="1" applyFill="1" applyBorder="1" applyAlignment="1">
      <alignment horizontal="center" vertical="center"/>
    </xf>
    <xf numFmtId="10" fontId="76" fillId="5" borderId="14" xfId="0" applyNumberFormat="1" applyFont="1" applyFill="1" applyBorder="1" applyAlignment="1">
      <alignment horizontal="center" vertical="center"/>
    </xf>
    <xf numFmtId="0" fontId="75" fillId="5" borderId="1" xfId="0" applyFont="1" applyFill="1" applyBorder="1"/>
    <xf numFmtId="9" fontId="75" fillId="14" borderId="1" xfId="0" applyNumberFormat="1" applyFont="1" applyFill="1" applyBorder="1" applyAlignment="1">
      <alignment horizontal="center" vertical="center"/>
    </xf>
    <xf numFmtId="180" fontId="18" fillId="0" borderId="1" xfId="0" applyNumberFormat="1" applyFont="1" applyBorder="1" applyAlignment="1">
      <alignment horizontal="center" vertical="center"/>
    </xf>
    <xf numFmtId="9" fontId="77" fillId="14" borderId="5" xfId="0" applyNumberFormat="1" applyFont="1" applyFill="1" applyBorder="1" applyAlignment="1">
      <alignment horizontal="center" vertical="center" wrapText="1"/>
    </xf>
    <xf numFmtId="3" fontId="77" fillId="14" borderId="5" xfId="0" applyNumberFormat="1" applyFont="1" applyFill="1" applyBorder="1" applyAlignment="1">
      <alignment horizontal="center" vertical="center" wrapText="1"/>
    </xf>
    <xf numFmtId="3" fontId="77" fillId="14" borderId="1" xfId="0" applyNumberFormat="1" applyFont="1" applyFill="1" applyBorder="1" applyAlignment="1">
      <alignment horizontal="center" vertical="center" wrapText="1"/>
    </xf>
    <xf numFmtId="10" fontId="78" fillId="0" borderId="1" xfId="0" applyNumberFormat="1" applyFont="1" applyBorder="1"/>
    <xf numFmtId="0" fontId="79" fillId="18" borderId="1" xfId="0" applyFont="1" applyFill="1" applyBorder="1" applyAlignment="1">
      <alignment horizontal="left" vertical="center" wrapText="1"/>
    </xf>
    <xf numFmtId="0" fontId="79" fillId="0" borderId="1" xfId="0" applyFont="1" applyBorder="1" applyAlignment="1">
      <alignment horizontal="center" vertical="center"/>
    </xf>
    <xf numFmtId="9" fontId="79" fillId="0" borderId="1" xfId="0" applyNumberFormat="1" applyFont="1" applyBorder="1" applyAlignment="1">
      <alignment horizontal="center" vertical="center"/>
    </xf>
    <xf numFmtId="9" fontId="79" fillId="0" borderId="1" xfId="0" applyNumberFormat="1" applyFont="1" applyBorder="1" applyAlignment="1">
      <alignment horizontal="center" vertical="center" wrapText="1"/>
    </xf>
    <xf numFmtId="0" fontId="79" fillId="0" borderId="1" xfId="0" applyFont="1" applyBorder="1" applyAlignment="1">
      <alignment horizontal="center" vertical="center" wrapText="1"/>
    </xf>
    <xf numFmtId="168" fontId="79" fillId="0" borderId="1" xfId="0" applyNumberFormat="1" applyFont="1" applyBorder="1" applyAlignment="1">
      <alignment horizontal="center" vertical="center"/>
    </xf>
    <xf numFmtId="172" fontId="79" fillId="0" borderId="1" xfId="0" applyNumberFormat="1" applyFont="1" applyBorder="1" applyAlignment="1">
      <alignment horizontal="center" vertical="center"/>
    </xf>
    <xf numFmtId="9" fontId="79" fillId="0" borderId="2" xfId="0" applyNumberFormat="1" applyFont="1" applyBorder="1" applyAlignment="1">
      <alignment horizontal="center" vertical="center"/>
    </xf>
    <xf numFmtId="0" fontId="79" fillId="0" borderId="1" xfId="0" applyFont="1" applyBorder="1"/>
    <xf numFmtId="10" fontId="79" fillId="0" borderId="1" xfId="0" applyNumberFormat="1" applyFont="1" applyBorder="1"/>
    <xf numFmtId="10" fontId="79" fillId="0" borderId="2" xfId="0" applyNumberFormat="1" applyFont="1" applyBorder="1" applyAlignment="1">
      <alignment horizontal="center" vertical="center"/>
    </xf>
    <xf numFmtId="4" fontId="79" fillId="0" borderId="1" xfId="0" applyNumberFormat="1" applyFont="1" applyBorder="1" applyAlignment="1">
      <alignment horizontal="center" vertical="center"/>
    </xf>
    <xf numFmtId="0" fontId="79" fillId="6" borderId="1" xfId="0" applyFont="1" applyFill="1" applyBorder="1" applyAlignment="1">
      <alignment horizontal="center" vertical="center"/>
    </xf>
    <xf numFmtId="0" fontId="79" fillId="5" borderId="1" xfId="0" applyFont="1" applyFill="1" applyBorder="1" applyAlignment="1">
      <alignment horizontal="center" vertical="center" wrapText="1"/>
    </xf>
    <xf numFmtId="0" fontId="79" fillId="5" borderId="1" xfId="0" applyFont="1" applyFill="1" applyBorder="1" applyAlignment="1">
      <alignment horizontal="center" vertical="center"/>
    </xf>
    <xf numFmtId="9" fontId="80" fillId="5" borderId="1" xfId="0" applyNumberFormat="1" applyFont="1" applyFill="1" applyBorder="1" applyAlignment="1">
      <alignment horizontal="center" vertical="center"/>
    </xf>
    <xf numFmtId="168" fontId="80" fillId="5" borderId="1" xfId="0" applyNumberFormat="1" applyFont="1" applyFill="1" applyBorder="1" applyAlignment="1">
      <alignment horizontal="center" vertical="center"/>
    </xf>
    <xf numFmtId="0" fontId="79" fillId="0" borderId="0" xfId="0" applyFont="1"/>
    <xf numFmtId="168" fontId="80" fillId="5" borderId="5" xfId="0" applyNumberFormat="1" applyFont="1" applyFill="1" applyBorder="1" applyAlignment="1">
      <alignment horizontal="center" vertical="center"/>
    </xf>
    <xf numFmtId="168" fontId="80" fillId="5" borderId="18" xfId="0" applyNumberFormat="1" applyFont="1" applyFill="1" applyBorder="1" applyAlignment="1">
      <alignment horizontal="center" vertical="center"/>
    </xf>
    <xf numFmtId="0" fontId="81" fillId="18" borderId="1" xfId="0" applyFont="1" applyFill="1" applyBorder="1" applyAlignment="1">
      <alignment horizontal="left" vertical="center" wrapText="1"/>
    </xf>
    <xf numFmtId="0" fontId="81" fillId="5" borderId="1" xfId="0" applyFont="1" applyFill="1" applyBorder="1" applyAlignment="1">
      <alignment horizontal="center" vertical="center" wrapText="1"/>
    </xf>
    <xf numFmtId="0" fontId="81" fillId="18" borderId="1" xfId="0" applyFont="1" applyFill="1" applyBorder="1" applyAlignment="1">
      <alignment horizontal="center" vertical="center" wrapText="1"/>
    </xf>
    <xf numFmtId="168" fontId="80" fillId="5" borderId="14" xfId="0" applyNumberFormat="1" applyFont="1" applyFill="1" applyBorder="1" applyAlignment="1">
      <alignment horizontal="center" vertical="center"/>
    </xf>
    <xf numFmtId="0" fontId="79" fillId="0" borderId="6" xfId="0" applyFont="1" applyBorder="1" applyAlignment="1">
      <alignment horizontal="center" vertical="center"/>
    </xf>
    <xf numFmtId="0" fontId="79" fillId="0" borderId="2" xfId="0" applyFont="1" applyBorder="1" applyAlignment="1">
      <alignment horizontal="center" vertical="center"/>
    </xf>
    <xf numFmtId="0" fontId="79" fillId="0" borderId="2" xfId="0" applyFont="1" applyBorder="1"/>
    <xf numFmtId="9" fontId="79" fillId="5" borderId="1" xfId="0" applyNumberFormat="1" applyFont="1" applyFill="1" applyBorder="1" applyAlignment="1">
      <alignment horizontal="center" vertical="center"/>
    </xf>
    <xf numFmtId="9" fontId="79" fillId="5" borderId="14" xfId="0" applyNumberFormat="1" applyFont="1" applyFill="1" applyBorder="1" applyAlignment="1">
      <alignment horizontal="center" vertical="center"/>
    </xf>
    <xf numFmtId="168" fontId="80" fillId="13" borderId="14" xfId="0" applyNumberFormat="1" applyFont="1" applyFill="1" applyBorder="1" applyAlignment="1">
      <alignment horizontal="center" vertical="center"/>
    </xf>
    <xf numFmtId="0" fontId="79" fillId="0" borderId="9" xfId="0" applyFont="1" applyBorder="1" applyAlignment="1">
      <alignment horizontal="center" vertical="center"/>
    </xf>
    <xf numFmtId="9" fontId="79" fillId="0" borderId="9" xfId="0" applyNumberFormat="1" applyFont="1" applyBorder="1" applyAlignment="1">
      <alignment horizontal="center" vertical="center"/>
    </xf>
    <xf numFmtId="10" fontId="79" fillId="0" borderId="17" xfId="0" applyNumberFormat="1" applyFont="1" applyBorder="1" applyAlignment="1">
      <alignment horizontal="center" vertical="center"/>
    </xf>
    <xf numFmtId="9" fontId="79" fillId="0" borderId="6" xfId="0" applyNumberFormat="1" applyFont="1" applyBorder="1" applyAlignment="1">
      <alignment horizontal="center" vertical="center"/>
    </xf>
    <xf numFmtId="9" fontId="79" fillId="0" borderId="16" xfId="0" applyNumberFormat="1" applyFont="1" applyBorder="1" applyAlignment="1">
      <alignment horizontal="center" vertical="center"/>
    </xf>
    <xf numFmtId="0" fontId="80" fillId="5" borderId="1" xfId="0" applyFont="1" applyFill="1" applyBorder="1" applyAlignment="1">
      <alignment horizontal="center" vertical="center"/>
    </xf>
    <xf numFmtId="0" fontId="79" fillId="5" borderId="14" xfId="0" applyFont="1" applyFill="1" applyBorder="1" applyAlignment="1">
      <alignment horizontal="center" vertical="center"/>
    </xf>
    <xf numFmtId="0" fontId="79" fillId="0" borderId="16" xfId="0" applyFont="1" applyBorder="1" applyAlignment="1">
      <alignment horizontal="center" vertical="center"/>
    </xf>
    <xf numFmtId="0" fontId="79" fillId="18" borderId="14" xfId="0" applyFont="1" applyFill="1" applyBorder="1" applyAlignment="1">
      <alignment horizontal="left" vertical="center" wrapText="1"/>
    </xf>
    <xf numFmtId="10" fontId="79" fillId="0" borderId="9" xfId="0" applyNumberFormat="1" applyFont="1" applyBorder="1" applyAlignment="1">
      <alignment horizontal="center" vertical="center"/>
    </xf>
    <xf numFmtId="9" fontId="79" fillId="0" borderId="17" xfId="0" applyNumberFormat="1" applyFont="1" applyBorder="1" applyAlignment="1">
      <alignment horizontal="center" vertical="center"/>
    </xf>
    <xf numFmtId="0" fontId="82" fillId="0" borderId="1" xfId="0" applyFont="1" applyBorder="1" applyAlignment="1">
      <alignment horizontal="center" vertical="center" wrapText="1"/>
    </xf>
    <xf numFmtId="0" fontId="79" fillId="18" borderId="1" xfId="0" applyFont="1" applyFill="1" applyBorder="1" applyAlignment="1">
      <alignment horizontal="center" vertical="center" wrapText="1"/>
    </xf>
    <xf numFmtId="0" fontId="81" fillId="0" borderId="1" xfId="0" applyFont="1" applyBorder="1" applyAlignment="1">
      <alignment horizontal="center" vertical="center"/>
    </xf>
    <xf numFmtId="9" fontId="81" fillId="0" borderId="1" xfId="0" applyNumberFormat="1" applyFont="1" applyBorder="1" applyAlignment="1">
      <alignment horizontal="center" vertical="center"/>
    </xf>
    <xf numFmtId="9" fontId="81" fillId="0" borderId="2" xfId="0" applyNumberFormat="1" applyFont="1" applyBorder="1" applyAlignment="1">
      <alignment horizontal="center" vertical="center"/>
    </xf>
    <xf numFmtId="0" fontId="79" fillId="0" borderId="1" xfId="0" applyFont="1" applyBorder="1" applyAlignment="1">
      <alignment horizontal="center"/>
    </xf>
    <xf numFmtId="10" fontId="82" fillId="0" borderId="1" xfId="0" applyNumberFormat="1" applyFont="1" applyBorder="1" applyAlignment="1">
      <alignment horizontal="center" vertical="center"/>
    </xf>
    <xf numFmtId="0" fontId="79" fillId="14" borderId="1" xfId="0" applyFont="1" applyFill="1" applyBorder="1" applyAlignment="1">
      <alignment horizontal="center" vertical="center"/>
    </xf>
    <xf numFmtId="9" fontId="79" fillId="14" borderId="1" xfId="0" applyNumberFormat="1" applyFont="1" applyFill="1" applyBorder="1" applyAlignment="1">
      <alignment horizontal="center" vertical="center"/>
    </xf>
    <xf numFmtId="0" fontId="79" fillId="14" borderId="5" xfId="0" applyFont="1" applyFill="1" applyBorder="1" applyAlignment="1">
      <alignment horizontal="center" vertical="center"/>
    </xf>
    <xf numFmtId="0" fontId="79" fillId="14" borderId="5" xfId="0" applyFont="1" applyFill="1" applyBorder="1"/>
    <xf numFmtId="9" fontId="79" fillId="14" borderId="5" xfId="0" applyNumberFormat="1" applyFont="1" applyFill="1" applyBorder="1" applyAlignment="1">
      <alignment horizontal="center" vertical="center"/>
    </xf>
    <xf numFmtId="9" fontId="79" fillId="14" borderId="18" xfId="0" applyNumberFormat="1" applyFont="1" applyFill="1" applyBorder="1" applyAlignment="1">
      <alignment horizontal="center" vertical="center"/>
    </xf>
    <xf numFmtId="10" fontId="79" fillId="0" borderId="1" xfId="0" applyNumberFormat="1" applyFont="1" applyBorder="1" applyAlignment="1">
      <alignment horizontal="center" vertical="center"/>
    </xf>
    <xf numFmtId="0" fontId="82" fillId="0" borderId="1" xfId="0" applyFont="1" applyBorder="1"/>
    <xf numFmtId="0" fontId="82" fillId="0" borderId="2" xfId="0" applyFont="1" applyBorder="1"/>
    <xf numFmtId="9" fontId="80" fillId="5" borderId="14" xfId="0" applyNumberFormat="1" applyFont="1" applyFill="1" applyBorder="1" applyAlignment="1">
      <alignment horizontal="center" vertical="center"/>
    </xf>
    <xf numFmtId="1" fontId="79" fillId="14" borderId="1" xfId="0" applyNumberFormat="1" applyFont="1" applyFill="1" applyBorder="1" applyAlignment="1">
      <alignment horizontal="center" vertical="center"/>
    </xf>
    <xf numFmtId="2" fontId="79" fillId="14" borderId="1" xfId="0" applyNumberFormat="1" applyFont="1" applyFill="1" applyBorder="1" applyAlignment="1">
      <alignment horizontal="center" vertical="center"/>
    </xf>
    <xf numFmtId="168" fontId="79" fillId="14" borderId="1" xfId="0" applyNumberFormat="1" applyFont="1" applyFill="1" applyBorder="1" applyAlignment="1">
      <alignment horizontal="center" vertical="center"/>
    </xf>
    <xf numFmtId="176" fontId="79" fillId="14" borderId="1" xfId="0" applyNumberFormat="1" applyFont="1" applyFill="1" applyBorder="1" applyAlignment="1">
      <alignment horizontal="center" vertical="center"/>
    </xf>
    <xf numFmtId="168" fontId="79" fillId="14" borderId="14" xfId="0" applyNumberFormat="1" applyFont="1" applyFill="1" applyBorder="1" applyAlignment="1">
      <alignment horizontal="center" vertical="center"/>
    </xf>
    <xf numFmtId="169" fontId="79" fillId="14" borderId="1" xfId="0" applyNumberFormat="1" applyFont="1" applyFill="1" applyBorder="1" applyAlignment="1">
      <alignment horizontal="center" vertical="center"/>
    </xf>
    <xf numFmtId="0" fontId="79" fillId="0" borderId="9" xfId="0" applyFont="1" applyBorder="1"/>
    <xf numFmtId="0" fontId="79" fillId="0" borderId="17" xfId="0" applyFont="1" applyBorder="1"/>
    <xf numFmtId="0" fontId="80" fillId="0" borderId="1" xfId="0" applyFont="1" applyBorder="1"/>
    <xf numFmtId="181" fontId="79" fillId="0" borderId="1" xfId="0" applyNumberFormat="1" applyFont="1" applyBorder="1" applyAlignment="1">
      <alignment horizontal="center" vertical="center"/>
    </xf>
    <xf numFmtId="0" fontId="79" fillId="0" borderId="1" xfId="0" applyFont="1" applyBorder="1" applyAlignment="1">
      <alignment vertical="center"/>
    </xf>
    <xf numFmtId="172" fontId="79" fillId="0" borderId="1" xfId="0" applyNumberFormat="1" applyFont="1" applyBorder="1" applyAlignment="1">
      <alignment horizontal="center" vertical="center" wrapText="1"/>
    </xf>
    <xf numFmtId="0" fontId="79" fillId="13" borderId="1" xfId="0" applyFont="1" applyFill="1" applyBorder="1" applyAlignment="1">
      <alignment horizontal="center" vertical="center" wrapText="1"/>
    </xf>
    <xf numFmtId="0" fontId="79" fillId="13" borderId="1" xfId="0" applyFont="1" applyFill="1" applyBorder="1" applyAlignment="1">
      <alignment horizontal="center" vertical="center"/>
    </xf>
    <xf numFmtId="9" fontId="80" fillId="13" borderId="1" xfId="0" applyNumberFormat="1" applyFont="1" applyFill="1" applyBorder="1" applyAlignment="1">
      <alignment horizontal="center" vertical="center"/>
    </xf>
    <xf numFmtId="168" fontId="80" fillId="13" borderId="1" xfId="0" applyNumberFormat="1" applyFont="1" applyFill="1" applyBorder="1" applyAlignment="1">
      <alignment horizontal="center" vertical="center"/>
    </xf>
    <xf numFmtId="0" fontId="79" fillId="0" borderId="6" xfId="0" applyFont="1" applyBorder="1" applyAlignment="1">
      <alignment vertical="center"/>
    </xf>
    <xf numFmtId="168" fontId="80" fillId="13" borderId="5" xfId="0" applyNumberFormat="1" applyFont="1" applyFill="1" applyBorder="1" applyAlignment="1">
      <alignment horizontal="center" vertical="center"/>
    </xf>
    <xf numFmtId="168" fontId="80" fillId="13" borderId="18" xfId="0" applyNumberFormat="1" applyFont="1" applyFill="1" applyBorder="1" applyAlignment="1">
      <alignment horizontal="center" vertical="center"/>
    </xf>
    <xf numFmtId="0" fontId="82" fillId="0" borderId="2" xfId="0" applyFont="1" applyBorder="1" applyAlignment="1">
      <alignment horizontal="center" vertical="center" wrapText="1"/>
    </xf>
    <xf numFmtId="173" fontId="79" fillId="0" borderId="1" xfId="0" applyNumberFormat="1" applyFont="1" applyBorder="1" applyAlignment="1">
      <alignment horizontal="center" vertical="center"/>
    </xf>
    <xf numFmtId="0" fontId="79" fillId="0" borderId="2" xfId="0" applyFont="1" applyBorder="1" applyAlignment="1">
      <alignment horizontal="center"/>
    </xf>
    <xf numFmtId="0" fontId="79" fillId="5" borderId="11" xfId="0" applyFont="1" applyFill="1" applyBorder="1" applyAlignment="1">
      <alignment horizontal="center" vertical="center"/>
    </xf>
    <xf numFmtId="9" fontId="80" fillId="5" borderId="11" xfId="0" applyNumberFormat="1" applyFont="1" applyFill="1" applyBorder="1" applyAlignment="1">
      <alignment horizontal="center" vertical="center"/>
    </xf>
    <xf numFmtId="9" fontId="80" fillId="5" borderId="19" xfId="0" applyNumberFormat="1" applyFont="1" applyFill="1" applyBorder="1" applyAlignment="1">
      <alignment horizontal="center" vertical="center"/>
    </xf>
    <xf numFmtId="0" fontId="79" fillId="14" borderId="1" xfId="0" applyFont="1" applyFill="1" applyBorder="1" applyAlignment="1">
      <alignment horizontal="center" vertical="center" wrapText="1"/>
    </xf>
    <xf numFmtId="9" fontId="79" fillId="14" borderId="1" xfId="0" applyNumberFormat="1" applyFont="1" applyFill="1" applyBorder="1" applyAlignment="1">
      <alignment horizontal="center" vertical="center" wrapText="1"/>
    </xf>
    <xf numFmtId="182" fontId="79" fillId="0" borderId="1" xfId="0" applyNumberFormat="1" applyFont="1" applyBorder="1" applyAlignment="1">
      <alignment horizontal="center" vertical="center"/>
    </xf>
    <xf numFmtId="9" fontId="80" fillId="5" borderId="1" xfId="0" applyNumberFormat="1" applyFont="1" applyFill="1" applyBorder="1"/>
    <xf numFmtId="10" fontId="80" fillId="13" borderId="11" xfId="0" applyNumberFormat="1" applyFont="1" applyFill="1" applyBorder="1" applyAlignment="1">
      <alignment horizontal="center" vertical="center"/>
    </xf>
    <xf numFmtId="0" fontId="79" fillId="13" borderId="11" xfId="0" applyFont="1" applyFill="1" applyBorder="1" applyAlignment="1">
      <alignment horizontal="center" vertical="center"/>
    </xf>
    <xf numFmtId="10" fontId="80" fillId="13" borderId="19" xfId="0" applyNumberFormat="1" applyFont="1" applyFill="1" applyBorder="1" applyAlignment="1">
      <alignment horizontal="center" vertical="center"/>
    </xf>
    <xf numFmtId="9" fontId="79" fillId="6" borderId="1" xfId="0" applyNumberFormat="1" applyFont="1" applyFill="1" applyBorder="1" applyAlignment="1">
      <alignment horizontal="center" vertical="center"/>
    </xf>
    <xf numFmtId="0" fontId="82" fillId="6" borderId="1" xfId="0" applyFont="1" applyFill="1" applyBorder="1" applyAlignment="1">
      <alignment horizontal="center" vertical="center" wrapText="1"/>
    </xf>
    <xf numFmtId="0" fontId="82" fillId="0" borderId="1" xfId="0" applyFont="1" applyBorder="1" applyAlignment="1">
      <alignment vertical="center" wrapText="1"/>
    </xf>
    <xf numFmtId="0" fontId="81" fillId="13" borderId="1" xfId="0" applyFont="1" applyFill="1" applyBorder="1" applyAlignment="1">
      <alignment horizontal="center" vertical="center" wrapText="1"/>
    </xf>
    <xf numFmtId="9" fontId="80" fillId="13" borderId="14" xfId="0" applyNumberFormat="1" applyFont="1" applyFill="1" applyBorder="1" applyAlignment="1">
      <alignment horizontal="center" vertical="center"/>
    </xf>
    <xf numFmtId="172" fontId="79" fillId="0" borderId="2" xfId="0" applyNumberFormat="1" applyFont="1" applyBorder="1" applyAlignment="1">
      <alignment horizontal="center" vertical="center"/>
    </xf>
    <xf numFmtId="9" fontId="79" fillId="0" borderId="4" xfId="0" applyNumberFormat="1" applyFont="1" applyBorder="1" applyAlignment="1">
      <alignment horizontal="center" vertical="center"/>
    </xf>
    <xf numFmtId="9" fontId="80" fillId="5" borderId="15" xfId="0" applyNumberFormat="1" applyFont="1" applyFill="1" applyBorder="1" applyAlignment="1">
      <alignment horizontal="center" vertical="center"/>
    </xf>
    <xf numFmtId="0" fontId="79" fillId="13" borderId="14" xfId="0" applyFont="1" applyFill="1" applyBorder="1" applyAlignment="1">
      <alignment horizontal="center" vertical="center"/>
    </xf>
    <xf numFmtId="168" fontId="80" fillId="13" borderId="15" xfId="0" applyNumberFormat="1" applyFont="1" applyFill="1" applyBorder="1" applyAlignment="1">
      <alignment horizontal="center" vertical="center"/>
    </xf>
    <xf numFmtId="9" fontId="79" fillId="37" borderId="1" xfId="0" applyNumberFormat="1" applyFont="1" applyFill="1" applyBorder="1" applyAlignment="1">
      <alignment horizontal="center" vertical="center" wrapText="1"/>
    </xf>
    <xf numFmtId="0" fontId="79" fillId="37" borderId="1" xfId="0" applyFont="1" applyFill="1" applyBorder="1" applyAlignment="1">
      <alignment horizontal="center" vertical="center" wrapText="1"/>
    </xf>
    <xf numFmtId="0" fontId="80" fillId="5" borderId="14" xfId="0" applyFont="1" applyFill="1" applyBorder="1" applyAlignment="1">
      <alignment horizontal="center" vertical="center"/>
    </xf>
    <xf numFmtId="0" fontId="79" fillId="38" borderId="1" xfId="0" applyFont="1" applyFill="1" applyBorder="1"/>
    <xf numFmtId="0" fontId="79" fillId="38" borderId="0" xfId="0" applyFont="1" applyFill="1"/>
    <xf numFmtId="0" fontId="80" fillId="39" borderId="1" xfId="0" applyFont="1" applyFill="1" applyBorder="1"/>
    <xf numFmtId="168" fontId="80" fillId="40" borderId="14" xfId="0" applyNumberFormat="1" applyFont="1" applyFill="1" applyBorder="1"/>
    <xf numFmtId="0" fontId="79" fillId="39" borderId="1" xfId="0" applyFont="1" applyFill="1" applyBorder="1"/>
    <xf numFmtId="0" fontId="79" fillId="41" borderId="1" xfId="0" applyFont="1" applyFill="1" applyBorder="1"/>
    <xf numFmtId="0" fontId="79" fillId="38" borderId="6" xfId="0" applyFont="1" applyFill="1" applyBorder="1" applyAlignment="1">
      <alignment vertical="center"/>
    </xf>
    <xf numFmtId="0" fontId="80" fillId="41" borderId="1" xfId="0" applyFont="1" applyFill="1" applyBorder="1" applyAlignment="1">
      <alignment vertical="center"/>
    </xf>
    <xf numFmtId="9" fontId="80" fillId="42" borderId="14" xfId="0" applyNumberFormat="1" applyFont="1" applyFill="1" applyBorder="1" applyAlignment="1">
      <alignment horizontal="center" vertical="center"/>
    </xf>
    <xf numFmtId="0" fontId="80" fillId="41" borderId="1" xfId="0" applyFont="1" applyFill="1" applyBorder="1"/>
    <xf numFmtId="0" fontId="79" fillId="41" borderId="0" xfId="0" applyFont="1" applyFill="1"/>
    <xf numFmtId="168" fontId="80" fillId="42" borderId="14" xfId="0" applyNumberFormat="1" applyFont="1" applyFill="1" applyBorder="1" applyAlignment="1">
      <alignment horizontal="center" vertical="center"/>
    </xf>
    <xf numFmtId="168" fontId="80" fillId="42" borderId="18" xfId="0" applyNumberFormat="1" applyFont="1" applyFill="1" applyBorder="1" applyAlignment="1">
      <alignment horizontal="center" vertical="center"/>
    </xf>
    <xf numFmtId="0" fontId="16" fillId="41" borderId="1" xfId="0" applyFont="1" applyFill="1" applyBorder="1"/>
    <xf numFmtId="168" fontId="13" fillId="42" borderId="14" xfId="0" applyNumberFormat="1" applyFont="1" applyFill="1" applyBorder="1" applyAlignment="1">
      <alignment horizontal="center" vertical="center"/>
    </xf>
    <xf numFmtId="0" fontId="16" fillId="41" borderId="1" xfId="0" applyFont="1" applyFill="1" applyBorder="1" applyAlignment="1">
      <alignment horizontal="center" vertical="center"/>
    </xf>
    <xf numFmtId="0" fontId="16" fillId="38" borderId="1" xfId="0" applyFont="1" applyFill="1" applyBorder="1" applyAlignment="1">
      <alignment horizontal="center" vertical="center"/>
    </xf>
    <xf numFmtId="9" fontId="13" fillId="42" borderId="1" xfId="0" applyNumberFormat="1" applyFont="1" applyFill="1" applyBorder="1" applyAlignment="1">
      <alignment horizontal="center" vertical="center"/>
    </xf>
    <xf numFmtId="9" fontId="89" fillId="5" borderId="1" xfId="0" applyNumberFormat="1" applyFont="1" applyFill="1" applyBorder="1" applyAlignment="1">
      <alignment horizontal="center" vertical="center"/>
    </xf>
    <xf numFmtId="0" fontId="88" fillId="38" borderId="1" xfId="0" applyFont="1" applyFill="1" applyBorder="1"/>
    <xf numFmtId="9" fontId="89" fillId="41" borderId="2" xfId="0" applyNumberFormat="1" applyFont="1" applyFill="1" applyBorder="1"/>
    <xf numFmtId="0" fontId="90" fillId="0" borderId="1" xfId="0" applyFont="1" applyBorder="1" applyAlignment="1">
      <alignment horizontal="center" vertical="center"/>
    </xf>
    <xf numFmtId="9" fontId="90" fillId="0" borderId="1" xfId="0" applyNumberFormat="1" applyFont="1" applyBorder="1" applyAlignment="1">
      <alignment horizontal="center" vertical="center"/>
    </xf>
    <xf numFmtId="10" fontId="90" fillId="0" borderId="1" xfId="0" applyNumberFormat="1" applyFont="1" applyBorder="1" applyAlignment="1">
      <alignment horizontal="center" vertical="center"/>
    </xf>
    <xf numFmtId="0" fontId="89" fillId="5" borderId="1" xfId="0" applyFont="1" applyFill="1" applyBorder="1" applyAlignment="1">
      <alignment horizontal="center" vertical="center"/>
    </xf>
    <xf numFmtId="10" fontId="89" fillId="5" borderId="1" xfId="0" applyNumberFormat="1" applyFont="1" applyFill="1" applyBorder="1" applyAlignment="1">
      <alignment horizontal="center" vertical="center"/>
    </xf>
    <xf numFmtId="10" fontId="91" fillId="5" borderId="1" xfId="0" applyNumberFormat="1" applyFont="1" applyFill="1" applyBorder="1" applyAlignment="1">
      <alignment horizontal="center" vertical="center"/>
    </xf>
    <xf numFmtId="9" fontId="89" fillId="5" borderId="14" xfId="0" applyNumberFormat="1" applyFont="1" applyFill="1" applyBorder="1" applyAlignment="1">
      <alignment horizontal="center"/>
    </xf>
    <xf numFmtId="9" fontId="13" fillId="5" borderId="14" xfId="0" applyNumberFormat="1" applyFont="1" applyFill="1" applyBorder="1" applyAlignment="1">
      <alignment horizontal="center"/>
    </xf>
    <xf numFmtId="168" fontId="89" fillId="5" borderId="1" xfId="0" applyNumberFormat="1" applyFont="1" applyFill="1" applyBorder="1" applyAlignment="1">
      <alignment horizontal="center" vertical="center"/>
    </xf>
    <xf numFmtId="10" fontId="92" fillId="0" borderId="2" xfId="0" applyNumberFormat="1" applyFont="1" applyBorder="1" applyAlignment="1">
      <alignment horizontal="center" vertical="center"/>
    </xf>
    <xf numFmtId="0" fontId="92" fillId="0" borderId="1" xfId="0" applyFont="1" applyBorder="1" applyAlignment="1">
      <alignment horizontal="center" vertical="center"/>
    </xf>
    <xf numFmtId="10" fontId="92" fillId="0" borderId="1" xfId="0" applyNumberFormat="1" applyFont="1" applyBorder="1" applyAlignment="1">
      <alignment horizontal="center" vertical="center"/>
    </xf>
    <xf numFmtId="9" fontId="92" fillId="0" borderId="2" xfId="0" applyNumberFormat="1" applyFont="1" applyBorder="1" applyAlignment="1">
      <alignment horizontal="center" vertical="center"/>
    </xf>
    <xf numFmtId="9" fontId="92" fillId="0" borderId="1" xfId="0" applyNumberFormat="1" applyFont="1" applyBorder="1" applyAlignment="1">
      <alignment horizontal="center" vertical="center"/>
    </xf>
    <xf numFmtId="4" fontId="92" fillId="0" borderId="1" xfId="0" applyNumberFormat="1" applyFont="1" applyBorder="1" applyAlignment="1">
      <alignment horizontal="center" vertical="center"/>
    </xf>
    <xf numFmtId="9" fontId="92" fillId="0" borderId="1" xfId="0" applyNumberFormat="1" applyFont="1" applyBorder="1" applyAlignment="1">
      <alignment horizontal="center" vertical="center" wrapText="1"/>
    </xf>
    <xf numFmtId="9" fontId="91" fillId="5" borderId="1" xfId="0" applyNumberFormat="1" applyFont="1" applyFill="1" applyBorder="1" applyAlignment="1">
      <alignment horizontal="center" vertical="center"/>
    </xf>
    <xf numFmtId="9" fontId="91" fillId="5" borderId="1" xfId="0" applyNumberFormat="1" applyFont="1" applyFill="1" applyBorder="1" applyAlignment="1">
      <alignment vertical="center"/>
    </xf>
    <xf numFmtId="0" fontId="74" fillId="14" borderId="1" xfId="0" applyFont="1" applyFill="1" applyBorder="1" applyAlignment="1">
      <alignment vertical="center" wrapText="1"/>
    </xf>
    <xf numFmtId="0" fontId="92" fillId="0" borderId="1" xfId="0" applyFont="1" applyBorder="1" applyAlignment="1">
      <alignment vertical="center"/>
    </xf>
    <xf numFmtId="0" fontId="92" fillId="0" borderId="1" xfId="0" applyFont="1" applyBorder="1" applyAlignment="1">
      <alignment vertical="center" wrapText="1"/>
    </xf>
    <xf numFmtId="9" fontId="92" fillId="0" borderId="1" xfId="0" applyNumberFormat="1" applyFont="1" applyBorder="1" applyAlignment="1">
      <alignment vertical="center" wrapText="1"/>
    </xf>
    <xf numFmtId="9" fontId="92" fillId="0" borderId="1" xfId="0" applyNumberFormat="1" applyFont="1" applyBorder="1" applyAlignment="1">
      <alignment vertical="center"/>
    </xf>
    <xf numFmtId="9" fontId="92" fillId="0" borderId="2" xfId="0" applyNumberFormat="1" applyFont="1" applyBorder="1" applyAlignment="1">
      <alignment vertical="center"/>
    </xf>
    <xf numFmtId="0" fontId="74" fillId="0" borderId="1" xfId="0" applyFont="1" applyBorder="1" applyAlignment="1">
      <alignment vertical="center"/>
    </xf>
    <xf numFmtId="0" fontId="74" fillId="0" borderId="2" xfId="0" applyFont="1" applyBorder="1" applyAlignment="1">
      <alignment vertical="center"/>
    </xf>
    <xf numFmtId="0" fontId="74" fillId="0" borderId="4" xfId="0" applyFont="1" applyBorder="1" applyAlignment="1">
      <alignment vertical="center"/>
    </xf>
    <xf numFmtId="10" fontId="92" fillId="0" borderId="1" xfId="0" applyNumberFormat="1" applyFont="1" applyBorder="1" applyAlignment="1">
      <alignment vertical="center"/>
    </xf>
    <xf numFmtId="0" fontId="92" fillId="0" borderId="2" xfId="0" applyFont="1" applyBorder="1" applyAlignment="1">
      <alignment vertical="center"/>
    </xf>
    <xf numFmtId="0" fontId="74" fillId="5" borderId="1" xfId="0" applyFont="1" applyFill="1" applyBorder="1" applyAlignment="1">
      <alignment vertical="center" wrapText="1"/>
    </xf>
    <xf numFmtId="0" fontId="92" fillId="5" borderId="1" xfId="0" applyFont="1" applyFill="1" applyBorder="1" applyAlignment="1">
      <alignment vertical="center"/>
    </xf>
    <xf numFmtId="168" fontId="91" fillId="5" borderId="1" xfId="0" applyNumberFormat="1" applyFont="1" applyFill="1" applyBorder="1" applyAlignment="1">
      <alignment vertical="center"/>
    </xf>
    <xf numFmtId="168" fontId="91" fillId="5" borderId="14" xfId="0" applyNumberFormat="1" applyFont="1" applyFill="1" applyBorder="1" applyAlignment="1">
      <alignment vertical="center"/>
    </xf>
    <xf numFmtId="168" fontId="83" fillId="5" borderId="1" xfId="0" applyNumberFormat="1" applyFont="1" applyFill="1" applyBorder="1" applyAlignment="1">
      <alignment vertical="center"/>
    </xf>
    <xf numFmtId="0" fontId="92" fillId="0" borderId="0" xfId="0" applyFont="1" applyAlignment="1">
      <alignment vertical="center"/>
    </xf>
    <xf numFmtId="168" fontId="93" fillId="5" borderId="1" xfId="0" applyNumberFormat="1" applyFont="1" applyFill="1" applyBorder="1" applyAlignment="1">
      <alignment vertical="center"/>
    </xf>
    <xf numFmtId="0" fontId="92" fillId="0" borderId="9" xfId="0" applyFont="1" applyBorder="1" applyAlignment="1">
      <alignment vertical="center"/>
    </xf>
    <xf numFmtId="0" fontId="92" fillId="0" borderId="6" xfId="0" applyFont="1" applyBorder="1" applyAlignment="1">
      <alignment vertical="center"/>
    </xf>
    <xf numFmtId="168" fontId="93" fillId="5" borderId="5" xfId="0" applyNumberFormat="1" applyFont="1" applyFill="1" applyBorder="1" applyAlignment="1">
      <alignment vertical="center"/>
    </xf>
    <xf numFmtId="0" fontId="91" fillId="5" borderId="5" xfId="0" applyFont="1" applyFill="1" applyBorder="1" applyAlignment="1">
      <alignment vertical="center"/>
    </xf>
    <xf numFmtId="168" fontId="91" fillId="5" borderId="18" xfId="0" applyNumberFormat="1" applyFont="1" applyFill="1" applyBorder="1" applyAlignment="1">
      <alignment vertical="center"/>
    </xf>
    <xf numFmtId="10" fontId="92" fillId="0" borderId="2" xfId="0" applyNumberFormat="1" applyFont="1" applyBorder="1" applyAlignment="1">
      <alignment vertical="center"/>
    </xf>
    <xf numFmtId="0" fontId="83" fillId="5" borderId="1" xfId="0" applyFont="1" applyFill="1" applyBorder="1" applyAlignment="1">
      <alignment vertical="center" wrapText="1"/>
    </xf>
    <xf numFmtId="9" fontId="92" fillId="5" borderId="1" xfId="0" applyNumberFormat="1" applyFont="1" applyFill="1" applyBorder="1" applyAlignment="1">
      <alignment vertical="center"/>
    </xf>
    <xf numFmtId="0" fontId="92" fillId="5" borderId="14" xfId="0" applyFont="1" applyFill="1" applyBorder="1" applyAlignment="1">
      <alignment vertical="center"/>
    </xf>
    <xf numFmtId="10" fontId="91" fillId="5" borderId="1" xfId="0" applyNumberFormat="1" applyFont="1" applyFill="1" applyBorder="1" applyAlignment="1">
      <alignment vertical="center"/>
    </xf>
    <xf numFmtId="0" fontId="74" fillId="0" borderId="6" xfId="0" applyFont="1" applyBorder="1" applyAlignment="1">
      <alignment vertical="center"/>
    </xf>
    <xf numFmtId="9" fontId="92" fillId="0" borderId="16" xfId="0" applyNumberFormat="1" applyFont="1" applyBorder="1" applyAlignment="1">
      <alignment vertical="center"/>
    </xf>
    <xf numFmtId="0" fontId="91" fillId="5" borderId="1" xfId="0" applyFont="1" applyFill="1" applyBorder="1" applyAlignment="1">
      <alignment vertical="center"/>
    </xf>
    <xf numFmtId="9" fontId="91" fillId="5" borderId="14" xfId="0" applyNumberFormat="1" applyFont="1" applyFill="1" applyBorder="1" applyAlignment="1">
      <alignment vertical="center"/>
    </xf>
    <xf numFmtId="10" fontId="91" fillId="5" borderId="14" xfId="0" applyNumberFormat="1" applyFont="1" applyFill="1" applyBorder="1" applyAlignment="1">
      <alignment vertical="center"/>
    </xf>
    <xf numFmtId="0" fontId="74" fillId="0" borderId="8" xfId="0" applyFont="1" applyBorder="1" applyAlignment="1">
      <alignment vertical="center"/>
    </xf>
    <xf numFmtId="0" fontId="92" fillId="0" borderId="8" xfId="0" applyFont="1" applyBorder="1" applyAlignment="1">
      <alignment vertical="center"/>
    </xf>
    <xf numFmtId="9" fontId="92" fillId="0" borderId="23" xfId="0" applyNumberFormat="1" applyFont="1" applyBorder="1" applyAlignment="1">
      <alignment vertical="center"/>
    </xf>
    <xf numFmtId="0" fontId="92" fillId="0" borderId="23" xfId="0" applyFont="1" applyBorder="1" applyAlignment="1">
      <alignment vertical="center"/>
    </xf>
    <xf numFmtId="9" fontId="92" fillId="5" borderId="14" xfId="0" applyNumberFormat="1" applyFont="1" applyFill="1" applyBorder="1" applyAlignment="1">
      <alignment vertical="center"/>
    </xf>
    <xf numFmtId="0" fontId="74" fillId="13" borderId="1" xfId="0" applyFont="1" applyFill="1" applyBorder="1" applyAlignment="1">
      <alignment vertical="center" wrapText="1"/>
    </xf>
    <xf numFmtId="0" fontId="92" fillId="13" borderId="1" xfId="0" applyFont="1" applyFill="1" applyBorder="1" applyAlignment="1">
      <alignment vertical="center"/>
    </xf>
    <xf numFmtId="9" fontId="91" fillId="13" borderId="1" xfId="0" applyNumberFormat="1" applyFont="1" applyFill="1" applyBorder="1" applyAlignment="1">
      <alignment vertical="center"/>
    </xf>
    <xf numFmtId="10" fontId="92" fillId="13" borderId="1" xfId="0" applyNumberFormat="1" applyFont="1" applyFill="1" applyBorder="1" applyAlignment="1">
      <alignment vertical="center"/>
    </xf>
    <xf numFmtId="10" fontId="92" fillId="13" borderId="14" xfId="0" applyNumberFormat="1" applyFont="1" applyFill="1" applyBorder="1" applyAlignment="1">
      <alignment vertical="center"/>
    </xf>
    <xf numFmtId="4" fontId="91" fillId="0" borderId="1" xfId="0" applyNumberFormat="1" applyFont="1" applyBorder="1" applyAlignment="1">
      <alignment vertical="center"/>
    </xf>
    <xf numFmtId="9" fontId="91" fillId="5" borderId="5" xfId="0" applyNumberFormat="1" applyFont="1" applyFill="1" applyBorder="1" applyAlignment="1">
      <alignment vertical="center"/>
    </xf>
    <xf numFmtId="9" fontId="91" fillId="5" borderId="18" xfId="0" applyNumberFormat="1" applyFont="1" applyFill="1" applyBorder="1" applyAlignment="1">
      <alignment vertical="center"/>
    </xf>
    <xf numFmtId="4" fontId="91" fillId="5" borderId="1" xfId="0" applyNumberFormat="1" applyFont="1" applyFill="1" applyBorder="1" applyAlignment="1">
      <alignment vertical="center"/>
    </xf>
    <xf numFmtId="9" fontId="91" fillId="5" borderId="15" xfId="0" applyNumberFormat="1" applyFont="1" applyFill="1" applyBorder="1" applyAlignment="1">
      <alignment vertical="center"/>
    </xf>
    <xf numFmtId="9" fontId="91" fillId="13" borderId="14" xfId="0" applyNumberFormat="1" applyFont="1" applyFill="1" applyBorder="1" applyAlignment="1">
      <alignment vertical="center"/>
    </xf>
    <xf numFmtId="9" fontId="91" fillId="13" borderId="25" xfId="0" applyNumberFormat="1" applyFont="1" applyFill="1" applyBorder="1" applyAlignment="1">
      <alignment vertical="center"/>
    </xf>
    <xf numFmtId="9" fontId="91" fillId="13" borderId="5" xfId="0" applyNumberFormat="1" applyFont="1" applyFill="1" applyBorder="1" applyAlignment="1">
      <alignment vertical="center"/>
    </xf>
    <xf numFmtId="9" fontId="91" fillId="13" borderId="18" xfId="0" applyNumberFormat="1" applyFont="1" applyFill="1" applyBorder="1" applyAlignment="1">
      <alignment vertical="center"/>
    </xf>
    <xf numFmtId="0" fontId="92" fillId="5" borderId="5" xfId="0" applyFont="1" applyFill="1" applyBorder="1" applyAlignment="1">
      <alignment vertical="center"/>
    </xf>
    <xf numFmtId="0" fontId="92" fillId="0" borderId="16" xfId="0" applyFont="1" applyBorder="1" applyAlignment="1">
      <alignment vertical="center"/>
    </xf>
    <xf numFmtId="168" fontId="92" fillId="0" borderId="3" xfId="0" applyNumberFormat="1" applyFont="1" applyBorder="1" applyAlignment="1">
      <alignment vertical="center"/>
    </xf>
    <xf numFmtId="168" fontId="91" fillId="5" borderId="27" xfId="0" applyNumberFormat="1" applyFont="1" applyFill="1" applyBorder="1" applyAlignment="1">
      <alignment vertical="center"/>
    </xf>
    <xf numFmtId="168" fontId="91" fillId="5" borderId="28" xfId="0" applyNumberFormat="1" applyFont="1" applyFill="1" applyBorder="1" applyAlignment="1">
      <alignment vertical="center"/>
    </xf>
    <xf numFmtId="168" fontId="91" fillId="5" borderId="29" xfId="0" applyNumberFormat="1" applyFont="1" applyFill="1" applyBorder="1" applyAlignment="1">
      <alignment vertical="center"/>
    </xf>
    <xf numFmtId="168" fontId="91" fillId="13" borderId="14" xfId="0" applyNumberFormat="1" applyFont="1" applyFill="1" applyBorder="1" applyAlignment="1">
      <alignment vertical="center"/>
    </xf>
    <xf numFmtId="168" fontId="91" fillId="13" borderId="13" xfId="0" applyNumberFormat="1" applyFont="1" applyFill="1" applyBorder="1" applyAlignment="1">
      <alignment vertical="center"/>
    </xf>
    <xf numFmtId="3" fontId="91" fillId="0" borderId="1" xfId="0" applyNumberFormat="1" applyFont="1" applyBorder="1" applyAlignment="1">
      <alignment vertical="center"/>
    </xf>
    <xf numFmtId="168" fontId="91" fillId="13" borderId="1" xfId="0" applyNumberFormat="1" applyFont="1" applyFill="1" applyBorder="1" applyAlignment="1">
      <alignment vertical="center"/>
    </xf>
    <xf numFmtId="0" fontId="91" fillId="5" borderId="14" xfId="0" applyFont="1" applyFill="1" applyBorder="1" applyAlignment="1">
      <alignment vertical="center"/>
    </xf>
    <xf numFmtId="0" fontId="91" fillId="5" borderId="15" xfId="0" applyFont="1" applyFill="1" applyBorder="1" applyAlignment="1">
      <alignment vertical="center"/>
    </xf>
    <xf numFmtId="0" fontId="91" fillId="13" borderId="14" xfId="0" applyFont="1" applyFill="1" applyBorder="1" applyAlignment="1">
      <alignment vertical="center"/>
    </xf>
    <xf numFmtId="0" fontId="91" fillId="13" borderId="25" xfId="0" applyFont="1" applyFill="1" applyBorder="1" applyAlignment="1">
      <alignment vertical="center"/>
    </xf>
    <xf numFmtId="0" fontId="92" fillId="0" borderId="4" xfId="0" applyFont="1" applyBorder="1" applyAlignment="1">
      <alignment vertical="center"/>
    </xf>
    <xf numFmtId="0" fontId="92" fillId="5" borderId="25" xfId="0" applyFont="1" applyFill="1" applyBorder="1" applyAlignment="1">
      <alignment vertical="center"/>
    </xf>
    <xf numFmtId="0" fontId="91" fillId="5" borderId="25" xfId="0" applyFont="1" applyFill="1" applyBorder="1" applyAlignment="1">
      <alignment vertical="center"/>
    </xf>
    <xf numFmtId="0" fontId="91" fillId="13" borderId="1" xfId="0" applyFont="1" applyFill="1" applyBorder="1" applyAlignment="1">
      <alignment vertical="center"/>
    </xf>
    <xf numFmtId="9" fontId="91" fillId="13" borderId="19" xfId="0" applyNumberFormat="1" applyFont="1" applyFill="1" applyBorder="1" applyAlignment="1">
      <alignment vertical="center"/>
    </xf>
    <xf numFmtId="9" fontId="91" fillId="13" borderId="11" xfId="0" applyNumberFormat="1" applyFont="1" applyFill="1" applyBorder="1" applyAlignment="1">
      <alignment vertical="center"/>
    </xf>
    <xf numFmtId="9" fontId="91" fillId="5" borderId="30" xfId="0" applyNumberFormat="1" applyFont="1" applyFill="1" applyBorder="1" applyAlignment="1">
      <alignment vertical="center"/>
    </xf>
    <xf numFmtId="0" fontId="91" fillId="5" borderId="11" xfId="0" applyFont="1" applyFill="1" applyBorder="1" applyAlignment="1">
      <alignment vertical="center"/>
    </xf>
    <xf numFmtId="9" fontId="91" fillId="5" borderId="19" xfId="0" applyNumberFormat="1" applyFont="1" applyFill="1" applyBorder="1" applyAlignment="1">
      <alignment vertical="center"/>
    </xf>
    <xf numFmtId="0" fontId="74" fillId="16" borderId="1" xfId="0" applyFont="1" applyFill="1" applyBorder="1" applyAlignment="1">
      <alignment vertical="center" wrapText="1"/>
    </xf>
    <xf numFmtId="0" fontId="92" fillId="16" borderId="1" xfId="0" applyFont="1" applyFill="1" applyBorder="1" applyAlignment="1">
      <alignment vertical="center"/>
    </xf>
    <xf numFmtId="9" fontId="91" fillId="16" borderId="1" xfId="0" applyNumberFormat="1" applyFont="1" applyFill="1" applyBorder="1" applyAlignment="1">
      <alignment vertical="center"/>
    </xf>
    <xf numFmtId="0" fontId="91" fillId="16" borderId="1" xfId="0" applyFont="1" applyFill="1" applyBorder="1" applyAlignment="1">
      <alignment vertical="center"/>
    </xf>
    <xf numFmtId="10" fontId="91" fillId="33" borderId="14" xfId="0" applyNumberFormat="1" applyFont="1" applyFill="1" applyBorder="1" applyAlignment="1">
      <alignment vertical="center"/>
    </xf>
    <xf numFmtId="9" fontId="93" fillId="5" borderId="1" xfId="0" applyNumberFormat="1" applyFont="1" applyFill="1" applyBorder="1" applyAlignment="1">
      <alignment vertical="center"/>
    </xf>
    <xf numFmtId="10" fontId="91" fillId="13" borderId="1" xfId="0" applyNumberFormat="1" applyFont="1" applyFill="1" applyBorder="1" applyAlignment="1">
      <alignment vertical="center"/>
    </xf>
    <xf numFmtId="0" fontId="92" fillId="0" borderId="17" xfId="0" applyFont="1" applyBorder="1" applyAlignment="1">
      <alignment vertical="center"/>
    </xf>
    <xf numFmtId="0" fontId="92" fillId="0" borderId="20" xfId="0" applyFont="1" applyBorder="1" applyAlignment="1">
      <alignment vertical="center"/>
    </xf>
    <xf numFmtId="10" fontId="94" fillId="5" borderId="1" xfId="0" applyNumberFormat="1" applyFont="1" applyFill="1" applyBorder="1" applyAlignment="1">
      <alignment vertical="center"/>
    </xf>
    <xf numFmtId="10" fontId="94" fillId="5" borderId="14" xfId="0" applyNumberFormat="1" applyFont="1" applyFill="1" applyBorder="1" applyAlignment="1">
      <alignment vertical="center"/>
    </xf>
    <xf numFmtId="9" fontId="94" fillId="5" borderId="1" xfId="0" applyNumberFormat="1" applyFont="1" applyFill="1" applyBorder="1" applyAlignment="1">
      <alignment vertical="center"/>
    </xf>
    <xf numFmtId="0" fontId="94" fillId="5" borderId="1" xfId="0" applyFont="1" applyFill="1" applyBorder="1" applyAlignment="1">
      <alignment vertical="center"/>
    </xf>
    <xf numFmtId="0" fontId="94" fillId="5" borderId="14" xfId="0" applyFont="1" applyFill="1" applyBorder="1" applyAlignment="1">
      <alignment vertical="center"/>
    </xf>
    <xf numFmtId="0" fontId="94" fillId="0" borderId="2" xfId="0" applyFont="1" applyBorder="1" applyAlignment="1">
      <alignment vertical="center"/>
    </xf>
    <xf numFmtId="0" fontId="94" fillId="0" borderId="1" xfId="0" applyFont="1" applyBorder="1" applyAlignment="1">
      <alignment vertical="center"/>
    </xf>
    <xf numFmtId="9" fontId="91" fillId="5" borderId="1" xfId="2" applyFont="1" applyFill="1" applyBorder="1" applyAlignment="1">
      <alignment vertical="center"/>
    </xf>
    <xf numFmtId="9" fontId="94" fillId="5" borderId="14" xfId="0" applyNumberFormat="1" applyFont="1" applyFill="1" applyBorder="1" applyAlignment="1">
      <alignment vertical="center"/>
    </xf>
    <xf numFmtId="0" fontId="92" fillId="38" borderId="1" xfId="0" applyFont="1" applyFill="1" applyBorder="1" applyAlignment="1">
      <alignment vertical="center"/>
    </xf>
    <xf numFmtId="0" fontId="91" fillId="0" borderId="1" xfId="0" applyFont="1" applyBorder="1" applyAlignment="1">
      <alignment vertical="center"/>
    </xf>
    <xf numFmtId="0" fontId="91" fillId="0" borderId="2" xfId="0" applyFont="1" applyBorder="1" applyAlignment="1">
      <alignment vertical="center"/>
    </xf>
    <xf numFmtId="0" fontId="91" fillId="0" borderId="4" xfId="0" applyFont="1" applyBorder="1" applyAlignment="1">
      <alignment vertical="center"/>
    </xf>
    <xf numFmtId="0" fontId="92" fillId="41" borderId="1" xfId="0" applyFont="1" applyFill="1" applyBorder="1" applyAlignment="1">
      <alignment vertical="center"/>
    </xf>
    <xf numFmtId="10" fontId="91" fillId="42" borderId="1" xfId="0" applyNumberFormat="1" applyFont="1" applyFill="1" applyBorder="1" applyAlignment="1">
      <alignment vertical="center"/>
    </xf>
    <xf numFmtId="168" fontId="91" fillId="42" borderId="14" xfId="0" applyNumberFormat="1" applyFont="1" applyFill="1" applyBorder="1" applyAlignment="1">
      <alignment vertical="center"/>
    </xf>
    <xf numFmtId="168" fontId="60" fillId="13" borderId="36" xfId="0" applyNumberFormat="1" applyFont="1" applyFill="1" applyBorder="1" applyAlignment="1">
      <alignment horizontal="center" vertical="center"/>
    </xf>
    <xf numFmtId="168" fontId="61" fillId="17" borderId="36" xfId="0" applyNumberFormat="1" applyFont="1" applyFill="1" applyBorder="1" applyAlignment="1">
      <alignment horizontal="center" vertical="center" wrapText="1"/>
    </xf>
    <xf numFmtId="9" fontId="8" fillId="0" borderId="1" xfId="0" applyNumberFormat="1" applyFont="1" applyBorder="1" applyAlignment="1">
      <alignment horizontal="right"/>
    </xf>
    <xf numFmtId="9" fontId="89" fillId="13" borderId="14" xfId="0" applyNumberFormat="1" applyFont="1" applyFill="1" applyBorder="1"/>
    <xf numFmtId="0" fontId="89" fillId="0" borderId="1" xfId="0" applyFont="1" applyBorder="1"/>
    <xf numFmtId="168" fontId="61" fillId="17" borderId="37" xfId="0" applyNumberFormat="1" applyFont="1" applyFill="1" applyBorder="1" applyAlignment="1">
      <alignment horizontal="center" vertical="center" wrapText="1"/>
    </xf>
    <xf numFmtId="9" fontId="8" fillId="0" borderId="58" xfId="0" applyNumberFormat="1" applyFont="1" applyBorder="1" applyAlignment="1">
      <alignment horizontal="center"/>
    </xf>
    <xf numFmtId="0" fontId="39" fillId="6" borderId="44" xfId="0" applyFont="1" applyFill="1" applyBorder="1" applyAlignment="1">
      <alignment horizontal="center" vertical="center" wrapText="1"/>
    </xf>
    <xf numFmtId="0" fontId="39" fillId="0" borderId="55" xfId="0" applyFont="1" applyBorder="1" applyAlignment="1">
      <alignment horizontal="center" vertical="top" wrapText="1"/>
    </xf>
    <xf numFmtId="0" fontId="98" fillId="0" borderId="46" xfId="0" applyFont="1" applyBorder="1" applyAlignment="1">
      <alignment horizontal="center" vertical="center" wrapText="1"/>
    </xf>
    <xf numFmtId="0" fontId="98" fillId="0" borderId="34" xfId="0" applyFont="1" applyBorder="1" applyAlignment="1">
      <alignment horizontal="center" vertical="center" wrapText="1"/>
    </xf>
    <xf numFmtId="41" fontId="16" fillId="0" borderId="1" xfId="1" applyFont="1" applyBorder="1" applyAlignment="1">
      <alignment horizontal="center" vertical="center"/>
    </xf>
    <xf numFmtId="183" fontId="16" fillId="0" borderId="1" xfId="1" applyNumberFormat="1" applyFont="1" applyBorder="1" applyAlignment="1">
      <alignment horizontal="center" vertical="center"/>
    </xf>
    <xf numFmtId="0" fontId="99" fillId="36" borderId="1" xfId="0" applyFont="1" applyFill="1" applyBorder="1" applyAlignment="1">
      <alignment horizontal="center" vertical="center" wrapText="1"/>
    </xf>
    <xf numFmtId="10" fontId="16" fillId="36" borderId="1" xfId="0" applyNumberFormat="1" applyFont="1" applyFill="1" applyBorder="1" applyAlignment="1">
      <alignment horizontal="center" vertical="center"/>
    </xf>
    <xf numFmtId="9" fontId="16" fillId="0" borderId="1" xfId="2" applyFont="1" applyBorder="1" applyAlignment="1">
      <alignment horizontal="center" vertical="center"/>
    </xf>
    <xf numFmtId="10" fontId="87" fillId="5" borderId="1" xfId="0" applyNumberFormat="1" applyFont="1" applyFill="1" applyBorder="1" applyAlignment="1">
      <alignment horizontal="center" vertical="center"/>
    </xf>
    <xf numFmtId="0" fontId="96" fillId="0" borderId="31" xfId="0" applyFont="1" applyBorder="1" applyAlignment="1">
      <alignment horizontal="center" vertical="top" wrapText="1"/>
    </xf>
    <xf numFmtId="9" fontId="100" fillId="36" borderId="2" xfId="0" applyNumberFormat="1" applyFont="1" applyFill="1" applyBorder="1" applyAlignment="1">
      <alignment horizontal="center" vertical="center" wrapText="1"/>
    </xf>
    <xf numFmtId="0" fontId="90" fillId="0" borderId="0" xfId="0" applyFont="1"/>
    <xf numFmtId="9" fontId="16" fillId="36" borderId="1" xfId="0" applyNumberFormat="1" applyFont="1" applyFill="1" applyBorder="1" applyAlignment="1">
      <alignment horizontal="center" vertical="center"/>
    </xf>
    <xf numFmtId="172" fontId="16" fillId="0" borderId="0" xfId="0" applyNumberFormat="1" applyFont="1"/>
    <xf numFmtId="9" fontId="16" fillId="0" borderId="0" xfId="2" applyFont="1"/>
    <xf numFmtId="10" fontId="79" fillId="36" borderId="1" xfId="0" applyNumberFormat="1" applyFont="1" applyFill="1" applyBorder="1" applyAlignment="1">
      <alignment horizontal="center" vertical="center"/>
    </xf>
    <xf numFmtId="0" fontId="79" fillId="36" borderId="1" xfId="0" applyFont="1" applyFill="1" applyBorder="1" applyAlignment="1">
      <alignment horizontal="center" vertical="center"/>
    </xf>
    <xf numFmtId="0" fontId="16" fillId="36" borderId="1" xfId="0" applyFont="1" applyFill="1" applyBorder="1" applyAlignment="1">
      <alignment horizontal="center" vertical="center"/>
    </xf>
    <xf numFmtId="10" fontId="13" fillId="45" borderId="1" xfId="0" applyNumberFormat="1" applyFont="1" applyFill="1" applyBorder="1"/>
    <xf numFmtId="10" fontId="13" fillId="45" borderId="14" xfId="0" applyNumberFormat="1" applyFont="1" applyFill="1" applyBorder="1"/>
    <xf numFmtId="10" fontId="16" fillId="36" borderId="1" xfId="2" applyNumberFormat="1" applyFont="1" applyFill="1" applyBorder="1" applyAlignment="1">
      <alignment horizontal="center" vertical="center"/>
    </xf>
    <xf numFmtId="184" fontId="16" fillId="14" borderId="1" xfId="1" applyNumberFormat="1" applyFont="1" applyFill="1" applyBorder="1" applyAlignment="1">
      <alignment horizontal="center" vertical="center"/>
    </xf>
    <xf numFmtId="10" fontId="91" fillId="5" borderId="1" xfId="0" applyNumberFormat="1" applyFont="1" applyFill="1" applyBorder="1"/>
    <xf numFmtId="10" fontId="91" fillId="21" borderId="1" xfId="0" applyNumberFormat="1" applyFont="1" applyFill="1" applyBorder="1"/>
    <xf numFmtId="0" fontId="91" fillId="21" borderId="1" xfId="0" applyFont="1" applyFill="1" applyBorder="1"/>
    <xf numFmtId="0" fontId="90" fillId="36" borderId="1" xfId="0" applyFont="1" applyFill="1" applyBorder="1" applyAlignment="1">
      <alignment horizontal="center" vertical="center" wrapText="1"/>
    </xf>
    <xf numFmtId="10" fontId="79" fillId="44" borderId="1" xfId="0" applyNumberFormat="1" applyFont="1" applyFill="1" applyBorder="1" applyAlignment="1">
      <alignment horizontal="center" vertical="center"/>
    </xf>
    <xf numFmtId="10" fontId="80" fillId="27" borderId="1" xfId="0" applyNumberFormat="1" applyFont="1" applyFill="1" applyBorder="1" applyAlignment="1">
      <alignment vertical="center"/>
    </xf>
    <xf numFmtId="10" fontId="80" fillId="27" borderId="14" xfId="0" applyNumberFormat="1" applyFont="1" applyFill="1" applyBorder="1" applyAlignment="1">
      <alignment vertical="center"/>
    </xf>
    <xf numFmtId="0" fontId="79" fillId="41" borderId="1" xfId="0" applyFont="1" applyFill="1" applyBorder="1" applyAlignment="1">
      <alignment vertical="center"/>
    </xf>
    <xf numFmtId="10" fontId="80" fillId="43" borderId="14" xfId="0" applyNumberFormat="1" applyFont="1" applyFill="1" applyBorder="1" applyAlignment="1">
      <alignment vertical="center"/>
    </xf>
    <xf numFmtId="166" fontId="79" fillId="0" borderId="1" xfId="3" applyFont="1" applyBorder="1" applyAlignment="1">
      <alignment horizontal="center" vertical="center"/>
    </xf>
    <xf numFmtId="181" fontId="41" fillId="0" borderId="0" xfId="0" applyNumberFormat="1" applyFont="1"/>
    <xf numFmtId="166" fontId="41" fillId="0" borderId="0" xfId="3" applyFont="1"/>
    <xf numFmtId="166" fontId="41" fillId="0" borderId="0" xfId="0" applyNumberFormat="1" applyFont="1"/>
    <xf numFmtId="0" fontId="74" fillId="36" borderId="1" xfId="0" applyFont="1" applyFill="1" applyBorder="1" applyAlignment="1">
      <alignment horizontal="left" vertical="center" wrapText="1"/>
    </xf>
    <xf numFmtId="9" fontId="16" fillId="46" borderId="1" xfId="0" applyNumberFormat="1" applyFont="1" applyFill="1" applyBorder="1" applyAlignment="1">
      <alignment horizontal="center" vertical="center"/>
    </xf>
    <xf numFmtId="0" fontId="18" fillId="13" borderId="1" xfId="0" applyFont="1" applyFill="1" applyBorder="1" applyAlignment="1">
      <alignment vertical="center"/>
    </xf>
    <xf numFmtId="0" fontId="18" fillId="36" borderId="1" xfId="0" applyFont="1" applyFill="1" applyBorder="1" applyAlignment="1">
      <alignment horizontal="center" vertical="center"/>
    </xf>
    <xf numFmtId="9" fontId="89" fillId="5" borderId="14" xfId="0" applyNumberFormat="1" applyFont="1" applyFill="1" applyBorder="1" applyAlignment="1">
      <alignment horizontal="center" vertical="center"/>
    </xf>
    <xf numFmtId="3" fontId="92" fillId="0" borderId="1" xfId="0" applyNumberFormat="1" applyFont="1" applyBorder="1" applyAlignment="1">
      <alignment horizontal="center" vertical="center"/>
    </xf>
    <xf numFmtId="3" fontId="92" fillId="0" borderId="9" xfId="0" applyNumberFormat="1" applyFont="1" applyBorder="1" applyAlignment="1">
      <alignment horizontal="center" vertical="center"/>
    </xf>
    <xf numFmtId="0" fontId="92" fillId="0" borderId="0" xfId="0" applyFont="1" applyAlignment="1">
      <alignment horizontal="center" vertical="center"/>
    </xf>
    <xf numFmtId="9" fontId="92" fillId="0" borderId="6" xfId="0" applyNumberFormat="1" applyFont="1" applyBorder="1" applyAlignment="1">
      <alignment horizontal="center" vertical="center"/>
    </xf>
    <xf numFmtId="3" fontId="92" fillId="0" borderId="6" xfId="0" applyNumberFormat="1" applyFont="1" applyBorder="1" applyAlignment="1">
      <alignment horizontal="center" vertical="center"/>
    </xf>
    <xf numFmtId="9" fontId="92" fillId="0" borderId="16" xfId="0" applyNumberFormat="1" applyFont="1" applyBorder="1" applyAlignment="1">
      <alignment horizontal="center" vertical="center"/>
    </xf>
    <xf numFmtId="3" fontId="91" fillId="0" borderId="1" xfId="0" applyNumberFormat="1" applyFont="1" applyBorder="1" applyAlignment="1">
      <alignment horizontal="center" vertical="center"/>
    </xf>
    <xf numFmtId="0" fontId="92" fillId="0" borderId="2" xfId="0" applyFont="1" applyBorder="1" applyAlignment="1">
      <alignment horizontal="center" vertical="center"/>
    </xf>
    <xf numFmtId="0" fontId="92" fillId="0" borderId="4" xfId="0" applyFont="1" applyBorder="1" applyAlignment="1">
      <alignment horizontal="center" vertical="center"/>
    </xf>
    <xf numFmtId="0" fontId="92" fillId="14" borderId="1" xfId="0" applyFont="1" applyFill="1" applyBorder="1" applyAlignment="1">
      <alignment horizontal="center" vertical="center"/>
    </xf>
    <xf numFmtId="0" fontId="83" fillId="0" borderId="1" xfId="0" applyFont="1" applyBorder="1" applyAlignment="1">
      <alignment horizontal="center" vertical="center"/>
    </xf>
    <xf numFmtId="9" fontId="92" fillId="0" borderId="4" xfId="0" applyNumberFormat="1" applyFont="1" applyBorder="1" applyAlignment="1">
      <alignment horizontal="center" vertical="center"/>
    </xf>
    <xf numFmtId="9" fontId="92" fillId="0" borderId="9" xfId="0" applyNumberFormat="1" applyFont="1" applyBorder="1" applyAlignment="1">
      <alignment horizontal="center" vertical="center"/>
    </xf>
    <xf numFmtId="10" fontId="89" fillId="5" borderId="1" xfId="0" applyNumberFormat="1" applyFont="1" applyFill="1" applyBorder="1"/>
    <xf numFmtId="0" fontId="89" fillId="5" borderId="1" xfId="0" applyFont="1" applyFill="1" applyBorder="1"/>
    <xf numFmtId="0" fontId="16" fillId="36" borderId="1" xfId="0" applyFont="1" applyFill="1" applyBorder="1" applyAlignment="1">
      <alignment horizontal="center" vertical="center" wrapText="1"/>
    </xf>
    <xf numFmtId="10" fontId="27" fillId="13" borderId="14" xfId="0" applyNumberFormat="1" applyFont="1" applyFill="1" applyBorder="1" applyAlignment="1">
      <alignment horizontal="center"/>
    </xf>
    <xf numFmtId="0" fontId="102" fillId="0" borderId="0" xfId="0" applyFont="1"/>
    <xf numFmtId="10" fontId="0" fillId="0" borderId="0" xfId="2" applyNumberFormat="1" applyFont="1" applyAlignment="1"/>
    <xf numFmtId="168" fontId="103" fillId="0" borderId="0" xfId="0" applyNumberFormat="1" applyFont="1"/>
    <xf numFmtId="0" fontId="98" fillId="0" borderId="62" xfId="0" applyFont="1" applyBorder="1" applyAlignment="1">
      <alignment horizontal="center" vertical="center" wrapText="1"/>
    </xf>
    <xf numFmtId="0" fontId="39" fillId="0" borderId="63" xfId="0" applyFont="1" applyBorder="1" applyAlignment="1">
      <alignment horizontal="center" vertical="center" wrapText="1"/>
    </xf>
    <xf numFmtId="0" fontId="39" fillId="0" borderId="61" xfId="0" applyFont="1" applyBorder="1" applyAlignment="1">
      <alignment horizontal="center" vertical="center" wrapText="1"/>
    </xf>
    <xf numFmtId="0" fontId="39" fillId="0" borderId="67" xfId="0" applyFont="1" applyBorder="1" applyAlignment="1">
      <alignment horizontal="center" vertical="top" wrapText="1"/>
    </xf>
    <xf numFmtId="0" fontId="65" fillId="0" borderId="64" xfId="0" applyFont="1" applyBorder="1" applyAlignment="1">
      <alignment vertical="center" wrapText="1"/>
    </xf>
    <xf numFmtId="0" fontId="98" fillId="0" borderId="68" xfId="0" applyFont="1" applyBorder="1" applyAlignment="1">
      <alignment horizontal="center" vertical="center" wrapText="1"/>
    </xf>
    <xf numFmtId="0" fontId="98" fillId="0" borderId="69" xfId="0" applyFont="1" applyBorder="1" applyAlignment="1">
      <alignment horizontal="center" vertical="center" wrapText="1"/>
    </xf>
    <xf numFmtId="0" fontId="39" fillId="0" borderId="70" xfId="0" applyFont="1" applyBorder="1" applyAlignment="1">
      <alignment horizontal="center" vertical="top" wrapText="1"/>
    </xf>
    <xf numFmtId="0" fontId="63" fillId="35" borderId="56" xfId="0" applyFont="1" applyFill="1" applyBorder="1" applyAlignment="1">
      <alignment vertical="center" wrapText="1"/>
    </xf>
    <xf numFmtId="0" fontId="63" fillId="6" borderId="65" xfId="0" applyFont="1" applyFill="1" applyBorder="1" applyAlignment="1">
      <alignment vertical="center" wrapText="1"/>
    </xf>
    <xf numFmtId="0" fontId="62" fillId="8" borderId="66" xfId="0" applyFont="1" applyFill="1" applyBorder="1" applyAlignment="1">
      <alignment vertical="center" wrapText="1"/>
    </xf>
    <xf numFmtId="0" fontId="45" fillId="18" borderId="1" xfId="0" applyFont="1" applyFill="1" applyBorder="1" applyAlignment="1">
      <alignment horizontal="center" vertical="center" wrapText="1"/>
    </xf>
    <xf numFmtId="9" fontId="79" fillId="0" borderId="1" xfId="2" applyFont="1" applyBorder="1" applyAlignment="1">
      <alignment horizontal="center" vertical="center"/>
    </xf>
    <xf numFmtId="0" fontId="45" fillId="0" borderId="1" xfId="0" applyFont="1" applyBorder="1" applyAlignment="1">
      <alignment horizontal="center" vertical="center" wrapText="1"/>
    </xf>
    <xf numFmtId="43" fontId="79" fillId="0" borderId="1" xfId="4" applyFont="1" applyBorder="1" applyAlignment="1">
      <alignment horizontal="center" vertical="center"/>
    </xf>
    <xf numFmtId="43" fontId="79" fillId="0" borderId="1" xfId="0" applyNumberFormat="1" applyFont="1" applyBorder="1" applyAlignment="1">
      <alignment horizontal="center" vertical="center"/>
    </xf>
    <xf numFmtId="10" fontId="92" fillId="36" borderId="1" xfId="0" applyNumberFormat="1" applyFont="1" applyFill="1" applyBorder="1" applyAlignment="1">
      <alignment vertical="center"/>
    </xf>
    <xf numFmtId="10" fontId="92" fillId="36" borderId="1" xfId="0" applyNumberFormat="1" applyFont="1" applyFill="1" applyBorder="1" applyAlignment="1">
      <alignment horizontal="center" vertical="center"/>
    </xf>
    <xf numFmtId="10" fontId="79" fillId="14" borderId="1" xfId="0" applyNumberFormat="1" applyFont="1" applyFill="1" applyBorder="1" applyAlignment="1">
      <alignment horizontal="center" vertical="center"/>
    </xf>
    <xf numFmtId="43" fontId="18" fillId="0" borderId="1" xfId="4" applyFont="1" applyBorder="1" applyAlignment="1">
      <alignment horizontal="center" vertical="center"/>
    </xf>
    <xf numFmtId="9" fontId="18" fillId="0" borderId="1" xfId="2" applyFont="1" applyBorder="1" applyAlignment="1">
      <alignment horizontal="center" vertical="center"/>
    </xf>
    <xf numFmtId="10" fontId="18" fillId="0" borderId="1" xfId="2" applyNumberFormat="1" applyFont="1" applyBorder="1" applyAlignment="1">
      <alignment horizontal="center" vertical="center"/>
    </xf>
    <xf numFmtId="10" fontId="18" fillId="48" borderId="1" xfId="0" applyNumberFormat="1" applyFont="1" applyFill="1" applyBorder="1" applyAlignment="1">
      <alignment horizontal="center" vertical="center"/>
    </xf>
    <xf numFmtId="9" fontId="29" fillId="49" borderId="1" xfId="0" applyNumberFormat="1" applyFont="1" applyFill="1" applyBorder="1"/>
    <xf numFmtId="9" fontId="18" fillId="48" borderId="1" xfId="0" applyNumberFormat="1" applyFont="1" applyFill="1" applyBorder="1" applyAlignment="1">
      <alignment horizontal="center" vertical="center"/>
    </xf>
    <xf numFmtId="0" fontId="18" fillId="48" borderId="1" xfId="0" applyFont="1" applyFill="1" applyBorder="1" applyAlignment="1">
      <alignment horizontal="center" vertical="center"/>
    </xf>
    <xf numFmtId="185" fontId="18" fillId="0" borderId="1" xfId="0" applyNumberFormat="1" applyFont="1" applyBorder="1" applyAlignment="1">
      <alignment horizontal="center" vertical="center"/>
    </xf>
    <xf numFmtId="186" fontId="18" fillId="0" borderId="1" xfId="4" applyNumberFormat="1" applyFont="1" applyBorder="1" applyAlignment="1">
      <alignment horizontal="center" vertical="center"/>
    </xf>
    <xf numFmtId="10" fontId="29" fillId="49" borderId="1" xfId="0" applyNumberFormat="1" applyFont="1" applyFill="1" applyBorder="1"/>
    <xf numFmtId="187" fontId="18" fillId="0" borderId="1" xfId="0" applyNumberFormat="1" applyFont="1" applyBorder="1" applyAlignment="1">
      <alignment horizontal="center" vertical="center"/>
    </xf>
    <xf numFmtId="168" fontId="91" fillId="5" borderId="1" xfId="0" applyNumberFormat="1" applyFont="1" applyFill="1" applyBorder="1"/>
    <xf numFmtId="168" fontId="29" fillId="5" borderId="1" xfId="0" applyNumberFormat="1" applyFont="1" applyFill="1" applyBorder="1"/>
    <xf numFmtId="3" fontId="18" fillId="36" borderId="1" xfId="0" applyNumberFormat="1" applyFont="1" applyFill="1" applyBorder="1" applyAlignment="1">
      <alignment horizontal="center" vertical="center"/>
    </xf>
    <xf numFmtId="10" fontId="18" fillId="36" borderId="1" xfId="0" applyNumberFormat="1" applyFont="1" applyFill="1" applyBorder="1" applyAlignment="1">
      <alignment horizontal="center" vertical="center"/>
    </xf>
    <xf numFmtId="0" fontId="105" fillId="19" borderId="1" xfId="0" applyFont="1" applyFill="1" applyBorder="1" applyAlignment="1">
      <alignment horizontal="left" vertical="center" wrapText="1"/>
    </xf>
    <xf numFmtId="168" fontId="76" fillId="5" borderId="14" xfId="0" applyNumberFormat="1" applyFont="1" applyFill="1" applyBorder="1" applyAlignment="1">
      <alignment horizontal="center" vertical="center"/>
    </xf>
    <xf numFmtId="10" fontId="29" fillId="42" borderId="1" xfId="0" applyNumberFormat="1" applyFont="1" applyFill="1" applyBorder="1"/>
    <xf numFmtId="0" fontId="18" fillId="42" borderId="1" xfId="0" applyFont="1" applyFill="1" applyBorder="1"/>
    <xf numFmtId="9" fontId="29" fillId="42" borderId="1" xfId="0" applyNumberFormat="1" applyFont="1" applyFill="1" applyBorder="1"/>
    <xf numFmtId="168" fontId="29" fillId="21" borderId="1" xfId="0" applyNumberFormat="1" applyFont="1" applyFill="1" applyBorder="1"/>
    <xf numFmtId="172" fontId="16" fillId="36" borderId="1" xfId="0" applyNumberFormat="1" applyFont="1" applyFill="1" applyBorder="1" applyAlignment="1">
      <alignment horizontal="center" vertical="center"/>
    </xf>
    <xf numFmtId="173" fontId="16" fillId="36" borderId="1" xfId="0" applyNumberFormat="1" applyFont="1" applyFill="1" applyBorder="1" applyAlignment="1">
      <alignment horizontal="center" vertical="center"/>
    </xf>
    <xf numFmtId="10" fontId="75" fillId="48" borderId="1" xfId="0" applyNumberFormat="1" applyFont="1" applyFill="1" applyBorder="1" applyAlignment="1">
      <alignment horizontal="center" vertical="center"/>
    </xf>
    <xf numFmtId="3" fontId="82" fillId="0" borderId="1" xfId="0" applyNumberFormat="1" applyFont="1" applyBorder="1" applyAlignment="1">
      <alignment horizontal="center" vertical="center"/>
    </xf>
    <xf numFmtId="164" fontId="106" fillId="0" borderId="1" xfId="0" applyNumberFormat="1" applyFont="1" applyBorder="1" applyAlignment="1">
      <alignment horizontal="center" vertical="center"/>
    </xf>
    <xf numFmtId="0" fontId="106" fillId="0" borderId="1" xfId="0" applyFont="1" applyBorder="1" applyAlignment="1">
      <alignment horizontal="center" vertical="center"/>
    </xf>
    <xf numFmtId="10" fontId="106" fillId="0" borderId="1" xfId="0" applyNumberFormat="1" applyFont="1" applyBorder="1" applyAlignment="1">
      <alignment horizontal="center" vertical="center"/>
    </xf>
    <xf numFmtId="167" fontId="16" fillId="0" borderId="1" xfId="5" applyFont="1" applyBorder="1" applyAlignment="1">
      <alignment horizontal="center" vertical="center"/>
    </xf>
    <xf numFmtId="168" fontId="89" fillId="5" borderId="1" xfId="0" applyNumberFormat="1" applyFont="1" applyFill="1" applyBorder="1"/>
    <xf numFmtId="168" fontId="27" fillId="5" borderId="1" xfId="0" applyNumberFormat="1" applyFont="1" applyFill="1" applyBorder="1" applyAlignment="1">
      <alignment horizontal="center" vertical="center"/>
    </xf>
    <xf numFmtId="0" fontId="17" fillId="10" borderId="71" xfId="0" applyFont="1" applyFill="1" applyBorder="1" applyAlignment="1">
      <alignment vertical="center" wrapText="1"/>
    </xf>
    <xf numFmtId="0" fontId="17" fillId="10" borderId="11" xfId="0" applyFont="1" applyFill="1" applyBorder="1" applyAlignment="1">
      <alignment horizontal="center" vertical="center" wrapText="1"/>
    </xf>
    <xf numFmtId="41" fontId="90" fillId="0" borderId="1" xfId="1" applyFont="1" applyBorder="1" applyAlignment="1">
      <alignment horizontal="center" vertical="center"/>
    </xf>
    <xf numFmtId="41" fontId="90" fillId="0" borderId="1" xfId="0" applyNumberFormat="1" applyFont="1" applyBorder="1" applyAlignment="1">
      <alignment horizontal="center" vertical="center"/>
    </xf>
    <xf numFmtId="9" fontId="29" fillId="39" borderId="1" xfId="0" applyNumberFormat="1" applyFont="1" applyFill="1" applyBorder="1" applyAlignment="1">
      <alignment horizontal="center" vertical="center"/>
    </xf>
    <xf numFmtId="0" fontId="45" fillId="18" borderId="1" xfId="0" applyFont="1" applyFill="1" applyBorder="1" applyAlignment="1">
      <alignment horizontal="left" vertical="center" wrapText="1"/>
    </xf>
    <xf numFmtId="0" fontId="92" fillId="0" borderId="6" xfId="0" applyFont="1" applyBorder="1" applyAlignment="1">
      <alignment horizontal="center" vertical="center"/>
    </xf>
    <xf numFmtId="0" fontId="16" fillId="51" borderId="1" xfId="0" applyFont="1" applyFill="1" applyBorder="1" applyAlignment="1">
      <alignment horizontal="center" vertical="center"/>
    </xf>
    <xf numFmtId="0" fontId="16" fillId="48" borderId="1" xfId="0" applyFont="1" applyFill="1" applyBorder="1" applyAlignment="1">
      <alignment horizontal="center" vertical="center"/>
    </xf>
    <xf numFmtId="0" fontId="79" fillId="51" borderId="1" xfId="0" applyFont="1" applyFill="1" applyBorder="1" applyAlignment="1">
      <alignment horizontal="center" vertical="center"/>
    </xf>
    <xf numFmtId="168" fontId="16" fillId="36" borderId="1" xfId="2" applyNumberFormat="1" applyFont="1" applyFill="1" applyBorder="1" applyAlignment="1">
      <alignment horizontal="center" vertical="center"/>
    </xf>
    <xf numFmtId="184" fontId="16" fillId="0" borderId="1" xfId="0" applyNumberFormat="1" applyFont="1" applyBorder="1" applyAlignment="1">
      <alignment horizontal="center" vertical="center"/>
    </xf>
    <xf numFmtId="168" fontId="13" fillId="42" borderId="1" xfId="0" applyNumberFormat="1" applyFont="1" applyFill="1" applyBorder="1" applyAlignment="1">
      <alignment horizontal="center" vertical="center"/>
    </xf>
    <xf numFmtId="177" fontId="16" fillId="14" borderId="1" xfId="0" applyNumberFormat="1" applyFont="1" applyFill="1" applyBorder="1" applyAlignment="1">
      <alignment horizontal="center" vertical="center"/>
    </xf>
    <xf numFmtId="0" fontId="39" fillId="6" borderId="54" xfId="0" applyFont="1" applyFill="1" applyBorder="1" applyAlignment="1">
      <alignment horizontal="center" vertical="center" wrapText="1"/>
    </xf>
    <xf numFmtId="0" fontId="4" fillId="36" borderId="54" xfId="0" applyFont="1" applyFill="1" applyBorder="1" applyAlignment="1">
      <alignment horizontal="center" vertical="center"/>
    </xf>
    <xf numFmtId="0" fontId="41" fillId="0" borderId="54" xfId="0" applyFont="1" applyBorder="1" applyAlignment="1">
      <alignment wrapText="1"/>
    </xf>
    <xf numFmtId="168" fontId="39" fillId="13" borderId="54" xfId="0" applyNumberFormat="1" applyFont="1" applyFill="1" applyBorder="1" applyAlignment="1">
      <alignment horizontal="center" vertical="center"/>
    </xf>
    <xf numFmtId="168" fontId="39" fillId="47" borderId="54" xfId="0" applyNumberFormat="1" applyFont="1" applyFill="1" applyBorder="1" applyAlignment="1">
      <alignment horizontal="center" vertical="center"/>
    </xf>
    <xf numFmtId="10" fontId="0" fillId="0" borderId="54" xfId="0" applyNumberFormat="1" applyBorder="1" applyAlignment="1">
      <alignment horizontal="center" vertical="center"/>
    </xf>
    <xf numFmtId="0" fontId="3" fillId="0" borderId="0" xfId="0" applyFont="1"/>
    <xf numFmtId="168" fontId="8" fillId="14" borderId="14" xfId="0" applyNumberFormat="1" applyFont="1" applyFill="1" applyBorder="1" applyAlignment="1">
      <alignment horizontal="center" vertical="center"/>
    </xf>
    <xf numFmtId="9" fontId="10" fillId="0" borderId="1" xfId="0" applyNumberFormat="1" applyFont="1" applyBorder="1" applyAlignment="1">
      <alignment horizontal="center" vertical="center" wrapText="1"/>
    </xf>
    <xf numFmtId="168" fontId="55" fillId="0" borderId="0" xfId="0" applyNumberFormat="1" applyFont="1"/>
    <xf numFmtId="0" fontId="107" fillId="0" borderId="0" xfId="0" applyFont="1"/>
    <xf numFmtId="10" fontId="107" fillId="0" borderId="0" xfId="0" applyNumberFormat="1" applyFont="1"/>
    <xf numFmtId="170" fontId="107" fillId="0" borderId="0" xfId="2" applyNumberFormat="1" applyFont="1" applyAlignment="1"/>
    <xf numFmtId="10" fontId="107" fillId="0" borderId="0" xfId="2" applyNumberFormat="1" applyFont="1" applyAlignment="1"/>
    <xf numFmtId="168" fontId="107" fillId="0" borderId="0" xfId="0" applyNumberFormat="1" applyFont="1"/>
    <xf numFmtId="168" fontId="107" fillId="0" borderId="0" xfId="2" applyNumberFormat="1" applyFont="1" applyAlignment="1"/>
    <xf numFmtId="0" fontId="16" fillId="0" borderId="11" xfId="0" applyFont="1" applyBorder="1" applyAlignment="1">
      <alignment vertical="center"/>
    </xf>
    <xf numFmtId="0" fontId="16" fillId="0" borderId="11" xfId="0" applyFont="1" applyBorder="1" applyAlignment="1">
      <alignment horizontal="center" vertical="center"/>
    </xf>
    <xf numFmtId="3" fontId="17" fillId="10" borderId="11" xfId="0" applyNumberFormat="1" applyFont="1" applyFill="1" applyBorder="1" applyAlignment="1">
      <alignment horizontal="center" vertical="center" wrapText="1"/>
    </xf>
    <xf numFmtId="3" fontId="16" fillId="0" borderId="11" xfId="0" applyNumberFormat="1" applyFont="1" applyBorder="1" applyAlignment="1">
      <alignment horizontal="center" vertical="center"/>
    </xf>
    <xf numFmtId="9" fontId="16" fillId="0" borderId="11" xfId="0" applyNumberFormat="1" applyFont="1" applyBorder="1" applyAlignment="1">
      <alignment horizontal="center" vertical="center"/>
    </xf>
    <xf numFmtId="168" fontId="16" fillId="0" borderId="11" xfId="0" applyNumberFormat="1" applyFont="1" applyBorder="1" applyAlignment="1">
      <alignment horizontal="center" vertical="center"/>
    </xf>
    <xf numFmtId="172" fontId="16" fillId="0" borderId="11" xfId="0" applyNumberFormat="1" applyFont="1" applyBorder="1" applyAlignment="1">
      <alignment horizontal="center" vertical="center"/>
    </xf>
    <xf numFmtId="10" fontId="16" fillId="0" borderId="11" xfId="0" applyNumberFormat="1" applyFont="1" applyBorder="1" applyAlignment="1">
      <alignment horizontal="center" vertical="center"/>
    </xf>
    <xf numFmtId="10" fontId="18" fillId="0" borderId="11" xfId="0" applyNumberFormat="1" applyFont="1" applyBorder="1" applyAlignment="1">
      <alignment horizontal="center" vertical="center"/>
    </xf>
    <xf numFmtId="0" fontId="16" fillId="0" borderId="11" xfId="0" applyFont="1" applyBorder="1" applyAlignment="1">
      <alignment horizontal="left" vertical="center" wrapText="1"/>
    </xf>
    <xf numFmtId="0" fontId="16" fillId="0" borderId="11" xfId="0" applyFont="1" applyBorder="1" applyAlignment="1">
      <alignment horizontal="left" vertical="center"/>
    </xf>
    <xf numFmtId="0" fontId="16" fillId="0" borderId="11" xfId="0" applyFont="1" applyBorder="1" applyAlignment="1">
      <alignment horizontal="center" vertical="center" wrapText="1"/>
    </xf>
    <xf numFmtId="0" fontId="0" fillId="0" borderId="13" xfId="0" applyBorder="1"/>
    <xf numFmtId="0" fontId="12" fillId="52" borderId="54" xfId="0" applyFont="1" applyFill="1" applyBorder="1" applyAlignment="1">
      <alignment horizontal="center" vertical="center" wrapText="1"/>
    </xf>
    <xf numFmtId="0" fontId="13" fillId="52" borderId="54" xfId="0" applyFont="1" applyFill="1" applyBorder="1" applyAlignment="1">
      <alignment horizontal="center" vertical="center" wrapText="1"/>
    </xf>
    <xf numFmtId="0" fontId="14" fillId="53" borderId="54" xfId="0" applyFont="1" applyFill="1" applyBorder="1" applyAlignment="1">
      <alignment horizontal="center" vertical="center" wrapText="1"/>
    </xf>
    <xf numFmtId="0" fontId="12" fillId="54" borderId="54" xfId="0" applyFont="1" applyFill="1" applyBorder="1" applyAlignment="1">
      <alignment horizontal="center" vertical="center" wrapText="1"/>
    </xf>
    <xf numFmtId="0" fontId="12" fillId="12" borderId="54" xfId="0" applyFont="1" applyFill="1" applyBorder="1" applyAlignment="1">
      <alignment horizontal="center" vertical="center" wrapText="1"/>
    </xf>
    <xf numFmtId="0" fontId="12" fillId="55" borderId="54" xfId="0" applyFont="1" applyFill="1" applyBorder="1" applyAlignment="1">
      <alignment horizontal="center" vertical="center" wrapText="1"/>
    </xf>
    <xf numFmtId="0" fontId="15" fillId="56" borderId="54" xfId="0" applyFont="1" applyFill="1" applyBorder="1" applyAlignment="1">
      <alignment horizontal="center" vertical="center" wrapText="1"/>
    </xf>
    <xf numFmtId="0" fontId="15" fillId="57" borderId="54" xfId="0" applyFont="1" applyFill="1" applyBorder="1" applyAlignment="1">
      <alignment horizontal="center" vertical="center" wrapText="1"/>
    </xf>
    <xf numFmtId="0" fontId="0" fillId="58" borderId="54" xfId="0" applyFill="1" applyBorder="1"/>
    <xf numFmtId="0" fontId="31" fillId="19" borderId="11" xfId="0" applyFont="1" applyFill="1" applyBorder="1" applyAlignment="1">
      <alignment horizontal="center" vertical="center" wrapText="1"/>
    </xf>
    <xf numFmtId="0" fontId="18" fillId="0" borderId="11" xfId="0" applyFont="1" applyBorder="1"/>
    <xf numFmtId="3" fontId="18" fillId="0" borderId="11" xfId="0" applyNumberFormat="1" applyFont="1" applyBorder="1" applyAlignment="1">
      <alignment horizontal="center" vertical="center"/>
    </xf>
    <xf numFmtId="9" fontId="18" fillId="0" borderId="11" xfId="0" applyNumberFormat="1" applyFont="1" applyBorder="1" applyAlignment="1">
      <alignment horizontal="center" vertical="center"/>
    </xf>
    <xf numFmtId="0" fontId="18" fillId="0" borderId="11" xfId="0" applyFont="1" applyBorder="1" applyAlignment="1">
      <alignment horizontal="center" vertical="center"/>
    </xf>
    <xf numFmtId="0" fontId="18" fillId="0" borderId="11" xfId="0" applyFont="1" applyBorder="1" applyAlignment="1">
      <alignment vertical="center"/>
    </xf>
    <xf numFmtId="168" fontId="18" fillId="0" borderId="11" xfId="0" applyNumberFormat="1" applyFont="1" applyBorder="1" applyAlignment="1">
      <alignment vertical="center"/>
    </xf>
    <xf numFmtId="3" fontId="18" fillId="0" borderId="11" xfId="0" applyNumberFormat="1" applyFont="1" applyBorder="1" applyAlignment="1">
      <alignment vertical="center"/>
    </xf>
    <xf numFmtId="168" fontId="18" fillId="0" borderId="19" xfId="0" applyNumberFormat="1" applyFont="1" applyBorder="1" applyAlignment="1">
      <alignment vertical="center"/>
    </xf>
    <xf numFmtId="0" fontId="18" fillId="0" borderId="13" xfId="0" applyFont="1" applyBorder="1"/>
    <xf numFmtId="0" fontId="110" fillId="59" borderId="54" xfId="0" applyFont="1" applyFill="1" applyBorder="1" applyAlignment="1">
      <alignment horizontal="center" vertical="center" wrapText="1"/>
    </xf>
    <xf numFmtId="0" fontId="111" fillId="59" borderId="54" xfId="0" applyFont="1" applyFill="1" applyBorder="1" applyAlignment="1">
      <alignment horizontal="center" vertical="center"/>
    </xf>
    <xf numFmtId="0" fontId="112" fillId="59" borderId="54" xfId="0" applyFont="1" applyFill="1" applyBorder="1" applyAlignment="1">
      <alignment horizontal="center" vertical="center" wrapText="1"/>
    </xf>
    <xf numFmtId="0" fontId="110" fillId="60" borderId="54" xfId="0" applyFont="1" applyFill="1" applyBorder="1" applyAlignment="1">
      <alignment horizontal="center" vertical="center" wrapText="1"/>
    </xf>
    <xf numFmtId="3" fontId="113" fillId="59" borderId="54" xfId="0" applyNumberFormat="1" applyFont="1" applyFill="1" applyBorder="1" applyAlignment="1">
      <alignment horizontal="center" vertical="center" wrapText="1"/>
    </xf>
    <xf numFmtId="0" fontId="110" fillId="61" borderId="54" xfId="0" applyFont="1" applyFill="1" applyBorder="1" applyAlignment="1">
      <alignment horizontal="center" vertical="center" wrapText="1"/>
    </xf>
    <xf numFmtId="0" fontId="110" fillId="62" borderId="54" xfId="0" applyFont="1" applyFill="1" applyBorder="1" applyAlignment="1">
      <alignment horizontal="center" vertical="center" wrapText="1"/>
    </xf>
    <xf numFmtId="0" fontId="110" fillId="63" borderId="54" xfId="0" applyFont="1" applyFill="1" applyBorder="1" applyAlignment="1">
      <alignment horizontal="center" vertical="center" wrapText="1"/>
    </xf>
    <xf numFmtId="0" fontId="110" fillId="64" borderId="54" xfId="0" applyFont="1" applyFill="1" applyBorder="1" applyAlignment="1">
      <alignment horizontal="center" vertical="center" wrapText="1"/>
    </xf>
    <xf numFmtId="0" fontId="110" fillId="65" borderId="54" xfId="0" applyFont="1" applyFill="1" applyBorder="1" applyAlignment="1">
      <alignment horizontal="center" vertical="center" wrapText="1"/>
    </xf>
    <xf numFmtId="0" fontId="110" fillId="66" borderId="54" xfId="0" applyFont="1" applyFill="1" applyBorder="1" applyAlignment="1">
      <alignment horizontal="center" vertical="center" wrapText="1"/>
    </xf>
    <xf numFmtId="0" fontId="112" fillId="64" borderId="54" xfId="0" applyFont="1" applyFill="1" applyBorder="1" applyAlignment="1">
      <alignment horizontal="center" vertical="center" wrapText="1"/>
    </xf>
    <xf numFmtId="0" fontId="114" fillId="67" borderId="54" xfId="0" applyFont="1" applyFill="1" applyBorder="1"/>
    <xf numFmtId="0" fontId="83" fillId="59" borderId="5" xfId="0" applyFont="1" applyFill="1" applyBorder="1" applyAlignment="1">
      <alignment horizontal="center" vertical="center" wrapText="1"/>
    </xf>
    <xf numFmtId="0" fontId="83" fillId="60" borderId="5" xfId="0" applyFont="1" applyFill="1" applyBorder="1" applyAlignment="1">
      <alignment horizontal="center" vertical="center" wrapText="1"/>
    </xf>
    <xf numFmtId="0" fontId="83" fillId="59" borderId="1" xfId="0" applyFont="1" applyFill="1" applyBorder="1" applyAlignment="1">
      <alignment horizontal="center" vertical="center" wrapText="1"/>
    </xf>
    <xf numFmtId="0" fontId="83" fillId="60" borderId="1" xfId="0" applyFont="1" applyFill="1" applyBorder="1" applyAlignment="1">
      <alignment horizontal="center" vertical="center" wrapText="1"/>
    </xf>
    <xf numFmtId="0" fontId="83" fillId="63" borderId="1" xfId="0" applyFont="1" applyFill="1" applyBorder="1" applyAlignment="1">
      <alignment horizontal="center" vertical="center" wrapText="1"/>
    </xf>
    <xf numFmtId="0" fontId="83" fillId="65" borderId="1" xfId="0" applyFont="1" applyFill="1" applyBorder="1" applyAlignment="1">
      <alignment horizontal="center" vertical="center" wrapText="1"/>
    </xf>
    <xf numFmtId="0" fontId="83" fillId="66" borderId="1" xfId="0" applyFont="1" applyFill="1" applyBorder="1" applyAlignment="1">
      <alignment horizontal="center" vertical="center" wrapText="1"/>
    </xf>
    <xf numFmtId="0" fontId="83" fillId="66" borderId="14" xfId="0" applyFont="1" applyFill="1" applyBorder="1" applyAlignment="1">
      <alignment horizontal="center" vertical="center" wrapText="1"/>
    </xf>
    <xf numFmtId="0" fontId="85" fillId="63" borderId="1" xfId="0" applyFont="1" applyFill="1" applyBorder="1" applyAlignment="1">
      <alignment horizontal="center" vertical="center" wrapText="1"/>
    </xf>
    <xf numFmtId="0" fontId="33" fillId="63" borderId="1" xfId="0" applyFont="1" applyFill="1" applyBorder="1" applyAlignment="1">
      <alignment horizontal="center" vertical="center" wrapText="1"/>
    </xf>
    <xf numFmtId="0" fontId="83" fillId="59" borderId="15" xfId="0" applyFont="1" applyFill="1" applyBorder="1" applyAlignment="1">
      <alignment horizontal="center" vertical="center" wrapText="1"/>
    </xf>
    <xf numFmtId="0" fontId="83" fillId="68" borderId="1" xfId="0" applyFont="1" applyFill="1" applyBorder="1" applyAlignment="1">
      <alignment horizontal="center" vertical="center" wrapText="1"/>
    </xf>
    <xf numFmtId="0" fontId="84" fillId="69" borderId="1" xfId="0" applyFont="1" applyFill="1" applyBorder="1" applyAlignment="1">
      <alignment horizontal="center" vertical="center" wrapText="1"/>
    </xf>
    <xf numFmtId="0" fontId="84" fillId="70" borderId="1" xfId="0" applyFont="1" applyFill="1" applyBorder="1" applyAlignment="1">
      <alignment horizontal="center" vertical="center" wrapText="1"/>
    </xf>
    <xf numFmtId="0" fontId="74" fillId="67" borderId="0" xfId="0" applyFont="1" applyFill="1" applyAlignment="1">
      <alignment horizontal="center" vertical="center"/>
    </xf>
    <xf numFmtId="0" fontId="86" fillId="67" borderId="0" xfId="0" applyFont="1" applyFill="1"/>
    <xf numFmtId="10" fontId="17" fillId="28" borderId="11" xfId="0" applyNumberFormat="1" applyFont="1" applyFill="1" applyBorder="1" applyAlignment="1">
      <alignment horizontal="center" vertical="center" wrapText="1"/>
    </xf>
    <xf numFmtId="0" fontId="16" fillId="0" borderId="11" xfId="0" applyFont="1" applyBorder="1"/>
    <xf numFmtId="0" fontId="17" fillId="29" borderId="11" xfId="0" applyFont="1" applyFill="1" applyBorder="1" applyAlignment="1">
      <alignment horizontal="left" vertical="center" wrapText="1"/>
    </xf>
    <xf numFmtId="0" fontId="16" fillId="0" borderId="13" xfId="0" applyFont="1" applyBorder="1" applyAlignment="1">
      <alignment horizontal="center" vertical="center"/>
    </xf>
    <xf numFmtId="0" fontId="16" fillId="0" borderId="19" xfId="0" applyFont="1" applyBorder="1" applyAlignment="1">
      <alignment vertical="center"/>
    </xf>
    <xf numFmtId="0" fontId="16" fillId="0" borderId="30" xfId="0" applyFont="1" applyBorder="1" applyAlignment="1">
      <alignment vertical="center"/>
    </xf>
    <xf numFmtId="10" fontId="16" fillId="0" borderId="19" xfId="0" applyNumberFormat="1" applyFont="1" applyBorder="1" applyAlignment="1">
      <alignment horizontal="center" vertical="center"/>
    </xf>
    <xf numFmtId="0" fontId="16" fillId="0" borderId="13" xfId="0" applyFont="1" applyBorder="1"/>
    <xf numFmtId="0" fontId="48" fillId="59" borderId="1" xfId="0" applyFont="1" applyFill="1" applyBorder="1" applyAlignment="1">
      <alignment horizontal="center" vertical="center" wrapText="1"/>
    </xf>
    <xf numFmtId="0" fontId="49" fillId="59" borderId="1" xfId="0" applyFont="1" applyFill="1" applyBorder="1" applyAlignment="1">
      <alignment horizontal="center" vertical="center" wrapText="1"/>
    </xf>
    <xf numFmtId="0" fontId="48" fillId="60" borderId="1" xfId="0" applyFont="1" applyFill="1" applyBorder="1" applyAlignment="1">
      <alignment horizontal="center" vertical="center" wrapText="1"/>
    </xf>
    <xf numFmtId="0" fontId="50" fillId="59" borderId="1" xfId="0" applyFont="1" applyFill="1" applyBorder="1" applyAlignment="1">
      <alignment horizontal="center" vertical="center" wrapText="1"/>
    </xf>
    <xf numFmtId="0" fontId="48" fillId="59" borderId="14" xfId="0" applyFont="1" applyFill="1" applyBorder="1" applyAlignment="1">
      <alignment horizontal="center" vertical="center" wrapText="1"/>
    </xf>
    <xf numFmtId="0" fontId="48" fillId="63" borderId="15" xfId="0" applyFont="1" applyFill="1" applyBorder="1" applyAlignment="1">
      <alignment horizontal="center" vertical="center" wrapText="1"/>
    </xf>
    <xf numFmtId="0" fontId="48" fillId="59" borderId="5" xfId="0" applyFont="1" applyFill="1" applyBorder="1" applyAlignment="1">
      <alignment horizontal="center" vertical="center" wrapText="1"/>
    </xf>
    <xf numFmtId="0" fontId="48" fillId="66" borderId="1" xfId="0" applyFont="1" applyFill="1" applyBorder="1" applyAlignment="1">
      <alignment horizontal="center" vertical="center" wrapText="1"/>
    </xf>
    <xf numFmtId="0" fontId="48" fillId="66" borderId="14" xfId="0" applyFont="1" applyFill="1" applyBorder="1" applyAlignment="1">
      <alignment horizontal="center" vertical="center" wrapText="1"/>
    </xf>
    <xf numFmtId="0" fontId="48" fillId="63" borderId="1" xfId="0" applyFont="1" applyFill="1" applyBorder="1" applyAlignment="1">
      <alignment horizontal="center" vertical="center" wrapText="1"/>
    </xf>
    <xf numFmtId="0" fontId="48" fillId="59" borderId="15" xfId="0" applyFont="1" applyFill="1" applyBorder="1" applyAlignment="1">
      <alignment horizontal="center" vertical="center" wrapText="1"/>
    </xf>
    <xf numFmtId="0" fontId="0" fillId="67" borderId="0" xfId="0" applyFill="1"/>
    <xf numFmtId="0" fontId="64" fillId="72" borderId="35" xfId="0" applyFont="1" applyFill="1" applyBorder="1" applyAlignment="1">
      <alignment horizontal="center" vertical="center" wrapText="1"/>
    </xf>
    <xf numFmtId="0" fontId="39" fillId="0" borderId="13" xfId="0" applyFont="1" applyBorder="1" applyAlignment="1">
      <alignment horizontal="center" vertical="top" wrapText="1"/>
    </xf>
    <xf numFmtId="0" fontId="62" fillId="0" borderId="46" xfId="0" applyFont="1" applyBorder="1" applyAlignment="1">
      <alignment horizontal="center" vertical="center" wrapText="1"/>
    </xf>
    <xf numFmtId="0" fontId="64" fillId="72" borderId="46" xfId="0" applyFont="1" applyFill="1" applyBorder="1" applyAlignment="1">
      <alignment horizontal="center" vertical="center" wrapText="1"/>
    </xf>
    <xf numFmtId="0" fontId="39" fillId="0" borderId="75" xfId="0" applyFont="1" applyBorder="1" applyAlignment="1">
      <alignment horizontal="center" vertical="center" wrapText="1"/>
    </xf>
    <xf numFmtId="0" fontId="39" fillId="0" borderId="72" xfId="0" applyFont="1" applyBorder="1" applyAlignment="1">
      <alignment horizontal="center" vertical="center" wrapText="1"/>
    </xf>
    <xf numFmtId="0" fontId="39" fillId="72" borderId="76" xfId="0" applyFont="1" applyFill="1" applyBorder="1" applyAlignment="1">
      <alignment horizontal="center" vertical="center" wrapText="1"/>
    </xf>
    <xf numFmtId="0" fontId="0" fillId="44" borderId="0" xfId="0" applyFill="1"/>
    <xf numFmtId="0" fontId="92" fillId="36" borderId="1" xfId="0" applyFont="1" applyFill="1" applyBorder="1" applyAlignment="1">
      <alignment vertical="center"/>
    </xf>
    <xf numFmtId="0" fontId="92" fillId="0" borderId="1" xfId="0" applyFont="1" applyBorder="1" applyAlignment="1">
      <alignment horizontal="center" vertical="center" wrapText="1"/>
    </xf>
    <xf numFmtId="0" fontId="45" fillId="0" borderId="1" xfId="0" applyFont="1" applyBorder="1" applyAlignment="1">
      <alignment horizontal="center" vertical="center"/>
    </xf>
    <xf numFmtId="168" fontId="92" fillId="0" borderId="2" xfId="0" applyNumberFormat="1" applyFont="1" applyBorder="1" applyAlignment="1">
      <alignment horizontal="center" vertical="center"/>
    </xf>
    <xf numFmtId="0" fontId="92" fillId="0" borderId="9" xfId="0" applyFont="1" applyBorder="1" applyAlignment="1">
      <alignment horizontal="center" vertical="center"/>
    </xf>
    <xf numFmtId="9" fontId="92" fillId="0" borderId="17" xfId="0" applyNumberFormat="1" applyFont="1" applyBorder="1" applyAlignment="1">
      <alignment horizontal="center" vertical="center"/>
    </xf>
    <xf numFmtId="4" fontId="91" fillId="0" borderId="1" xfId="0" applyNumberFormat="1" applyFont="1" applyBorder="1" applyAlignment="1">
      <alignment horizontal="center" vertical="center"/>
    </xf>
    <xf numFmtId="0" fontId="18" fillId="38" borderId="1" xfId="0" applyFont="1" applyFill="1" applyBorder="1" applyAlignment="1">
      <alignment horizontal="center" vertical="center" wrapText="1"/>
    </xf>
    <xf numFmtId="4" fontId="91" fillId="5" borderId="1" xfId="0" applyNumberFormat="1" applyFont="1" applyFill="1" applyBorder="1" applyAlignment="1">
      <alignment horizontal="center" vertical="center"/>
    </xf>
    <xf numFmtId="0" fontId="92" fillId="5" borderId="1" xfId="0" applyFont="1" applyFill="1" applyBorder="1" applyAlignment="1">
      <alignment horizontal="center" vertical="center" wrapText="1"/>
    </xf>
    <xf numFmtId="0" fontId="92" fillId="5" borderId="1" xfId="0" applyFont="1" applyFill="1" applyBorder="1" applyAlignment="1">
      <alignment horizontal="center" vertical="center"/>
    </xf>
    <xf numFmtId="0" fontId="91" fillId="5" borderId="1" xfId="0" applyFont="1" applyFill="1" applyBorder="1" applyAlignment="1">
      <alignment horizontal="center" vertical="center"/>
    </xf>
    <xf numFmtId="9" fontId="91" fillId="5" borderId="14" xfId="0" applyNumberFormat="1" applyFont="1" applyFill="1" applyBorder="1" applyAlignment="1">
      <alignment horizontal="center" vertical="center"/>
    </xf>
    <xf numFmtId="9" fontId="91" fillId="5" borderId="5" xfId="0" applyNumberFormat="1" applyFont="1" applyFill="1" applyBorder="1" applyAlignment="1">
      <alignment horizontal="center" vertical="center"/>
    </xf>
    <xf numFmtId="9" fontId="91" fillId="5" borderId="18" xfId="0" applyNumberFormat="1" applyFont="1" applyFill="1" applyBorder="1" applyAlignment="1">
      <alignment horizontal="center" vertical="center"/>
    </xf>
    <xf numFmtId="0" fontId="92" fillId="36" borderId="1" xfId="0" applyFont="1" applyFill="1" applyBorder="1" applyAlignment="1">
      <alignment horizontal="center" vertical="center"/>
    </xf>
    <xf numFmtId="0" fontId="92" fillId="0" borderId="8" xfId="0" applyFont="1" applyBorder="1" applyAlignment="1">
      <alignment horizontal="center" vertical="center"/>
    </xf>
    <xf numFmtId="9" fontId="92" fillId="0" borderId="26" xfId="0" applyNumberFormat="1" applyFont="1" applyBorder="1" applyAlignment="1">
      <alignment horizontal="center" vertical="center"/>
    </xf>
    <xf numFmtId="9" fontId="92" fillId="0" borderId="23" xfId="0" applyNumberFormat="1" applyFont="1" applyBorder="1" applyAlignment="1">
      <alignment horizontal="center" vertical="center"/>
    </xf>
    <xf numFmtId="9" fontId="91" fillId="0" borderId="1" xfId="0" applyNumberFormat="1" applyFont="1" applyBorder="1" applyAlignment="1">
      <alignment horizontal="center" vertical="center"/>
    </xf>
    <xf numFmtId="168" fontId="91" fillId="0" borderId="2" xfId="0" applyNumberFormat="1" applyFont="1" applyBorder="1" applyAlignment="1">
      <alignment horizontal="center" vertical="center"/>
    </xf>
    <xf numFmtId="9" fontId="92" fillId="0" borderId="21" xfId="0" applyNumberFormat="1" applyFont="1" applyBorder="1" applyAlignment="1">
      <alignment horizontal="center" vertical="center"/>
    </xf>
    <xf numFmtId="9" fontId="92" fillId="14" borderId="14" xfId="0" applyNumberFormat="1" applyFont="1" applyFill="1" applyBorder="1" applyAlignment="1">
      <alignment horizontal="center" vertical="center"/>
    </xf>
    <xf numFmtId="9" fontId="92" fillId="0" borderId="1" xfId="2" applyFont="1" applyBorder="1" applyAlignment="1">
      <alignment horizontal="center" vertical="center"/>
    </xf>
    <xf numFmtId="0" fontId="92" fillId="0" borderId="16" xfId="0" applyFont="1" applyBorder="1" applyAlignment="1">
      <alignment horizontal="center" vertical="center"/>
    </xf>
    <xf numFmtId="0" fontId="92" fillId="0" borderId="20" xfId="0" applyFont="1" applyBorder="1" applyAlignment="1">
      <alignment horizontal="center" vertical="center"/>
    </xf>
    <xf numFmtId="0" fontId="92" fillId="36" borderId="6" xfId="0" applyFont="1" applyFill="1" applyBorder="1" applyAlignment="1">
      <alignment horizontal="center" vertical="center"/>
    </xf>
    <xf numFmtId="178" fontId="91" fillId="0" borderId="1" xfId="0" applyNumberFormat="1" applyFont="1" applyBorder="1" applyAlignment="1">
      <alignment horizontal="center" vertical="center"/>
    </xf>
    <xf numFmtId="178" fontId="92" fillId="0" borderId="1" xfId="0" applyNumberFormat="1" applyFont="1" applyBorder="1" applyAlignment="1">
      <alignment horizontal="center" vertical="center"/>
    </xf>
    <xf numFmtId="9" fontId="92" fillId="0" borderId="20" xfId="0" applyNumberFormat="1" applyFont="1" applyBorder="1" applyAlignment="1">
      <alignment horizontal="center" vertical="center"/>
    </xf>
    <xf numFmtId="10" fontId="92" fillId="44" borderId="1" xfId="0" applyNumberFormat="1" applyFont="1" applyFill="1" applyBorder="1" applyAlignment="1">
      <alignment horizontal="center" vertical="center"/>
    </xf>
    <xf numFmtId="172" fontId="92" fillId="0" borderId="1" xfId="0" applyNumberFormat="1" applyFont="1" applyBorder="1" applyAlignment="1">
      <alignment horizontal="center" vertical="center"/>
    </xf>
    <xf numFmtId="169" fontId="92" fillId="0" borderId="1" xfId="0" applyNumberFormat="1" applyFont="1" applyBorder="1" applyAlignment="1">
      <alignment horizontal="center" vertical="center"/>
    </xf>
    <xf numFmtId="0" fontId="16" fillId="37" borderId="1" xfId="0" applyFont="1" applyFill="1" applyBorder="1" applyAlignment="1">
      <alignment horizontal="center" vertical="center"/>
    </xf>
    <xf numFmtId="9" fontId="16" fillId="37" borderId="1" xfId="0" applyNumberFormat="1" applyFont="1" applyFill="1" applyBorder="1" applyAlignment="1">
      <alignment horizontal="center" vertical="center"/>
    </xf>
    <xf numFmtId="168" fontId="92" fillId="0" borderId="1" xfId="0" applyNumberFormat="1" applyFont="1" applyBorder="1" applyAlignment="1">
      <alignment horizontal="center" vertical="center"/>
    </xf>
    <xf numFmtId="0" fontId="74" fillId="0" borderId="1" xfId="0" applyFont="1" applyBorder="1" applyAlignment="1">
      <alignment horizontal="center" vertical="center"/>
    </xf>
    <xf numFmtId="168" fontId="54" fillId="0" borderId="0" xfId="0" applyNumberFormat="1" applyFont="1"/>
    <xf numFmtId="0" fontId="18" fillId="36" borderId="1" xfId="0" applyFont="1" applyFill="1" applyBorder="1" applyAlignment="1">
      <alignment horizontal="center" vertical="center" wrapText="1"/>
    </xf>
    <xf numFmtId="168" fontId="3" fillId="0" borderId="0" xfId="2" applyNumberFormat="1" applyFont="1" applyAlignment="1"/>
    <xf numFmtId="10" fontId="80" fillId="5" borderId="18" xfId="0" applyNumberFormat="1" applyFont="1" applyFill="1" applyBorder="1" applyAlignment="1">
      <alignment horizontal="center" vertical="center"/>
    </xf>
    <xf numFmtId="9" fontId="16" fillId="0" borderId="14" xfId="0" applyNumberFormat="1" applyFont="1" applyBorder="1" applyAlignment="1">
      <alignment horizontal="center" vertical="center"/>
    </xf>
    <xf numFmtId="0" fontId="16" fillId="44" borderId="1" xfId="0" applyFont="1" applyFill="1" applyBorder="1" applyAlignment="1">
      <alignment horizontal="center" vertical="center"/>
    </xf>
    <xf numFmtId="9" fontId="92" fillId="36" borderId="1" xfId="0" applyNumberFormat="1" applyFont="1" applyFill="1" applyBorder="1" applyAlignment="1">
      <alignment horizontal="center" vertical="center"/>
    </xf>
    <xf numFmtId="0" fontId="75" fillId="0" borderId="1" xfId="0" applyFont="1" applyBorder="1" applyAlignment="1">
      <alignment horizontal="center" vertical="center" wrapText="1"/>
    </xf>
    <xf numFmtId="9" fontId="16" fillId="44" borderId="1" xfId="0" applyNumberFormat="1" applyFont="1" applyFill="1" applyBorder="1" applyAlignment="1">
      <alignment horizontal="center" vertical="center"/>
    </xf>
    <xf numFmtId="10" fontId="16" fillId="44" borderId="1" xfId="0" applyNumberFormat="1" applyFont="1" applyFill="1" applyBorder="1" applyAlignment="1">
      <alignment horizontal="center" vertical="center"/>
    </xf>
    <xf numFmtId="0" fontId="87" fillId="52" borderId="54" xfId="0" applyFont="1" applyFill="1" applyBorder="1" applyAlignment="1">
      <alignment horizontal="center" vertical="center" wrapText="1"/>
    </xf>
    <xf numFmtId="0" fontId="117" fillId="10" borderId="11" xfId="0" applyFont="1" applyFill="1" applyBorder="1" applyAlignment="1">
      <alignment horizontal="left" vertical="center" wrapText="1"/>
    </xf>
    <xf numFmtId="0" fontId="117" fillId="10" borderId="1" xfId="0" applyFont="1" applyFill="1" applyBorder="1" applyAlignment="1">
      <alignment horizontal="left" vertical="center" wrapText="1"/>
    </xf>
    <xf numFmtId="0" fontId="118" fillId="5" borderId="1" xfId="0" applyFont="1" applyFill="1" applyBorder="1" applyAlignment="1">
      <alignment horizontal="center" vertical="center" wrapText="1"/>
    </xf>
    <xf numFmtId="0" fontId="117" fillId="5" borderId="1" xfId="0" applyFont="1" applyFill="1" applyBorder="1" applyAlignment="1">
      <alignment horizontal="center" vertical="center" wrapText="1"/>
    </xf>
    <xf numFmtId="0" fontId="117" fillId="10" borderId="1" xfId="0" applyFont="1" applyFill="1" applyBorder="1" applyAlignment="1">
      <alignment vertical="center" wrapText="1"/>
    </xf>
    <xf numFmtId="0" fontId="117" fillId="13" borderId="1" xfId="0" applyFont="1" applyFill="1" applyBorder="1" applyAlignment="1">
      <alignment horizontal="center" vertical="center" wrapText="1"/>
    </xf>
    <xf numFmtId="0" fontId="120" fillId="5" borderId="1" xfId="0" applyFont="1" applyFill="1" applyBorder="1" applyAlignment="1">
      <alignment horizontal="center" vertical="center" wrapText="1"/>
    </xf>
    <xf numFmtId="0" fontId="117" fillId="10" borderId="1" xfId="0" applyFont="1" applyFill="1" applyBorder="1" applyAlignment="1">
      <alignment horizontal="center" vertical="center" wrapText="1"/>
    </xf>
    <xf numFmtId="0" fontId="117" fillId="5" borderId="1" xfId="0" applyFont="1" applyFill="1" applyBorder="1" applyAlignment="1">
      <alignment horizontal="left" vertical="center" wrapText="1"/>
    </xf>
    <xf numFmtId="0" fontId="117" fillId="10" borderId="1" xfId="0" applyFont="1" applyFill="1" applyBorder="1" applyAlignment="1">
      <alignment horizontal="left" vertical="top" wrapText="1"/>
    </xf>
    <xf numFmtId="0" fontId="119" fillId="10" borderId="1" xfId="0" applyFont="1" applyFill="1" applyBorder="1" applyAlignment="1">
      <alignment horizontal="left" vertical="top" wrapText="1"/>
    </xf>
    <xf numFmtId="0" fontId="121" fillId="5" borderId="1" xfId="0" applyFont="1" applyFill="1" applyBorder="1" applyAlignment="1">
      <alignment horizontal="left" vertical="center"/>
    </xf>
    <xf numFmtId="0" fontId="121" fillId="13" borderId="1" xfId="0" applyFont="1" applyFill="1" applyBorder="1" applyAlignment="1">
      <alignment horizontal="left" vertical="center"/>
    </xf>
    <xf numFmtId="0" fontId="121" fillId="16" borderId="1" xfId="0" applyFont="1" applyFill="1" applyBorder="1" applyAlignment="1">
      <alignment horizontal="left" vertical="center"/>
    </xf>
    <xf numFmtId="0" fontId="121" fillId="0" borderId="0" xfId="0" applyFont="1" applyAlignment="1">
      <alignment horizontal="left" vertical="center"/>
    </xf>
    <xf numFmtId="0" fontId="122" fillId="0" borderId="0" xfId="0" applyFont="1"/>
    <xf numFmtId="0" fontId="25" fillId="0" borderId="1" xfId="0" applyFont="1" applyBorder="1" applyAlignment="1">
      <alignment horizontal="center" vertical="center" wrapText="1"/>
    </xf>
    <xf numFmtId="0" fontId="74" fillId="0" borderId="2" xfId="0" applyFont="1" applyBorder="1" applyAlignment="1">
      <alignment horizontal="center" vertical="center"/>
    </xf>
    <xf numFmtId="9" fontId="29" fillId="5" borderId="1" xfId="2" applyFont="1" applyFill="1" applyBorder="1" applyAlignment="1">
      <alignment horizontal="center"/>
    </xf>
    <xf numFmtId="10" fontId="91" fillId="5" borderId="1" xfId="0" applyNumberFormat="1" applyFont="1" applyFill="1" applyBorder="1" applyAlignment="1">
      <alignment horizontal="center"/>
    </xf>
    <xf numFmtId="0" fontId="16" fillId="44" borderId="1" xfId="0" applyFont="1" applyFill="1" applyBorder="1" applyAlignment="1">
      <alignment horizontal="center" vertical="center" wrapText="1"/>
    </xf>
    <xf numFmtId="0" fontId="18" fillId="44" borderId="1" xfId="0" applyFont="1" applyFill="1" applyBorder="1" applyAlignment="1">
      <alignment horizontal="center" vertical="center"/>
    </xf>
    <xf numFmtId="0" fontId="18" fillId="44" borderId="1" xfId="0" applyFont="1" applyFill="1" applyBorder="1" applyAlignment="1">
      <alignment horizontal="center" vertical="center" wrapText="1"/>
    </xf>
    <xf numFmtId="0" fontId="18" fillId="0" borderId="1" xfId="0" applyFont="1" applyBorder="1" applyAlignment="1">
      <alignment vertical="center" wrapText="1"/>
    </xf>
    <xf numFmtId="188" fontId="18" fillId="0" borderId="1" xfId="4" applyNumberFormat="1" applyFont="1" applyBorder="1" applyAlignment="1">
      <alignment horizontal="center" vertical="center"/>
    </xf>
    <xf numFmtId="9" fontId="18" fillId="44" borderId="1" xfId="0" applyNumberFormat="1" applyFont="1" applyFill="1" applyBorder="1" applyAlignment="1">
      <alignment horizontal="center" vertical="center"/>
    </xf>
    <xf numFmtId="0" fontId="123" fillId="59" borderId="54" xfId="0" applyFont="1" applyFill="1" applyBorder="1" applyAlignment="1">
      <alignment horizontal="center" vertical="center" wrapText="1"/>
    </xf>
    <xf numFmtId="0" fontId="105" fillId="19" borderId="11" xfId="0" applyFont="1" applyFill="1" applyBorder="1" applyAlignment="1">
      <alignment horizontal="left" vertical="center" wrapText="1"/>
    </xf>
    <xf numFmtId="0" fontId="105" fillId="21" borderId="1" xfId="0" applyFont="1" applyFill="1" applyBorder="1" applyAlignment="1">
      <alignment horizontal="left" vertical="center" wrapText="1"/>
    </xf>
    <xf numFmtId="0" fontId="105" fillId="21" borderId="1" xfId="0" applyFont="1" applyFill="1" applyBorder="1" applyAlignment="1">
      <alignment horizontal="center" vertical="center" wrapText="1"/>
    </xf>
    <xf numFmtId="0" fontId="105" fillId="5" borderId="1" xfId="0" applyFont="1" applyFill="1" applyBorder="1" applyAlignment="1">
      <alignment horizontal="center" vertical="center" wrapText="1"/>
    </xf>
    <xf numFmtId="0" fontId="105" fillId="19" borderId="1" xfId="0" applyFont="1" applyFill="1" applyBorder="1" applyAlignment="1">
      <alignment vertical="center" wrapText="1"/>
    </xf>
    <xf numFmtId="0" fontId="105" fillId="21" borderId="1" xfId="0" applyFont="1" applyFill="1" applyBorder="1" applyAlignment="1">
      <alignment vertical="center" wrapText="1"/>
    </xf>
    <xf numFmtId="0" fontId="124" fillId="19" borderId="1" xfId="0" applyFont="1" applyFill="1" applyBorder="1" applyAlignment="1">
      <alignment vertical="center" wrapText="1"/>
    </xf>
    <xf numFmtId="0" fontId="124" fillId="21" borderId="1" xfId="0" applyFont="1" applyFill="1" applyBorder="1" applyAlignment="1">
      <alignment horizontal="center" vertical="center" wrapText="1"/>
    </xf>
    <xf numFmtId="0" fontId="105" fillId="19" borderId="1" xfId="0" applyFont="1" applyFill="1" applyBorder="1" applyAlignment="1">
      <alignment horizontal="center" vertical="center" wrapText="1"/>
    </xf>
    <xf numFmtId="0" fontId="105" fillId="13" borderId="1" xfId="0" applyFont="1" applyFill="1" applyBorder="1" applyAlignment="1">
      <alignment horizontal="center" vertical="center" wrapText="1"/>
    </xf>
    <xf numFmtId="0" fontId="124" fillId="19" borderId="1" xfId="0" applyFont="1" applyFill="1" applyBorder="1" applyAlignment="1">
      <alignment horizontal="left" vertical="center" wrapText="1"/>
    </xf>
    <xf numFmtId="3" fontId="105" fillId="19" borderId="1" xfId="0" applyNumberFormat="1" applyFont="1" applyFill="1" applyBorder="1" applyAlignment="1">
      <alignment horizontal="left" vertical="center" wrapText="1"/>
    </xf>
    <xf numFmtId="3" fontId="105" fillId="5" borderId="1" xfId="0" applyNumberFormat="1" applyFont="1" applyFill="1" applyBorder="1" applyAlignment="1">
      <alignment horizontal="center" vertical="center" wrapText="1"/>
    </xf>
    <xf numFmtId="0" fontId="105" fillId="5" borderId="1" xfId="0" applyFont="1" applyFill="1" applyBorder="1" applyAlignment="1">
      <alignment horizontal="left" vertical="center" wrapText="1"/>
    </xf>
    <xf numFmtId="0" fontId="105" fillId="50" borderId="1" xfId="0" applyFont="1" applyFill="1" applyBorder="1" applyAlignment="1">
      <alignment horizontal="left" vertical="center" wrapText="1"/>
    </xf>
    <xf numFmtId="0" fontId="75" fillId="13" borderId="1" xfId="0" applyFont="1" applyFill="1" applyBorder="1"/>
    <xf numFmtId="0" fontId="75" fillId="0" borderId="1" xfId="0" applyFont="1" applyBorder="1"/>
    <xf numFmtId="0" fontId="75" fillId="16" borderId="1" xfId="0" applyFont="1" applyFill="1" applyBorder="1"/>
    <xf numFmtId="0" fontId="75" fillId="0" borderId="0" xfId="0" applyFont="1"/>
    <xf numFmtId="0" fontId="125" fillId="0" borderId="0" xfId="0" applyFont="1"/>
    <xf numFmtId="168" fontId="29" fillId="13" borderId="1" xfId="0" applyNumberFormat="1" applyFont="1" applyFill="1" applyBorder="1"/>
    <xf numFmtId="0" fontId="74" fillId="0" borderId="9" xfId="0" applyFont="1" applyBorder="1" applyAlignment="1">
      <alignment horizontal="center" vertical="center"/>
    </xf>
    <xf numFmtId="0" fontId="80" fillId="0" borderId="1" xfId="0" applyFont="1" applyBorder="1" applyAlignment="1">
      <alignment horizontal="center" vertical="center"/>
    </xf>
    <xf numFmtId="43" fontId="16" fillId="0" borderId="1" xfId="4" applyFont="1" applyBorder="1" applyAlignment="1">
      <alignment horizontal="center" vertical="center"/>
    </xf>
    <xf numFmtId="0" fontId="16" fillId="46" borderId="1" xfId="0" applyFont="1" applyFill="1" applyBorder="1" applyAlignment="1">
      <alignment horizontal="center" vertical="center" wrapText="1"/>
    </xf>
    <xf numFmtId="9" fontId="16" fillId="44" borderId="2" xfId="0" applyNumberFormat="1" applyFont="1" applyFill="1" applyBorder="1" applyAlignment="1">
      <alignment horizontal="center" vertical="center"/>
    </xf>
    <xf numFmtId="0" fontId="127" fillId="46" borderId="1" xfId="0" applyFont="1" applyFill="1" applyBorder="1" applyAlignment="1">
      <alignment horizontal="center" vertical="center"/>
    </xf>
    <xf numFmtId="168" fontId="127" fillId="46" borderId="1" xfId="0" applyNumberFormat="1" applyFont="1" applyFill="1" applyBorder="1" applyAlignment="1">
      <alignment horizontal="center" vertical="center"/>
    </xf>
    <xf numFmtId="168" fontId="16" fillId="46" borderId="1" xfId="0" applyNumberFormat="1" applyFont="1" applyFill="1" applyBorder="1" applyAlignment="1">
      <alignment horizontal="center" vertical="center"/>
    </xf>
    <xf numFmtId="9" fontId="16" fillId="46" borderId="2" xfId="0" applyNumberFormat="1" applyFont="1" applyFill="1" applyBorder="1" applyAlignment="1">
      <alignment horizontal="center" vertical="center" wrapText="1"/>
    </xf>
    <xf numFmtId="9" fontId="127" fillId="46" borderId="1" xfId="0" applyNumberFormat="1" applyFont="1" applyFill="1" applyBorder="1" applyAlignment="1">
      <alignment horizontal="center" vertical="center"/>
    </xf>
    <xf numFmtId="0" fontId="79" fillId="0" borderId="0" xfId="0" applyFont="1" applyAlignment="1">
      <alignment horizontal="center" vertical="center"/>
    </xf>
    <xf numFmtId="186" fontId="79" fillId="0" borderId="1" xfId="4" applyNumberFormat="1" applyFont="1" applyBorder="1" applyAlignment="1">
      <alignment horizontal="center" vertical="center"/>
    </xf>
    <xf numFmtId="0" fontId="45" fillId="44" borderId="1" xfId="0" applyFont="1" applyFill="1" applyBorder="1" applyAlignment="1">
      <alignment horizontal="center" vertical="center" wrapText="1"/>
    </xf>
    <xf numFmtId="0" fontId="79" fillId="44" borderId="1" xfId="0" applyFont="1" applyFill="1" applyBorder="1" applyAlignment="1">
      <alignment horizontal="center" vertical="center"/>
    </xf>
    <xf numFmtId="43" fontId="16" fillId="0" borderId="1" xfId="0" applyNumberFormat="1" applyFont="1" applyBorder="1" applyAlignment="1">
      <alignment horizontal="center" vertical="center"/>
    </xf>
    <xf numFmtId="10" fontId="2" fillId="0" borderId="0" xfId="2" applyNumberFormat="1" applyFont="1" applyAlignment="1"/>
    <xf numFmtId="0" fontId="39" fillId="0" borderId="80" xfId="0" applyFont="1" applyBorder="1" applyAlignment="1">
      <alignment horizontal="center" vertical="top" wrapText="1"/>
    </xf>
    <xf numFmtId="0" fontId="62" fillId="0" borderId="81" xfId="0" applyFont="1" applyBorder="1" applyAlignment="1">
      <alignment vertical="center" wrapText="1"/>
    </xf>
    <xf numFmtId="0" fontId="62" fillId="0" borderId="82" xfId="0" applyFont="1" applyBorder="1" applyAlignment="1">
      <alignment vertical="center" wrapText="1"/>
    </xf>
    <xf numFmtId="0" fontId="98" fillId="0" borderId="83" xfId="0" applyFont="1" applyBorder="1" applyAlignment="1">
      <alignment horizontal="center" vertical="center" wrapText="1"/>
    </xf>
    <xf numFmtId="0" fontId="62" fillId="0" borderId="84" xfId="0" applyFont="1" applyBorder="1" applyAlignment="1">
      <alignment vertical="center" wrapText="1"/>
    </xf>
    <xf numFmtId="0" fontId="62" fillId="8" borderId="85" xfId="0" applyFont="1" applyFill="1" applyBorder="1" applyAlignment="1">
      <alignment vertical="center" wrapText="1"/>
    </xf>
    <xf numFmtId="0" fontId="126" fillId="36" borderId="54" xfId="0" applyFont="1" applyFill="1" applyBorder="1" applyAlignment="1">
      <alignment horizontal="center" vertical="center"/>
    </xf>
    <xf numFmtId="10" fontId="39" fillId="13" borderId="54" xfId="0" applyNumberFormat="1" applyFont="1" applyFill="1" applyBorder="1" applyAlignment="1">
      <alignment horizontal="center" vertical="center"/>
    </xf>
    <xf numFmtId="10" fontId="125" fillId="0" borderId="0" xfId="0" applyNumberFormat="1" applyFont="1"/>
    <xf numFmtId="168" fontId="0" fillId="0" borderId="54" xfId="2" applyNumberFormat="1" applyFont="1" applyBorder="1" applyAlignment="1">
      <alignment horizontal="center" vertical="center"/>
    </xf>
    <xf numFmtId="0" fontId="126" fillId="36" borderId="54" xfId="0" applyFont="1" applyFill="1" applyBorder="1" applyAlignment="1">
      <alignment horizontal="center" vertical="center" wrapText="1"/>
    </xf>
    <xf numFmtId="0" fontId="39" fillId="0" borderId="54" xfId="0" applyFont="1" applyBorder="1" applyAlignment="1">
      <alignment wrapText="1"/>
    </xf>
    <xf numFmtId="0" fontId="129" fillId="6" borderId="79" xfId="0" applyFont="1" applyFill="1" applyBorder="1" applyAlignment="1">
      <alignment horizontal="center" vertical="center" wrapText="1"/>
    </xf>
    <xf numFmtId="0" fontId="128" fillId="0" borderId="87" xfId="0" applyFont="1" applyBorder="1" applyAlignment="1">
      <alignment wrapText="1"/>
    </xf>
    <xf numFmtId="0" fontId="130" fillId="0" borderId="87" xfId="0" applyFont="1" applyBorder="1" applyAlignment="1">
      <alignment wrapText="1"/>
    </xf>
    <xf numFmtId="0" fontId="130" fillId="0" borderId="87" xfId="0" applyFont="1" applyBorder="1" applyAlignment="1">
      <alignment horizontal="left"/>
    </xf>
    <xf numFmtId="0" fontId="130" fillId="0" borderId="87" xfId="0" applyFont="1" applyBorder="1" applyAlignment="1">
      <alignment horizontal="left" wrapText="1"/>
    </xf>
    <xf numFmtId="0" fontId="130" fillId="0" borderId="87" xfId="0" applyFont="1" applyBorder="1"/>
    <xf numFmtId="0" fontId="128" fillId="0" borderId="87" xfId="0" applyFont="1" applyBorder="1"/>
    <xf numFmtId="0" fontId="130" fillId="0" borderId="87" xfId="0" applyFont="1" applyBorder="1" applyAlignment="1">
      <alignment horizontal="center" vertical="center" wrapText="1"/>
    </xf>
    <xf numFmtId="0" fontId="130" fillId="0" borderId="87" xfId="0" applyFont="1" applyBorder="1" applyAlignment="1">
      <alignment horizontal="left" vertical="center" wrapText="1"/>
    </xf>
    <xf numFmtId="0" fontId="130" fillId="0" borderId="92" xfId="0" applyFont="1" applyBorder="1" applyAlignment="1">
      <alignment horizontal="left" vertical="center" wrapText="1"/>
    </xf>
    <xf numFmtId="168" fontId="128" fillId="0" borderId="58" xfId="0" applyNumberFormat="1" applyFont="1" applyBorder="1" applyAlignment="1">
      <alignment horizontal="center"/>
    </xf>
    <xf numFmtId="168" fontId="132" fillId="14" borderId="58" xfId="0" applyNumberFormat="1" applyFont="1" applyFill="1" applyBorder="1" applyAlignment="1">
      <alignment horizontal="center" vertical="center"/>
    </xf>
    <xf numFmtId="168" fontId="128" fillId="0" borderId="58" xfId="0" applyNumberFormat="1" applyFont="1" applyBorder="1" applyAlignment="1">
      <alignment horizontal="center" vertical="center"/>
    </xf>
    <xf numFmtId="0" fontId="130" fillId="22" borderId="87" xfId="0" applyFont="1" applyFill="1" applyBorder="1" applyAlignment="1">
      <alignment horizontal="left" vertical="center" wrapText="1"/>
    </xf>
    <xf numFmtId="9" fontId="128" fillId="0" borderId="58" xfId="0" applyNumberFormat="1" applyFont="1" applyBorder="1" applyAlignment="1">
      <alignment horizontal="center"/>
    </xf>
    <xf numFmtId="9" fontId="128" fillId="0" borderId="58" xfId="0" applyNumberFormat="1" applyFont="1" applyBorder="1" applyAlignment="1">
      <alignment horizontal="center" vertical="center"/>
    </xf>
    <xf numFmtId="10" fontId="8" fillId="0" borderId="58" xfId="0" applyNumberFormat="1" applyFont="1" applyBorder="1" applyAlignment="1">
      <alignment horizontal="center"/>
    </xf>
    <xf numFmtId="9" fontId="8" fillId="0" borderId="58" xfId="0" applyNumberFormat="1" applyFont="1" applyBorder="1" applyAlignment="1">
      <alignment horizontal="center" vertical="center"/>
    </xf>
    <xf numFmtId="0" fontId="129" fillId="71" borderId="55" xfId="0" applyFont="1" applyFill="1" applyBorder="1" applyAlignment="1">
      <alignment horizontal="center" vertical="center" wrapText="1"/>
    </xf>
    <xf numFmtId="0" fontId="11" fillId="0" borderId="0" xfId="0" applyFont="1"/>
    <xf numFmtId="10" fontId="125" fillId="0" borderId="0" xfId="2" applyNumberFormat="1" applyFont="1" applyAlignment="1"/>
    <xf numFmtId="168" fontId="134" fillId="17" borderId="56" xfId="0" applyNumberFormat="1" applyFont="1" applyFill="1" applyBorder="1" applyAlignment="1">
      <alignment horizontal="center" vertical="center" wrapText="1"/>
    </xf>
    <xf numFmtId="168" fontId="132" fillId="39" borderId="57" xfId="0" applyNumberFormat="1" applyFont="1" applyFill="1" applyBorder="1" applyAlignment="1">
      <alignment horizontal="center" vertical="center"/>
    </xf>
    <xf numFmtId="10" fontId="132" fillId="21" borderId="58" xfId="0" applyNumberFormat="1" applyFont="1" applyFill="1" applyBorder="1" applyAlignment="1">
      <alignment horizontal="center"/>
    </xf>
    <xf numFmtId="168" fontId="132" fillId="21" borderId="58" xfId="0" applyNumberFormat="1" applyFont="1" applyFill="1" applyBorder="1" applyAlignment="1">
      <alignment horizontal="center" vertical="center"/>
    </xf>
    <xf numFmtId="168" fontId="128" fillId="14" borderId="58" xfId="0" applyNumberFormat="1" applyFont="1" applyFill="1" applyBorder="1" applyAlignment="1">
      <alignment horizontal="center" vertical="center"/>
    </xf>
    <xf numFmtId="168" fontId="132" fillId="21" borderId="58" xfId="0" applyNumberFormat="1" applyFont="1" applyFill="1" applyBorder="1" applyAlignment="1">
      <alignment horizontal="center"/>
    </xf>
    <xf numFmtId="9" fontId="132" fillId="5" borderId="58" xfId="0" applyNumberFormat="1" applyFont="1" applyFill="1" applyBorder="1" applyAlignment="1">
      <alignment horizontal="center" vertical="center"/>
    </xf>
    <xf numFmtId="9" fontId="132" fillId="21" borderId="58" xfId="0" applyNumberFormat="1" applyFont="1" applyFill="1" applyBorder="1" applyAlignment="1">
      <alignment horizontal="center" vertical="center"/>
    </xf>
    <xf numFmtId="10" fontId="134" fillId="17" borderId="58" xfId="0" applyNumberFormat="1" applyFont="1" applyFill="1" applyBorder="1" applyAlignment="1">
      <alignment horizontal="center" vertical="center" wrapText="1"/>
    </xf>
    <xf numFmtId="168" fontId="128" fillId="5" borderId="58" xfId="0" applyNumberFormat="1" applyFont="1" applyFill="1" applyBorder="1" applyAlignment="1">
      <alignment horizontal="center" vertical="center"/>
    </xf>
    <xf numFmtId="168" fontId="132" fillId="5" borderId="58" xfId="0" applyNumberFormat="1" applyFont="1" applyFill="1" applyBorder="1" applyAlignment="1">
      <alignment horizontal="center" vertical="center"/>
    </xf>
    <xf numFmtId="10" fontId="128" fillId="0" borderId="58" xfId="0" applyNumberFormat="1" applyFont="1" applyBorder="1" applyAlignment="1">
      <alignment horizontal="center"/>
    </xf>
    <xf numFmtId="10" fontId="132" fillId="5" borderId="58" xfId="0" applyNumberFormat="1" applyFont="1" applyFill="1" applyBorder="1" applyAlignment="1">
      <alignment horizontal="center"/>
    </xf>
    <xf numFmtId="168" fontId="132" fillId="5" borderId="58" xfId="0" applyNumberFormat="1" applyFont="1" applyFill="1" applyBorder="1" applyAlignment="1">
      <alignment horizontal="center"/>
    </xf>
    <xf numFmtId="9" fontId="132" fillId="5" borderId="58" xfId="0" applyNumberFormat="1" applyFont="1" applyFill="1" applyBorder="1" applyAlignment="1">
      <alignment horizontal="center"/>
    </xf>
    <xf numFmtId="168" fontId="132" fillId="14" borderId="59" xfId="0" applyNumberFormat="1" applyFont="1" applyFill="1" applyBorder="1" applyAlignment="1">
      <alignment horizontal="center"/>
    </xf>
    <xf numFmtId="10" fontId="133" fillId="13" borderId="55" xfId="0" applyNumberFormat="1" applyFont="1" applyFill="1" applyBorder="1" applyAlignment="1">
      <alignment horizontal="center" vertical="center"/>
    </xf>
    <xf numFmtId="10" fontId="134" fillId="17" borderId="55" xfId="0" applyNumberFormat="1" applyFont="1" applyFill="1" applyBorder="1" applyAlignment="1">
      <alignment horizontal="center" vertical="center"/>
    </xf>
    <xf numFmtId="10" fontId="80" fillId="13" borderId="14" xfId="0" applyNumberFormat="1" applyFont="1" applyFill="1" applyBorder="1" applyAlignment="1">
      <alignment horizontal="center" vertical="center"/>
    </xf>
    <xf numFmtId="168" fontId="91" fillId="13" borderId="1" xfId="2" applyNumberFormat="1" applyFont="1" applyFill="1" applyBorder="1" applyAlignment="1">
      <alignment vertical="center"/>
    </xf>
    <xf numFmtId="168" fontId="10" fillId="39" borderId="51" xfId="0" applyNumberFormat="1" applyFont="1" applyFill="1" applyBorder="1" applyAlignment="1">
      <alignment horizontal="center" vertical="center"/>
    </xf>
    <xf numFmtId="168" fontId="10" fillId="0" borderId="51" xfId="0" applyNumberFormat="1" applyFont="1" applyBorder="1" applyAlignment="1">
      <alignment horizontal="center" vertical="center"/>
    </xf>
    <xf numFmtId="10" fontId="10" fillId="21" borderId="52" xfId="0" applyNumberFormat="1" applyFont="1" applyFill="1" applyBorder="1" applyAlignment="1">
      <alignment horizontal="center"/>
    </xf>
    <xf numFmtId="168" fontId="8" fillId="0" borderId="52" xfId="0" applyNumberFormat="1" applyFont="1" applyBorder="1" applyAlignment="1">
      <alignment horizontal="center"/>
    </xf>
    <xf numFmtId="168" fontId="10" fillId="21" borderId="52" xfId="0" applyNumberFormat="1" applyFont="1" applyFill="1" applyBorder="1" applyAlignment="1">
      <alignment horizontal="center" vertical="center"/>
    </xf>
    <xf numFmtId="168" fontId="8" fillId="14" borderId="52" xfId="0" applyNumberFormat="1" applyFont="1" applyFill="1" applyBorder="1" applyAlignment="1">
      <alignment horizontal="center" vertical="center"/>
    </xf>
    <xf numFmtId="168" fontId="10" fillId="14" borderId="52" xfId="0" applyNumberFormat="1" applyFont="1" applyFill="1" applyBorder="1" applyAlignment="1">
      <alignment horizontal="center" vertical="center"/>
    </xf>
    <xf numFmtId="168" fontId="8" fillId="0" borderId="52" xfId="0" applyNumberFormat="1" applyFont="1" applyBorder="1" applyAlignment="1">
      <alignment horizontal="center" vertical="center"/>
    </xf>
    <xf numFmtId="168" fontId="10" fillId="21" borderId="52" xfId="0" applyNumberFormat="1" applyFont="1" applyFill="1" applyBorder="1" applyAlignment="1">
      <alignment horizontal="center"/>
    </xf>
    <xf numFmtId="9" fontId="10" fillId="5" borderId="52" xfId="0" applyNumberFormat="1" applyFont="1" applyFill="1" applyBorder="1" applyAlignment="1">
      <alignment horizontal="center" vertical="center"/>
    </xf>
    <xf numFmtId="9" fontId="8" fillId="0" borderId="52" xfId="0" applyNumberFormat="1" applyFont="1" applyBorder="1" applyAlignment="1">
      <alignment horizontal="center"/>
    </xf>
    <xf numFmtId="9" fontId="10" fillId="21" borderId="52" xfId="0" applyNumberFormat="1" applyFont="1" applyFill="1" applyBorder="1" applyAlignment="1">
      <alignment horizontal="center" vertical="center"/>
    </xf>
    <xf numFmtId="10" fontId="61" fillId="17" borderId="52" xfId="0" applyNumberFormat="1" applyFont="1" applyFill="1" applyBorder="1" applyAlignment="1">
      <alignment horizontal="center" vertical="center" wrapText="1"/>
    </xf>
    <xf numFmtId="168" fontId="8" fillId="5" borderId="52" xfId="0" applyNumberFormat="1" applyFont="1" applyFill="1" applyBorder="1" applyAlignment="1">
      <alignment horizontal="center" vertical="center"/>
    </xf>
    <xf numFmtId="168" fontId="10" fillId="5" borderId="52" xfId="0" applyNumberFormat="1" applyFont="1" applyFill="1" applyBorder="1" applyAlignment="1">
      <alignment horizontal="center" vertical="center"/>
    </xf>
    <xf numFmtId="10" fontId="8" fillId="0" borderId="52" xfId="0" applyNumberFormat="1" applyFont="1" applyBorder="1" applyAlignment="1">
      <alignment horizontal="center"/>
    </xf>
    <xf numFmtId="10" fontId="10" fillId="5" borderId="52" xfId="0" applyNumberFormat="1" applyFont="1" applyFill="1" applyBorder="1" applyAlignment="1">
      <alignment horizontal="center"/>
    </xf>
    <xf numFmtId="9" fontId="8" fillId="0" borderId="52" xfId="0" applyNumberFormat="1" applyFont="1" applyBorder="1" applyAlignment="1">
      <alignment horizontal="center" vertical="center"/>
    </xf>
    <xf numFmtId="168" fontId="10" fillId="5" borderId="52" xfId="0" applyNumberFormat="1" applyFont="1" applyFill="1" applyBorder="1" applyAlignment="1">
      <alignment horizontal="center"/>
    </xf>
    <xf numFmtId="9" fontId="10" fillId="5" borderId="52" xfId="0" applyNumberFormat="1" applyFont="1" applyFill="1" applyBorder="1" applyAlignment="1">
      <alignment horizontal="center"/>
    </xf>
    <xf numFmtId="168" fontId="134" fillId="17" borderId="83" xfId="0" applyNumberFormat="1" applyFont="1" applyFill="1" applyBorder="1" applyAlignment="1">
      <alignment horizontal="center" vertical="center" wrapText="1"/>
    </xf>
    <xf numFmtId="168" fontId="132" fillId="39" borderId="94" xfId="0" applyNumberFormat="1" applyFont="1" applyFill="1" applyBorder="1" applyAlignment="1">
      <alignment horizontal="center" vertical="center"/>
    </xf>
    <xf numFmtId="9" fontId="128" fillId="0" borderId="87" xfId="0" applyNumberFormat="1" applyFont="1" applyBorder="1" applyAlignment="1">
      <alignment horizontal="center"/>
    </xf>
    <xf numFmtId="9" fontId="128" fillId="0" borderId="87" xfId="0" applyNumberFormat="1" applyFont="1" applyBorder="1" applyAlignment="1">
      <alignment horizontal="center" vertical="center"/>
    </xf>
    <xf numFmtId="10" fontId="132" fillId="21" borderId="87" xfId="0" applyNumberFormat="1" applyFont="1" applyFill="1" applyBorder="1" applyAlignment="1">
      <alignment horizontal="center"/>
    </xf>
    <xf numFmtId="168" fontId="128" fillId="0" borderId="87" xfId="0" applyNumberFormat="1" applyFont="1" applyBorder="1" applyAlignment="1">
      <alignment horizontal="center"/>
    </xf>
    <xf numFmtId="168" fontId="132" fillId="21" borderId="87" xfId="0" applyNumberFormat="1" applyFont="1" applyFill="1" applyBorder="1" applyAlignment="1">
      <alignment horizontal="center" vertical="center"/>
    </xf>
    <xf numFmtId="168" fontId="128" fillId="14" borderId="87" xfId="0" applyNumberFormat="1" applyFont="1" applyFill="1" applyBorder="1" applyAlignment="1">
      <alignment horizontal="center" vertical="center"/>
    </xf>
    <xf numFmtId="10" fontId="128" fillId="14" borderId="87" xfId="0" applyNumberFormat="1" applyFont="1" applyFill="1" applyBorder="1" applyAlignment="1">
      <alignment horizontal="center" vertical="center"/>
    </xf>
    <xf numFmtId="168" fontId="132" fillId="14" borderId="87" xfId="0" applyNumberFormat="1" applyFont="1" applyFill="1" applyBorder="1" applyAlignment="1">
      <alignment horizontal="center" vertical="center"/>
    </xf>
    <xf numFmtId="168" fontId="128" fillId="0" borderId="87" xfId="0" applyNumberFormat="1" applyFont="1" applyBorder="1" applyAlignment="1">
      <alignment horizontal="center" vertical="center"/>
    </xf>
    <xf numFmtId="168" fontId="132" fillId="21" borderId="87" xfId="0" applyNumberFormat="1" applyFont="1" applyFill="1" applyBorder="1" applyAlignment="1">
      <alignment horizontal="center"/>
    </xf>
    <xf numFmtId="9" fontId="132" fillId="5" borderId="87" xfId="0" applyNumberFormat="1" applyFont="1" applyFill="1" applyBorder="1" applyAlignment="1">
      <alignment horizontal="center" vertical="center"/>
    </xf>
    <xf numFmtId="9" fontId="132" fillId="21" borderId="87" xfId="0" applyNumberFormat="1" applyFont="1" applyFill="1" applyBorder="1" applyAlignment="1">
      <alignment horizontal="center" vertical="center"/>
    </xf>
    <xf numFmtId="10" fontId="134" fillId="17" borderId="87" xfId="0" applyNumberFormat="1" applyFont="1" applyFill="1" applyBorder="1" applyAlignment="1">
      <alignment horizontal="center" vertical="center" wrapText="1"/>
    </xf>
    <xf numFmtId="168" fontId="128" fillId="5" borderId="87" xfId="0" applyNumberFormat="1" applyFont="1" applyFill="1" applyBorder="1" applyAlignment="1">
      <alignment horizontal="center" vertical="center"/>
    </xf>
    <xf numFmtId="168" fontId="132" fillId="5" borderId="87" xfId="0" applyNumberFormat="1" applyFont="1" applyFill="1" applyBorder="1" applyAlignment="1">
      <alignment horizontal="center" vertical="center"/>
    </xf>
    <xf numFmtId="10" fontId="128" fillId="0" borderId="87" xfId="0" applyNumberFormat="1" applyFont="1" applyBorder="1" applyAlignment="1">
      <alignment horizontal="center"/>
    </xf>
    <xf numFmtId="10" fontId="132" fillId="5" borderId="87" xfId="0" applyNumberFormat="1" applyFont="1" applyFill="1" applyBorder="1" applyAlignment="1">
      <alignment horizontal="center"/>
    </xf>
    <xf numFmtId="168" fontId="132" fillId="5" borderId="87" xfId="0" applyNumberFormat="1" applyFont="1" applyFill="1" applyBorder="1" applyAlignment="1">
      <alignment horizontal="center"/>
    </xf>
    <xf numFmtId="9" fontId="132" fillId="5" borderId="87" xfId="0" applyNumberFormat="1" applyFont="1" applyFill="1" applyBorder="1" applyAlignment="1">
      <alignment horizontal="center"/>
    </xf>
    <xf numFmtId="170" fontId="128" fillId="0" borderId="87" xfId="0" applyNumberFormat="1" applyFont="1" applyBorder="1" applyAlignment="1">
      <alignment horizontal="center" vertical="center"/>
    </xf>
    <xf numFmtId="168" fontId="132" fillId="14" borderId="92" xfId="0" applyNumberFormat="1" applyFont="1" applyFill="1" applyBorder="1" applyAlignment="1">
      <alignment horizontal="center"/>
    </xf>
    <xf numFmtId="0" fontId="129" fillId="71" borderId="70" xfId="0" applyFont="1" applyFill="1" applyBorder="1" applyAlignment="1">
      <alignment horizontal="center" vertical="center" wrapText="1"/>
    </xf>
    <xf numFmtId="168" fontId="133" fillId="13" borderId="56" xfId="0" applyNumberFormat="1" applyFont="1" applyFill="1" applyBorder="1" applyAlignment="1">
      <alignment horizontal="center" vertical="center"/>
    </xf>
    <xf numFmtId="168" fontId="132" fillId="0" borderId="57" xfId="0" applyNumberFormat="1" applyFont="1" applyBorder="1" applyAlignment="1">
      <alignment horizontal="center" vertical="center"/>
    </xf>
    <xf numFmtId="0" fontId="57" fillId="6" borderId="95" xfId="0" applyFont="1" applyFill="1" applyBorder="1" applyAlignment="1">
      <alignment horizontal="center" vertical="center" wrapText="1"/>
    </xf>
    <xf numFmtId="0" fontId="58" fillId="6" borderId="96" xfId="0" applyFont="1" applyFill="1" applyBorder="1" applyAlignment="1">
      <alignment horizontal="center" vertical="center" wrapText="1"/>
    </xf>
    <xf numFmtId="0" fontId="58" fillId="6" borderId="97" xfId="0" applyFont="1" applyFill="1" applyBorder="1" applyAlignment="1">
      <alignment horizontal="center" vertical="center" wrapText="1"/>
    </xf>
    <xf numFmtId="0" fontId="58" fillId="6" borderId="98" xfId="0" applyFont="1" applyFill="1" applyBorder="1" applyAlignment="1">
      <alignment horizontal="center" vertical="center" wrapText="1"/>
    </xf>
    <xf numFmtId="0" fontId="129" fillId="71" borderId="99" xfId="0" applyFont="1" applyFill="1" applyBorder="1" applyAlignment="1">
      <alignment horizontal="center" vertical="center" wrapText="1"/>
    </xf>
    <xf numFmtId="0" fontId="59" fillId="13" borderId="81" xfId="0" applyFont="1" applyFill="1" applyBorder="1" applyAlignment="1">
      <alignment horizontal="center" vertical="center" wrapText="1"/>
    </xf>
    <xf numFmtId="9" fontId="60" fillId="13" borderId="37" xfId="0" applyNumberFormat="1" applyFont="1" applyFill="1" applyBorder="1" applyAlignment="1">
      <alignment horizontal="center" vertical="center"/>
    </xf>
    <xf numFmtId="10" fontId="60" fillId="13" borderId="37" xfId="0" applyNumberFormat="1" applyFont="1" applyFill="1" applyBorder="1" applyAlignment="1">
      <alignment horizontal="center" vertical="center"/>
    </xf>
    <xf numFmtId="10" fontId="128" fillId="0" borderId="83" xfId="0" applyNumberFormat="1" applyFont="1" applyBorder="1" applyAlignment="1">
      <alignment horizontal="center" vertical="center"/>
    </xf>
    <xf numFmtId="0" fontId="61" fillId="17" borderId="81" xfId="0" applyFont="1" applyFill="1" applyBorder="1" applyAlignment="1">
      <alignment horizontal="center" vertical="center" wrapText="1"/>
    </xf>
    <xf numFmtId="10" fontId="61" fillId="17" borderId="37" xfId="0" applyNumberFormat="1" applyFont="1" applyFill="1" applyBorder="1" applyAlignment="1">
      <alignment horizontal="center" vertical="center"/>
    </xf>
    <xf numFmtId="10" fontId="131" fillId="0" borderId="83" xfId="0" applyNumberFormat="1" applyFont="1" applyBorder="1"/>
    <xf numFmtId="171" fontId="10" fillId="21" borderId="86" xfId="0" applyNumberFormat="1" applyFont="1" applyFill="1" applyBorder="1" applyAlignment="1">
      <alignment wrapText="1"/>
    </xf>
    <xf numFmtId="10" fontId="10" fillId="39" borderId="11" xfId="0" applyNumberFormat="1" applyFont="1" applyFill="1" applyBorder="1" applyAlignment="1">
      <alignment horizontal="center" vertical="center"/>
    </xf>
    <xf numFmtId="168" fontId="10" fillId="39" borderId="11" xfId="0" applyNumberFormat="1" applyFont="1" applyFill="1" applyBorder="1" applyAlignment="1">
      <alignment horizontal="center" vertical="center"/>
    </xf>
    <xf numFmtId="168" fontId="10" fillId="39" borderId="19" xfId="0" applyNumberFormat="1" applyFont="1" applyFill="1" applyBorder="1" applyAlignment="1">
      <alignment horizontal="center" vertical="center"/>
    </xf>
    <xf numFmtId="0" fontId="128" fillId="0" borderId="94" xfId="0" applyFont="1" applyBorder="1"/>
    <xf numFmtId="0" fontId="8" fillId="0" borderId="88" xfId="0" applyFont="1" applyBorder="1" applyAlignment="1">
      <alignment wrapText="1"/>
    </xf>
    <xf numFmtId="9" fontId="8" fillId="0" borderId="14" xfId="0" applyNumberFormat="1" applyFont="1" applyBorder="1" applyAlignment="1">
      <alignment horizontal="center"/>
    </xf>
    <xf numFmtId="0" fontId="8" fillId="0" borderId="88" xfId="0" applyFont="1" applyBorder="1" applyAlignment="1">
      <alignment horizontal="left" vertical="center" wrapText="1"/>
    </xf>
    <xf numFmtId="9" fontId="8" fillId="0" borderId="14" xfId="0" applyNumberFormat="1" applyFont="1" applyBorder="1" applyAlignment="1">
      <alignment horizontal="center" vertical="center"/>
    </xf>
    <xf numFmtId="0" fontId="10" fillId="21" borderId="88" xfId="0" applyFont="1" applyFill="1" applyBorder="1" applyAlignment="1">
      <alignment wrapText="1"/>
    </xf>
    <xf numFmtId="168" fontId="8" fillId="0" borderId="14" xfId="0" applyNumberFormat="1" applyFont="1" applyBorder="1" applyAlignment="1">
      <alignment horizontal="center"/>
    </xf>
    <xf numFmtId="0" fontId="8" fillId="0" borderId="88" xfId="0" applyFont="1" applyBorder="1" applyAlignment="1">
      <alignment vertical="center" wrapText="1"/>
    </xf>
    <xf numFmtId="0" fontId="8" fillId="14" borderId="88" xfId="0" applyFont="1" applyFill="1" applyBorder="1" applyAlignment="1">
      <alignment wrapText="1"/>
    </xf>
    <xf numFmtId="168" fontId="8" fillId="0" borderId="14" xfId="0" applyNumberFormat="1" applyFont="1" applyBorder="1" applyAlignment="1">
      <alignment horizontal="center" vertical="center"/>
    </xf>
    <xf numFmtId="0" fontId="10" fillId="5" borderId="88" xfId="0" applyFont="1" applyFill="1" applyBorder="1" applyAlignment="1">
      <alignment wrapText="1"/>
    </xf>
    <xf numFmtId="0" fontId="61" fillId="17" borderId="88" xfId="0" applyFont="1" applyFill="1" applyBorder="1" applyAlignment="1">
      <alignment horizontal="left" vertical="center" wrapText="1"/>
    </xf>
    <xf numFmtId="0" fontId="10" fillId="5" borderId="88" xfId="0" applyFont="1" applyFill="1" applyBorder="1" applyAlignment="1">
      <alignment horizontal="left" wrapText="1"/>
    </xf>
    <xf numFmtId="0" fontId="8" fillId="0" borderId="88" xfId="0" applyFont="1" applyBorder="1" applyAlignment="1">
      <alignment horizontal="left" wrapText="1"/>
    </xf>
    <xf numFmtId="0" fontId="10" fillId="5" borderId="88" xfId="0" applyFont="1" applyFill="1" applyBorder="1"/>
    <xf numFmtId="0" fontId="8" fillId="0" borderId="88" xfId="0" applyFont="1" applyBorder="1"/>
    <xf numFmtId="10" fontId="8" fillId="0" borderId="14" xfId="0" applyNumberFormat="1" applyFont="1" applyBorder="1" applyAlignment="1">
      <alignment horizontal="center"/>
    </xf>
    <xf numFmtId="0" fontId="8" fillId="0" borderId="88" xfId="0" applyFont="1" applyBorder="1" applyAlignment="1">
      <alignment horizontal="center" vertical="center" wrapText="1"/>
    </xf>
    <xf numFmtId="0" fontId="10" fillId="5" borderId="88" xfId="0" applyFont="1" applyFill="1" applyBorder="1" applyAlignment="1">
      <alignment horizontal="left"/>
    </xf>
    <xf numFmtId="170" fontId="8" fillId="0" borderId="14" xfId="0" applyNumberFormat="1" applyFont="1" applyBorder="1" applyAlignment="1">
      <alignment horizontal="center" vertical="center"/>
    </xf>
    <xf numFmtId="0" fontId="8" fillId="0" borderId="88" xfId="0" applyFont="1" applyBorder="1" applyAlignment="1">
      <alignment horizontal="left"/>
    </xf>
    <xf numFmtId="0" fontId="8" fillId="0" borderId="89" xfId="0" applyFont="1" applyBorder="1"/>
    <xf numFmtId="9" fontId="8" fillId="0" borderId="90" xfId="0" applyNumberFormat="1" applyFont="1" applyBorder="1" applyAlignment="1">
      <alignment horizontal="center"/>
    </xf>
    <xf numFmtId="168" fontId="8" fillId="0" borderId="90" xfId="0" applyNumberFormat="1" applyFont="1" applyBorder="1" applyAlignment="1">
      <alignment horizontal="center" vertical="center"/>
    </xf>
    <xf numFmtId="168" fontId="10" fillId="14" borderId="90" xfId="0" applyNumberFormat="1" applyFont="1" applyFill="1" applyBorder="1" applyAlignment="1">
      <alignment horizontal="center"/>
    </xf>
    <xf numFmtId="168" fontId="10" fillId="14" borderId="90" xfId="0" applyNumberFormat="1" applyFont="1" applyFill="1" applyBorder="1" applyAlignment="1">
      <alignment horizontal="center" vertical="center"/>
    </xf>
    <xf numFmtId="168" fontId="10" fillId="14" borderId="91" xfId="0" applyNumberFormat="1" applyFont="1" applyFill="1" applyBorder="1" applyAlignment="1">
      <alignment horizontal="center"/>
    </xf>
    <xf numFmtId="168" fontId="10" fillId="14" borderId="100" xfId="0" applyNumberFormat="1" applyFont="1" applyFill="1" applyBorder="1" applyAlignment="1">
      <alignment horizontal="center"/>
    </xf>
    <xf numFmtId="0" fontId="31" fillId="14" borderId="1" xfId="0" applyFont="1" applyFill="1" applyBorder="1" applyAlignment="1">
      <alignment vertical="center" wrapText="1"/>
    </xf>
    <xf numFmtId="168" fontId="13" fillId="5" borderId="1" xfId="0" applyNumberFormat="1" applyFont="1" applyFill="1" applyBorder="1"/>
    <xf numFmtId="168" fontId="41" fillId="13" borderId="33" xfId="0" applyNumberFormat="1" applyFont="1" applyFill="1" applyBorder="1"/>
    <xf numFmtId="168" fontId="41" fillId="13" borderId="38" xfId="0" applyNumberFormat="1" applyFont="1" applyFill="1" applyBorder="1"/>
    <xf numFmtId="168" fontId="41" fillId="47" borderId="33" xfId="0" applyNumberFormat="1" applyFont="1" applyFill="1" applyBorder="1"/>
    <xf numFmtId="168" fontId="41" fillId="47" borderId="44" xfId="0" applyNumberFormat="1" applyFont="1" applyFill="1" applyBorder="1"/>
    <xf numFmtId="168" fontId="126" fillId="0" borderId="54" xfId="0" applyNumberFormat="1" applyFont="1" applyBorder="1" applyAlignment="1">
      <alignment horizontal="center" vertical="center"/>
    </xf>
    <xf numFmtId="0" fontId="10" fillId="6" borderId="101" xfId="0" applyFont="1" applyFill="1" applyBorder="1" applyAlignment="1">
      <alignment horizontal="center" vertical="center"/>
    </xf>
    <xf numFmtId="0" fontId="10" fillId="7" borderId="102" xfId="0" applyFont="1" applyFill="1" applyBorder="1" applyAlignment="1">
      <alignment horizontal="center"/>
    </xf>
    <xf numFmtId="0" fontId="10" fillId="0" borderId="88" xfId="0" applyFont="1" applyBorder="1" applyAlignment="1">
      <alignment wrapText="1"/>
    </xf>
    <xf numFmtId="0" fontId="8" fillId="0" borderId="89" xfId="0" applyFont="1" applyBorder="1" applyAlignment="1">
      <alignment wrapText="1"/>
    </xf>
    <xf numFmtId="0" fontId="10" fillId="6" borderId="54" xfId="0" applyFont="1" applyFill="1" applyBorder="1" applyAlignment="1">
      <alignment horizontal="center" vertical="center"/>
    </xf>
    <xf numFmtId="0" fontId="10" fillId="7" borderId="54" xfId="0" applyFont="1" applyFill="1" applyBorder="1" applyAlignment="1">
      <alignment horizontal="center"/>
    </xf>
    <xf numFmtId="0" fontId="10" fillId="0" borderId="54" xfId="0" applyFont="1" applyBorder="1" applyAlignment="1">
      <alignment wrapText="1"/>
    </xf>
    <xf numFmtId="170" fontId="55" fillId="0" borderId="0" xfId="0" applyNumberFormat="1" applyFont="1"/>
    <xf numFmtId="168" fontId="0" fillId="0" borderId="0" xfId="2" applyNumberFormat="1" applyFont="1" applyAlignment="1"/>
    <xf numFmtId="0" fontId="136" fillId="44" borderId="61" xfId="0" applyFont="1" applyFill="1" applyBorder="1" applyAlignment="1">
      <alignment horizontal="center" vertical="center" wrapText="1"/>
    </xf>
    <xf numFmtId="0" fontId="137" fillId="44" borderId="55" xfId="0" applyFont="1" applyFill="1" applyBorder="1" applyAlignment="1">
      <alignment horizontal="center" vertical="center" wrapText="1"/>
    </xf>
    <xf numFmtId="0" fontId="137" fillId="44" borderId="46" xfId="0" applyFont="1" applyFill="1" applyBorder="1" applyAlignment="1">
      <alignment horizontal="center" vertical="center" wrapText="1"/>
    </xf>
    <xf numFmtId="0" fontId="137" fillId="44" borderId="34" xfId="0" applyFont="1" applyFill="1" applyBorder="1" applyAlignment="1">
      <alignment horizontal="center" vertical="center" wrapText="1"/>
    </xf>
    <xf numFmtId="0" fontId="115" fillId="12" borderId="54" xfId="0" applyFont="1" applyFill="1" applyBorder="1" applyAlignment="1">
      <alignment horizontal="center" vertical="center" wrapText="1"/>
    </xf>
    <xf numFmtId="0" fontId="12" fillId="75" borderId="54" xfId="0" applyFont="1" applyFill="1" applyBorder="1" applyAlignment="1">
      <alignment horizontal="center" vertical="center" wrapText="1"/>
    </xf>
    <xf numFmtId="0" fontId="48" fillId="64" borderId="54" xfId="0" applyFont="1" applyFill="1" applyBorder="1" applyAlignment="1">
      <alignment horizontal="center" vertical="center" wrapText="1"/>
    </xf>
    <xf numFmtId="0" fontId="110" fillId="76" borderId="54" xfId="0" applyFont="1" applyFill="1" applyBorder="1" applyAlignment="1">
      <alignment horizontal="center" vertical="center" wrapText="1"/>
    </xf>
    <xf numFmtId="0" fontId="28" fillId="59" borderId="5" xfId="0" applyFont="1" applyFill="1" applyBorder="1" applyAlignment="1">
      <alignment horizontal="center" vertical="center" wrapText="1"/>
    </xf>
    <xf numFmtId="0" fontId="85" fillId="75" borderId="1" xfId="0" applyFont="1" applyFill="1" applyBorder="1" applyAlignment="1">
      <alignment horizontal="center" vertical="center" wrapText="1"/>
    </xf>
    <xf numFmtId="0" fontId="115" fillId="63" borderId="1" xfId="0" applyFont="1" applyFill="1" applyBorder="1" applyAlignment="1">
      <alignment horizontal="center" vertical="center" wrapText="1"/>
    </xf>
    <xf numFmtId="0" fontId="48" fillId="75" borderId="1" xfId="0" applyFont="1" applyFill="1" applyBorder="1" applyAlignment="1">
      <alignment horizontal="center" vertical="center" wrapText="1"/>
    </xf>
    <xf numFmtId="0" fontId="31" fillId="38" borderId="1" xfId="0" applyFont="1" applyFill="1" applyBorder="1" applyAlignment="1">
      <alignment horizontal="center" vertical="center" wrapText="1"/>
    </xf>
    <xf numFmtId="0" fontId="79" fillId="38" borderId="1" xfId="0" applyFont="1" applyFill="1" applyBorder="1" applyAlignment="1">
      <alignment horizontal="center" vertical="center"/>
    </xf>
    <xf numFmtId="0" fontId="12" fillId="59" borderId="54" xfId="0" applyFont="1" applyFill="1" applyBorder="1" applyAlignment="1">
      <alignment horizontal="center" vertical="center" wrapText="1"/>
    </xf>
    <xf numFmtId="0" fontId="13" fillId="59" borderId="54" xfId="0" applyFont="1" applyFill="1" applyBorder="1" applyAlignment="1">
      <alignment horizontal="center" vertical="center" wrapText="1"/>
    </xf>
    <xf numFmtId="0" fontId="12" fillId="60" borderId="54" xfId="0" applyFont="1" applyFill="1" applyBorder="1" applyAlignment="1">
      <alignment horizontal="center" vertical="center" wrapText="1"/>
    </xf>
    <xf numFmtId="0" fontId="15" fillId="59" borderId="54" xfId="0" applyFont="1" applyFill="1" applyBorder="1" applyAlignment="1">
      <alignment horizontal="center" vertical="center" wrapText="1"/>
    </xf>
    <xf numFmtId="0" fontId="12" fillId="63" borderId="54" xfId="0" applyFont="1" applyFill="1" applyBorder="1" applyAlignment="1">
      <alignment horizontal="center" vertical="center" wrapText="1"/>
    </xf>
    <xf numFmtId="0" fontId="12" fillId="68" borderId="54" xfId="0" applyFont="1" applyFill="1" applyBorder="1" applyAlignment="1">
      <alignment horizontal="center" vertical="center" wrapText="1"/>
    </xf>
    <xf numFmtId="0" fontId="12" fillId="65" borderId="54" xfId="0" applyFont="1" applyFill="1" applyBorder="1" applyAlignment="1">
      <alignment horizontal="center" vertical="center" wrapText="1"/>
    </xf>
    <xf numFmtId="0" fontId="12" fillId="66" borderId="54" xfId="0" applyFont="1" applyFill="1" applyBorder="1" applyAlignment="1">
      <alignment horizontal="center" vertical="center" wrapText="1"/>
    </xf>
    <xf numFmtId="0" fontId="12" fillId="69" borderId="54" xfId="0" applyFont="1" applyFill="1" applyBorder="1" applyAlignment="1">
      <alignment horizontal="center" vertical="center" wrapText="1"/>
    </xf>
    <xf numFmtId="0" fontId="12" fillId="70" borderId="54" xfId="0" applyFont="1" applyFill="1" applyBorder="1" applyAlignment="1">
      <alignment horizontal="center" vertical="center" wrapText="1"/>
    </xf>
    <xf numFmtId="0" fontId="138" fillId="67" borderId="54" xfId="0" applyFont="1" applyFill="1" applyBorder="1"/>
    <xf numFmtId="10" fontId="139" fillId="13" borderId="1" xfId="0" applyNumberFormat="1" applyFont="1" applyFill="1" applyBorder="1" applyAlignment="1">
      <alignment vertical="center"/>
    </xf>
    <xf numFmtId="0" fontId="92" fillId="0" borderId="14" xfId="0" applyFont="1" applyBorder="1" applyAlignment="1">
      <alignment horizontal="center" vertical="center"/>
    </xf>
    <xf numFmtId="0" fontId="92" fillId="0" borderId="15" xfId="0" applyFont="1" applyBorder="1" applyAlignment="1">
      <alignment horizontal="center" vertical="center"/>
    </xf>
    <xf numFmtId="0" fontId="91" fillId="13" borderId="6" xfId="0" applyFont="1" applyFill="1" applyBorder="1" applyAlignment="1">
      <alignment vertical="center"/>
    </xf>
    <xf numFmtId="0" fontId="0" fillId="0" borderId="54" xfId="0" applyBorder="1"/>
    <xf numFmtId="180" fontId="18" fillId="14" borderId="1" xfId="0" applyNumberFormat="1" applyFont="1" applyFill="1" applyBorder="1" applyAlignment="1">
      <alignment horizontal="center" vertical="center"/>
    </xf>
    <xf numFmtId="0" fontId="34" fillId="0" borderId="1" xfId="0" applyFont="1" applyBorder="1" applyAlignment="1">
      <alignment horizontal="center" vertical="center" wrapText="1"/>
    </xf>
    <xf numFmtId="9" fontId="18" fillId="22" borderId="14" xfId="0" applyNumberFormat="1" applyFont="1" applyFill="1" applyBorder="1" applyAlignment="1">
      <alignment horizontal="center" vertical="center"/>
    </xf>
    <xf numFmtId="189" fontId="18" fillId="0" borderId="1" xfId="5" applyNumberFormat="1" applyFont="1" applyBorder="1" applyAlignment="1">
      <alignment horizontal="center" vertical="center"/>
    </xf>
    <xf numFmtId="189" fontId="16" fillId="0" borderId="1" xfId="0" applyNumberFormat="1" applyFont="1" applyBorder="1" applyAlignment="1">
      <alignment horizontal="center" vertical="center"/>
    </xf>
    <xf numFmtId="167" fontId="16" fillId="22" borderId="1" xfId="5" applyFont="1" applyFill="1" applyBorder="1" applyAlignment="1">
      <alignment vertical="center"/>
    </xf>
    <xf numFmtId="169" fontId="18" fillId="44" borderId="1" xfId="0" applyNumberFormat="1" applyFont="1" applyFill="1" applyBorder="1" applyAlignment="1">
      <alignment horizontal="center" vertical="center"/>
    </xf>
    <xf numFmtId="168" fontId="18" fillId="44" borderId="1" xfId="0" applyNumberFormat="1" applyFont="1" applyFill="1" applyBorder="1" applyAlignment="1">
      <alignment horizontal="center" vertical="center"/>
    </xf>
    <xf numFmtId="4" fontId="16" fillId="36" borderId="1" xfId="0" applyNumberFormat="1" applyFont="1" applyFill="1" applyBorder="1" applyAlignment="1">
      <alignment horizontal="center" vertical="center"/>
    </xf>
    <xf numFmtId="10" fontId="13" fillId="5" borderId="1" xfId="0" applyNumberFormat="1" applyFont="1" applyFill="1" applyBorder="1" applyAlignment="1">
      <alignment horizontal="right" vertical="center"/>
    </xf>
    <xf numFmtId="0" fontId="13" fillId="5" borderId="1" xfId="0" applyFont="1" applyFill="1" applyBorder="1" applyAlignment="1">
      <alignment horizontal="right" vertical="center"/>
    </xf>
    <xf numFmtId="9" fontId="121" fillId="44" borderId="1" xfId="0" applyNumberFormat="1" applyFont="1" applyFill="1" applyBorder="1" applyAlignment="1">
      <alignment horizontal="center" vertical="center"/>
    </xf>
    <xf numFmtId="9" fontId="121" fillId="14" borderId="1" xfId="2" applyFont="1" applyFill="1" applyBorder="1" applyAlignment="1">
      <alignment horizontal="center" vertical="center"/>
    </xf>
    <xf numFmtId="0" fontId="18" fillId="44" borderId="1" xfId="0" applyFont="1" applyFill="1" applyBorder="1" applyAlignment="1">
      <alignment vertical="center" wrapText="1"/>
    </xf>
    <xf numFmtId="168" fontId="16" fillId="0" borderId="1" xfId="2" applyNumberFormat="1" applyFont="1" applyBorder="1" applyAlignment="1">
      <alignment horizontal="center" vertical="center"/>
    </xf>
    <xf numFmtId="168" fontId="80" fillId="42" borderId="19" xfId="0" applyNumberFormat="1" applyFont="1" applyFill="1" applyBorder="1" applyAlignment="1">
      <alignment horizontal="center" vertical="center"/>
    </xf>
    <xf numFmtId="168" fontId="79" fillId="41" borderId="1" xfId="0" applyNumberFormat="1" applyFont="1" applyFill="1" applyBorder="1"/>
    <xf numFmtId="170" fontId="13" fillId="5" borderId="1" xfId="0" applyNumberFormat="1" applyFont="1" applyFill="1" applyBorder="1" applyAlignment="1">
      <alignment horizontal="center" vertical="center"/>
    </xf>
    <xf numFmtId="43" fontId="16" fillId="46" borderId="1" xfId="0" applyNumberFormat="1" applyFont="1" applyFill="1" applyBorder="1" applyAlignment="1">
      <alignment horizontal="center" vertical="center"/>
    </xf>
    <xf numFmtId="181" fontId="17" fillId="0" borderId="1" xfId="0" applyNumberFormat="1" applyFont="1" applyBorder="1" applyAlignment="1">
      <alignment horizontal="center" vertical="center"/>
    </xf>
    <xf numFmtId="181" fontId="17" fillId="6" borderId="1" xfId="0" applyNumberFormat="1" applyFont="1" applyFill="1" applyBorder="1" applyAlignment="1">
      <alignment horizontal="center" vertical="center"/>
    </xf>
    <xf numFmtId="172" fontId="17" fillId="0" borderId="1" xfId="0" applyNumberFormat="1" applyFont="1" applyBorder="1" applyAlignment="1">
      <alignment vertical="center"/>
    </xf>
    <xf numFmtId="0" fontId="17" fillId="0" borderId="1" xfId="0" applyFont="1" applyBorder="1" applyAlignment="1">
      <alignment vertical="center"/>
    </xf>
    <xf numFmtId="10" fontId="17" fillId="0" borderId="1" xfId="0" applyNumberFormat="1" applyFont="1" applyBorder="1" applyAlignment="1">
      <alignment vertical="center"/>
    </xf>
    <xf numFmtId="10" fontId="17" fillId="0" borderId="2" xfId="0" applyNumberFormat="1" applyFont="1" applyBorder="1" applyAlignment="1">
      <alignment horizontal="center" vertical="center"/>
    </xf>
    <xf numFmtId="166" fontId="17" fillId="0" borderId="1" xfId="3" applyFont="1" applyBorder="1" applyAlignment="1">
      <alignment horizontal="center" vertical="center"/>
    </xf>
    <xf numFmtId="43" fontId="17" fillId="0" borderId="1" xfId="4" applyFont="1" applyBorder="1" applyAlignment="1">
      <alignment horizontal="center" vertical="center"/>
    </xf>
    <xf numFmtId="167" fontId="17" fillId="0" borderId="1" xfId="5" applyFont="1" applyBorder="1" applyAlignment="1">
      <alignment horizontal="center" vertical="center"/>
    </xf>
    <xf numFmtId="43" fontId="45" fillId="0" borderId="1" xfId="4" applyFont="1" applyBorder="1" applyAlignment="1">
      <alignment horizontal="center" vertical="center"/>
    </xf>
    <xf numFmtId="188" fontId="79" fillId="0" borderId="1" xfId="4" applyNumberFormat="1" applyFont="1" applyBorder="1" applyAlignment="1">
      <alignment horizontal="center" vertical="center"/>
    </xf>
    <xf numFmtId="188" fontId="79" fillId="0" borderId="1" xfId="0" applyNumberFormat="1" applyFont="1" applyBorder="1" applyAlignment="1">
      <alignment horizontal="center" vertical="center"/>
    </xf>
    <xf numFmtId="43" fontId="16" fillId="0" borderId="11" xfId="4" applyFont="1" applyBorder="1" applyAlignment="1">
      <alignment horizontal="center" vertical="center"/>
    </xf>
    <xf numFmtId="43" fontId="16" fillId="44" borderId="11" xfId="4" applyFont="1" applyFill="1" applyBorder="1" applyAlignment="1">
      <alignment horizontal="center" vertical="center" wrapText="1"/>
    </xf>
    <xf numFmtId="43" fontId="16" fillId="44" borderId="11" xfId="4" applyFont="1" applyFill="1" applyBorder="1" applyAlignment="1">
      <alignment horizontal="center" vertical="center"/>
    </xf>
    <xf numFmtId="168" fontId="16" fillId="36" borderId="1" xfId="0" applyNumberFormat="1" applyFont="1" applyFill="1" applyBorder="1" applyAlignment="1">
      <alignment horizontal="center" vertical="center"/>
    </xf>
    <xf numFmtId="0" fontId="99" fillId="0" borderId="1" xfId="0" applyFont="1" applyBorder="1" applyAlignment="1">
      <alignment horizontal="center" vertical="center" wrapText="1"/>
    </xf>
    <xf numFmtId="168" fontId="18" fillId="0" borderId="1" xfId="2" applyNumberFormat="1" applyFont="1" applyBorder="1" applyAlignment="1">
      <alignment horizontal="center" vertical="center"/>
    </xf>
    <xf numFmtId="10" fontId="18" fillId="44" borderId="1" xfId="0" applyNumberFormat="1" applyFont="1" applyFill="1" applyBorder="1" applyAlignment="1">
      <alignment horizontal="center" vertical="center"/>
    </xf>
    <xf numFmtId="0" fontId="92" fillId="44" borderId="1" xfId="0" applyFont="1" applyFill="1" applyBorder="1" applyAlignment="1">
      <alignment vertical="center"/>
    </xf>
    <xf numFmtId="9" fontId="92" fillId="44" borderId="1" xfId="0" applyNumberFormat="1" applyFont="1" applyFill="1" applyBorder="1" applyAlignment="1">
      <alignment vertical="center"/>
    </xf>
    <xf numFmtId="168" fontId="39" fillId="47" borderId="33" xfId="0" applyNumberFormat="1" applyFont="1" applyFill="1" applyBorder="1" applyAlignment="1">
      <alignment vertical="center"/>
    </xf>
    <xf numFmtId="168" fontId="10" fillId="6" borderId="50" xfId="0" applyNumberFormat="1" applyFont="1" applyFill="1" applyBorder="1" applyAlignment="1">
      <alignment horizontal="center" vertical="center"/>
    </xf>
    <xf numFmtId="168" fontId="8" fillId="47" borderId="48" xfId="0" applyNumberFormat="1" applyFont="1" applyFill="1" applyBorder="1" applyAlignment="1">
      <alignment horizontal="center" vertical="center"/>
    </xf>
    <xf numFmtId="168" fontId="8" fillId="6" borderId="48" xfId="0" applyNumberFormat="1" applyFont="1" applyFill="1" applyBorder="1" applyAlignment="1">
      <alignment horizontal="center" vertical="center" wrapText="1"/>
    </xf>
    <xf numFmtId="168" fontId="8" fillId="47" borderId="48" xfId="0" applyNumberFormat="1" applyFont="1" applyFill="1" applyBorder="1" applyAlignment="1">
      <alignment horizontal="center" vertical="center" wrapText="1"/>
    </xf>
    <xf numFmtId="168" fontId="8" fillId="47" borderId="49" xfId="0" applyNumberFormat="1" applyFont="1" applyFill="1" applyBorder="1" applyAlignment="1">
      <alignment horizontal="center" vertical="center" wrapText="1"/>
    </xf>
    <xf numFmtId="168" fontId="10" fillId="47" borderId="1" xfId="0" applyNumberFormat="1" applyFont="1" applyFill="1" applyBorder="1" applyAlignment="1">
      <alignment horizontal="center"/>
    </xf>
    <xf numFmtId="168" fontId="8" fillId="6" borderId="1" xfId="0" applyNumberFormat="1" applyFont="1" applyFill="1" applyBorder="1" applyAlignment="1">
      <alignment horizontal="center"/>
    </xf>
    <xf numFmtId="168" fontId="8" fillId="47" borderId="1" xfId="0" applyNumberFormat="1" applyFont="1" applyFill="1" applyBorder="1" applyAlignment="1">
      <alignment horizontal="center"/>
    </xf>
    <xf numFmtId="168" fontId="8" fillId="13" borderId="1" xfId="0" applyNumberFormat="1" applyFont="1" applyFill="1" applyBorder="1" applyAlignment="1">
      <alignment horizontal="center"/>
    </xf>
    <xf numFmtId="168" fontId="8" fillId="77" borderId="1" xfId="0" applyNumberFormat="1" applyFont="1" applyFill="1" applyBorder="1" applyAlignment="1">
      <alignment horizontal="center"/>
    </xf>
    <xf numFmtId="168" fontId="8" fillId="6" borderId="1" xfId="0" applyNumberFormat="1" applyFont="1" applyFill="1" applyBorder="1" applyAlignment="1">
      <alignment horizontal="center" vertical="center"/>
    </xf>
    <xf numFmtId="168" fontId="8" fillId="47" borderId="1" xfId="0" applyNumberFormat="1" applyFont="1" applyFill="1" applyBorder="1" applyAlignment="1">
      <alignment horizontal="center" vertical="center"/>
    </xf>
    <xf numFmtId="168" fontId="8" fillId="78" borderId="1" xfId="0" applyNumberFormat="1" applyFont="1" applyFill="1" applyBorder="1" applyAlignment="1">
      <alignment horizontal="center" vertical="center"/>
    </xf>
    <xf numFmtId="168" fontId="8" fillId="13" borderId="1" xfId="0" applyNumberFormat="1" applyFont="1" applyFill="1" applyBorder="1" applyAlignment="1">
      <alignment horizontal="center" vertical="center"/>
    </xf>
    <xf numFmtId="168" fontId="8" fillId="77" borderId="1" xfId="0" applyNumberFormat="1" applyFont="1" applyFill="1" applyBorder="1" applyAlignment="1">
      <alignment horizontal="center" vertical="center"/>
    </xf>
    <xf numFmtId="168" fontId="8" fillId="79" borderId="1" xfId="0" applyNumberFormat="1" applyFont="1" applyFill="1" applyBorder="1" applyAlignment="1">
      <alignment horizontal="center" vertical="center"/>
    </xf>
    <xf numFmtId="10" fontId="8" fillId="6" borderId="1" xfId="0" applyNumberFormat="1" applyFont="1" applyFill="1" applyBorder="1" applyAlignment="1">
      <alignment horizontal="center" vertical="center"/>
    </xf>
    <xf numFmtId="10" fontId="8" fillId="79" borderId="1" xfId="0" applyNumberFormat="1" applyFont="1" applyFill="1" applyBorder="1" applyAlignment="1">
      <alignment horizontal="center" vertical="center"/>
    </xf>
    <xf numFmtId="168" fontId="8" fillId="8" borderId="48" xfId="0" applyNumberFormat="1" applyFont="1" applyFill="1" applyBorder="1" applyAlignment="1">
      <alignment horizontal="center" vertical="center" wrapText="1"/>
    </xf>
    <xf numFmtId="9" fontId="10" fillId="13" borderId="1" xfId="0" applyNumberFormat="1" applyFont="1" applyFill="1" applyBorder="1" applyAlignment="1">
      <alignment horizontal="center" vertical="center"/>
    </xf>
    <xf numFmtId="9" fontId="8" fillId="13" borderId="1" xfId="0" applyNumberFormat="1" applyFont="1" applyFill="1" applyBorder="1" applyAlignment="1">
      <alignment horizontal="center" vertical="center"/>
    </xf>
    <xf numFmtId="9" fontId="8" fillId="48" borderId="1" xfId="0" applyNumberFormat="1" applyFont="1" applyFill="1" applyBorder="1" applyAlignment="1">
      <alignment horizontal="center" vertical="center"/>
    </xf>
    <xf numFmtId="9" fontId="10" fillId="47" borderId="1" xfId="0" applyNumberFormat="1" applyFont="1" applyFill="1" applyBorder="1" applyAlignment="1">
      <alignment horizontal="center" vertical="center"/>
    </xf>
    <xf numFmtId="9" fontId="8" fillId="47" borderId="1" xfId="0" applyNumberFormat="1" applyFont="1" applyFill="1" applyBorder="1" applyAlignment="1">
      <alignment horizontal="center" vertical="center"/>
    </xf>
    <xf numFmtId="9" fontId="10" fillId="8" borderId="1" xfId="0" applyNumberFormat="1" applyFont="1" applyFill="1" applyBorder="1" applyAlignment="1">
      <alignment horizontal="center" vertical="center"/>
    </xf>
    <xf numFmtId="9" fontId="8" fillId="80" borderId="1" xfId="0" applyNumberFormat="1" applyFont="1" applyFill="1" applyBorder="1" applyAlignment="1">
      <alignment horizontal="center" vertical="center"/>
    </xf>
    <xf numFmtId="9" fontId="8" fillId="8" borderId="1" xfId="0" applyNumberFormat="1" applyFont="1" applyFill="1" applyBorder="1" applyAlignment="1">
      <alignment horizontal="center" vertical="center"/>
    </xf>
    <xf numFmtId="9" fontId="97" fillId="78" borderId="1" xfId="0" applyNumberFormat="1" applyFont="1" applyFill="1" applyBorder="1" applyAlignment="1">
      <alignment horizontal="center" vertical="center"/>
    </xf>
    <xf numFmtId="168" fontId="8" fillId="81" borderId="1" xfId="0" applyNumberFormat="1" applyFont="1" applyFill="1" applyBorder="1" applyAlignment="1">
      <alignment horizontal="center" vertical="center"/>
    </xf>
    <xf numFmtId="9" fontId="8" fillId="77" borderId="1" xfId="0" applyNumberFormat="1" applyFont="1" applyFill="1" applyBorder="1" applyAlignment="1">
      <alignment horizontal="center" vertical="center"/>
    </xf>
    <xf numFmtId="168" fontId="10" fillId="13" borderId="1" xfId="0" applyNumberFormat="1" applyFont="1" applyFill="1" applyBorder="1" applyAlignment="1">
      <alignment horizontal="center" vertical="center" wrapText="1"/>
    </xf>
    <xf numFmtId="168" fontId="8" fillId="13" borderId="1" xfId="0" applyNumberFormat="1" applyFont="1" applyFill="1" applyBorder="1" applyAlignment="1">
      <alignment horizontal="center" vertical="center" wrapText="1"/>
    </xf>
    <xf numFmtId="168" fontId="8" fillId="6" borderId="1" xfId="0" applyNumberFormat="1" applyFont="1" applyFill="1" applyBorder="1" applyAlignment="1">
      <alignment horizontal="center" vertical="center" wrapText="1"/>
    </xf>
    <xf numFmtId="168" fontId="8" fillId="47" borderId="1" xfId="0" applyNumberFormat="1" applyFont="1" applyFill="1" applyBorder="1" applyAlignment="1">
      <alignment horizontal="center" vertical="center" wrapText="1"/>
    </xf>
    <xf numFmtId="168" fontId="10" fillId="6" borderId="1" xfId="0" applyNumberFormat="1" applyFont="1" applyFill="1" applyBorder="1" applyAlignment="1">
      <alignment horizontal="center" vertical="center"/>
    </xf>
    <xf numFmtId="168" fontId="10" fillId="77" borderId="1" xfId="0" applyNumberFormat="1" applyFont="1" applyFill="1" applyBorder="1" applyAlignment="1">
      <alignment horizontal="center" vertical="center"/>
    </xf>
    <xf numFmtId="10" fontId="10" fillId="47" borderId="1" xfId="0" applyNumberFormat="1" applyFont="1" applyFill="1" applyBorder="1" applyAlignment="1">
      <alignment horizontal="center" vertical="center"/>
    </xf>
    <xf numFmtId="168" fontId="10" fillId="13" borderId="1" xfId="0" applyNumberFormat="1" applyFont="1" applyFill="1" applyBorder="1" applyAlignment="1">
      <alignment horizontal="center" vertical="center"/>
    </xf>
    <xf numFmtId="10" fontId="8" fillId="78" borderId="1" xfId="0" applyNumberFormat="1" applyFont="1" applyFill="1" applyBorder="1" applyAlignment="1">
      <alignment horizontal="center" vertical="center" wrapText="1"/>
    </xf>
    <xf numFmtId="168" fontId="10" fillId="6" borderId="1" xfId="0" applyNumberFormat="1" applyFont="1" applyFill="1" applyBorder="1" applyAlignment="1">
      <alignment horizontal="center" vertical="center" wrapText="1"/>
    </xf>
    <xf numFmtId="168" fontId="8" fillId="78" borderId="1" xfId="0" applyNumberFormat="1" applyFont="1" applyFill="1" applyBorder="1" applyAlignment="1">
      <alignment horizontal="center" vertical="center" wrapText="1"/>
    </xf>
    <xf numFmtId="168" fontId="8" fillId="81" borderId="1" xfId="0" applyNumberFormat="1" applyFont="1" applyFill="1" applyBorder="1" applyAlignment="1">
      <alignment horizontal="center" vertical="center" wrapText="1"/>
    </xf>
    <xf numFmtId="168" fontId="8" fillId="8" borderId="1" xfId="0" applyNumberFormat="1" applyFont="1" applyFill="1" applyBorder="1" applyAlignment="1">
      <alignment horizontal="center" vertical="center" wrapText="1"/>
    </xf>
    <xf numFmtId="168" fontId="8" fillId="78" borderId="1" xfId="0" applyNumberFormat="1" applyFont="1" applyFill="1" applyBorder="1" applyAlignment="1">
      <alignment horizontal="center" wrapText="1"/>
    </xf>
    <xf numFmtId="168" fontId="8" fillId="13" borderId="1" xfId="0" applyNumberFormat="1" applyFont="1" applyFill="1" applyBorder="1" applyAlignment="1">
      <alignment horizontal="center" wrapText="1"/>
    </xf>
    <xf numFmtId="10" fontId="10" fillId="13" borderId="1" xfId="0" applyNumberFormat="1" applyFont="1" applyFill="1" applyBorder="1" applyAlignment="1">
      <alignment horizontal="center" wrapText="1"/>
    </xf>
    <xf numFmtId="10" fontId="8" fillId="13" borderId="1" xfId="0" applyNumberFormat="1" applyFont="1" applyFill="1" applyBorder="1" applyAlignment="1">
      <alignment horizontal="center" wrapText="1"/>
    </xf>
    <xf numFmtId="9" fontId="135" fillId="38" borderId="54" xfId="0" applyNumberFormat="1" applyFont="1" applyFill="1" applyBorder="1" applyAlignment="1">
      <alignment horizontal="center" wrapText="1"/>
    </xf>
    <xf numFmtId="10" fontId="135" fillId="36" borderId="54" xfId="0" applyNumberFormat="1" applyFont="1" applyFill="1" applyBorder="1" applyAlignment="1">
      <alignment horizontal="center"/>
    </xf>
    <xf numFmtId="9" fontId="135" fillId="48" borderId="54" xfId="0" applyNumberFormat="1" applyFont="1" applyFill="1" applyBorder="1" applyAlignment="1">
      <alignment horizontal="center" wrapText="1"/>
    </xf>
    <xf numFmtId="10" fontId="8" fillId="77" borderId="1" xfId="0" applyNumberFormat="1" applyFont="1" applyFill="1" applyBorder="1" applyAlignment="1">
      <alignment horizontal="center" vertical="center" wrapText="1"/>
    </xf>
    <xf numFmtId="168" fontId="10" fillId="47" borderId="1" xfId="0" applyNumberFormat="1" applyFont="1" applyFill="1" applyBorder="1" applyAlignment="1">
      <alignment horizontal="center" vertical="center" wrapText="1"/>
    </xf>
    <xf numFmtId="168" fontId="10" fillId="47" borderId="1" xfId="0" applyNumberFormat="1" applyFont="1" applyFill="1" applyBorder="1" applyAlignment="1">
      <alignment horizontal="center" vertical="center"/>
    </xf>
    <xf numFmtId="10" fontId="10" fillId="47" borderId="50" xfId="0" applyNumberFormat="1" applyFont="1" applyFill="1" applyBorder="1" applyAlignment="1">
      <alignment horizontal="center" vertical="center" wrapText="1"/>
    </xf>
    <xf numFmtId="10" fontId="8" fillId="6" borderId="48" xfId="0" applyNumberFormat="1" applyFont="1" applyFill="1" applyBorder="1" applyAlignment="1">
      <alignment horizontal="center" vertical="center" wrapText="1"/>
    </xf>
    <xf numFmtId="168" fontId="8" fillId="13" borderId="48" xfId="0" applyNumberFormat="1" applyFont="1" applyFill="1" applyBorder="1" applyAlignment="1">
      <alignment horizontal="center" vertical="center" wrapText="1"/>
    </xf>
    <xf numFmtId="168" fontId="8" fillId="80" borderId="48" xfId="0" applyNumberFormat="1" applyFont="1" applyFill="1" applyBorder="1" applyAlignment="1">
      <alignment horizontal="center" vertical="center" wrapText="1"/>
    </xf>
    <xf numFmtId="9" fontId="10" fillId="6" borderId="1" xfId="0" applyNumberFormat="1" applyFont="1" applyFill="1" applyBorder="1" applyAlignment="1">
      <alignment horizontal="center" vertical="center"/>
    </xf>
    <xf numFmtId="9" fontId="8" fillId="6" borderId="1" xfId="0" applyNumberFormat="1" applyFont="1" applyFill="1" applyBorder="1" applyAlignment="1">
      <alignment horizontal="center" vertical="center"/>
    </xf>
    <xf numFmtId="9" fontId="8" fillId="81" borderId="1" xfId="0" applyNumberFormat="1" applyFont="1" applyFill="1" applyBorder="1" applyAlignment="1">
      <alignment horizontal="center" vertical="center"/>
    </xf>
    <xf numFmtId="168" fontId="10" fillId="79" borderId="1" xfId="0" applyNumberFormat="1" applyFont="1" applyFill="1" applyBorder="1" applyAlignment="1">
      <alignment horizontal="center" vertical="center"/>
    </xf>
    <xf numFmtId="10" fontId="10" fillId="6" borderId="103" xfId="0" applyNumberFormat="1" applyFont="1" applyFill="1" applyBorder="1" applyAlignment="1">
      <alignment horizontal="center" vertical="center"/>
    </xf>
    <xf numFmtId="168" fontId="8" fillId="77" borderId="103" xfId="0" applyNumberFormat="1" applyFont="1" applyFill="1" applyBorder="1" applyAlignment="1">
      <alignment horizontal="center" vertical="center"/>
    </xf>
    <xf numFmtId="168" fontId="8" fillId="79" borderId="104" xfId="0" applyNumberFormat="1" applyFont="1" applyFill="1" applyBorder="1" applyAlignment="1">
      <alignment horizontal="center" vertical="center"/>
    </xf>
    <xf numFmtId="168" fontId="10" fillId="47" borderId="103" xfId="0" applyNumberFormat="1" applyFont="1" applyFill="1" applyBorder="1" applyAlignment="1">
      <alignment horizontal="center" vertical="center"/>
    </xf>
    <xf numFmtId="168" fontId="8" fillId="47" borderId="104" xfId="0" applyNumberFormat="1" applyFont="1" applyFill="1" applyBorder="1" applyAlignment="1">
      <alignment horizontal="center" vertical="center"/>
    </xf>
    <xf numFmtId="10" fontId="140" fillId="0" borderId="0" xfId="0" applyNumberFormat="1" applyFont="1"/>
    <xf numFmtId="10" fontId="0" fillId="0" borderId="0" xfId="0" applyNumberFormat="1"/>
    <xf numFmtId="0" fontId="0" fillId="0" borderId="54" xfId="0" applyBorder="1" applyAlignment="1">
      <alignment horizontal="left" vertical="center" wrapText="1"/>
    </xf>
    <xf numFmtId="0" fontId="141" fillId="0" borderId="54" xfId="0" applyFont="1" applyBorder="1" applyAlignment="1">
      <alignment horizontal="center" vertical="center"/>
    </xf>
    <xf numFmtId="0" fontId="1" fillId="0" borderId="54" xfId="0" applyFont="1" applyBorder="1" applyAlignment="1">
      <alignment vertical="center" wrapText="1"/>
    </xf>
    <xf numFmtId="0" fontId="0" fillId="0" borderId="54" xfId="0" applyBorder="1" applyAlignment="1">
      <alignment horizontal="left" wrapText="1"/>
    </xf>
    <xf numFmtId="168" fontId="0" fillId="0" borderId="54" xfId="2" applyNumberFormat="1" applyFont="1" applyBorder="1" applyAlignment="1">
      <alignment horizontal="center"/>
    </xf>
    <xf numFmtId="0" fontId="1" fillId="0" borderId="54" xfId="0" applyFont="1" applyBorder="1" applyAlignment="1">
      <alignment wrapText="1"/>
    </xf>
    <xf numFmtId="0" fontId="1" fillId="0" borderId="54" xfId="0" applyFont="1" applyBorder="1"/>
    <xf numFmtId="0" fontId="141" fillId="0" borderId="54" xfId="0" applyFont="1" applyBorder="1" applyAlignment="1">
      <alignment horizontal="left" vertical="center" wrapText="1"/>
    </xf>
    <xf numFmtId="0" fontId="141" fillId="0" borderId="54" xfId="0" applyFont="1" applyBorder="1" applyAlignment="1">
      <alignment horizontal="left" vertical="center"/>
    </xf>
    <xf numFmtId="168" fontId="133" fillId="13" borderId="93" xfId="0" applyNumberFormat="1" applyFont="1" applyFill="1" applyBorder="1" applyAlignment="1">
      <alignment horizontal="center" vertical="center"/>
    </xf>
    <xf numFmtId="10" fontId="0" fillId="0" borderId="54" xfId="0" applyNumberFormat="1" applyBorder="1"/>
    <xf numFmtId="168" fontId="0" fillId="38" borderId="54" xfId="2" applyNumberFormat="1" applyFont="1" applyFill="1" applyBorder="1" applyAlignment="1"/>
    <xf numFmtId="168" fontId="0" fillId="0" borderId="0" xfId="0" applyNumberFormat="1"/>
    <xf numFmtId="0" fontId="64" fillId="0" borderId="69" xfId="0" applyFont="1" applyBorder="1" applyAlignment="1">
      <alignment horizontal="center" vertical="center" wrapText="1"/>
    </xf>
    <xf numFmtId="0" fontId="64" fillId="0" borderId="68" xfId="0" applyFont="1" applyBorder="1" applyAlignment="1">
      <alignment horizontal="center" vertical="center" wrapText="1"/>
    </xf>
    <xf numFmtId="0" fontId="64" fillId="0" borderId="62" xfId="0" applyFont="1" applyBorder="1" applyAlignment="1">
      <alignment horizontal="center" vertical="center" wrapText="1"/>
    </xf>
    <xf numFmtId="0" fontId="136" fillId="44" borderId="34" xfId="0" applyFont="1" applyFill="1" applyBorder="1" applyAlignment="1">
      <alignment horizontal="center" vertical="center" wrapText="1"/>
    </xf>
    <xf numFmtId="0" fontId="10" fillId="6" borderId="2" xfId="0" applyFont="1" applyFill="1" applyBorder="1" applyAlignment="1">
      <alignment horizontal="center" vertical="center" wrapText="1"/>
    </xf>
    <xf numFmtId="0" fontId="11" fillId="0" borderId="3" xfId="0" applyFont="1" applyBorder="1"/>
    <xf numFmtId="0" fontId="11" fillId="0" borderId="4" xfId="0" applyFont="1" applyBorder="1"/>
    <xf numFmtId="0" fontId="12" fillId="14" borderId="6" xfId="0" applyFont="1" applyFill="1" applyBorder="1" applyAlignment="1">
      <alignment horizontal="center" vertical="center" wrapText="1"/>
    </xf>
    <xf numFmtId="0" fontId="11" fillId="0" borderId="8" xfId="0" applyFont="1" applyBorder="1"/>
    <xf numFmtId="0" fontId="11" fillId="0" borderId="9" xfId="0" applyFont="1" applyBorder="1"/>
    <xf numFmtId="0" fontId="12" fillId="10" borderId="6" xfId="0" applyFont="1" applyFill="1" applyBorder="1" applyAlignment="1">
      <alignment horizontal="center" vertical="center" wrapText="1"/>
    </xf>
    <xf numFmtId="0" fontId="116" fillId="13" borderId="6" xfId="0" applyFont="1" applyFill="1" applyBorder="1" applyAlignment="1">
      <alignment horizontal="center" vertical="center" textRotation="90" wrapText="1"/>
    </xf>
    <xf numFmtId="0" fontId="116" fillId="13" borderId="8" xfId="0" applyFont="1" applyFill="1" applyBorder="1" applyAlignment="1">
      <alignment horizontal="center" vertical="center" textRotation="90" wrapText="1"/>
    </xf>
    <xf numFmtId="0" fontId="116" fillId="13" borderId="11" xfId="0" applyFont="1" applyFill="1" applyBorder="1" applyAlignment="1">
      <alignment horizontal="center" vertical="center" textRotation="90" wrapText="1"/>
    </xf>
    <xf numFmtId="0" fontId="12" fillId="12" borderId="6" xfId="0" applyFont="1" applyFill="1" applyBorder="1" applyAlignment="1">
      <alignment horizontal="center" vertical="center" wrapText="1"/>
    </xf>
    <xf numFmtId="171" fontId="12" fillId="12" borderId="6" xfId="0" applyNumberFormat="1" applyFont="1" applyFill="1" applyBorder="1" applyAlignment="1">
      <alignment horizontal="center" vertical="center" wrapText="1"/>
    </xf>
    <xf numFmtId="0" fontId="22" fillId="10" borderId="6" xfId="0" applyFont="1" applyFill="1" applyBorder="1" applyAlignment="1">
      <alignment horizontal="center" vertical="center" wrapText="1"/>
    </xf>
    <xf numFmtId="0" fontId="12" fillId="10" borderId="8" xfId="0" applyFont="1" applyFill="1" applyBorder="1" applyAlignment="1">
      <alignment horizontal="center" vertical="center" wrapText="1"/>
    </xf>
    <xf numFmtId="0" fontId="12" fillId="10" borderId="11" xfId="0" applyFont="1" applyFill="1" applyBorder="1" applyAlignment="1">
      <alignment horizontal="center" vertical="center" wrapText="1"/>
    </xf>
    <xf numFmtId="0" fontId="12" fillId="10" borderId="6" xfId="0" applyFont="1" applyFill="1" applyBorder="1" applyAlignment="1">
      <alignment horizontal="center" vertical="top" wrapText="1"/>
    </xf>
    <xf numFmtId="0" fontId="109" fillId="19" borderId="6" xfId="0" applyFont="1" applyFill="1" applyBorder="1" applyAlignment="1">
      <alignment horizontal="center" vertical="center" textRotation="90"/>
    </xf>
    <xf numFmtId="0" fontId="109" fillId="19" borderId="8" xfId="0" applyFont="1" applyFill="1" applyBorder="1" applyAlignment="1">
      <alignment horizontal="center" vertical="center" textRotation="90"/>
    </xf>
    <xf numFmtId="0" fontId="109" fillId="19" borderId="11" xfId="0" applyFont="1" applyFill="1" applyBorder="1" applyAlignment="1">
      <alignment horizontal="center" vertical="center" textRotation="90"/>
    </xf>
    <xf numFmtId="0" fontId="28" fillId="20" borderId="73" xfId="0" applyFont="1" applyFill="1" applyBorder="1" applyAlignment="1">
      <alignment horizontal="center" vertical="center" wrapText="1"/>
    </xf>
    <xf numFmtId="0" fontId="28" fillId="20" borderId="8" xfId="0" applyFont="1" applyFill="1" applyBorder="1" applyAlignment="1">
      <alignment horizontal="center" vertical="center" wrapText="1"/>
    </xf>
    <xf numFmtId="0" fontId="28" fillId="20" borderId="11" xfId="0" applyFont="1" applyFill="1" applyBorder="1" applyAlignment="1">
      <alignment horizontal="center" vertical="center" wrapText="1"/>
    </xf>
    <xf numFmtId="0" fontId="28" fillId="14" borderId="6" xfId="0" applyFont="1" applyFill="1" applyBorder="1" applyAlignment="1">
      <alignment horizontal="center" vertical="center" wrapText="1"/>
    </xf>
    <xf numFmtId="0" fontId="28" fillId="14" borderId="8" xfId="0" applyFont="1" applyFill="1" applyBorder="1" applyAlignment="1">
      <alignment horizontal="center" vertical="center" wrapText="1"/>
    </xf>
    <xf numFmtId="0" fontId="28" fillId="14" borderId="11" xfId="0" applyFont="1" applyFill="1" applyBorder="1" applyAlignment="1">
      <alignment horizontal="center" vertical="center" wrapText="1"/>
    </xf>
    <xf numFmtId="0" fontId="28" fillId="20" borderId="6" xfId="0" applyFont="1" applyFill="1" applyBorder="1" applyAlignment="1">
      <alignment horizontal="center" vertical="center" wrapText="1"/>
    </xf>
    <xf numFmtId="0" fontId="28" fillId="19" borderId="6" xfId="0" applyFont="1" applyFill="1" applyBorder="1" applyAlignment="1">
      <alignment horizontal="center" vertical="center" wrapText="1"/>
    </xf>
    <xf numFmtId="0" fontId="28" fillId="19" borderId="8" xfId="0" applyFont="1" applyFill="1" applyBorder="1" applyAlignment="1">
      <alignment horizontal="center" vertical="center" wrapText="1"/>
    </xf>
    <xf numFmtId="0" fontId="28" fillId="19" borderId="11" xfId="0" applyFont="1" applyFill="1" applyBorder="1" applyAlignment="1">
      <alignment horizontal="center" vertical="center" wrapText="1"/>
    </xf>
    <xf numFmtId="0" fontId="18" fillId="19" borderId="6" xfId="0" applyFont="1" applyFill="1" applyBorder="1" applyAlignment="1">
      <alignment horizontal="center" vertical="center" wrapText="1"/>
    </xf>
    <xf numFmtId="0" fontId="18" fillId="19" borderId="8" xfId="0" applyFont="1" applyFill="1" applyBorder="1" applyAlignment="1">
      <alignment horizontal="center" vertical="center" wrapText="1"/>
    </xf>
    <xf numFmtId="0" fontId="18" fillId="19" borderId="11" xfId="0" applyFont="1" applyFill="1" applyBorder="1" applyAlignment="1">
      <alignment horizontal="center" vertical="center" wrapText="1"/>
    </xf>
    <xf numFmtId="0" fontId="109" fillId="8" borderId="6" xfId="0" applyFont="1" applyFill="1" applyBorder="1" applyAlignment="1">
      <alignment horizontal="center" vertical="center" textRotation="90" wrapText="1"/>
    </xf>
    <xf numFmtId="0" fontId="109" fillId="8" borderId="8" xfId="0" applyFont="1" applyFill="1" applyBorder="1" applyAlignment="1">
      <alignment horizontal="center" vertical="center" textRotation="90" wrapText="1"/>
    </xf>
    <xf numFmtId="0" fontId="109" fillId="8" borderId="11" xfId="0" applyFont="1" applyFill="1" applyBorder="1" applyAlignment="1">
      <alignment horizontal="center" vertical="center" textRotation="90" wrapText="1"/>
    </xf>
    <xf numFmtId="0" fontId="40" fillId="14" borderId="6" xfId="0" applyFont="1" applyFill="1" applyBorder="1" applyAlignment="1">
      <alignment horizontal="center" vertical="center" wrapText="1"/>
    </xf>
    <xf numFmtId="0" fontId="40" fillId="14" borderId="8" xfId="0" applyFont="1" applyFill="1" applyBorder="1" applyAlignment="1">
      <alignment horizontal="center" vertical="center" wrapText="1"/>
    </xf>
    <xf numFmtId="0" fontId="40" fillId="14" borderId="11" xfId="0" applyFont="1" applyFill="1" applyBorder="1" applyAlignment="1">
      <alignment horizontal="center" vertical="center" wrapText="1"/>
    </xf>
    <xf numFmtId="0" fontId="40" fillId="25" borderId="6" xfId="0" applyFont="1" applyFill="1" applyBorder="1" applyAlignment="1">
      <alignment horizontal="center" vertical="center" wrapText="1"/>
    </xf>
    <xf numFmtId="0" fontId="40" fillId="25" borderId="8" xfId="0" applyFont="1" applyFill="1" applyBorder="1" applyAlignment="1">
      <alignment horizontal="center" vertical="center" wrapText="1"/>
    </xf>
    <xf numFmtId="0" fontId="40" fillId="25" borderId="11" xfId="0" applyFont="1" applyFill="1" applyBorder="1" applyAlignment="1">
      <alignment horizontal="center" vertical="center" wrapText="1"/>
    </xf>
    <xf numFmtId="0" fontId="38" fillId="18" borderId="6" xfId="0" applyFont="1" applyFill="1" applyBorder="1" applyAlignment="1">
      <alignment horizontal="center" vertical="center" wrapText="1"/>
    </xf>
    <xf numFmtId="0" fontId="38" fillId="18" borderId="8" xfId="0" applyFont="1" applyFill="1" applyBorder="1" applyAlignment="1">
      <alignment horizontal="center" vertical="center" wrapText="1"/>
    </xf>
    <xf numFmtId="0" fontId="38" fillId="18" borderId="11" xfId="0" applyFont="1" applyFill="1" applyBorder="1" applyAlignment="1">
      <alignment horizontal="center" vertical="center" wrapText="1"/>
    </xf>
    <xf numFmtId="0" fontId="42" fillId="18" borderId="6" xfId="0" applyFont="1" applyFill="1" applyBorder="1" applyAlignment="1">
      <alignment horizontal="center" vertical="center" wrapText="1"/>
    </xf>
    <xf numFmtId="0" fontId="42" fillId="18" borderId="8" xfId="0" applyFont="1" applyFill="1" applyBorder="1" applyAlignment="1">
      <alignment horizontal="center" vertical="center" wrapText="1"/>
    </xf>
    <xf numFmtId="0" fontId="42" fillId="18" borderId="11" xfId="0" applyFont="1" applyFill="1" applyBorder="1" applyAlignment="1">
      <alignment horizontal="center" vertical="center" wrapText="1"/>
    </xf>
    <xf numFmtId="0" fontId="12" fillId="29" borderId="6" xfId="0" applyFont="1" applyFill="1" applyBorder="1" applyAlignment="1">
      <alignment horizontal="center" vertical="center" wrapText="1"/>
    </xf>
    <xf numFmtId="0" fontId="12" fillId="29" borderId="8" xfId="0" applyFont="1" applyFill="1" applyBorder="1" applyAlignment="1">
      <alignment horizontal="center" vertical="center" wrapText="1"/>
    </xf>
    <xf numFmtId="0" fontId="12" fillId="29" borderId="11" xfId="0" applyFont="1" applyFill="1" applyBorder="1" applyAlignment="1">
      <alignment horizontal="center" vertical="center" wrapText="1"/>
    </xf>
    <xf numFmtId="0" fontId="12" fillId="30" borderId="6" xfId="0" applyFont="1" applyFill="1" applyBorder="1" applyAlignment="1">
      <alignment horizontal="center" vertical="center" wrapText="1"/>
    </xf>
    <xf numFmtId="0" fontId="12" fillId="30" borderId="11" xfId="0" applyFont="1" applyFill="1" applyBorder="1" applyAlignment="1">
      <alignment horizontal="center" vertical="center" wrapText="1"/>
    </xf>
    <xf numFmtId="0" fontId="108" fillId="17" borderId="74" xfId="0" applyFont="1" applyFill="1" applyBorder="1" applyAlignment="1">
      <alignment horizontal="center" vertical="center" textRotation="90"/>
    </xf>
    <xf numFmtId="0" fontId="108" fillId="17" borderId="26" xfId="0" applyFont="1" applyFill="1" applyBorder="1" applyAlignment="1">
      <alignment horizontal="center" vertical="center" textRotation="90"/>
    </xf>
    <xf numFmtId="0" fontId="12" fillId="9" borderId="6" xfId="0" applyFont="1" applyFill="1" applyBorder="1" applyAlignment="1">
      <alignment horizontal="center" vertical="center" wrapText="1"/>
    </xf>
    <xf numFmtId="0" fontId="12" fillId="9" borderId="8" xfId="0" applyFont="1" applyFill="1" applyBorder="1" applyAlignment="1">
      <alignment horizontal="center" vertical="center" wrapText="1"/>
    </xf>
    <xf numFmtId="0" fontId="12" fillId="9" borderId="11" xfId="0" applyFont="1" applyFill="1" applyBorder="1" applyAlignment="1">
      <alignment horizontal="center" vertical="center" wrapText="1"/>
    </xf>
    <xf numFmtId="0" fontId="12" fillId="14" borderId="8" xfId="0" applyFont="1" applyFill="1" applyBorder="1" applyAlignment="1">
      <alignment horizontal="center" vertical="center" wrapText="1"/>
    </xf>
    <xf numFmtId="0" fontId="12" fillId="14" borderId="11" xfId="0" applyFont="1" applyFill="1" applyBorder="1" applyAlignment="1">
      <alignment horizontal="center" vertical="center" wrapText="1"/>
    </xf>
    <xf numFmtId="0" fontId="12" fillId="30" borderId="8" xfId="0" applyFont="1" applyFill="1" applyBorder="1" applyAlignment="1">
      <alignment horizontal="center" vertical="center" wrapText="1"/>
    </xf>
    <xf numFmtId="0" fontId="40" fillId="31" borderId="6" xfId="0" applyFont="1" applyFill="1" applyBorder="1" applyAlignment="1">
      <alignment horizontal="center" vertical="center" wrapText="1"/>
    </xf>
    <xf numFmtId="0" fontId="40" fillId="31" borderId="8" xfId="0" applyFont="1" applyFill="1" applyBorder="1" applyAlignment="1">
      <alignment horizontal="center" vertical="center" wrapText="1"/>
    </xf>
    <xf numFmtId="0" fontId="40" fillId="31" borderId="11" xfId="0" applyFont="1" applyFill="1" applyBorder="1" applyAlignment="1">
      <alignment horizontal="center" vertical="center" wrapText="1"/>
    </xf>
    <xf numFmtId="0" fontId="28" fillId="31" borderId="6" xfId="0" applyFont="1" applyFill="1" applyBorder="1" applyAlignment="1">
      <alignment horizontal="center" vertical="center" wrapText="1"/>
    </xf>
    <xf numFmtId="0" fontId="28" fillId="31" borderId="8" xfId="0" applyFont="1" applyFill="1" applyBorder="1" applyAlignment="1">
      <alignment horizontal="center" vertical="center" wrapText="1"/>
    </xf>
    <xf numFmtId="0" fontId="28" fillId="31" borderId="11" xfId="0" applyFont="1" applyFill="1" applyBorder="1" applyAlignment="1">
      <alignment horizontal="center" vertical="center" wrapText="1"/>
    </xf>
    <xf numFmtId="0" fontId="40" fillId="14" borderId="6" xfId="0" applyFont="1" applyFill="1" applyBorder="1" applyAlignment="1">
      <alignment horizontal="center" vertical="center" textRotation="90" wrapText="1"/>
    </xf>
    <xf numFmtId="0" fontId="40" fillId="14" borderId="8" xfId="0" applyFont="1" applyFill="1" applyBorder="1" applyAlignment="1">
      <alignment horizontal="center" vertical="center" textRotation="90" wrapText="1"/>
    </xf>
    <xf numFmtId="0" fontId="40" fillId="14" borderId="11" xfId="0" applyFont="1" applyFill="1" applyBorder="1" applyAlignment="1">
      <alignment horizontal="center" vertical="center" textRotation="90" wrapText="1"/>
    </xf>
    <xf numFmtId="0" fontId="38" fillId="14" borderId="6" xfId="0" applyFont="1" applyFill="1" applyBorder="1" applyAlignment="1">
      <alignment horizontal="center" vertical="center" wrapText="1"/>
    </xf>
    <xf numFmtId="0" fontId="38" fillId="14" borderId="8" xfId="0" applyFont="1" applyFill="1" applyBorder="1" applyAlignment="1">
      <alignment horizontal="center" vertical="center" wrapText="1"/>
    </xf>
    <xf numFmtId="0" fontId="38" fillId="14" borderId="11" xfId="0" applyFont="1" applyFill="1" applyBorder="1" applyAlignment="1">
      <alignment horizontal="center" vertical="center" wrapText="1"/>
    </xf>
    <xf numFmtId="0" fontId="95" fillId="9" borderId="54" xfId="0" applyFont="1" applyFill="1" applyBorder="1" applyAlignment="1">
      <alignment horizontal="center" vertical="center" wrapText="1"/>
    </xf>
    <xf numFmtId="0" fontId="10" fillId="34" borderId="36" xfId="0" applyFont="1" applyFill="1" applyBorder="1" applyAlignment="1">
      <alignment horizontal="center" vertical="center"/>
    </xf>
    <xf numFmtId="0" fontId="10" fillId="34" borderId="37" xfId="0" applyFont="1" applyFill="1" applyBorder="1" applyAlignment="1">
      <alignment horizontal="center" vertical="center"/>
    </xf>
    <xf numFmtId="0" fontId="10" fillId="34" borderId="35" xfId="0" applyFont="1" applyFill="1" applyBorder="1" applyAlignment="1">
      <alignment horizontal="center" vertical="center"/>
    </xf>
    <xf numFmtId="0" fontId="10" fillId="34" borderId="36" xfId="0" applyFont="1" applyFill="1" applyBorder="1" applyAlignment="1">
      <alignment horizontal="center"/>
    </xf>
    <xf numFmtId="0" fontId="10" fillId="34" borderId="37" xfId="0" applyFont="1" applyFill="1" applyBorder="1" applyAlignment="1">
      <alignment horizontal="center"/>
    </xf>
    <xf numFmtId="0" fontId="10" fillId="34" borderId="35" xfId="0" applyFont="1" applyFill="1" applyBorder="1" applyAlignment="1">
      <alignment horizontal="center"/>
    </xf>
    <xf numFmtId="0" fontId="95" fillId="9" borderId="60" xfId="0" applyFont="1" applyFill="1" applyBorder="1" applyAlignment="1">
      <alignment horizontal="center" wrapText="1"/>
    </xf>
    <xf numFmtId="0" fontId="95" fillId="9" borderId="61" xfId="0" applyFont="1" applyFill="1" applyBorder="1" applyAlignment="1">
      <alignment horizontal="center" wrapText="1"/>
    </xf>
    <xf numFmtId="0" fontId="10" fillId="34" borderId="77" xfId="0" applyFont="1" applyFill="1" applyBorder="1" applyAlignment="1">
      <alignment horizontal="center"/>
    </xf>
    <xf numFmtId="0" fontId="10" fillId="34" borderId="78" xfId="0" applyFont="1" applyFill="1" applyBorder="1" applyAlignment="1">
      <alignment horizontal="center"/>
    </xf>
    <xf numFmtId="0" fontId="10" fillId="34" borderId="79" xfId="0" applyFont="1" applyFill="1" applyBorder="1" applyAlignment="1">
      <alignment horizontal="center"/>
    </xf>
    <xf numFmtId="0" fontId="58" fillId="73" borderId="36" xfId="0" applyFont="1" applyFill="1" applyBorder="1" applyAlignment="1">
      <alignment horizontal="center"/>
    </xf>
    <xf numFmtId="0" fontId="11" fillId="74" borderId="37" xfId="0" applyFont="1" applyFill="1" applyBorder="1"/>
    <xf numFmtId="0" fontId="11" fillId="74" borderId="31" xfId="0" applyFont="1" applyFill="1" applyBorder="1"/>
    <xf numFmtId="0" fontId="11" fillId="74" borderId="40" xfId="0" applyFont="1" applyFill="1" applyBorder="1"/>
    <xf numFmtId="0" fontId="101" fillId="73" borderId="36" xfId="0" applyFont="1" applyFill="1" applyBorder="1" applyAlignment="1">
      <alignment horizontal="center"/>
    </xf>
    <xf numFmtId="0" fontId="11" fillId="74" borderId="34" xfId="0" applyFont="1" applyFill="1" applyBorder="1"/>
    <xf numFmtId="0" fontId="126" fillId="48" borderId="13" xfId="0" applyFont="1" applyFill="1" applyBorder="1" applyAlignment="1">
      <alignment horizontal="center" vertical="center" wrapText="1"/>
    </xf>
    <xf numFmtId="0" fontId="126" fillId="48" borderId="54" xfId="0" applyFont="1" applyFill="1" applyBorder="1" applyAlignment="1">
      <alignment horizontal="center" vertical="center" wrapText="1"/>
    </xf>
    <xf numFmtId="0" fontId="66" fillId="7" borderId="39" xfId="0" applyFont="1" applyFill="1" applyBorder="1" applyAlignment="1">
      <alignment horizontal="center" vertical="center"/>
    </xf>
    <xf numFmtId="0" fontId="11" fillId="0" borderId="43" xfId="0" applyFont="1" applyBorder="1"/>
    <xf numFmtId="0" fontId="67" fillId="7" borderId="39" xfId="0" applyFont="1" applyFill="1" applyBorder="1" applyAlignment="1">
      <alignment horizontal="center" vertical="center" wrapText="1"/>
    </xf>
    <xf numFmtId="0" fontId="67" fillId="7" borderId="39" xfId="0" applyFont="1" applyFill="1" applyBorder="1" applyAlignment="1">
      <alignment horizontal="center" vertical="center"/>
    </xf>
  </cellXfs>
  <cellStyles count="6">
    <cellStyle name="Millares" xfId="4" builtinId="3"/>
    <cellStyle name="Millares [0]" xfId="1" builtinId="6"/>
    <cellStyle name="Moneda" xfId="5" builtinId="4"/>
    <cellStyle name="Moneda [0]" xfId="3" builtinId="7"/>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hartsheet" Target="chartsheets/sheet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400" b="0" i="0">
                <a:solidFill>
                  <a:srgbClr val="757575"/>
                </a:solidFill>
                <a:latin typeface="Calibri"/>
              </a:defRPr>
            </a:pPr>
            <a:r>
              <a:rPr lang="es-CO" sz="1400" b="0" i="0">
                <a:solidFill>
                  <a:srgbClr val="757575"/>
                </a:solidFill>
                <a:latin typeface="Calibri"/>
              </a:rPr>
              <a:t>SEGUIMIENTO PLAN DE DESARROLLO ACUMULADO DICIEMBRE</a:t>
            </a:r>
            <a:r>
              <a:rPr lang="es-CO" sz="1400" b="0" i="0" baseline="0">
                <a:solidFill>
                  <a:srgbClr val="757575"/>
                </a:solidFill>
                <a:latin typeface="Calibri"/>
              </a:rPr>
              <a:t> </a:t>
            </a:r>
            <a:r>
              <a:rPr lang="es-CO" sz="1400" b="0" i="0">
                <a:solidFill>
                  <a:srgbClr val="757575"/>
                </a:solidFill>
                <a:latin typeface="Calibri"/>
              </a:rPr>
              <a:t> 2022</a:t>
            </a:r>
          </a:p>
        </c:rich>
      </c:tx>
      <c:layout>
        <c:manualLayout>
          <c:xMode val="edge"/>
          <c:yMode val="edge"/>
          <c:x val="0.24080418226410225"/>
          <c:y val="2.35224520083256E-2"/>
        </c:manualLayout>
      </c:layout>
      <c:overlay val="0"/>
    </c:title>
    <c:autoTitleDeleted val="0"/>
    <c:plotArea>
      <c:layout>
        <c:manualLayout>
          <c:layoutTarget val="inner"/>
          <c:xMode val="edge"/>
          <c:yMode val="edge"/>
          <c:x val="0.16309668258680779"/>
          <c:y val="0.10084330923994324"/>
          <c:w val="0.80250494815197282"/>
          <c:h val="0.50746301368338032"/>
        </c:manualLayout>
      </c:layout>
      <c:barChart>
        <c:barDir val="col"/>
        <c:grouping val="clustered"/>
        <c:varyColors val="1"/>
        <c:ser>
          <c:idx val="0"/>
          <c:order val="0"/>
          <c:tx>
            <c:v>CORTE  DICIEMBRE  2021</c:v>
          </c:tx>
          <c:spPr>
            <a:solidFill>
              <a:srgbClr val="FFFF00"/>
            </a:solidFill>
            <a:ln cmpd="sng">
              <a:solidFill>
                <a:srgbClr val="000000"/>
              </a:solidFill>
            </a:ln>
          </c:spPr>
          <c:invertIfNegative val="1"/>
          <c:dPt>
            <c:idx val="0"/>
            <c:invertIfNegative val="1"/>
            <c:bubble3D val="0"/>
            <c:extLst xmlns:c16r2="http://schemas.microsoft.com/office/drawing/2015/06/chart">
              <c:ext xmlns:c16="http://schemas.microsoft.com/office/drawing/2014/chart" uri="{C3380CC4-5D6E-409C-BE32-E72D297353CC}">
                <c16:uniqueId val="{00000001-2397-41DD-8049-04502AD28B46}"/>
              </c:ext>
            </c:extLst>
          </c:dPt>
          <c:dPt>
            <c:idx val="2"/>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3-2397-41DD-8049-04502AD28B46}"/>
              </c:ext>
            </c:extLst>
          </c:dPt>
          <c:dPt>
            <c:idx val="3"/>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5-2397-41DD-8049-04502AD28B46}"/>
              </c:ext>
            </c:extLst>
          </c:dPt>
          <c:dPt>
            <c:idx val="4"/>
            <c:invertIfNegative val="1"/>
            <c:bubble3D val="0"/>
            <c:extLst xmlns:c16r2="http://schemas.microsoft.com/office/drawing/2015/06/chart">
              <c:ext xmlns:c16="http://schemas.microsoft.com/office/drawing/2014/chart" uri="{C3380CC4-5D6E-409C-BE32-E72D297353CC}">
                <c16:uniqueId val="{00000007-2397-41DD-8049-04502AD28B46}"/>
              </c:ext>
            </c:extLst>
          </c:dPt>
          <c:dPt>
            <c:idx val="5"/>
            <c:invertIfNegative val="1"/>
            <c:bubble3D val="0"/>
            <c:extLst xmlns:c16r2="http://schemas.microsoft.com/office/drawing/2015/06/chart">
              <c:ext xmlns:c16="http://schemas.microsoft.com/office/drawing/2014/chart" uri="{C3380CC4-5D6E-409C-BE32-E72D297353CC}">
                <c16:uniqueId val="{00000009-2397-41DD-8049-04502AD28B46}"/>
              </c:ext>
            </c:extLst>
          </c:dPt>
          <c:dLbls>
            <c:spPr>
              <a:noFill/>
              <a:ln>
                <a:noFill/>
              </a:ln>
              <a:effectLst/>
            </c:spPr>
            <c:txPr>
              <a:bodyPr/>
              <a:lstStyle/>
              <a:p>
                <a:pPr lvl="0">
                  <a:defRPr sz="13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'PLAN DE DESARROLLO '!$Q$13:$Q$18</c:f>
              <c:strCache>
                <c:ptCount val="6"/>
                <c:pt idx="0">
                  <c:v>PLAN DE DESARROLLO "SALVEMOS JUNTOS A CARTAGENA 2020 - 2023) ACUMULADO CUATRENIO CORTE JUNIO 2021</c:v>
                </c:pt>
                <c:pt idx="1">
                  <c:v>PILAR RESILIENTE</c:v>
                </c:pt>
                <c:pt idx="2">
                  <c:v>PILAR CARTAGENA INCLUYENTE</c:v>
                </c:pt>
                <c:pt idx="3">
                  <c:v>PILAR CARTAGENA CONTINGENTE </c:v>
                </c:pt>
                <c:pt idx="4">
                  <c:v>PILAR CARTAGENA TRANSPARENTE</c:v>
                </c:pt>
                <c:pt idx="5">
                  <c:v>EJE TRANSVERSAL: CARTAGENA CON ATENCION Y GARANTIA DE DERECHOS A POBLACION DIFERENCIAL.</c:v>
                </c:pt>
              </c:strCache>
            </c:strRef>
          </c:cat>
          <c:val>
            <c:numRef>
              <c:f>'PLAN DE DESARROLLO '!$R$13:$R$18</c:f>
              <c:numCache>
                <c:formatCode>0.0%</c:formatCode>
                <c:ptCount val="6"/>
                <c:pt idx="0">
                  <c:v>0.73926542498722614</c:v>
                </c:pt>
                <c:pt idx="1">
                  <c:v>0.64980743416302122</c:v>
                </c:pt>
                <c:pt idx="2">
                  <c:v>0.82594070908882966</c:v>
                </c:pt>
                <c:pt idx="3">
                  <c:v>0.81331553252547473</c:v>
                </c:pt>
                <c:pt idx="4">
                  <c:v>0.73724365084391763</c:v>
                </c:pt>
                <c:pt idx="5">
                  <c:v>0.67001979831488723</c:v>
                </c:pt>
              </c:numCache>
            </c:numRef>
          </c:val>
          <c:extLst xmlns:c16r2="http://schemas.microsoft.com/office/drawing/2015/06/chart">
            <c:ext xmlns:c16="http://schemas.microsoft.com/office/drawing/2014/chart" uri="{C3380CC4-5D6E-409C-BE32-E72D297353CC}">
              <c16:uniqueId val="{0000000A-2397-41DD-8049-04502AD28B46}"/>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31657488"/>
        <c:axId val="31666736"/>
      </c:barChart>
      <c:catAx>
        <c:axId val="3165748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1" i="0">
                <a:solidFill>
                  <a:srgbClr val="000000"/>
                </a:solidFill>
                <a:latin typeface="Calibri"/>
              </a:defRPr>
            </a:pPr>
            <a:endParaRPr lang="es-CO"/>
          </a:p>
        </c:txPr>
        <c:crossAx val="31666736"/>
        <c:crosses val="autoZero"/>
        <c:auto val="1"/>
        <c:lblAlgn val="ctr"/>
        <c:lblOffset val="100"/>
        <c:noMultiLvlLbl val="1"/>
      </c:catAx>
      <c:valAx>
        <c:axId val="3166673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1100" b="0" i="0">
                <a:solidFill>
                  <a:srgbClr val="000000"/>
                </a:solidFill>
                <a:latin typeface="Calibri"/>
              </a:defRPr>
            </a:pPr>
            <a:endParaRPr lang="es-CO"/>
          </a:p>
        </c:txPr>
        <c:crossAx val="31657488"/>
        <c:crosses val="autoZero"/>
        <c:crossBetween val="between"/>
      </c:valAx>
    </c:plotArea>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000" b="0" i="0">
                <a:solidFill>
                  <a:srgbClr val="757575"/>
                </a:solidFill>
                <a:latin typeface="Calibri"/>
              </a:defRPr>
            </a:pPr>
            <a:r>
              <a:rPr lang="es-CO" sz="1000" b="1" i="0">
                <a:solidFill>
                  <a:srgbClr val="757575"/>
                </a:solidFill>
                <a:latin typeface="Calibri"/>
              </a:rPr>
              <a:t>LÍNEA ESTRATÉGICA SERVICIOS PÚBLICOS BÁSICOS DEL DISTRITO DE CARTAGENA DE INDIAS: “TODOS CON TODO” AVANCE A </a:t>
            </a:r>
            <a:r>
              <a:rPr lang="es-CO" sz="1000" b="1" i="0" u="none" strike="noStrike" baseline="0">
                <a:effectLst/>
              </a:rPr>
              <a:t>DICIEMBRE</a:t>
            </a:r>
            <a:r>
              <a:rPr lang="es-CO" sz="1000" b="1" i="0">
                <a:solidFill>
                  <a:srgbClr val="757575"/>
                </a:solidFill>
                <a:latin typeface="Calibri"/>
              </a:rPr>
              <a:t> 2022 </a:t>
            </a:r>
          </a:p>
        </c:rich>
      </c:tx>
      <c:overlay val="0"/>
    </c:title>
    <c:autoTitleDeleted val="0"/>
    <c:plotArea>
      <c:layout/>
      <c:barChart>
        <c:barDir val="bar"/>
        <c:grouping val="clustered"/>
        <c:varyColors val="1"/>
        <c:ser>
          <c:idx val="0"/>
          <c:order val="0"/>
          <c:tx>
            <c:v>AVANCE A DIC 2020</c:v>
          </c:tx>
          <c:spPr>
            <a:solidFill>
              <a:srgbClr val="FFFF00"/>
            </a:solidFill>
            <a:ln cmpd="sng">
              <a:solidFill>
                <a:srgbClr val="000000"/>
              </a:solidFill>
            </a:ln>
          </c:spPr>
          <c:invertIfNegative val="1"/>
          <c:dPt>
            <c:idx val="0"/>
            <c:invertIfNegative val="1"/>
            <c:bubble3D val="0"/>
            <c:extLst xmlns:c16r2="http://schemas.microsoft.com/office/drawing/2015/06/chart">
              <c:ext xmlns:c16="http://schemas.microsoft.com/office/drawing/2014/chart" uri="{C3380CC4-5D6E-409C-BE32-E72D297353CC}">
                <c16:uniqueId val="{00000001-B0ED-4F0B-BB0F-B5477086DD8A}"/>
              </c:ext>
            </c:extLst>
          </c:dPt>
          <c:dPt>
            <c:idx val="1"/>
            <c:invertIfNegative val="1"/>
            <c:bubble3D val="0"/>
            <c:spPr>
              <a:solidFill>
                <a:srgbClr val="FF0000"/>
              </a:solidFill>
              <a:ln cmpd="sng">
                <a:solidFill>
                  <a:srgbClr val="000000"/>
                </a:solidFill>
              </a:ln>
            </c:spPr>
            <c:extLst xmlns:c16r2="http://schemas.microsoft.com/office/drawing/2015/06/chart">
              <c:ext xmlns:c16="http://schemas.microsoft.com/office/drawing/2014/chart" uri="{C3380CC4-5D6E-409C-BE32-E72D297353CC}">
                <c16:uniqueId val="{00000003-B0ED-4F0B-BB0F-B5477086DD8A}"/>
              </c:ext>
            </c:extLst>
          </c:dPt>
          <c:dPt>
            <c:idx val="2"/>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5-B0ED-4F0B-BB0F-B5477086DD8A}"/>
              </c:ext>
            </c:extLst>
          </c:dPt>
          <c:dPt>
            <c:idx val="3"/>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7-B0ED-4F0B-BB0F-B5477086DD8A}"/>
              </c:ext>
            </c:extLst>
          </c:dPt>
          <c:dPt>
            <c:idx val="4"/>
            <c:invertIfNegative val="1"/>
            <c:bubble3D val="0"/>
            <c:extLst xmlns:c16r2="http://schemas.microsoft.com/office/drawing/2015/06/chart">
              <c:ext xmlns:c16="http://schemas.microsoft.com/office/drawing/2014/chart" uri="{C3380CC4-5D6E-409C-BE32-E72D297353CC}">
                <c16:uniqueId val="{00000009-B0ED-4F0B-BB0F-B5477086DD8A}"/>
              </c:ext>
            </c:extLst>
          </c:dPt>
          <c:dLbls>
            <c:spPr>
              <a:noFill/>
              <a:ln>
                <a:noFill/>
              </a:ln>
              <a:effectLst/>
            </c:spPr>
            <c:txPr>
              <a:bodyPr/>
              <a:lstStyle/>
              <a:p>
                <a:pPr lvl="0">
                  <a:defRPr sz="9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RESILIENTE'!$C$83:$C$88</c:f>
              <c:strCache>
                <c:ptCount val="6"/>
                <c:pt idx="0">
                  <c:v>LÍNEA ESTRATÉGICA SERVICIOS PÚBLICOS BÁSICOS DEL DISTRITO DE CARTAGENA DE INDIAS: “TODOS CON TODO”</c:v>
                </c:pt>
                <c:pt idx="1">
                  <c:v>Programa de Ahorro y Uso Eficiente De Los Servicios Públicos, "Agua y Saneamiento Básico Para Todos”</c:v>
                </c:pt>
                <c:pt idx="2">
                  <c:v>Programa Energía Asequible, Confiable Sostenible y Moderna Para Todos.</c:v>
                </c:pt>
                <c:pt idx="3">
                  <c:v>Programa Gestión Integral De Residuos Sólidos "Cultura ciudadana para el reciclaje inclusivo y la economía circular"</c:v>
                </c:pt>
                <c:pt idx="4">
                  <c:v>Programa Sistema de Información De Los Servicios Públicos, “Servinfo”</c:v>
                </c:pt>
                <c:pt idx="5">
                  <c:v>Programa Cementerios</c:v>
                </c:pt>
              </c:strCache>
            </c:strRef>
          </c:cat>
          <c:val>
            <c:numRef>
              <c:f>'P. RESILIENTE'!$D$83:$D$88</c:f>
              <c:numCache>
                <c:formatCode>0%</c:formatCode>
                <c:ptCount val="6"/>
                <c:pt idx="0">
                  <c:v>0.74953835477582842</c:v>
                </c:pt>
                <c:pt idx="1">
                  <c:v>0.26965473684210528</c:v>
                </c:pt>
                <c:pt idx="2" formatCode="0.0%">
                  <c:v>0.90303703703703697</c:v>
                </c:pt>
                <c:pt idx="3">
                  <c:v>0.875</c:v>
                </c:pt>
                <c:pt idx="4">
                  <c:v>0</c:v>
                </c:pt>
                <c:pt idx="5">
                  <c:v>0.70000000000000007</c:v>
                </c:pt>
              </c:numCache>
            </c:numRef>
          </c:val>
          <c:extLst xmlns:c16r2="http://schemas.microsoft.com/office/drawing/2015/06/chart">
            <c:ext xmlns:c16="http://schemas.microsoft.com/office/drawing/2014/chart" uri="{C3380CC4-5D6E-409C-BE32-E72D297353CC}">
              <c16:uniqueId val="{0000000A-B0ED-4F0B-BB0F-B5477086DD8A}"/>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131052576"/>
        <c:axId val="2009702912"/>
      </c:barChart>
      <c:catAx>
        <c:axId val="131052576"/>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800" b="0" i="0">
                <a:solidFill>
                  <a:srgbClr val="000000"/>
                </a:solidFill>
                <a:latin typeface="Calibri"/>
              </a:defRPr>
            </a:pPr>
            <a:endParaRPr lang="es-CO"/>
          </a:p>
        </c:txPr>
        <c:crossAx val="2009702912"/>
        <c:crosses val="autoZero"/>
        <c:auto val="1"/>
        <c:lblAlgn val="ctr"/>
        <c:lblOffset val="100"/>
        <c:noMultiLvlLbl val="1"/>
      </c:catAx>
      <c:valAx>
        <c:axId val="2009702912"/>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Calibri"/>
              </a:defRPr>
            </a:pPr>
            <a:endParaRPr lang="es-CO"/>
          </a:p>
        </c:txPr>
        <c:crossAx val="131052576"/>
        <c:crosses val="max"/>
        <c:crossBetween val="between"/>
      </c:valAx>
    </c:plotArea>
    <c:plotVisOnly val="1"/>
    <c:dispBlanksAs val="zero"/>
    <c:showDLblsOverMax val="1"/>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100" b="1" i="0">
                <a:solidFill>
                  <a:srgbClr val="757575"/>
                </a:solidFill>
                <a:latin typeface="Calibri"/>
              </a:defRPr>
            </a:pPr>
            <a:r>
              <a:rPr lang="es-CO" sz="1100" b="1" i="0">
                <a:solidFill>
                  <a:srgbClr val="757575"/>
                </a:solidFill>
                <a:latin typeface="Calibri"/>
              </a:rPr>
              <a:t>LÍNEA ESTRATÉGICA INSTRUMENTOS DE ORDENAMIENTO TERRITORIAL. AVANCE A </a:t>
            </a:r>
            <a:r>
              <a:rPr lang="es-CO" sz="1100" b="1" i="0" u="none" strike="noStrike" baseline="0">
                <a:effectLst/>
              </a:rPr>
              <a:t>DICIEMBRE </a:t>
            </a:r>
            <a:r>
              <a:rPr lang="es-CO" sz="1100" b="1" i="0">
                <a:solidFill>
                  <a:srgbClr val="757575"/>
                </a:solidFill>
                <a:latin typeface="Calibri"/>
              </a:rPr>
              <a:t>2022 </a:t>
            </a:r>
          </a:p>
        </c:rich>
      </c:tx>
      <c:layout>
        <c:manualLayout>
          <c:xMode val="edge"/>
          <c:yMode val="edge"/>
          <c:x val="0.11635769595190643"/>
          <c:y val="3.0769230769230771E-2"/>
        </c:manualLayout>
      </c:layout>
      <c:overlay val="0"/>
    </c:title>
    <c:autoTitleDeleted val="0"/>
    <c:plotArea>
      <c:layout/>
      <c:barChart>
        <c:barDir val="col"/>
        <c:grouping val="clustered"/>
        <c:varyColors val="1"/>
        <c:ser>
          <c:idx val="0"/>
          <c:order val="0"/>
          <c:tx>
            <c:v>AVANCE A DIC 2020</c:v>
          </c:tx>
          <c:spPr>
            <a:solidFill>
              <a:srgbClr val="FFFF00"/>
            </a:solidFill>
            <a:ln cmpd="sng">
              <a:solidFill>
                <a:srgbClr val="000000"/>
              </a:solidFill>
            </a:ln>
          </c:spPr>
          <c:invertIfNegative val="1"/>
          <c:dPt>
            <c:idx val="0"/>
            <c:invertIfNegative val="1"/>
            <c:bubble3D val="0"/>
            <c:extLst xmlns:c16r2="http://schemas.microsoft.com/office/drawing/2015/06/chart">
              <c:ext xmlns:c16="http://schemas.microsoft.com/office/drawing/2014/chart" uri="{C3380CC4-5D6E-409C-BE32-E72D297353CC}">
                <c16:uniqueId val="{00000004-C752-4CCE-9225-3B66B4750564}"/>
              </c:ext>
            </c:extLst>
          </c:dPt>
          <c:dPt>
            <c:idx val="2"/>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1-F519-4183-B46A-13F21ADFC081}"/>
              </c:ext>
            </c:extLst>
          </c:dPt>
          <c:dPt>
            <c:idx val="3"/>
            <c:invertIfNegative val="1"/>
            <c:bubble3D val="0"/>
            <c:extLst xmlns:c16r2="http://schemas.microsoft.com/office/drawing/2015/06/chart">
              <c:ext xmlns:c16="http://schemas.microsoft.com/office/drawing/2014/chart" uri="{C3380CC4-5D6E-409C-BE32-E72D297353CC}">
                <c16:uniqueId val="{00000006-BAE2-4D41-84FC-B6A7D9A2B5E3}"/>
              </c:ext>
            </c:extLst>
          </c:dPt>
          <c:dLbls>
            <c:spPr>
              <a:noFill/>
              <a:ln>
                <a:noFill/>
              </a:ln>
              <a:effectLst/>
            </c:spPr>
            <c:txPr>
              <a:bodyPr/>
              <a:lstStyle/>
              <a:p>
                <a:pPr lvl="0">
                  <a:defRPr sz="9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RESILIENTE'!$C$94:$C$97</c:f>
              <c:strCache>
                <c:ptCount val="4"/>
                <c:pt idx="0">
                  <c:v>LÍNEA ESTRATÉGICA INSTRUMENTOS DE ORDENAMIENTO TERRITORIAL.</c:v>
                </c:pt>
                <c:pt idx="1">
                  <c:v>Programa Plan de Ordenamiento Territorial y Especial de Manejo de Patrimonio.</c:v>
                </c:pt>
                <c:pt idx="2">
                  <c:v>Programa Administrando Juntos El Control Urbano</c:v>
                </c:pt>
                <c:pt idx="3">
                  <c:v>Programa Ordenación territorial y  Recuperación social, ambiental y Urbana de la Ciénaga de la Virgen.</c:v>
                </c:pt>
              </c:strCache>
            </c:strRef>
          </c:cat>
          <c:val>
            <c:numRef>
              <c:f>'P. RESILIENTE'!$D$94:$D$97</c:f>
              <c:numCache>
                <c:formatCode>0.0%</c:formatCode>
                <c:ptCount val="4"/>
                <c:pt idx="0">
                  <c:v>0.75861111111111101</c:v>
                </c:pt>
                <c:pt idx="1">
                  <c:v>0.70333333333333325</c:v>
                </c:pt>
                <c:pt idx="2">
                  <c:v>0.90999999999999992</c:v>
                </c:pt>
                <c:pt idx="3">
                  <c:v>0.66249999999999998</c:v>
                </c:pt>
              </c:numCache>
            </c:numRef>
          </c:val>
          <c:extLst xmlns:c16r2="http://schemas.microsoft.com/office/drawing/2015/06/chart">
            <c:ext xmlns:c16="http://schemas.microsoft.com/office/drawing/2014/chart" uri="{C3380CC4-5D6E-409C-BE32-E72D297353CC}">
              <c16:uniqueId val="{00000002-F519-4183-B46A-13F21ADFC081}"/>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2009705632"/>
        <c:axId val="120069392"/>
      </c:barChart>
      <c:catAx>
        <c:axId val="200970563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120069392"/>
        <c:crosses val="autoZero"/>
        <c:auto val="1"/>
        <c:lblAlgn val="ctr"/>
        <c:lblOffset val="100"/>
        <c:noMultiLvlLbl val="1"/>
      </c:catAx>
      <c:valAx>
        <c:axId val="12006939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CO"/>
          </a:p>
        </c:txPr>
        <c:crossAx val="2009705632"/>
        <c:crosses val="autoZero"/>
        <c:crossBetween val="between"/>
      </c:valAx>
    </c:plotArea>
    <c:plotVisOnly val="1"/>
    <c:dispBlanksAs val="zero"/>
    <c:showDLblsOverMax val="1"/>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000" b="0" i="0">
                <a:solidFill>
                  <a:srgbClr val="757575"/>
                </a:solidFill>
                <a:latin typeface="Calibri"/>
              </a:defRPr>
            </a:pPr>
            <a:r>
              <a:rPr lang="es-CO" sz="1000" b="0" i="0">
                <a:solidFill>
                  <a:srgbClr val="757575"/>
                </a:solidFill>
                <a:latin typeface="Calibri"/>
              </a:rPr>
              <a:t>AVANCE PILAR INCLUYENTE </a:t>
            </a:r>
            <a:r>
              <a:rPr lang="es-CO" sz="1000" b="1" i="0" u="none" strike="noStrike" baseline="0">
                <a:effectLst/>
              </a:rPr>
              <a:t>DICIEMBRE </a:t>
            </a:r>
            <a:r>
              <a:rPr lang="es-CO" sz="1000" b="0" i="0">
                <a:solidFill>
                  <a:srgbClr val="757575"/>
                </a:solidFill>
                <a:latin typeface="Calibri"/>
              </a:rPr>
              <a:t>2022. PILAR Y LINEAS ESTRATEGICAS.</a:t>
            </a:r>
          </a:p>
        </c:rich>
      </c:tx>
      <c:layout>
        <c:manualLayout>
          <c:xMode val="edge"/>
          <c:yMode val="edge"/>
          <c:x val="0.16681054840289811"/>
          <c:y val="1.2882447665056361E-2"/>
        </c:manualLayout>
      </c:layout>
      <c:overlay val="0"/>
    </c:title>
    <c:autoTitleDeleted val="0"/>
    <c:plotArea>
      <c:layout/>
      <c:barChart>
        <c:barDir val="col"/>
        <c:grouping val="clustered"/>
        <c:varyColors val="1"/>
        <c:ser>
          <c:idx val="0"/>
          <c:order val="0"/>
          <c:spPr>
            <a:solidFill>
              <a:srgbClr val="00B050"/>
            </a:solidFill>
            <a:ln cmpd="sng">
              <a:solidFill>
                <a:srgbClr val="000000"/>
              </a:solidFill>
            </a:ln>
          </c:spPr>
          <c:invertIfNegative val="1"/>
          <c:dPt>
            <c:idx val="1"/>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1-5072-4B21-ADD8-F82694620687}"/>
              </c:ext>
            </c:extLst>
          </c:dPt>
          <c:dPt>
            <c:idx val="3"/>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1-B524-4A51-803C-485B15780EA2}"/>
              </c:ext>
            </c:extLst>
          </c:dPt>
          <c:dLbls>
            <c:spPr>
              <a:noFill/>
              <a:ln>
                <a:noFill/>
              </a:ln>
              <a:effectLst/>
            </c:spPr>
            <c:txPr>
              <a:bodyPr/>
              <a:lstStyle/>
              <a:p>
                <a:pPr lvl="0">
                  <a:defRPr sz="10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INCLUYENTE'!$C$4:$C$10</c:f>
              <c:strCache>
                <c:ptCount val="7"/>
                <c:pt idx="0">
                  <c:v>PILAR CARTAGENA INCLUYENTE</c:v>
                </c:pt>
                <c:pt idx="1">
                  <c:v>LÍNEA ESTRATÉGICA: SUPERACIÓN DE LA POBREZA Y DESIGUALDAD.</c:v>
                </c:pt>
                <c:pt idx="2">
                  <c:v>LÍNEA EDUCACIÓN: CULTURA DE LA FORMACIÓN “Con la Educación para Todos y Todas Salvamos Juntos a Cartagena”</c:v>
                </c:pt>
                <c:pt idx="3">
                  <c:v>LÍNEA ESTRATÉGICA SALUD PARA TODOS.</c:v>
                </c:pt>
                <c:pt idx="4">
                  <c:v>LÍNEA ESTRATÉGICA: DEPORTE Y RECREACIÓN PARA  LA TRANSFORMACIÓN SOCIAL </c:v>
                </c:pt>
                <c:pt idx="5">
                  <c:v>LÍNEA ESTRATÉGICA ARTES, CULTURA Y PATRIMONIO PARA UNA CARTAGENA INCLUYENTE</c:v>
                </c:pt>
                <c:pt idx="6">
                  <c:v>LÍNEA ESTRATÉGICA: PLANEACIÓN SOCIAL DEL TERRITORIO </c:v>
                </c:pt>
              </c:strCache>
            </c:strRef>
          </c:cat>
          <c:val>
            <c:numRef>
              <c:f>'P. INCLUYENTE'!$D$4:$D$10</c:f>
              <c:numCache>
                <c:formatCode>0.0%</c:formatCode>
                <c:ptCount val="7"/>
                <c:pt idx="0">
                  <c:v>0.82594070908882966</c:v>
                </c:pt>
                <c:pt idx="1">
                  <c:v>0.75270263213906807</c:v>
                </c:pt>
                <c:pt idx="2">
                  <c:v>0.81211184128851488</c:v>
                </c:pt>
                <c:pt idx="3">
                  <c:v>0.72897940477146805</c:v>
                </c:pt>
                <c:pt idx="4">
                  <c:v>0.90119133652329642</c:v>
                </c:pt>
                <c:pt idx="5">
                  <c:v>0.84637332552491618</c:v>
                </c:pt>
                <c:pt idx="6">
                  <c:v>0.91428571428571426</c:v>
                </c:pt>
              </c:numCache>
            </c:numRef>
          </c:val>
          <c:extLst xmlns:c16r2="http://schemas.microsoft.com/office/drawing/2015/06/chart">
            <c:ext xmlns:c16="http://schemas.microsoft.com/office/drawing/2014/chart" uri="{C3380CC4-5D6E-409C-BE32-E72D297353CC}">
              <c16:uniqueId val="{00000002-5072-4B21-ADD8-F82694620687}"/>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120074832"/>
        <c:axId val="639549072"/>
      </c:barChart>
      <c:catAx>
        <c:axId val="12007483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700" b="0" i="0">
                <a:solidFill>
                  <a:srgbClr val="000000"/>
                </a:solidFill>
                <a:latin typeface="Calibri"/>
              </a:defRPr>
            </a:pPr>
            <a:endParaRPr lang="es-CO"/>
          </a:p>
        </c:txPr>
        <c:crossAx val="639549072"/>
        <c:crosses val="autoZero"/>
        <c:auto val="1"/>
        <c:lblAlgn val="ctr"/>
        <c:lblOffset val="100"/>
        <c:noMultiLvlLbl val="1"/>
      </c:catAx>
      <c:valAx>
        <c:axId val="63954907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CO"/>
          </a:p>
        </c:txPr>
        <c:crossAx val="120074832"/>
        <c:crosses val="autoZero"/>
        <c:crossBetween val="between"/>
      </c:valAx>
    </c:plotArea>
    <c:plotVisOnly val="1"/>
    <c:dispBlanksAs val="zero"/>
    <c:showDLblsOverMax val="1"/>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100" b="1" i="0">
                <a:solidFill>
                  <a:srgbClr val="757575"/>
                </a:solidFill>
                <a:latin typeface="Calibri"/>
              </a:defRPr>
            </a:pPr>
            <a:r>
              <a:rPr lang="es-CO" sz="1100" b="1" i="0">
                <a:solidFill>
                  <a:srgbClr val="757575"/>
                </a:solidFill>
                <a:latin typeface="Calibri"/>
              </a:rPr>
              <a:t>LÍNEA ESTRATÉGICA: SUPERACIÓN DE LA POBREZA Y DESIGUALDAD. AVANCE A </a:t>
            </a:r>
            <a:r>
              <a:rPr lang="es-CO" sz="1100" b="1" i="0" u="none" strike="noStrike" baseline="0">
                <a:effectLst/>
              </a:rPr>
              <a:t>DICIEMBRE </a:t>
            </a:r>
            <a:r>
              <a:rPr lang="es-CO" sz="1100" b="1" i="0">
                <a:solidFill>
                  <a:srgbClr val="757575"/>
                </a:solidFill>
                <a:latin typeface="Calibri"/>
              </a:rPr>
              <a:t> 2022 </a:t>
            </a:r>
          </a:p>
        </c:rich>
      </c:tx>
      <c:layout>
        <c:manualLayout>
          <c:xMode val="edge"/>
          <c:yMode val="edge"/>
          <c:x val="0.16654798584959488"/>
          <c:y val="1.2383954798946219E-2"/>
        </c:manualLayout>
      </c:layout>
      <c:overlay val="0"/>
    </c:title>
    <c:autoTitleDeleted val="0"/>
    <c:plotArea>
      <c:layout/>
      <c:barChart>
        <c:barDir val="bar"/>
        <c:grouping val="clustered"/>
        <c:varyColors val="1"/>
        <c:ser>
          <c:idx val="0"/>
          <c:order val="0"/>
          <c:tx>
            <c:v>AVANCE A DIC 2020</c:v>
          </c:tx>
          <c:spPr>
            <a:solidFill>
              <a:srgbClr val="FFFF00"/>
            </a:solidFill>
            <a:ln cmpd="sng">
              <a:solidFill>
                <a:srgbClr val="000000"/>
              </a:solidFill>
            </a:ln>
          </c:spPr>
          <c:invertIfNegative val="1"/>
          <c:dPt>
            <c:idx val="0"/>
            <c:invertIfNegative val="1"/>
            <c:bubble3D val="0"/>
            <c:extLst xmlns:c16r2="http://schemas.microsoft.com/office/drawing/2015/06/chart">
              <c:ext xmlns:c16="http://schemas.microsoft.com/office/drawing/2014/chart" uri="{C3380CC4-5D6E-409C-BE32-E72D297353CC}">
                <c16:uniqueId val="{00000001-B6E4-4A80-B7E5-F9C403FFC4F2}"/>
              </c:ext>
            </c:extLst>
          </c:dPt>
          <c:dPt>
            <c:idx val="1"/>
            <c:invertIfNegative val="1"/>
            <c:bubble3D val="0"/>
            <c:extLst xmlns:c16r2="http://schemas.microsoft.com/office/drawing/2015/06/chart">
              <c:ext xmlns:c16="http://schemas.microsoft.com/office/drawing/2014/chart" uri="{C3380CC4-5D6E-409C-BE32-E72D297353CC}">
                <c16:uniqueId val="{00000011-A42A-433F-B613-63B7048A640B}"/>
              </c:ext>
            </c:extLst>
          </c:dPt>
          <c:dPt>
            <c:idx val="2"/>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D-9375-440D-A764-FF04FB6C5BB9}"/>
              </c:ext>
            </c:extLst>
          </c:dPt>
          <c:dPt>
            <c:idx val="3"/>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10-A42A-433F-B613-63B7048A640B}"/>
              </c:ext>
            </c:extLst>
          </c:dPt>
          <c:dPt>
            <c:idx val="4"/>
            <c:invertIfNegative val="1"/>
            <c:bubble3D val="0"/>
            <c:spPr>
              <a:solidFill>
                <a:srgbClr val="FF0000"/>
              </a:solidFill>
              <a:ln cmpd="sng">
                <a:solidFill>
                  <a:srgbClr val="000000"/>
                </a:solidFill>
              </a:ln>
            </c:spPr>
            <c:extLst xmlns:c16r2="http://schemas.microsoft.com/office/drawing/2015/06/chart">
              <c:ext xmlns:c16="http://schemas.microsoft.com/office/drawing/2014/chart" uri="{C3380CC4-5D6E-409C-BE32-E72D297353CC}">
                <c16:uniqueId val="{0000000F-A42A-433F-B613-63B7048A640B}"/>
              </c:ext>
            </c:extLst>
          </c:dPt>
          <c:dPt>
            <c:idx val="5"/>
            <c:invertIfNegative val="1"/>
            <c:bubble3D val="0"/>
            <c:extLst xmlns:c16r2="http://schemas.microsoft.com/office/drawing/2015/06/chart">
              <c:ext xmlns:c16="http://schemas.microsoft.com/office/drawing/2014/chart" uri="{C3380CC4-5D6E-409C-BE32-E72D297353CC}">
                <c16:uniqueId val="{0000000E-A42A-433F-B613-63B7048A640B}"/>
              </c:ext>
            </c:extLst>
          </c:dPt>
          <c:dPt>
            <c:idx val="6"/>
            <c:invertIfNegative val="1"/>
            <c:bubble3D val="0"/>
            <c:extLst xmlns:c16r2="http://schemas.microsoft.com/office/drawing/2015/06/chart">
              <c:ext xmlns:c16="http://schemas.microsoft.com/office/drawing/2014/chart" uri="{C3380CC4-5D6E-409C-BE32-E72D297353CC}">
                <c16:uniqueId val="{00000003-B6E4-4A80-B7E5-F9C403FFC4F2}"/>
              </c:ext>
            </c:extLst>
          </c:dPt>
          <c:dPt>
            <c:idx val="7"/>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5-B6E4-4A80-B7E5-F9C403FFC4F2}"/>
              </c:ext>
            </c:extLst>
          </c:dPt>
          <c:dPt>
            <c:idx val="8"/>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7-B6E4-4A80-B7E5-F9C403FFC4F2}"/>
              </c:ext>
            </c:extLst>
          </c:dPt>
          <c:dPt>
            <c:idx val="9"/>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9-B6E4-4A80-B7E5-F9C403FFC4F2}"/>
              </c:ext>
            </c:extLst>
          </c:dPt>
          <c:dPt>
            <c:idx val="10"/>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B-B6E4-4A80-B7E5-F9C403FFC4F2}"/>
              </c:ext>
            </c:extLst>
          </c:dPt>
          <c:dLbls>
            <c:spPr>
              <a:noFill/>
              <a:ln>
                <a:noFill/>
              </a:ln>
              <a:effectLst/>
            </c:spPr>
            <c:txPr>
              <a:bodyPr/>
              <a:lstStyle/>
              <a:p>
                <a:pPr lvl="0">
                  <a:defRPr sz="900" b="0"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INCLUYENTE'!$C$16:$C$26</c:f>
              <c:strCache>
                <c:ptCount val="11"/>
                <c:pt idx="0">
                  <c:v>LÍNEA ESTRATÉGICA: SUPERACIÓN DE LA POBREZA Y DESIGUALDAD.</c:v>
                </c:pt>
                <c:pt idx="1">
                  <c:v>Programa: Identificación para la superación de la pobreza extrema y desigualdad </c:v>
                </c:pt>
                <c:pt idx="2">
                  <c:v>Programa: Salud para la superación de la pobreza extrema y desigualdad </c:v>
                </c:pt>
                <c:pt idx="3">
                  <c:v>Programa: Educación para la superación de la pobreza extrema y la desigualdad</c:v>
                </c:pt>
                <c:pt idx="4">
                  <c:v>Programa: Habitabilidad para la superación de la pobreza extrema y la desigualdad</c:v>
                </c:pt>
                <c:pt idx="5">
                  <c:v>Programa Ingresos y trabajo para la superación de la pobreza extrema y desigualdad </c:v>
                </c:pt>
                <c:pt idx="6">
                  <c:v>Programa: Bancarización para la superación de la pobreza extrema y desigualdad </c:v>
                </c:pt>
                <c:pt idx="7">
                  <c:v>Programa: Dinámica Familiar para la Superación de la Pobreza Extrema</c:v>
                </c:pt>
                <c:pt idx="8">
                  <c:v>Programa Seguridad alimentaria y nutrición para la superación de la pobreza extrema</c:v>
                </c:pt>
                <c:pt idx="9">
                  <c:v>Programa: Acceso a la justicia para la superación de la pobreza extrema y desigualdad</c:v>
                </c:pt>
                <c:pt idx="10">
                  <c:v>Programa: Fortalecimiento institucional para superación de la pobreza extrema y desigualdad</c:v>
                </c:pt>
              </c:strCache>
            </c:strRef>
          </c:cat>
          <c:val>
            <c:numRef>
              <c:f>'P. INCLUYENTE'!$D$16:$D$26</c:f>
              <c:numCache>
                <c:formatCode>0.0%</c:formatCode>
                <c:ptCount val="11"/>
                <c:pt idx="0">
                  <c:v>0.75270263213906807</c:v>
                </c:pt>
                <c:pt idx="1">
                  <c:v>0.58027520315193304</c:v>
                </c:pt>
                <c:pt idx="2">
                  <c:v>0.79293732962125174</c:v>
                </c:pt>
                <c:pt idx="3">
                  <c:v>0.85717223941230947</c:v>
                </c:pt>
                <c:pt idx="4">
                  <c:v>0.42149160912543343</c:v>
                </c:pt>
                <c:pt idx="5">
                  <c:v>0.55725000000000002</c:v>
                </c:pt>
                <c:pt idx="6">
                  <c:v>0.69381481481481488</c:v>
                </c:pt>
                <c:pt idx="7">
                  <c:v>0.84539191175863293</c:v>
                </c:pt>
                <c:pt idx="8">
                  <c:v>0.94442187499999997</c:v>
                </c:pt>
                <c:pt idx="9">
                  <c:v>0.9129166666666666</c:v>
                </c:pt>
                <c:pt idx="10">
                  <c:v>0.92135467183963793</c:v>
                </c:pt>
              </c:numCache>
            </c:numRef>
          </c:val>
          <c:extLst xmlns:c16r2="http://schemas.microsoft.com/office/drawing/2015/06/chart">
            <c:ext xmlns:c16="http://schemas.microsoft.com/office/drawing/2014/chart" uri="{C3380CC4-5D6E-409C-BE32-E72D297353CC}">
              <c16:uniqueId val="{0000000C-B6E4-4A80-B7E5-F9C403FFC4F2}"/>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639545264"/>
        <c:axId val="639543088"/>
      </c:barChart>
      <c:catAx>
        <c:axId val="639545264"/>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639543088"/>
        <c:crosses val="autoZero"/>
        <c:auto val="1"/>
        <c:lblAlgn val="ctr"/>
        <c:lblOffset val="100"/>
        <c:noMultiLvlLbl val="1"/>
      </c:catAx>
      <c:valAx>
        <c:axId val="639543088"/>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500" b="0" i="0">
                <a:solidFill>
                  <a:srgbClr val="000000"/>
                </a:solidFill>
                <a:latin typeface="Calibri"/>
              </a:defRPr>
            </a:pPr>
            <a:endParaRPr lang="es-CO"/>
          </a:p>
        </c:txPr>
        <c:crossAx val="639545264"/>
        <c:crosses val="max"/>
        <c:crossBetween val="between"/>
      </c:valAx>
    </c:plotArea>
    <c:plotVisOnly val="1"/>
    <c:dispBlanksAs val="zero"/>
    <c:showDLblsOverMax val="1"/>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100" b="1" i="0">
                <a:solidFill>
                  <a:srgbClr val="757575"/>
                </a:solidFill>
                <a:latin typeface="Calibri"/>
              </a:defRPr>
            </a:pPr>
            <a:r>
              <a:rPr lang="es-CO" sz="1100" b="1" i="0">
                <a:solidFill>
                  <a:srgbClr val="757575"/>
                </a:solidFill>
                <a:latin typeface="Calibri"/>
              </a:rPr>
              <a:t>LÍNEA EDUCACIÓN: CULTURA DE LA FORMACIÓN “Con la Educación para Todos y Todas Salvamos Juntos a Cartagena” AVANCE A </a:t>
            </a:r>
            <a:r>
              <a:rPr lang="es-CO" sz="1100" b="1" i="0" u="none" strike="noStrike" baseline="0">
                <a:effectLst/>
              </a:rPr>
              <a:t>DICIEMBRE  </a:t>
            </a:r>
            <a:r>
              <a:rPr lang="es-CO" sz="1100" b="1" i="0">
                <a:solidFill>
                  <a:srgbClr val="757575"/>
                </a:solidFill>
                <a:latin typeface="Calibri"/>
              </a:rPr>
              <a:t> 2022 </a:t>
            </a:r>
          </a:p>
        </c:rich>
      </c:tx>
      <c:layout>
        <c:manualLayout>
          <c:xMode val="edge"/>
          <c:yMode val="edge"/>
          <c:x val="0.12413533632528014"/>
          <c:y val="1.9985724482512492E-2"/>
        </c:manualLayout>
      </c:layout>
      <c:overlay val="0"/>
    </c:title>
    <c:autoTitleDeleted val="0"/>
    <c:plotArea>
      <c:layout/>
      <c:barChart>
        <c:barDir val="bar"/>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extLst xmlns:c16r2="http://schemas.microsoft.com/office/drawing/2015/06/chart">
              <c:ext xmlns:c16="http://schemas.microsoft.com/office/drawing/2014/chart" uri="{C3380CC4-5D6E-409C-BE32-E72D297353CC}">
                <c16:uniqueId val="{0000000E-9059-46B1-861E-C57D5F749AF5}"/>
              </c:ext>
            </c:extLst>
          </c:dPt>
          <c:dPt>
            <c:idx val="1"/>
            <c:invertIfNegative val="1"/>
            <c:bubble3D val="0"/>
            <c:extLst xmlns:c16r2="http://schemas.microsoft.com/office/drawing/2015/06/chart">
              <c:ext xmlns:c16="http://schemas.microsoft.com/office/drawing/2014/chart" uri="{C3380CC4-5D6E-409C-BE32-E72D297353CC}">
                <c16:uniqueId val="{00000001-15FA-40F3-919C-6AF6952D03E2}"/>
              </c:ext>
            </c:extLst>
          </c:dPt>
          <c:dPt>
            <c:idx val="2"/>
            <c:invertIfNegative val="1"/>
            <c:bubble3D val="0"/>
            <c:extLst xmlns:c16r2="http://schemas.microsoft.com/office/drawing/2015/06/chart">
              <c:ext xmlns:c16="http://schemas.microsoft.com/office/drawing/2014/chart" uri="{C3380CC4-5D6E-409C-BE32-E72D297353CC}">
                <c16:uniqueId val="{00000003-15FA-40F3-919C-6AF6952D03E2}"/>
              </c:ext>
            </c:extLst>
          </c:dPt>
          <c:dPt>
            <c:idx val="3"/>
            <c:invertIfNegative val="1"/>
            <c:bubble3D val="0"/>
            <c:extLst xmlns:c16r2="http://schemas.microsoft.com/office/drawing/2015/06/chart">
              <c:ext xmlns:c16="http://schemas.microsoft.com/office/drawing/2014/chart" uri="{C3380CC4-5D6E-409C-BE32-E72D297353CC}">
                <c16:uniqueId val="{0000000F-9059-46B1-861E-C57D5F749AF5}"/>
              </c:ext>
            </c:extLst>
          </c:dPt>
          <c:dPt>
            <c:idx val="4"/>
            <c:invertIfNegative val="1"/>
            <c:bubble3D val="0"/>
            <c:extLst xmlns:c16r2="http://schemas.microsoft.com/office/drawing/2015/06/chart">
              <c:ext xmlns:c16="http://schemas.microsoft.com/office/drawing/2014/chart" uri="{C3380CC4-5D6E-409C-BE32-E72D297353CC}">
                <c16:uniqueId val="{00000014-FB38-4C81-A18A-1651D4C9B29D}"/>
              </c:ext>
            </c:extLst>
          </c:dPt>
          <c:dPt>
            <c:idx val="5"/>
            <c:invertIfNegative val="1"/>
            <c:bubble3D val="0"/>
            <c:extLst xmlns:c16r2="http://schemas.microsoft.com/office/drawing/2015/06/chart">
              <c:ext xmlns:c16="http://schemas.microsoft.com/office/drawing/2014/chart" uri="{C3380CC4-5D6E-409C-BE32-E72D297353CC}">
                <c16:uniqueId val="{00000005-15FA-40F3-919C-6AF6952D03E2}"/>
              </c:ext>
            </c:extLst>
          </c:dPt>
          <c:dPt>
            <c:idx val="6"/>
            <c:invertIfNegative val="1"/>
            <c:bubble3D val="0"/>
            <c:extLst xmlns:c16r2="http://schemas.microsoft.com/office/drawing/2015/06/chart">
              <c:ext xmlns:c16="http://schemas.microsoft.com/office/drawing/2014/chart" uri="{C3380CC4-5D6E-409C-BE32-E72D297353CC}">
                <c16:uniqueId val="{00000007-15FA-40F3-919C-6AF6952D03E2}"/>
              </c:ext>
            </c:extLst>
          </c:dPt>
          <c:dPt>
            <c:idx val="7"/>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11-9059-46B1-861E-C57D5F749AF5}"/>
              </c:ext>
            </c:extLst>
          </c:dPt>
          <c:dPt>
            <c:idx val="8"/>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9-15FA-40F3-919C-6AF6952D03E2}"/>
              </c:ext>
            </c:extLst>
          </c:dPt>
          <c:dPt>
            <c:idx val="9"/>
            <c:invertIfNegative val="1"/>
            <c:bubble3D val="0"/>
            <c:extLst xmlns:c16r2="http://schemas.microsoft.com/office/drawing/2015/06/chart">
              <c:ext xmlns:c16="http://schemas.microsoft.com/office/drawing/2014/chart" uri="{C3380CC4-5D6E-409C-BE32-E72D297353CC}">
                <c16:uniqueId val="{0000000B-15FA-40F3-919C-6AF6952D03E2}"/>
              </c:ext>
            </c:extLst>
          </c:dPt>
          <c:dPt>
            <c:idx val="10"/>
            <c:invertIfNegative val="1"/>
            <c:bubble3D val="0"/>
            <c:extLst xmlns:c16r2="http://schemas.microsoft.com/office/drawing/2015/06/chart">
              <c:ext xmlns:c16="http://schemas.microsoft.com/office/drawing/2014/chart" uri="{C3380CC4-5D6E-409C-BE32-E72D297353CC}">
                <c16:uniqueId val="{0000000D-15FA-40F3-919C-6AF6952D03E2}"/>
              </c:ext>
            </c:extLst>
          </c:dPt>
          <c:dLbls>
            <c:spPr>
              <a:noFill/>
              <a:ln>
                <a:noFill/>
              </a:ln>
              <a:effectLst/>
            </c:spPr>
            <c:txPr>
              <a:bodyPr/>
              <a:lstStyle/>
              <a:p>
                <a:pPr lvl="0">
                  <a:defRPr sz="900" b="0"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INCLUYENTE'!$C$29:$C$39</c:f>
              <c:strCache>
                <c:ptCount val="11"/>
                <c:pt idx="0">
                  <c:v>LÍNEA EDUCACIÓN: CULTURA DE LA FORMACIÓN “Con la Educación para Todos y Todas Salvamos Juntos a Cartagena”</c:v>
                </c:pt>
                <c:pt idx="1">
                  <c:v>Programa: Acogida “atención a poblaciones y estrategias de acceso y permanencia”</c:v>
                </c:pt>
                <c:pt idx="2">
                  <c:v>Programa: Sabiduría de la primera infancia “grandes banderas, gesto e ideas para cambiar el planeta”</c:v>
                </c:pt>
                <c:pt idx="3">
                  <c:v>Programa: Formando con amor “Genio Singular”</c:v>
                </c:pt>
                <c:pt idx="4">
                  <c:v>Programa Desarrollo de potencialidades</c:v>
                </c:pt>
                <c:pt idx="5">
                  <c:v>Programa Participación, democracia y autonomía</c:v>
                </c:pt>
                <c:pt idx="6">
                  <c:v>Programa de Educación mediada a través de tecnologías de la información y las comunicaciones-Tic´s</c:v>
                </c:pt>
                <c:pt idx="7">
                  <c:v>Programa: Educación para transformar “educación media técnica y superior”</c:v>
                </c:pt>
                <c:pt idx="8">
                  <c:v>Programa: Movilización educativa “Por una gestión educativa transparente, participativa y eficiente”</c:v>
                </c:pt>
                <c:pt idx="9">
                  <c:v>Programa: Por una Educación Post secundaria Distrital</c:v>
                </c:pt>
                <c:pt idx="10">
                  <c:v>Programa Fortalecimiento de la oferta de educación superior oficial del Distrito de Cartagena D. T. y C.</c:v>
                </c:pt>
              </c:strCache>
            </c:strRef>
          </c:cat>
          <c:val>
            <c:numRef>
              <c:f>'P. INCLUYENTE'!$D$29:$D$39</c:f>
              <c:numCache>
                <c:formatCode>0.0%</c:formatCode>
                <c:ptCount val="11"/>
                <c:pt idx="0">
                  <c:v>0.81211184128851488</c:v>
                </c:pt>
                <c:pt idx="1">
                  <c:v>0.82434265010351981</c:v>
                </c:pt>
                <c:pt idx="2">
                  <c:v>0.91539010919248343</c:v>
                </c:pt>
                <c:pt idx="3">
                  <c:v>0.83333333333333337</c:v>
                </c:pt>
                <c:pt idx="4">
                  <c:v>0.79974999999999996</c:v>
                </c:pt>
                <c:pt idx="5">
                  <c:v>0.79226190476190483</c:v>
                </c:pt>
                <c:pt idx="6">
                  <c:v>0.91494770805518466</c:v>
                </c:pt>
                <c:pt idx="7">
                  <c:v>0.58502127886729627</c:v>
                </c:pt>
                <c:pt idx="8">
                  <c:v>0.61857142857142855</c:v>
                </c:pt>
                <c:pt idx="9">
                  <c:v>1</c:v>
                </c:pt>
                <c:pt idx="10">
                  <c:v>0.83750000000000002</c:v>
                </c:pt>
              </c:numCache>
            </c:numRef>
          </c:val>
          <c:extLst xmlns:c16r2="http://schemas.microsoft.com/office/drawing/2015/06/chart">
            <c:ext xmlns:c16="http://schemas.microsoft.com/office/drawing/2014/chart" uri="{C3380CC4-5D6E-409C-BE32-E72D297353CC}">
              <c16:uniqueId val="{0000000E-15FA-40F3-919C-6AF6952D03E2}"/>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639541456"/>
        <c:axId val="639544720"/>
      </c:barChart>
      <c:catAx>
        <c:axId val="639541456"/>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639544720"/>
        <c:crosses val="autoZero"/>
        <c:auto val="1"/>
        <c:lblAlgn val="ctr"/>
        <c:lblOffset val="100"/>
        <c:noMultiLvlLbl val="1"/>
      </c:catAx>
      <c:valAx>
        <c:axId val="639544720"/>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600" b="0" i="0">
                <a:solidFill>
                  <a:srgbClr val="000000"/>
                </a:solidFill>
                <a:latin typeface="Calibri"/>
              </a:defRPr>
            </a:pPr>
            <a:endParaRPr lang="es-CO"/>
          </a:p>
        </c:txPr>
        <c:crossAx val="639541456"/>
        <c:crosses val="max"/>
        <c:crossBetween val="between"/>
      </c:valAx>
    </c:plotArea>
    <c:plotVisOnly val="1"/>
    <c:dispBlanksAs val="zero"/>
    <c:showDLblsOverMax val="1"/>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100" b="0" i="0">
                <a:solidFill>
                  <a:srgbClr val="757575"/>
                </a:solidFill>
                <a:latin typeface="Calibri"/>
              </a:defRPr>
            </a:pPr>
            <a:r>
              <a:rPr lang="es-CO" sz="1100" b="0" i="0">
                <a:solidFill>
                  <a:srgbClr val="757575"/>
                </a:solidFill>
                <a:latin typeface="Calibri"/>
              </a:rPr>
              <a:t>LÍNEA ESTRATÉGICA SALUD PARA TODOS. AVANCE A </a:t>
            </a:r>
            <a:r>
              <a:rPr lang="es-CO" sz="1100" b="1" i="0" u="none" strike="noStrike" baseline="0">
                <a:effectLst/>
              </a:rPr>
              <a:t>DICIEMBRE </a:t>
            </a:r>
            <a:r>
              <a:rPr lang="es-CO" sz="1100" b="0" i="0">
                <a:solidFill>
                  <a:srgbClr val="757575"/>
                </a:solidFill>
                <a:latin typeface="Calibri"/>
              </a:rPr>
              <a:t> 2022 </a:t>
            </a:r>
          </a:p>
        </c:rich>
      </c:tx>
      <c:overlay val="0"/>
    </c:title>
    <c:autoTitleDeleted val="0"/>
    <c:plotArea>
      <c:layout/>
      <c:barChart>
        <c:barDir val="bar"/>
        <c:grouping val="clustered"/>
        <c:varyColors val="1"/>
        <c:ser>
          <c:idx val="0"/>
          <c:order val="0"/>
          <c:tx>
            <c:v>AVANCE A DIC 2020</c:v>
          </c:tx>
          <c:spPr>
            <a:solidFill>
              <a:srgbClr val="FFFF00"/>
            </a:solidFill>
            <a:ln cmpd="sng">
              <a:solidFill>
                <a:srgbClr val="000000"/>
              </a:solidFill>
            </a:ln>
          </c:spPr>
          <c:invertIfNegative val="1"/>
          <c:dPt>
            <c:idx val="1"/>
            <c:invertIfNegative val="1"/>
            <c:bubble3D val="0"/>
            <c:extLst xmlns:c16r2="http://schemas.microsoft.com/office/drawing/2015/06/chart">
              <c:ext xmlns:c16="http://schemas.microsoft.com/office/drawing/2014/chart" uri="{C3380CC4-5D6E-409C-BE32-E72D297353CC}">
                <c16:uniqueId val="{00000007-5569-4A79-BD7C-4AB371634D73}"/>
              </c:ext>
            </c:extLst>
          </c:dPt>
          <c:dPt>
            <c:idx val="2"/>
            <c:invertIfNegative val="1"/>
            <c:bubble3D val="0"/>
            <c:extLst xmlns:c16r2="http://schemas.microsoft.com/office/drawing/2015/06/chart">
              <c:ext xmlns:c16="http://schemas.microsoft.com/office/drawing/2014/chart" uri="{C3380CC4-5D6E-409C-BE32-E72D297353CC}">
                <c16:uniqueId val="{00000001-A3C4-4A68-8A85-ECCC9F925E2A}"/>
              </c:ext>
            </c:extLst>
          </c:dPt>
          <c:dPt>
            <c:idx val="3"/>
            <c:invertIfNegative val="1"/>
            <c:bubble3D val="0"/>
            <c:extLst xmlns:c16r2="http://schemas.microsoft.com/office/drawing/2015/06/chart">
              <c:ext xmlns:c16="http://schemas.microsoft.com/office/drawing/2014/chart" uri="{C3380CC4-5D6E-409C-BE32-E72D297353CC}">
                <c16:uniqueId val="{00000003-A3C4-4A68-8A85-ECCC9F925E2A}"/>
              </c:ext>
            </c:extLst>
          </c:dPt>
          <c:dPt>
            <c:idx val="6"/>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8-5569-4A79-BD7C-4AB371634D73}"/>
              </c:ext>
            </c:extLst>
          </c:dPt>
          <c:dPt>
            <c:idx val="7"/>
            <c:invertIfNegative val="1"/>
            <c:bubble3D val="0"/>
            <c:extLst xmlns:c16r2="http://schemas.microsoft.com/office/drawing/2015/06/chart">
              <c:ext xmlns:c16="http://schemas.microsoft.com/office/drawing/2014/chart" uri="{C3380CC4-5D6E-409C-BE32-E72D297353CC}">
                <c16:uniqueId val="{00000005-A3C4-4A68-8A85-ECCC9F925E2A}"/>
              </c:ext>
            </c:extLst>
          </c:dPt>
          <c:dPt>
            <c:idx val="9"/>
            <c:invertIfNegative val="1"/>
            <c:bubble3D val="0"/>
            <c:extLst xmlns:c16r2="http://schemas.microsoft.com/office/drawing/2015/06/chart">
              <c:ext xmlns:c16="http://schemas.microsoft.com/office/drawing/2014/chart" uri="{C3380CC4-5D6E-409C-BE32-E72D297353CC}">
                <c16:uniqueId val="{00000009-5569-4A79-BD7C-4AB371634D73}"/>
              </c:ext>
            </c:extLst>
          </c:dPt>
          <c:dPt>
            <c:idx val="10"/>
            <c:invertIfNegative val="1"/>
            <c:bubble3D val="0"/>
            <c:extLst xmlns:c16r2="http://schemas.microsoft.com/office/drawing/2015/06/chart">
              <c:ext xmlns:c16="http://schemas.microsoft.com/office/drawing/2014/chart" uri="{C3380CC4-5D6E-409C-BE32-E72D297353CC}">
                <c16:uniqueId val="{00000007-A3C4-4A68-8A85-ECCC9F925E2A}"/>
              </c:ext>
            </c:extLst>
          </c:dPt>
          <c:dLbls>
            <c:spPr>
              <a:noFill/>
              <a:ln>
                <a:noFill/>
              </a:ln>
              <a:effectLst/>
            </c:spPr>
            <c:txPr>
              <a:bodyPr/>
              <a:lstStyle/>
              <a:p>
                <a:pPr lvl="0">
                  <a:defRPr sz="900" b="0"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INCLUYENTE'!$C$43:$C$53</c:f>
              <c:strCache>
                <c:ptCount val="11"/>
                <c:pt idx="0">
                  <c:v>LÍNEA ESTRATÉGICA SALUD PARA TODOS.</c:v>
                </c:pt>
                <c:pt idx="1">
                  <c:v>Programa: Fortalecimiento de la autoridad sanitaria</c:v>
                </c:pt>
                <c:pt idx="2">
                  <c:v>Programa: Transversal gestión diferencial de poblaciones vulnerables</c:v>
                </c:pt>
                <c:pt idx="3">
                  <c:v>Programa Salud ambiental</c:v>
                </c:pt>
                <c:pt idx="4">
                  <c:v>Programa: Vida saludable y condiciones no transmisibles</c:v>
                </c:pt>
                <c:pt idx="5">
                  <c:v>Programa: Convivencia social y salud mental</c:v>
                </c:pt>
                <c:pt idx="6">
                  <c:v>Programa Nutrición e inocuidad de alimentos</c:v>
                </c:pt>
                <c:pt idx="7">
                  <c:v>Programa Sexualidad, derechos sexuales y reproductivos</c:v>
                </c:pt>
                <c:pt idx="8">
                  <c:v>Programa: Vida saludable y enfermedades transmisibles</c:v>
                </c:pt>
                <c:pt idx="9">
                  <c:v>Programa: Salud pública en emergencias y desastres</c:v>
                </c:pt>
                <c:pt idx="10">
                  <c:v>Programa: Salud y ámbito laboral</c:v>
                </c:pt>
              </c:strCache>
            </c:strRef>
          </c:cat>
          <c:val>
            <c:numRef>
              <c:f>'P. INCLUYENTE'!$D$43:$D$53</c:f>
              <c:numCache>
                <c:formatCode>0.0%</c:formatCode>
                <c:ptCount val="11"/>
                <c:pt idx="0" formatCode="0.00%">
                  <c:v>0.72897940477146805</c:v>
                </c:pt>
                <c:pt idx="1">
                  <c:v>0.75835868074942092</c:v>
                </c:pt>
                <c:pt idx="2">
                  <c:v>0.6379776595345189</c:v>
                </c:pt>
                <c:pt idx="3">
                  <c:v>0.67434972696339401</c:v>
                </c:pt>
                <c:pt idx="4">
                  <c:v>0.74875274122807034</c:v>
                </c:pt>
                <c:pt idx="5">
                  <c:v>0.73178947368421055</c:v>
                </c:pt>
                <c:pt idx="6">
                  <c:v>0.8670500000000001</c:v>
                </c:pt>
                <c:pt idx="7" formatCode="0.00%">
                  <c:v>0.69750178571428578</c:v>
                </c:pt>
                <c:pt idx="8">
                  <c:v>0.75368064650744737</c:v>
                </c:pt>
                <c:pt idx="9">
                  <c:v>0.75</c:v>
                </c:pt>
                <c:pt idx="10">
                  <c:v>0.67033333333333334</c:v>
                </c:pt>
              </c:numCache>
            </c:numRef>
          </c:val>
          <c:extLst xmlns:c16r2="http://schemas.microsoft.com/office/drawing/2015/06/chart">
            <c:ext xmlns:c16="http://schemas.microsoft.com/office/drawing/2014/chart" uri="{C3380CC4-5D6E-409C-BE32-E72D297353CC}">
              <c16:uniqueId val="{00000008-A3C4-4A68-8A85-ECCC9F925E2A}"/>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639549616"/>
        <c:axId val="639543632"/>
      </c:barChart>
      <c:catAx>
        <c:axId val="639549616"/>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639543632"/>
        <c:crosses val="autoZero"/>
        <c:auto val="1"/>
        <c:lblAlgn val="ctr"/>
        <c:lblOffset val="100"/>
        <c:noMultiLvlLbl val="1"/>
      </c:catAx>
      <c:valAx>
        <c:axId val="639543632"/>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0%" sourceLinked="1"/>
        <c:majorTickMark val="none"/>
        <c:minorTickMark val="none"/>
        <c:tickLblPos val="nextTo"/>
        <c:spPr>
          <a:ln/>
        </c:spPr>
        <c:txPr>
          <a:bodyPr/>
          <a:lstStyle/>
          <a:p>
            <a:pPr lvl="0">
              <a:defRPr sz="500" b="0" i="0">
                <a:solidFill>
                  <a:srgbClr val="000000"/>
                </a:solidFill>
                <a:latin typeface="Calibri"/>
              </a:defRPr>
            </a:pPr>
            <a:endParaRPr lang="es-CO"/>
          </a:p>
        </c:txPr>
        <c:crossAx val="639549616"/>
        <c:crosses val="max"/>
        <c:crossBetween val="between"/>
      </c:valAx>
    </c:plotArea>
    <c:plotVisOnly val="1"/>
    <c:dispBlanksAs val="zero"/>
    <c:showDLblsOverMax val="1"/>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200" b="0" i="0">
                <a:solidFill>
                  <a:srgbClr val="757575"/>
                </a:solidFill>
                <a:latin typeface="Calibri"/>
              </a:defRPr>
            </a:pPr>
            <a:r>
              <a:rPr lang="es-CO" sz="1200" b="0" i="0">
                <a:solidFill>
                  <a:srgbClr val="757575"/>
                </a:solidFill>
                <a:latin typeface="Calibri"/>
              </a:rPr>
              <a:t>LÍNEA ESTRATÉGICA: DEPORTE Y RECREACIÓN PARA  LA TRANSFORMACIÓN SOCIAL. AVANCE A </a:t>
            </a:r>
            <a:r>
              <a:rPr lang="es-CO" sz="1200" b="1" i="0" u="none" strike="noStrike" baseline="0">
                <a:effectLst/>
              </a:rPr>
              <a:t>DICIEMBRE </a:t>
            </a:r>
            <a:r>
              <a:rPr lang="es-CO" sz="1200" b="0" i="0">
                <a:solidFill>
                  <a:srgbClr val="757575"/>
                </a:solidFill>
                <a:latin typeface="Calibri"/>
              </a:rPr>
              <a:t> 2022 </a:t>
            </a:r>
          </a:p>
        </c:rich>
      </c:tx>
      <c:overlay val="0"/>
    </c:title>
    <c:autoTitleDeleted val="0"/>
    <c:plotArea>
      <c:layout/>
      <c:barChart>
        <c:barDir val="bar"/>
        <c:grouping val="clustered"/>
        <c:varyColors val="1"/>
        <c:ser>
          <c:idx val="0"/>
          <c:order val="0"/>
          <c:tx>
            <c:v>AVANCE A DIC 2020</c:v>
          </c:tx>
          <c:spPr>
            <a:solidFill>
              <a:srgbClr val="00B050"/>
            </a:solidFill>
            <a:ln cmpd="sng">
              <a:solidFill>
                <a:srgbClr val="000000"/>
              </a:solidFill>
            </a:ln>
          </c:spPr>
          <c:invertIfNegative val="1"/>
          <c:dPt>
            <c:idx val="3"/>
            <c:invertIfNegative val="1"/>
            <c:bubble3D val="0"/>
            <c:extLst xmlns:c16r2="http://schemas.microsoft.com/office/drawing/2015/06/chart">
              <c:ext xmlns:c16="http://schemas.microsoft.com/office/drawing/2014/chart" uri="{C3380CC4-5D6E-409C-BE32-E72D297353CC}">
                <c16:uniqueId val="{00000001-C076-469A-B90C-8870F9090010}"/>
              </c:ext>
            </c:extLst>
          </c:dPt>
          <c:dPt>
            <c:idx val="5"/>
            <c:invertIfNegative val="1"/>
            <c:bubble3D val="0"/>
            <c:extLst xmlns:c16r2="http://schemas.microsoft.com/office/drawing/2015/06/chart">
              <c:ext xmlns:c16="http://schemas.microsoft.com/office/drawing/2014/chart" uri="{C3380CC4-5D6E-409C-BE32-E72D297353CC}">
                <c16:uniqueId val="{00000003-C076-469A-B90C-8870F9090010}"/>
              </c:ext>
            </c:extLst>
          </c:dPt>
          <c:dLbls>
            <c:spPr>
              <a:noFill/>
              <a:ln>
                <a:noFill/>
              </a:ln>
              <a:effectLst/>
            </c:spPr>
            <c:txPr>
              <a:bodyPr/>
              <a:lstStyle/>
              <a:p>
                <a:pPr lvl="0">
                  <a:defRPr sz="900" b="0"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INCLUYENTE'!$C$57:$C$64</c:f>
              <c:strCache>
                <c:ptCount val="8"/>
                <c:pt idx="0">
                  <c:v>LÍNEA ESTRATÉGICA: DEPORTE Y RECREACIÓN PARA  LA TRANSFORMACIÓN SOCIAL </c:v>
                </c:pt>
                <c:pt idx="1">
                  <c:v>Programa “La escuela y el deporte son de todos” </c:v>
                </c:pt>
                <c:pt idx="2">
                  <c:v>Programa: Deporte asociado “incentivos con-sentido”</c:v>
                </c:pt>
                <c:pt idx="3">
                  <c:v>Programa: Deporte social comunitario con inclusión “Cartagena Incluyente”</c:v>
                </c:pt>
                <c:pt idx="4">
                  <c:v>Programa: Hábitos y estilos de vida saludable “actívate por tu salud”.</c:v>
                </c:pt>
                <c:pt idx="5">
                  <c:v>Programa: Recreación comunitaria “Recréate Cartagena” </c:v>
                </c:pt>
                <c:pt idx="6">
                  <c:v>Programa: Observatorio de ciencias aplicadas al deporte, la recreación, la actividad física y el aprovechamiento del tiempo libre en el distrito de Cartagena de indias.</c:v>
                </c:pt>
                <c:pt idx="7">
                  <c:v>Programa Administración, Mantenimiento, Adecuación, Mejoramiento y Construcción de Escenarios Deportivos  </c:v>
                </c:pt>
              </c:strCache>
            </c:strRef>
          </c:cat>
          <c:val>
            <c:numRef>
              <c:f>'P. INCLUYENTE'!$D$57:$D$64</c:f>
              <c:numCache>
                <c:formatCode>0.0%</c:formatCode>
                <c:ptCount val="8"/>
                <c:pt idx="0">
                  <c:v>0.90119133652329642</c:v>
                </c:pt>
                <c:pt idx="1">
                  <c:v>0.98765432098765427</c:v>
                </c:pt>
                <c:pt idx="2">
                  <c:v>0.88187499999999996</c:v>
                </c:pt>
                <c:pt idx="3">
                  <c:v>0.8505125</c:v>
                </c:pt>
                <c:pt idx="4">
                  <c:v>1</c:v>
                </c:pt>
                <c:pt idx="5">
                  <c:v>0.84329753467542068</c:v>
                </c:pt>
                <c:pt idx="6">
                  <c:v>0.82000000000000006</c:v>
                </c:pt>
                <c:pt idx="7">
                  <c:v>0.92500000000000004</c:v>
                </c:pt>
              </c:numCache>
            </c:numRef>
          </c:val>
          <c:extLst xmlns:c16r2="http://schemas.microsoft.com/office/drawing/2015/06/chart">
            <c:ext xmlns:c16="http://schemas.microsoft.com/office/drawing/2014/chart" uri="{C3380CC4-5D6E-409C-BE32-E72D297353CC}">
              <c16:uniqueId val="{00000004-C076-469A-B90C-8870F9090010}"/>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639542000"/>
        <c:axId val="639542544"/>
      </c:barChart>
      <c:catAx>
        <c:axId val="639542000"/>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639542544"/>
        <c:crosses val="autoZero"/>
        <c:auto val="1"/>
        <c:lblAlgn val="ctr"/>
        <c:lblOffset val="100"/>
        <c:noMultiLvlLbl val="1"/>
      </c:catAx>
      <c:valAx>
        <c:axId val="639542544"/>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600" b="0" i="0">
                <a:solidFill>
                  <a:srgbClr val="000000"/>
                </a:solidFill>
                <a:latin typeface="Calibri"/>
              </a:defRPr>
            </a:pPr>
            <a:endParaRPr lang="es-CO"/>
          </a:p>
        </c:txPr>
        <c:crossAx val="639542000"/>
        <c:crosses val="max"/>
        <c:crossBetween val="between"/>
      </c:valAx>
    </c:plotArea>
    <c:plotVisOnly val="1"/>
    <c:dispBlanksAs val="zero"/>
    <c:showDLblsOverMax val="1"/>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200" b="1" i="0">
                <a:solidFill>
                  <a:srgbClr val="757575"/>
                </a:solidFill>
                <a:latin typeface="Calibri"/>
              </a:defRPr>
            </a:pPr>
            <a:r>
              <a:rPr lang="es-CO" sz="900" b="1" i="0">
                <a:solidFill>
                  <a:srgbClr val="757575"/>
                </a:solidFill>
                <a:latin typeface="Calibri"/>
              </a:rPr>
              <a:t>LÍNEA ESTRATÉGICA ARTES, CULTURA Y PATRIMONIO PARA UNA CARTAGENA INCLUYENTE. 
AVANCE A </a:t>
            </a:r>
            <a:r>
              <a:rPr lang="es-CO" sz="900" b="1" i="0" u="none" strike="noStrike" baseline="0">
                <a:effectLst/>
              </a:rPr>
              <a:t>DICIEMBRE </a:t>
            </a:r>
            <a:r>
              <a:rPr lang="es-CO" sz="900" b="1" i="0">
                <a:solidFill>
                  <a:srgbClr val="757575"/>
                </a:solidFill>
                <a:latin typeface="Calibri"/>
              </a:rPr>
              <a:t> 2022 </a:t>
            </a:r>
          </a:p>
        </c:rich>
      </c:tx>
      <c:layout>
        <c:manualLayout>
          <c:xMode val="edge"/>
          <c:yMode val="edge"/>
          <c:x val="0.11247527603353379"/>
          <c:y val="1.5594537123133299E-2"/>
        </c:manualLayout>
      </c:layout>
      <c:overlay val="0"/>
    </c:title>
    <c:autoTitleDeleted val="0"/>
    <c:plotArea>
      <c:layout/>
      <c:barChart>
        <c:barDir val="bar"/>
        <c:grouping val="clustered"/>
        <c:varyColors val="1"/>
        <c:ser>
          <c:idx val="0"/>
          <c:order val="0"/>
          <c:tx>
            <c:v>AVANCE A DIC 2020</c:v>
          </c:tx>
          <c:spPr>
            <a:solidFill>
              <a:srgbClr val="00B050"/>
            </a:solidFill>
            <a:ln cmpd="sng">
              <a:solidFill>
                <a:srgbClr val="000000"/>
              </a:solidFill>
            </a:ln>
          </c:spPr>
          <c:invertIfNegative val="1"/>
          <c:dPt>
            <c:idx val="1"/>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2-492E-4684-BA86-30A4E3228624}"/>
              </c:ext>
            </c:extLst>
          </c:dPt>
          <c:dPt>
            <c:idx val="2"/>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6-B808-402B-A31D-DA37BA0204D7}"/>
              </c:ext>
            </c:extLst>
          </c:dPt>
          <c:dPt>
            <c:idx val="5"/>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3-492E-4684-BA86-30A4E3228624}"/>
              </c:ext>
            </c:extLst>
          </c:dPt>
          <c:dPt>
            <c:idx val="6"/>
            <c:invertIfNegative val="1"/>
            <c:bubble3D val="0"/>
            <c:extLst xmlns:c16r2="http://schemas.microsoft.com/office/drawing/2015/06/chart">
              <c:ext xmlns:c16="http://schemas.microsoft.com/office/drawing/2014/chart" uri="{C3380CC4-5D6E-409C-BE32-E72D297353CC}">
                <c16:uniqueId val="{00000001-8726-4A73-827E-FC3C8FF44A8E}"/>
              </c:ext>
            </c:extLst>
          </c:dPt>
          <c:dLbls>
            <c:spPr>
              <a:noFill/>
              <a:ln>
                <a:noFill/>
              </a:ln>
              <a:effectLst/>
            </c:spPr>
            <c:txPr>
              <a:bodyPr/>
              <a:lstStyle/>
              <a:p>
                <a:pPr lvl="0">
                  <a:defRPr sz="900" b="0"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INCLUYENTE'!$C$68:$C$74</c:f>
              <c:strCache>
                <c:ptCount val="7"/>
                <c:pt idx="0">
                  <c:v>LÍNEA ESTRATÉGICA ARTES, CULTURA Y PATRIMONIO PARA UNA CARTAGENA INCLUYENTE</c:v>
                </c:pt>
                <c:pt idx="1">
                  <c:v> Programa: Mediación  y bibliotecas para la Inclusión </c:v>
                </c:pt>
                <c:pt idx="2">
                  <c:v>Programa: Estímulos para las artes y el Emprendimiento incluyente</c:v>
                </c:pt>
                <c:pt idx="3">
                  <c:v>Programa: Patrimonio Inmaterial: Prácticas significativas para la memoria</c:v>
                </c:pt>
                <c:pt idx="4">
                  <c:v> Programa: Valoración, Cuidado y Apropiación Social del Patrimonio Material</c:v>
                </c:pt>
                <c:pt idx="5">
                  <c:v>Programa: Derechos culturales y buen gobierno para el fortalecimiento institucional y ciudadano</c:v>
                </c:pt>
                <c:pt idx="6">
                  <c:v>Programa: Infraestructura Cultural para la Inclusión</c:v>
                </c:pt>
              </c:strCache>
            </c:strRef>
          </c:cat>
          <c:val>
            <c:numRef>
              <c:f>'P. INCLUYENTE'!$D$68:$D$74</c:f>
              <c:numCache>
                <c:formatCode>0%</c:formatCode>
                <c:ptCount val="7"/>
                <c:pt idx="0">
                  <c:v>0.84637332552491618</c:v>
                </c:pt>
                <c:pt idx="1">
                  <c:v>0.70218024033294346</c:v>
                </c:pt>
                <c:pt idx="2">
                  <c:v>0.77129780805464854</c:v>
                </c:pt>
                <c:pt idx="3">
                  <c:v>1</c:v>
                </c:pt>
                <c:pt idx="4">
                  <c:v>0.95</c:v>
                </c:pt>
                <c:pt idx="5" formatCode="0.0%">
                  <c:v>0.75</c:v>
                </c:pt>
                <c:pt idx="6" formatCode="0.0%">
                  <c:v>0.90476190476190477</c:v>
                </c:pt>
              </c:numCache>
            </c:numRef>
          </c:val>
          <c:extLst xmlns:c16r2="http://schemas.microsoft.com/office/drawing/2015/06/chart">
            <c:ext xmlns:c16="http://schemas.microsoft.com/office/drawing/2014/chart" uri="{C3380CC4-5D6E-409C-BE32-E72D297353CC}">
              <c16:uniqueId val="{00000002-8726-4A73-827E-FC3C8FF44A8E}"/>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639550160"/>
        <c:axId val="639547440"/>
      </c:barChart>
      <c:catAx>
        <c:axId val="639550160"/>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800" b="0" i="0">
                <a:solidFill>
                  <a:srgbClr val="000000"/>
                </a:solidFill>
                <a:latin typeface="Calibri"/>
              </a:defRPr>
            </a:pPr>
            <a:endParaRPr lang="es-CO"/>
          </a:p>
        </c:txPr>
        <c:crossAx val="639547440"/>
        <c:crosses val="autoZero"/>
        <c:auto val="1"/>
        <c:lblAlgn val="ctr"/>
        <c:lblOffset val="100"/>
        <c:noMultiLvlLbl val="1"/>
      </c:catAx>
      <c:valAx>
        <c:axId val="639547440"/>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Calibri"/>
              </a:defRPr>
            </a:pPr>
            <a:endParaRPr lang="es-CO"/>
          </a:p>
        </c:txPr>
        <c:crossAx val="639550160"/>
        <c:crosses val="max"/>
        <c:crossBetween val="between"/>
      </c:valAx>
    </c:plotArea>
    <c:plotVisOnly val="1"/>
    <c:dispBlanksAs val="zero"/>
    <c:showDLblsOverMax val="1"/>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200" b="0" i="0">
                <a:solidFill>
                  <a:srgbClr val="757575"/>
                </a:solidFill>
                <a:latin typeface="Calibri"/>
              </a:defRPr>
            </a:pPr>
            <a:r>
              <a:rPr lang="es-CO" sz="1200" b="0" i="0">
                <a:solidFill>
                  <a:srgbClr val="757575"/>
                </a:solidFill>
                <a:latin typeface="Calibri"/>
              </a:rPr>
              <a:t>LÍNEA ESTRATÉGICA: PLANEACIÓN SOCIAL DEL TERRITORIO. AVANCE A </a:t>
            </a:r>
            <a:r>
              <a:rPr lang="es-CO" sz="1200" b="1" i="0" u="none" strike="noStrike" baseline="0">
                <a:effectLst/>
              </a:rPr>
              <a:t>DICIEMBRE </a:t>
            </a:r>
            <a:r>
              <a:rPr lang="es-CO" sz="1200" b="0" i="0">
                <a:solidFill>
                  <a:srgbClr val="757575"/>
                </a:solidFill>
                <a:latin typeface="Calibri"/>
              </a:rPr>
              <a:t>2022 </a:t>
            </a:r>
          </a:p>
        </c:rich>
      </c:tx>
      <c:overlay val="0"/>
    </c:title>
    <c:autoTitleDeleted val="0"/>
    <c:plotArea>
      <c:layout/>
      <c:barChart>
        <c:barDir val="col"/>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extLst xmlns:c16r2="http://schemas.microsoft.com/office/drawing/2015/06/chart">
              <c:ext xmlns:c16="http://schemas.microsoft.com/office/drawing/2014/chart" uri="{C3380CC4-5D6E-409C-BE32-E72D297353CC}">
                <c16:uniqueId val="{00000001-F7E3-4DA1-AAAA-BCB6B480328E}"/>
              </c:ext>
            </c:extLst>
          </c:dPt>
          <c:dPt>
            <c:idx val="1"/>
            <c:invertIfNegative val="1"/>
            <c:bubble3D val="0"/>
            <c:extLst xmlns:c16r2="http://schemas.microsoft.com/office/drawing/2015/06/chart">
              <c:ext xmlns:c16="http://schemas.microsoft.com/office/drawing/2014/chart" uri="{C3380CC4-5D6E-409C-BE32-E72D297353CC}">
                <c16:uniqueId val="{00000003-F7E3-4DA1-AAAA-BCB6B480328E}"/>
              </c:ext>
            </c:extLst>
          </c:dPt>
          <c:dPt>
            <c:idx val="2"/>
            <c:invertIfNegative val="1"/>
            <c:bubble3D val="0"/>
            <c:extLst xmlns:c16r2="http://schemas.microsoft.com/office/drawing/2015/06/chart">
              <c:ext xmlns:c16="http://schemas.microsoft.com/office/drawing/2014/chart" uri="{C3380CC4-5D6E-409C-BE32-E72D297353CC}">
                <c16:uniqueId val="{00000005-F7E3-4DA1-AAAA-BCB6B480328E}"/>
              </c:ext>
            </c:extLst>
          </c:dPt>
          <c:dLbls>
            <c:spPr>
              <a:noFill/>
              <a:ln>
                <a:noFill/>
              </a:ln>
              <a:effectLst/>
            </c:spPr>
            <c:txPr>
              <a:bodyPr/>
              <a:lstStyle/>
              <a:p>
                <a:pPr lvl="0">
                  <a:defRPr sz="12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INCLUYENTE'!$C$78:$C$80</c:f>
              <c:strCache>
                <c:ptCount val="3"/>
                <c:pt idx="0">
                  <c:v>LÍNEA ESTRATÉGICA: PLANEACIÓN SOCIAL DEL TERRITORIO </c:v>
                </c:pt>
                <c:pt idx="1">
                  <c:v>Programa: Instrumentos de planificación social del territorio </c:v>
                </c:pt>
                <c:pt idx="2">
                  <c:v>Programa: Catastro multipropósito</c:v>
                </c:pt>
              </c:strCache>
            </c:strRef>
          </c:cat>
          <c:val>
            <c:numRef>
              <c:f>'P. INCLUYENTE'!$D$78:$D$80</c:f>
              <c:numCache>
                <c:formatCode>0.0%</c:formatCode>
                <c:ptCount val="3"/>
                <c:pt idx="0">
                  <c:v>0.91428571428571426</c:v>
                </c:pt>
                <c:pt idx="1">
                  <c:v>0.82857142857142851</c:v>
                </c:pt>
                <c:pt idx="2">
                  <c:v>1</c:v>
                </c:pt>
              </c:numCache>
            </c:numRef>
          </c:val>
          <c:extLst xmlns:c16r2="http://schemas.microsoft.com/office/drawing/2015/06/chart">
            <c:ext xmlns:c16="http://schemas.microsoft.com/office/drawing/2014/chart" uri="{C3380CC4-5D6E-409C-BE32-E72D297353CC}">
              <c16:uniqueId val="{00000006-F7E3-4DA1-AAAA-BCB6B480328E}"/>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639544176"/>
        <c:axId val="639545808"/>
      </c:barChart>
      <c:catAx>
        <c:axId val="63954417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639545808"/>
        <c:crosses val="autoZero"/>
        <c:auto val="1"/>
        <c:lblAlgn val="ctr"/>
        <c:lblOffset val="100"/>
        <c:noMultiLvlLbl val="1"/>
      </c:catAx>
      <c:valAx>
        <c:axId val="63954580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CO"/>
          </a:p>
        </c:txPr>
        <c:crossAx val="639544176"/>
        <c:crosses val="autoZero"/>
        <c:crossBetween val="between"/>
      </c:valAx>
    </c:plotArea>
    <c:plotVisOnly val="1"/>
    <c:dispBlanksAs val="zero"/>
    <c:showDLblsOverMax val="1"/>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000" b="0" i="0">
                <a:solidFill>
                  <a:srgbClr val="757575"/>
                </a:solidFill>
                <a:latin typeface="Calibri"/>
              </a:defRPr>
            </a:pPr>
            <a:r>
              <a:rPr lang="es-CO" sz="1000" b="0" i="0">
                <a:solidFill>
                  <a:srgbClr val="757575"/>
                </a:solidFill>
                <a:latin typeface="Calibri"/>
              </a:rPr>
              <a:t>AVANCE PILAR CONTINGENTE </a:t>
            </a:r>
            <a:r>
              <a:rPr lang="es-CO" sz="1000" b="1" i="0" u="none" strike="noStrike" baseline="0">
                <a:effectLst/>
              </a:rPr>
              <a:t>DICIEMBRE </a:t>
            </a:r>
            <a:r>
              <a:rPr lang="es-CO" sz="1000" b="0" i="0">
                <a:solidFill>
                  <a:srgbClr val="757575"/>
                </a:solidFill>
                <a:latin typeface="Calibri"/>
              </a:rPr>
              <a:t> 2022. PILAR Y LINEAS ESTRATEGICAS.</a:t>
            </a:r>
          </a:p>
        </c:rich>
      </c:tx>
      <c:overlay val="0"/>
    </c:title>
    <c:autoTitleDeleted val="0"/>
    <c:plotArea>
      <c:layout/>
      <c:barChart>
        <c:barDir val="col"/>
        <c:grouping val="clustered"/>
        <c:varyColors val="1"/>
        <c:ser>
          <c:idx val="0"/>
          <c:order val="0"/>
          <c:spPr>
            <a:solidFill>
              <a:srgbClr val="00B050"/>
            </a:solidFill>
            <a:ln cmpd="sng">
              <a:solidFill>
                <a:srgbClr val="000000"/>
              </a:solidFill>
            </a:ln>
          </c:spPr>
          <c:invertIfNegative val="1"/>
          <c:dPt>
            <c:idx val="1"/>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1-6354-48CE-B82A-A41535A6BD46}"/>
              </c:ext>
            </c:extLst>
          </c:dPt>
          <c:dPt>
            <c:idx val="4"/>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3-6354-48CE-B82A-A41535A6BD46}"/>
              </c:ext>
            </c:extLst>
          </c:dPt>
          <c:dLbls>
            <c:spPr>
              <a:noFill/>
              <a:ln>
                <a:noFill/>
              </a:ln>
              <a:effectLst/>
            </c:spPr>
            <c:txPr>
              <a:bodyPr/>
              <a:lstStyle/>
              <a:p>
                <a:pPr lvl="0">
                  <a:defRPr sz="12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CONTIGENTE'!$C$4:$C$8</c:f>
              <c:strCache>
                <c:ptCount val="5"/>
                <c:pt idx="0">
                  <c:v>PILAR CARTAGENA CONTINGENTE </c:v>
                </c:pt>
                <c:pt idx="1">
                  <c:v> LÍNEA ESTRATÉGICA: DESARROLLO ECONÓMICO Y EMPLEABILIDAD</c:v>
                </c:pt>
                <c:pt idx="2">
                  <c:v>LÍNEA ESTRATÉGICA: COMPETITIVIDAD E INNOVACIÓN</c:v>
                </c:pt>
                <c:pt idx="3">
                  <c:v>LÍNEA ESTRATÉGICA: TURISMO, MOTOR DE REACTIVACIÓN ECONÓMICA PARA CARTAGENA DE INDIAS</c:v>
                </c:pt>
                <c:pt idx="4">
                  <c:v>LÍNEA ESTRATÉGICA: PLANEACIÓN E INTEGRACIÓN CONTINGENTE DEL TERRITORIO</c:v>
                </c:pt>
              </c:strCache>
            </c:strRef>
          </c:cat>
          <c:val>
            <c:numRef>
              <c:f>'P. CONTIGENTE'!$D$4:$D$8</c:f>
              <c:numCache>
                <c:formatCode>0.0%</c:formatCode>
                <c:ptCount val="5"/>
                <c:pt idx="0">
                  <c:v>0.81331553252547473</c:v>
                </c:pt>
                <c:pt idx="1">
                  <c:v>0.64909546343523228</c:v>
                </c:pt>
                <c:pt idx="2">
                  <c:v>0.85416666666666663</c:v>
                </c:pt>
                <c:pt idx="3">
                  <c:v>1</c:v>
                </c:pt>
                <c:pt idx="4" formatCode="0.00%">
                  <c:v>0.75</c:v>
                </c:pt>
              </c:numCache>
            </c:numRef>
          </c:val>
          <c:extLst xmlns:c16r2="http://schemas.microsoft.com/office/drawing/2015/06/chart">
            <c:ext xmlns:c16="http://schemas.microsoft.com/office/drawing/2014/chart" uri="{C3380CC4-5D6E-409C-BE32-E72D297353CC}">
              <c16:uniqueId val="{00000004-6354-48CE-B82A-A41535A6BD46}"/>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639546352"/>
        <c:axId val="639546896"/>
      </c:barChart>
      <c:catAx>
        <c:axId val="63954635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800" b="0" i="0">
                <a:solidFill>
                  <a:srgbClr val="000000"/>
                </a:solidFill>
                <a:latin typeface="Calibri"/>
              </a:defRPr>
            </a:pPr>
            <a:endParaRPr lang="es-CO"/>
          </a:p>
        </c:txPr>
        <c:crossAx val="639546896"/>
        <c:crosses val="autoZero"/>
        <c:auto val="1"/>
        <c:lblAlgn val="ctr"/>
        <c:lblOffset val="100"/>
        <c:noMultiLvlLbl val="1"/>
      </c:catAx>
      <c:valAx>
        <c:axId val="63954689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CO"/>
          </a:p>
        </c:txPr>
        <c:crossAx val="639546352"/>
        <c:crosses val="autoZero"/>
        <c:crossBetween val="between"/>
      </c:valAx>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000" b="1"/>
              <a:t>SEGUIMIENTO PLAN DE DESARROLLO ACUMULADO DICIEMBRE 2022</a:t>
            </a:r>
            <a:r>
              <a:rPr lang="es-CO" sz="1000" b="1" baseline="0"/>
              <a:t> -</a:t>
            </a:r>
            <a:r>
              <a:rPr lang="es-CO" sz="1000" b="1"/>
              <a:t>  ESPERADO A DICIEMBRE 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'PLAN DE DESARROLLO '!$R$24</c:f>
              <c:strCache>
                <c:ptCount val="1"/>
                <c:pt idx="0">
                  <c:v>CORTE DICIEMBRE 2022 </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'PLAN DE DESARROLLO '!$Q$25:$Q$30</c:f>
              <c:strCache>
                <c:ptCount val="6"/>
                <c:pt idx="0">
                  <c:v>PLAN DE DESARROLLO "SALVEMOS JUNTOS A CARTAGENA 2020 - 2023) ACUMULADO CUATRENIO CORTE JUNIO 2021</c:v>
                </c:pt>
                <c:pt idx="1">
                  <c:v>PILAR RESILIENTE</c:v>
                </c:pt>
                <c:pt idx="2">
                  <c:v>PILAR CARTAGENA INCLUYENTE</c:v>
                </c:pt>
                <c:pt idx="3">
                  <c:v>PILAR CARTAGENA CONTINGENTE </c:v>
                </c:pt>
                <c:pt idx="4">
                  <c:v>PILAR CARTAGENA TRANSPARENTE</c:v>
                </c:pt>
                <c:pt idx="5">
                  <c:v>EJE TRANSVERSAL: CARTAGENA CON ATENCION Y GARANTIA DE DERECHOS A POBLACION DIFERENCIAL.</c:v>
                </c:pt>
              </c:strCache>
            </c:strRef>
          </c:cat>
          <c:val>
            <c:numRef>
              <c:f>'PLAN DE DESARROLLO '!$R$25:$R$30</c:f>
              <c:numCache>
                <c:formatCode>0.0%</c:formatCode>
                <c:ptCount val="6"/>
                <c:pt idx="0">
                  <c:v>0.73926542498722614</c:v>
                </c:pt>
                <c:pt idx="1">
                  <c:v>0.64980743416302122</c:v>
                </c:pt>
                <c:pt idx="2">
                  <c:v>0.82594070908882966</c:v>
                </c:pt>
                <c:pt idx="3">
                  <c:v>0.81331553252547473</c:v>
                </c:pt>
                <c:pt idx="4">
                  <c:v>0.73724365084391763</c:v>
                </c:pt>
                <c:pt idx="5">
                  <c:v>0.67001979831488723</c:v>
                </c:pt>
              </c:numCache>
            </c:numRef>
          </c:val>
          <c:extLst xmlns:c16r2="http://schemas.microsoft.com/office/drawing/2015/06/chart">
            <c:ext xmlns:c16="http://schemas.microsoft.com/office/drawing/2014/chart" uri="{C3380CC4-5D6E-409C-BE32-E72D297353CC}">
              <c16:uniqueId val="{00000000-673C-4A1C-882D-A26EEF287120}"/>
            </c:ext>
          </c:extLst>
        </c:ser>
        <c:ser>
          <c:idx val="1"/>
          <c:order val="1"/>
          <c:tx>
            <c:strRef>
              <c:f>'PLAN DE DESARROLLO '!$S$24</c:f>
              <c:strCache>
                <c:ptCount val="1"/>
                <c:pt idx="0">
                  <c:v>ESPERADO 2022</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'PLAN DE DESARROLLO '!$Q$25:$Q$30</c:f>
              <c:strCache>
                <c:ptCount val="6"/>
                <c:pt idx="0">
                  <c:v>PLAN DE DESARROLLO "SALVEMOS JUNTOS A CARTAGENA 2020 - 2023) ACUMULADO CUATRENIO CORTE JUNIO 2021</c:v>
                </c:pt>
                <c:pt idx="1">
                  <c:v>PILAR RESILIENTE</c:v>
                </c:pt>
                <c:pt idx="2">
                  <c:v>PILAR CARTAGENA INCLUYENTE</c:v>
                </c:pt>
                <c:pt idx="3">
                  <c:v>PILAR CARTAGENA CONTINGENTE </c:v>
                </c:pt>
                <c:pt idx="4">
                  <c:v>PILAR CARTAGENA TRANSPARENTE</c:v>
                </c:pt>
                <c:pt idx="5">
                  <c:v>EJE TRANSVERSAL: CARTAGENA CON ATENCION Y GARANTIA DE DERECHOS A POBLACION DIFERENCIAL.</c:v>
                </c:pt>
              </c:strCache>
            </c:strRef>
          </c:cat>
          <c:val>
            <c:numRef>
              <c:f>'PLAN DE DESARROLLO '!$S$25:$S$30</c:f>
              <c:numCache>
                <c:formatCode>0.0%</c:formatCode>
                <c:ptCount val="6"/>
                <c:pt idx="0">
                  <c:v>0.85899999999999999</c:v>
                </c:pt>
                <c:pt idx="1">
                  <c:v>0.77149999999999996</c:v>
                </c:pt>
                <c:pt idx="2">
                  <c:v>0.90669999999999995</c:v>
                </c:pt>
                <c:pt idx="3">
                  <c:v>0.87939999999999996</c:v>
                </c:pt>
                <c:pt idx="4">
                  <c:v>0.87490000000000001</c:v>
                </c:pt>
                <c:pt idx="5">
                  <c:v>0.86219999999999997</c:v>
                </c:pt>
              </c:numCache>
            </c:numRef>
          </c:val>
          <c:extLst xmlns:c16r2="http://schemas.microsoft.com/office/drawing/2015/06/chart">
            <c:ext xmlns:c16="http://schemas.microsoft.com/office/drawing/2014/chart" uri="{C3380CC4-5D6E-409C-BE32-E72D297353CC}">
              <c16:uniqueId val="{00000001-673C-4A1C-882D-A26EEF287120}"/>
            </c:ext>
          </c:extLst>
        </c:ser>
        <c:dLbls>
          <c:showLegendKey val="0"/>
          <c:showVal val="0"/>
          <c:showCatName val="0"/>
          <c:showSerName val="0"/>
          <c:showPercent val="0"/>
          <c:showBubbleSize val="0"/>
        </c:dLbls>
        <c:gapWidth val="150"/>
        <c:shape val="box"/>
        <c:axId val="31660752"/>
        <c:axId val="31652048"/>
        <c:axId val="0"/>
      </c:bar3DChart>
      <c:catAx>
        <c:axId val="31660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652048"/>
        <c:crosses val="autoZero"/>
        <c:auto val="1"/>
        <c:lblAlgn val="ctr"/>
        <c:lblOffset val="100"/>
        <c:noMultiLvlLbl val="0"/>
      </c:catAx>
      <c:valAx>
        <c:axId val="3165204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660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200" b="0" i="0">
                <a:solidFill>
                  <a:srgbClr val="757575"/>
                </a:solidFill>
                <a:latin typeface="Calibri"/>
              </a:defRPr>
            </a:pPr>
            <a:r>
              <a:rPr lang="es-CO" sz="1200" b="0" i="0">
                <a:solidFill>
                  <a:srgbClr val="757575"/>
                </a:solidFill>
                <a:latin typeface="Calibri"/>
              </a:rPr>
              <a:t> LÍNEA ESTRATÉGICA: DESARROLLO ECONÓMICO Y EMPLEABILIDAD.
AVANCE A </a:t>
            </a:r>
            <a:r>
              <a:rPr lang="es-CO" sz="1200" b="1" i="0" u="none" strike="noStrike" baseline="0">
                <a:effectLst/>
              </a:rPr>
              <a:t>DICIEMBRE </a:t>
            </a:r>
            <a:r>
              <a:rPr lang="es-CO" sz="1200" b="0" i="0">
                <a:solidFill>
                  <a:srgbClr val="757575"/>
                </a:solidFill>
                <a:latin typeface="Calibri"/>
              </a:rPr>
              <a:t> 2022 </a:t>
            </a:r>
          </a:p>
        </c:rich>
      </c:tx>
      <c:overlay val="0"/>
    </c:title>
    <c:autoTitleDeleted val="0"/>
    <c:plotArea>
      <c:layout/>
      <c:barChart>
        <c:barDir val="bar"/>
        <c:grouping val="clustered"/>
        <c:varyColors val="1"/>
        <c:ser>
          <c:idx val="0"/>
          <c:order val="0"/>
          <c:tx>
            <c:v>AVANCE A DIC 2020</c:v>
          </c:tx>
          <c:spPr>
            <a:solidFill>
              <a:srgbClr val="FFFF00"/>
            </a:solidFill>
            <a:ln cmpd="sng">
              <a:solidFill>
                <a:srgbClr val="000000"/>
              </a:solidFill>
            </a:ln>
          </c:spPr>
          <c:invertIfNegative val="1"/>
          <c:dPt>
            <c:idx val="0"/>
            <c:invertIfNegative val="1"/>
            <c:bubble3D val="0"/>
            <c:extLst xmlns:c16r2="http://schemas.microsoft.com/office/drawing/2015/06/chart">
              <c:ext xmlns:c16="http://schemas.microsoft.com/office/drawing/2014/chart" uri="{C3380CC4-5D6E-409C-BE32-E72D297353CC}">
                <c16:uniqueId val="{00000001-793A-4C5D-9942-DEAD4BC69156}"/>
              </c:ext>
            </c:extLst>
          </c:dPt>
          <c:dPt>
            <c:idx val="1"/>
            <c:invertIfNegative val="1"/>
            <c:bubble3D val="0"/>
            <c:extLst xmlns:c16r2="http://schemas.microsoft.com/office/drawing/2015/06/chart">
              <c:ext xmlns:c16="http://schemas.microsoft.com/office/drawing/2014/chart" uri="{C3380CC4-5D6E-409C-BE32-E72D297353CC}">
                <c16:uniqueId val="{00000012-33FB-4C6E-A1EF-11551D2104C3}"/>
              </c:ext>
            </c:extLst>
          </c:dPt>
          <c:dPt>
            <c:idx val="2"/>
            <c:invertIfNegative val="1"/>
            <c:bubble3D val="0"/>
            <c:extLst xmlns:c16r2="http://schemas.microsoft.com/office/drawing/2015/06/chart">
              <c:ext xmlns:c16="http://schemas.microsoft.com/office/drawing/2014/chart" uri="{C3380CC4-5D6E-409C-BE32-E72D297353CC}">
                <c16:uniqueId val="{00000003-793A-4C5D-9942-DEAD4BC69156}"/>
              </c:ext>
            </c:extLst>
          </c:dPt>
          <c:dPt>
            <c:idx val="3"/>
            <c:invertIfNegative val="1"/>
            <c:bubble3D val="0"/>
            <c:extLst xmlns:c16r2="http://schemas.microsoft.com/office/drawing/2015/06/chart">
              <c:ext xmlns:c16="http://schemas.microsoft.com/office/drawing/2014/chart" uri="{C3380CC4-5D6E-409C-BE32-E72D297353CC}">
                <c16:uniqueId val="{00000013-33FB-4C6E-A1EF-11551D2104C3}"/>
              </c:ext>
            </c:extLst>
          </c:dPt>
          <c:dPt>
            <c:idx val="4"/>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5-793A-4C5D-9942-DEAD4BC69156}"/>
              </c:ext>
            </c:extLst>
          </c:dPt>
          <c:dPt>
            <c:idx val="5"/>
            <c:invertIfNegative val="1"/>
            <c:bubble3D val="0"/>
            <c:spPr>
              <a:solidFill>
                <a:srgbClr val="FF0000"/>
              </a:solidFill>
              <a:ln cmpd="sng">
                <a:solidFill>
                  <a:srgbClr val="000000"/>
                </a:solidFill>
              </a:ln>
            </c:spPr>
            <c:extLst xmlns:c16r2="http://schemas.microsoft.com/office/drawing/2015/06/chart">
              <c:ext xmlns:c16="http://schemas.microsoft.com/office/drawing/2014/chart" uri="{C3380CC4-5D6E-409C-BE32-E72D297353CC}">
                <c16:uniqueId val="{00000011-6BC7-4F7C-8589-B4DB1523012B}"/>
              </c:ext>
            </c:extLst>
          </c:dPt>
          <c:dPt>
            <c:idx val="6"/>
            <c:invertIfNegative val="1"/>
            <c:bubble3D val="0"/>
            <c:extLst xmlns:c16r2="http://schemas.microsoft.com/office/drawing/2015/06/chart">
              <c:ext xmlns:c16="http://schemas.microsoft.com/office/drawing/2014/chart" uri="{C3380CC4-5D6E-409C-BE32-E72D297353CC}">
                <c16:uniqueId val="{00000007-793A-4C5D-9942-DEAD4BC69156}"/>
              </c:ext>
            </c:extLst>
          </c:dPt>
          <c:dPt>
            <c:idx val="7"/>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14-33FB-4C6E-A1EF-11551D2104C3}"/>
              </c:ext>
            </c:extLst>
          </c:dPt>
          <c:dPt>
            <c:idx val="8"/>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15-33FB-4C6E-A1EF-11551D2104C3}"/>
              </c:ext>
            </c:extLst>
          </c:dPt>
          <c:dPt>
            <c:idx val="9"/>
            <c:invertIfNegative val="1"/>
            <c:bubble3D val="0"/>
            <c:extLst xmlns:c16r2="http://schemas.microsoft.com/office/drawing/2015/06/chart">
              <c:ext xmlns:c16="http://schemas.microsoft.com/office/drawing/2014/chart" uri="{C3380CC4-5D6E-409C-BE32-E72D297353CC}">
                <c16:uniqueId val="{00000009-793A-4C5D-9942-DEAD4BC69156}"/>
              </c:ext>
            </c:extLst>
          </c:dPt>
          <c:dPt>
            <c:idx val="10"/>
            <c:invertIfNegative val="1"/>
            <c:bubble3D val="0"/>
            <c:extLst xmlns:c16r2="http://schemas.microsoft.com/office/drawing/2015/06/chart">
              <c:ext xmlns:c16="http://schemas.microsoft.com/office/drawing/2014/chart" uri="{C3380CC4-5D6E-409C-BE32-E72D297353CC}">
                <c16:uniqueId val="{0000000B-793A-4C5D-9942-DEAD4BC69156}"/>
              </c:ext>
            </c:extLst>
          </c:dPt>
          <c:dPt>
            <c:idx val="11"/>
            <c:invertIfNegative val="1"/>
            <c:bubble3D val="0"/>
            <c:spPr>
              <a:solidFill>
                <a:srgbClr val="FF0000"/>
              </a:solidFill>
              <a:ln cmpd="sng">
                <a:solidFill>
                  <a:srgbClr val="000000"/>
                </a:solidFill>
              </a:ln>
            </c:spPr>
            <c:extLst xmlns:c16r2="http://schemas.microsoft.com/office/drawing/2015/06/chart">
              <c:ext xmlns:c16="http://schemas.microsoft.com/office/drawing/2014/chart" uri="{C3380CC4-5D6E-409C-BE32-E72D297353CC}">
                <c16:uniqueId val="{0000000E-5273-4DFF-B874-1192B922264C}"/>
              </c:ext>
            </c:extLst>
          </c:dPt>
          <c:dPt>
            <c:idx val="12"/>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D-793A-4C5D-9942-DEAD4BC69156}"/>
              </c:ext>
            </c:extLst>
          </c:dPt>
          <c:dLbls>
            <c:spPr>
              <a:noFill/>
              <a:ln>
                <a:noFill/>
              </a:ln>
              <a:effectLst/>
            </c:spPr>
            <c:txPr>
              <a:bodyPr/>
              <a:lstStyle/>
              <a:p>
                <a:pPr lvl="0">
                  <a:defRPr sz="900" b="0"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CONTIGENTE'!$C$13:$C$25</c:f>
              <c:strCache>
                <c:ptCount val="13"/>
                <c:pt idx="0">
                  <c:v> LÍNEA ESTRATÉGICA: DESARROLLO ECONÓMICO Y EMPLEABILIDAD</c:v>
                </c:pt>
                <c:pt idx="1">
                  <c:v>Programa: Centros para el emprendimiento y la gestión de la empleabilidad en Cartagena de Indias </c:v>
                </c:pt>
                <c:pt idx="2">
                  <c:v>Programa: Mujeres con Autonomía Económica</c:v>
                </c:pt>
                <c:pt idx="3">
                  <c:v>Programa: "Empleo Inclusivo Para Los Jóvenes”</c:v>
                </c:pt>
                <c:pt idx="4">
                  <c:v>Programa: Encadenamientos productivos</c:v>
                </c:pt>
                <c:pt idx="5">
                  <c:v>Programa: Cartagena facilita el emprendimiento</c:v>
                </c:pt>
                <c:pt idx="6">
                  <c:v>Programa: Zonas de aglomeración productiva</c:v>
                </c:pt>
                <c:pt idx="7">
                  <c:v>Programa: Cierre de brechas de empleabilidad</c:v>
                </c:pt>
                <c:pt idx="8">
                  <c:v>Programa: Cierre de brechas de capital humano</c:v>
                </c:pt>
                <c:pt idx="9">
                  <c:v>Programa: Desarrollo del ecosistema digital basado en la cuarta revolución industrial</c:v>
                </c:pt>
                <c:pt idx="10">
                  <c:v>Programa: Cartagena emprendedora para pequeños productores rurales</c:v>
                </c:pt>
                <c:pt idx="11">
                  <c:v>Programa: Sistemas de Mercados públicos</c:v>
                </c:pt>
                <c:pt idx="12">
                  <c:v>Programa: Más Cooperación Internacional</c:v>
                </c:pt>
              </c:strCache>
            </c:strRef>
          </c:cat>
          <c:val>
            <c:numRef>
              <c:f>'P. CONTIGENTE'!$D$13:$D$25</c:f>
              <c:numCache>
                <c:formatCode>0.0%</c:formatCode>
                <c:ptCount val="13"/>
                <c:pt idx="0">
                  <c:v>0.64909546343523228</c:v>
                </c:pt>
                <c:pt idx="1">
                  <c:v>0.52343518518518506</c:v>
                </c:pt>
                <c:pt idx="2">
                  <c:v>0.61997249724972503</c:v>
                </c:pt>
                <c:pt idx="3">
                  <c:v>0.58570454545454542</c:v>
                </c:pt>
                <c:pt idx="4">
                  <c:v>0.875</c:v>
                </c:pt>
                <c:pt idx="5">
                  <c:v>0.34094999999999998</c:v>
                </c:pt>
                <c:pt idx="6">
                  <c:v>0.66666666666666663</c:v>
                </c:pt>
                <c:pt idx="7">
                  <c:v>1</c:v>
                </c:pt>
                <c:pt idx="8">
                  <c:v>1</c:v>
                </c:pt>
                <c:pt idx="9">
                  <c:v>0.65225</c:v>
                </c:pt>
                <c:pt idx="10">
                  <c:v>0.62749999999999995</c:v>
                </c:pt>
                <c:pt idx="11">
                  <c:v>0.25266666666666665</c:v>
                </c:pt>
                <c:pt idx="12">
                  <c:v>0.84</c:v>
                </c:pt>
              </c:numCache>
            </c:numRef>
          </c:val>
          <c:extLst xmlns:c16r2="http://schemas.microsoft.com/office/drawing/2015/06/chart">
            <c:ext xmlns:c16="http://schemas.microsoft.com/office/drawing/2014/chart" uri="{C3380CC4-5D6E-409C-BE32-E72D297353CC}">
              <c16:uniqueId val="{0000000E-793A-4C5D-9942-DEAD4BC69156}"/>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639547984"/>
        <c:axId val="639556144"/>
      </c:barChart>
      <c:catAx>
        <c:axId val="639547984"/>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639556144"/>
        <c:crosses val="autoZero"/>
        <c:auto val="1"/>
        <c:lblAlgn val="ctr"/>
        <c:lblOffset val="100"/>
        <c:noMultiLvlLbl val="1"/>
      </c:catAx>
      <c:valAx>
        <c:axId val="639556144"/>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500" b="0" i="0">
                <a:solidFill>
                  <a:srgbClr val="000000"/>
                </a:solidFill>
                <a:latin typeface="Calibri"/>
              </a:defRPr>
            </a:pPr>
            <a:endParaRPr lang="es-CO"/>
          </a:p>
        </c:txPr>
        <c:crossAx val="639547984"/>
        <c:crosses val="max"/>
        <c:crossBetween val="between"/>
      </c:valAx>
    </c:plotArea>
    <c:plotVisOnly val="1"/>
    <c:dispBlanksAs val="zero"/>
    <c:showDLblsOverMax val="1"/>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400" b="1" i="0">
                <a:solidFill>
                  <a:srgbClr val="757575"/>
                </a:solidFill>
                <a:latin typeface="Calibri"/>
              </a:defRPr>
            </a:pPr>
            <a:r>
              <a:rPr lang="es-CO" sz="1200" b="1" i="0">
                <a:solidFill>
                  <a:srgbClr val="757575"/>
                </a:solidFill>
                <a:latin typeface="Calibri"/>
              </a:rPr>
              <a:t>LÍNEA ESTRATÉGICA: COMPETITIVIDAD E INNOVACIÓN.
 AVANCE A </a:t>
            </a:r>
            <a:r>
              <a:rPr lang="es-CO" sz="1200" b="1" i="0" u="none" strike="noStrike" baseline="0">
                <a:effectLst/>
              </a:rPr>
              <a:t>DICIEMBRE  </a:t>
            </a:r>
            <a:r>
              <a:rPr lang="es-CO" sz="1200" b="1" i="0">
                <a:solidFill>
                  <a:srgbClr val="757575"/>
                </a:solidFill>
                <a:latin typeface="Calibri"/>
              </a:rPr>
              <a:t>2022 </a:t>
            </a:r>
          </a:p>
        </c:rich>
      </c:tx>
      <c:layout>
        <c:manualLayout>
          <c:xMode val="edge"/>
          <c:yMode val="edge"/>
          <c:x val="0.21148299319727892"/>
          <c:y val="2.8776978417266189E-2"/>
        </c:manualLayout>
      </c:layout>
      <c:overlay val="0"/>
    </c:title>
    <c:autoTitleDeleted val="0"/>
    <c:plotArea>
      <c:layout/>
      <c:barChart>
        <c:barDir val="col"/>
        <c:grouping val="clustered"/>
        <c:varyColors val="1"/>
        <c:ser>
          <c:idx val="0"/>
          <c:order val="0"/>
          <c:tx>
            <c:v>AVANCE A DIC 2020</c:v>
          </c:tx>
          <c:spPr>
            <a:solidFill>
              <a:srgbClr val="00B050"/>
            </a:solidFill>
            <a:ln cmpd="sng">
              <a:solidFill>
                <a:srgbClr val="000000"/>
              </a:solidFill>
            </a:ln>
          </c:spPr>
          <c:invertIfNegative val="1"/>
          <c:dPt>
            <c:idx val="1"/>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1-C0EB-4304-A7C1-F0497EF00BCF}"/>
              </c:ext>
            </c:extLst>
          </c:dPt>
          <c:dLbls>
            <c:spPr>
              <a:noFill/>
              <a:ln>
                <a:noFill/>
              </a:ln>
              <a:effectLst/>
            </c:spPr>
            <c:txPr>
              <a:bodyPr/>
              <a:lstStyle/>
              <a:p>
                <a:pPr lvl="0">
                  <a:defRPr sz="11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CONTIGENTE'!$C$30:$C$33</c:f>
              <c:strCache>
                <c:ptCount val="4"/>
                <c:pt idx="0">
                  <c:v>LÍNEA ESTRATÉGICA: COMPETITIVIDAD E INNOVACIÓN</c:v>
                </c:pt>
                <c:pt idx="1">
                  <c:v>Programa: Cartagena ciudad Innovadora</c:v>
                </c:pt>
                <c:pt idx="2">
                  <c:v>Programa: Cartagena destino de inversión</c:v>
                </c:pt>
                <c:pt idx="3">
                  <c:v>Programa: Cartagena fomenta la ciencia, tecnología e innovación agropecuaria: juntos por la extensión agropecuaria a pequeños productores.</c:v>
                </c:pt>
              </c:strCache>
            </c:strRef>
          </c:cat>
          <c:val>
            <c:numRef>
              <c:f>'P. CONTIGENTE'!$D$30:$D$33</c:f>
              <c:numCache>
                <c:formatCode>0.0%</c:formatCode>
                <c:ptCount val="4"/>
                <c:pt idx="0">
                  <c:v>0.85416666666666663</c:v>
                </c:pt>
                <c:pt idx="1">
                  <c:v>0.5625</c:v>
                </c:pt>
                <c:pt idx="2">
                  <c:v>1</c:v>
                </c:pt>
                <c:pt idx="3">
                  <c:v>1</c:v>
                </c:pt>
              </c:numCache>
            </c:numRef>
          </c:val>
          <c:extLst xmlns:c16r2="http://schemas.microsoft.com/office/drawing/2015/06/chart">
            <c:ext xmlns:c16="http://schemas.microsoft.com/office/drawing/2014/chart" uri="{C3380CC4-5D6E-409C-BE32-E72D297353CC}">
              <c16:uniqueId val="{00000002-C0EB-4304-A7C1-F0497EF00BCF}"/>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639548528"/>
        <c:axId val="639553968"/>
      </c:barChart>
      <c:catAx>
        <c:axId val="63954852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800" b="0" i="0">
                <a:solidFill>
                  <a:srgbClr val="000000"/>
                </a:solidFill>
                <a:latin typeface="Calibri"/>
              </a:defRPr>
            </a:pPr>
            <a:endParaRPr lang="es-CO"/>
          </a:p>
        </c:txPr>
        <c:crossAx val="639553968"/>
        <c:crosses val="autoZero"/>
        <c:auto val="1"/>
        <c:lblAlgn val="ctr"/>
        <c:lblOffset val="100"/>
        <c:noMultiLvlLbl val="1"/>
      </c:catAx>
      <c:valAx>
        <c:axId val="63955396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b="0" i="0">
                <a:solidFill>
                  <a:srgbClr val="000000"/>
                </a:solidFill>
                <a:latin typeface="Calibri"/>
              </a:defRPr>
            </a:pPr>
            <a:endParaRPr lang="es-CO"/>
          </a:p>
        </c:txPr>
        <c:crossAx val="639548528"/>
        <c:crosses val="autoZero"/>
        <c:crossBetween val="between"/>
      </c:valAx>
    </c:plotArea>
    <c:plotVisOnly val="1"/>
    <c:dispBlanksAs val="zero"/>
    <c:showDLblsOverMax val="1"/>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200" b="0" i="0">
                <a:solidFill>
                  <a:srgbClr val="757575"/>
                </a:solidFill>
                <a:latin typeface="Calibri"/>
              </a:defRPr>
            </a:pPr>
            <a:r>
              <a:rPr lang="es-CO" sz="1200" b="0" i="0">
                <a:solidFill>
                  <a:srgbClr val="757575"/>
                </a:solidFill>
                <a:latin typeface="Calibri"/>
              </a:rPr>
              <a:t>LÍNEA ESTRATÉGICA: TURISMO, MOTOR DE REACTIVACIÓN ECONÓMICA PARA CARTAGENA DE INDIAS. </a:t>
            </a:r>
            <a:r>
              <a:rPr lang="es-CO" sz="1200" b="0" i="0" u="none" strike="noStrike" baseline="0">
                <a:effectLst/>
              </a:rPr>
              <a:t>DICIEMBRE </a:t>
            </a:r>
            <a:r>
              <a:rPr lang="es-CO" sz="1200" b="0" i="0">
                <a:solidFill>
                  <a:srgbClr val="757575"/>
                </a:solidFill>
                <a:latin typeface="Calibri"/>
              </a:rPr>
              <a:t> 2022 .</a:t>
            </a:r>
          </a:p>
        </c:rich>
      </c:tx>
      <c:overlay val="0"/>
    </c:title>
    <c:autoTitleDeleted val="0"/>
    <c:plotArea>
      <c:layout/>
      <c:barChart>
        <c:barDir val="col"/>
        <c:grouping val="clustered"/>
        <c:varyColors val="1"/>
        <c:ser>
          <c:idx val="0"/>
          <c:order val="0"/>
          <c:spPr>
            <a:solidFill>
              <a:srgbClr val="00B050"/>
            </a:solidFill>
            <a:ln cmpd="sng">
              <a:solidFill>
                <a:srgbClr val="000000"/>
              </a:solidFill>
            </a:ln>
          </c:spPr>
          <c:invertIfNegative val="1"/>
          <c:dPt>
            <c:idx val="2"/>
            <c:invertIfNegative val="1"/>
            <c:bubble3D val="0"/>
            <c:extLst xmlns:c16r2="http://schemas.microsoft.com/office/drawing/2015/06/chart">
              <c:ext xmlns:c16="http://schemas.microsoft.com/office/drawing/2014/chart" uri="{C3380CC4-5D6E-409C-BE32-E72D297353CC}">
                <c16:uniqueId val="{00000001-EA49-48F4-A31A-58F3DF2F2A75}"/>
              </c:ext>
            </c:extLst>
          </c:dPt>
          <c:dLbls>
            <c:spPr>
              <a:noFill/>
              <a:ln>
                <a:noFill/>
              </a:ln>
              <a:effectLst/>
            </c:spPr>
            <c:txPr>
              <a:bodyPr/>
              <a:lstStyle/>
              <a:p>
                <a:pPr lvl="0">
                  <a:defRPr sz="12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CONTIGENTE'!$C$39:$C$42</c:f>
              <c:strCache>
                <c:ptCount val="4"/>
                <c:pt idx="0">
                  <c:v>LÍNEA ESTRATÉGICA: TURISMO, MOTOR DE REACTIVACIÓN ECONÓMICA PARA CARTAGENA DE INDIAS</c:v>
                </c:pt>
                <c:pt idx="1">
                  <c:v>Programa: Promoción Nacional e Internacional de Cartagena de Indias</c:v>
                </c:pt>
                <c:pt idx="2">
                  <c:v>Programa: Conectividad</c:v>
                </c:pt>
                <c:pt idx="3">
                  <c:v>Programa: Turismo Competitivo y Sostenible</c:v>
                </c:pt>
              </c:strCache>
            </c:strRef>
          </c:cat>
          <c:val>
            <c:numRef>
              <c:f>'P. CONTIGENTE'!$D$39:$D$42</c:f>
              <c:numCache>
                <c:formatCode>0.00%</c:formatCode>
                <c:ptCount val="4"/>
                <c:pt idx="0">
                  <c:v>1</c:v>
                </c:pt>
                <c:pt idx="1">
                  <c:v>1</c:v>
                </c:pt>
                <c:pt idx="2">
                  <c:v>1</c:v>
                </c:pt>
                <c:pt idx="3">
                  <c:v>1</c:v>
                </c:pt>
              </c:numCache>
            </c:numRef>
          </c:val>
          <c:extLst xmlns:c16r2="http://schemas.microsoft.com/office/drawing/2015/06/chart">
            <c:ext xmlns:c16="http://schemas.microsoft.com/office/drawing/2014/chart" uri="{C3380CC4-5D6E-409C-BE32-E72D297353CC}">
              <c16:uniqueId val="{00000002-EA49-48F4-A31A-58F3DF2F2A75}"/>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639554512"/>
        <c:axId val="639555056"/>
      </c:barChart>
      <c:catAx>
        <c:axId val="63955451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639555056"/>
        <c:crosses val="autoZero"/>
        <c:auto val="1"/>
        <c:lblAlgn val="ctr"/>
        <c:lblOffset val="100"/>
        <c:noMultiLvlLbl val="1"/>
      </c:catAx>
      <c:valAx>
        <c:axId val="63955505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0%" sourceLinked="1"/>
        <c:majorTickMark val="none"/>
        <c:minorTickMark val="none"/>
        <c:tickLblPos val="nextTo"/>
        <c:spPr>
          <a:ln/>
        </c:spPr>
        <c:txPr>
          <a:bodyPr/>
          <a:lstStyle/>
          <a:p>
            <a:pPr lvl="0">
              <a:defRPr sz="900" b="0" i="0">
                <a:solidFill>
                  <a:srgbClr val="000000"/>
                </a:solidFill>
                <a:latin typeface="Calibri"/>
              </a:defRPr>
            </a:pPr>
            <a:endParaRPr lang="es-CO"/>
          </a:p>
        </c:txPr>
        <c:crossAx val="639554512"/>
        <c:crosses val="autoZero"/>
        <c:crossBetween val="between"/>
      </c:valAx>
    </c:plotArea>
    <c:plotVisOnly val="1"/>
    <c:dispBlanksAs val="zero"/>
    <c:showDLblsOverMax val="1"/>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CO" sz="1000" b="0" i="0" baseline="0">
                <a:effectLst/>
                <a:latin typeface="+mj-lt"/>
                <a:cs typeface="Calibri" panose="020F0502020204030204" pitchFamily="34" charset="0"/>
              </a:rPr>
              <a:t>LÍNEA ESTRATÉGICA: PLANEACIÓN E INTEGRACIÓN CONTINGENTE DEL TERRITORIO. </a:t>
            </a:r>
            <a:r>
              <a:rPr lang="es-CO" sz="1000" b="1" i="0" u="none" strike="noStrike" baseline="0">
                <a:effectLst/>
                <a:latin typeface="+mj-lt"/>
              </a:rPr>
              <a:t>DICIEMBRE</a:t>
            </a:r>
            <a:r>
              <a:rPr lang="es-CO" sz="1000" b="1" i="0" baseline="0">
                <a:effectLst/>
                <a:latin typeface="+mj-lt"/>
                <a:cs typeface="Calibri" panose="020F0502020204030204" pitchFamily="34" charset="0"/>
              </a:rPr>
              <a:t> </a:t>
            </a:r>
            <a:r>
              <a:rPr lang="es-CO" sz="1000" b="0" i="0" baseline="0">
                <a:effectLst/>
                <a:latin typeface="+mj-lt"/>
                <a:cs typeface="Calibri" panose="020F0502020204030204" pitchFamily="34" charset="0"/>
              </a:rPr>
              <a:t> 2022 .</a:t>
            </a:r>
            <a:endParaRPr lang="en-US" sz="1000">
              <a:effectLst/>
              <a:latin typeface="+mj-lt"/>
              <a:cs typeface="Calibri" panose="020F0502020204030204" pitchFamily="34" charset="0"/>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9151472113731136E-2"/>
          <c:y val="0.16133333333333333"/>
          <c:w val="0.90139671533100807"/>
          <c:h val="0.61131828521434817"/>
        </c:manualLayout>
      </c:layout>
      <c:bar3DChart>
        <c:barDir val="col"/>
        <c:grouping val="clustered"/>
        <c:varyColors val="0"/>
        <c:ser>
          <c:idx val="0"/>
          <c:order val="0"/>
          <c:spPr>
            <a:solidFill>
              <a:srgbClr val="FFFF00"/>
            </a:solidFill>
            <a:ln>
              <a:noFill/>
            </a:ln>
            <a:effectLst/>
            <a:sp3d/>
          </c:spPr>
          <c:invertIfNegative val="0"/>
          <c:dPt>
            <c:idx val="1"/>
            <c:invertIfNegative val="0"/>
            <c:bubble3D val="0"/>
            <c:spPr>
              <a:solidFill>
                <a:srgbClr val="FF0000"/>
              </a:solidFill>
              <a:ln>
                <a:noFill/>
              </a:ln>
              <a:effectLst/>
              <a:sp3d/>
            </c:spPr>
            <c:extLst xmlns:c16r2="http://schemas.microsoft.com/office/drawing/2015/06/chart">
              <c:ext xmlns:c16="http://schemas.microsoft.com/office/drawing/2014/chart" uri="{C3380CC4-5D6E-409C-BE32-E72D297353CC}">
                <c16:uniqueId val="{00000002-2C1F-4F15-8E44-60F84EF1F97B}"/>
              </c:ext>
            </c:extLst>
          </c:dPt>
          <c:dPt>
            <c:idx val="2"/>
            <c:invertIfNegative val="0"/>
            <c:bubble3D val="0"/>
            <c:spPr>
              <a:solidFill>
                <a:srgbClr val="00B050"/>
              </a:solidFill>
              <a:ln>
                <a:noFill/>
              </a:ln>
              <a:effectLst/>
              <a:sp3d/>
            </c:spPr>
            <c:extLst xmlns:c16r2="http://schemas.microsoft.com/office/drawing/2015/06/chart">
              <c:ext xmlns:c16="http://schemas.microsoft.com/office/drawing/2014/chart" uri="{C3380CC4-5D6E-409C-BE32-E72D297353CC}">
                <c16:uniqueId val="{00000001-E304-42D1-9F5D-5FF8B5FC3BB9}"/>
              </c:ext>
            </c:extLst>
          </c:dPt>
          <c:dLbls>
            <c:dLbl>
              <c:idx val="0"/>
              <c:layout>
                <c:manualLayout>
                  <c:x val="-3.536693191865638E-3"/>
                  <c:y val="9.099901088031651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C1F-4F15-8E44-60F84EF1F97B}"/>
                </c:ext>
                <c:ext xmlns:c15="http://schemas.microsoft.com/office/drawing/2012/chart" uri="{CE6537A1-D6FC-4f65-9D91-7224C49458BB}"/>
              </c:extLst>
            </c:dLbl>
            <c:dLbl>
              <c:idx val="1"/>
              <c:layout>
                <c:manualLayout>
                  <c:x val="0"/>
                  <c:y val="8.704253214638964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C1F-4F15-8E44-60F84EF1F97B}"/>
                </c:ext>
                <c:ext xmlns:c15="http://schemas.microsoft.com/office/drawing/2012/chart" uri="{CE6537A1-D6FC-4f65-9D91-7224C49458BB}"/>
              </c:extLst>
            </c:dLbl>
            <c:dLbl>
              <c:idx val="2"/>
              <c:layout>
                <c:manualLayout>
                  <c:x val="0"/>
                  <c:y val="0.1068249258160238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304-42D1-9F5D-5FF8B5FC3BB9}"/>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 CONTIGENTE'!$C$47:$C$49</c:f>
              <c:strCache>
                <c:ptCount val="3"/>
                <c:pt idx="0">
                  <c:v>LÍNEA ESTRATÉGICA: PLANEACIÓN E INTEGRACIÓN CONTINGENTE DEL TERRITORIO</c:v>
                </c:pt>
                <c:pt idx="1">
                  <c:v>Programa Integración y proyectos entre ciudades</c:v>
                </c:pt>
                <c:pt idx="2">
                  <c:v>Programa: Normas de promoción del desarrollo urbano y económico</c:v>
                </c:pt>
              </c:strCache>
            </c:strRef>
          </c:cat>
          <c:val>
            <c:numRef>
              <c:f>'P. CONTIGENTE'!$D$47:$D$49</c:f>
              <c:numCache>
                <c:formatCode>0%</c:formatCode>
                <c:ptCount val="3"/>
                <c:pt idx="0" formatCode="0.00%">
                  <c:v>0.73724365084391763</c:v>
                </c:pt>
                <c:pt idx="1">
                  <c:v>0.5</c:v>
                </c:pt>
                <c:pt idx="2">
                  <c:v>1</c:v>
                </c:pt>
              </c:numCache>
            </c:numRef>
          </c:val>
          <c:extLst xmlns:c16r2="http://schemas.microsoft.com/office/drawing/2015/06/chart">
            <c:ext xmlns:c16="http://schemas.microsoft.com/office/drawing/2014/chart" uri="{C3380CC4-5D6E-409C-BE32-E72D297353CC}">
              <c16:uniqueId val="{00000000-E304-42D1-9F5D-5FF8B5FC3BB9}"/>
            </c:ext>
          </c:extLst>
        </c:ser>
        <c:dLbls>
          <c:showLegendKey val="0"/>
          <c:showVal val="0"/>
          <c:showCatName val="0"/>
          <c:showSerName val="0"/>
          <c:showPercent val="0"/>
          <c:showBubbleSize val="0"/>
        </c:dLbls>
        <c:gapWidth val="150"/>
        <c:shape val="box"/>
        <c:axId val="639550704"/>
        <c:axId val="639551248"/>
        <c:axId val="0"/>
      </c:bar3DChart>
      <c:catAx>
        <c:axId val="63955070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s-CO"/>
          </a:p>
        </c:txPr>
        <c:crossAx val="639551248"/>
        <c:crosses val="autoZero"/>
        <c:auto val="1"/>
        <c:lblAlgn val="ctr"/>
        <c:lblOffset val="100"/>
        <c:noMultiLvlLbl val="0"/>
      </c:catAx>
      <c:valAx>
        <c:axId val="6395512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9550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400" b="0" i="0">
                <a:solidFill>
                  <a:srgbClr val="757575"/>
                </a:solidFill>
                <a:latin typeface="Calibri"/>
              </a:defRPr>
            </a:pPr>
            <a:r>
              <a:rPr lang="es-CO" sz="1400" b="1" i="0">
                <a:solidFill>
                  <a:srgbClr val="757575"/>
                </a:solidFill>
                <a:latin typeface="Calibri"/>
              </a:rPr>
              <a:t>AVANCE PILAR TRANSPARENTE </a:t>
            </a:r>
            <a:r>
              <a:rPr lang="es-CO" sz="1400" b="1" i="0" u="none" strike="noStrike" baseline="0">
                <a:effectLst/>
              </a:rPr>
              <a:t>DICIEMBRE</a:t>
            </a:r>
            <a:r>
              <a:rPr lang="es-CO" sz="1400" b="1" i="0">
                <a:solidFill>
                  <a:srgbClr val="757575"/>
                </a:solidFill>
                <a:latin typeface="Calibri"/>
              </a:rPr>
              <a:t> 2022. PILAR Y LINEAS ESTRATEGICAS</a:t>
            </a:r>
            <a:r>
              <a:rPr lang="es-CO" sz="1400" b="0" i="0">
                <a:solidFill>
                  <a:srgbClr val="757575"/>
                </a:solidFill>
                <a:latin typeface="Calibri"/>
              </a:rPr>
              <a:t>.</a:t>
            </a:r>
          </a:p>
        </c:rich>
      </c:tx>
      <c:overlay val="0"/>
    </c:title>
    <c:autoTitleDeleted val="0"/>
    <c:plotArea>
      <c:layout/>
      <c:barChart>
        <c:barDir val="col"/>
        <c:grouping val="clustered"/>
        <c:varyColors val="1"/>
        <c:ser>
          <c:idx val="0"/>
          <c:order val="0"/>
          <c:spPr>
            <a:solidFill>
              <a:srgbClr val="FFFF00"/>
            </a:solidFill>
            <a:ln cmpd="sng">
              <a:solidFill>
                <a:srgbClr val="000000"/>
              </a:solidFill>
            </a:ln>
          </c:spPr>
          <c:invertIfNegative val="1"/>
          <c:dPt>
            <c:idx val="1"/>
            <c:invertIfNegative val="1"/>
            <c:bubble3D val="0"/>
            <c:extLst xmlns:c16r2="http://schemas.microsoft.com/office/drawing/2015/06/chart">
              <c:ext xmlns:c16="http://schemas.microsoft.com/office/drawing/2014/chart" uri="{C3380CC4-5D6E-409C-BE32-E72D297353CC}">
                <c16:uniqueId val="{00000001-F104-48C6-A4C9-7898EFC5C588}"/>
              </c:ext>
            </c:extLst>
          </c:dPt>
          <c:dPt>
            <c:idx val="2"/>
            <c:invertIfNegative val="1"/>
            <c:bubble3D val="0"/>
            <c:extLst xmlns:c16r2="http://schemas.microsoft.com/office/drawing/2015/06/chart">
              <c:ext xmlns:c16="http://schemas.microsoft.com/office/drawing/2014/chart" uri="{C3380CC4-5D6E-409C-BE32-E72D297353CC}">
                <c16:uniqueId val="{0000000D-C77B-432E-8A46-168FB44DA90E}"/>
              </c:ext>
            </c:extLst>
          </c:dPt>
          <c:dPt>
            <c:idx val="4"/>
            <c:invertIfNegative val="1"/>
            <c:bubble3D val="0"/>
            <c:extLst xmlns:c16r2="http://schemas.microsoft.com/office/drawing/2015/06/chart">
              <c:ext xmlns:c16="http://schemas.microsoft.com/office/drawing/2014/chart" uri="{C3380CC4-5D6E-409C-BE32-E72D297353CC}">
                <c16:uniqueId val="{00000005-4673-4EE5-B622-A7F907ADD7DE}"/>
              </c:ext>
            </c:extLst>
          </c:dPt>
          <c:dPt>
            <c:idx val="5"/>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3-F104-48C6-A4C9-7898EFC5C588}"/>
              </c:ext>
            </c:extLst>
          </c:dPt>
          <c:dPt>
            <c:idx val="6"/>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E-C77B-432E-8A46-168FB44DA90E}"/>
              </c:ext>
            </c:extLst>
          </c:dPt>
          <c:dPt>
            <c:idx val="7"/>
            <c:invertIfNegative val="1"/>
            <c:bubble3D val="0"/>
            <c:extLst xmlns:c16r2="http://schemas.microsoft.com/office/drawing/2015/06/chart">
              <c:ext xmlns:c16="http://schemas.microsoft.com/office/drawing/2014/chart" uri="{C3380CC4-5D6E-409C-BE32-E72D297353CC}">
                <c16:uniqueId val="{00000006-4673-4EE5-B622-A7F907ADD7DE}"/>
              </c:ext>
            </c:extLst>
          </c:dPt>
          <c:dPt>
            <c:idx val="8"/>
            <c:invertIfNegative val="1"/>
            <c:bubble3D val="0"/>
            <c:extLst xmlns:c16r2="http://schemas.microsoft.com/office/drawing/2015/06/chart">
              <c:ext xmlns:c16="http://schemas.microsoft.com/office/drawing/2014/chart" uri="{C3380CC4-5D6E-409C-BE32-E72D297353CC}">
                <c16:uniqueId val="{00000005-F104-48C6-A4C9-7898EFC5C588}"/>
              </c:ext>
            </c:extLst>
          </c:dPt>
          <c:dLbls>
            <c:spPr>
              <a:noFill/>
              <a:ln>
                <a:noFill/>
              </a:ln>
              <a:effectLst/>
            </c:spPr>
            <c:txPr>
              <a:bodyPr/>
              <a:lstStyle/>
              <a:p>
                <a:pPr lvl="0">
                  <a:defRPr sz="9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TRANSPARENTE'!$C$4:$C$12</c:f>
              <c:strCache>
                <c:ptCount val="9"/>
                <c:pt idx="0">
                  <c:v>PILAR CARTAGENA TRANSPARENTE</c:v>
                </c:pt>
                <c:pt idx="1">
                  <c:v>LÍNEA ESTRATÉGICA GESTIÓN Y DESEMPEÑO INSTITUCIONAL PARA LA GOBERNANZA</c:v>
                </c:pt>
                <c:pt idx="2">
                  <c:v>LÍNEA ESTRATÉGICA: CARTAGENA INTELIGENTE CON TODOS Y PARA  TODOS</c:v>
                </c:pt>
                <c:pt idx="3">
                  <c:v>LÍNEA ESTRATÉGICA: CONVIVENCIA Y SEGURIDAD PARA LA GOBERNABILIDAD</c:v>
                </c:pt>
                <c:pt idx="4">
                  <c:v>LÍNEA ESTRATÉGICA DERECHOS HUMANOS PARA LA PAZ</c:v>
                </c:pt>
                <c:pt idx="5">
                  <c:v>LÍNEA ESTRATÉGICA: ATENCIÓN Y REPARACIÓN A VICTIMAS PARA LA CONSTRUCCIÓN DE LA  PAZ TERRITORIAL</c:v>
                </c:pt>
                <c:pt idx="6">
                  <c:v>LÍNEA ESTRATÉGICA: CULTURA CIUDADANA PARA LA DEMOCRACIA Y LA PAZ</c:v>
                </c:pt>
                <c:pt idx="7">
                  <c:v>LÍNEA ESTRATÉGICA: PARTICIPACIÓN Y DESCENTRALIZACIÓN </c:v>
                </c:pt>
                <c:pt idx="8">
                  <c:v>LÍNEA ESTRATÉGICA: FINANZAS PÚBLICAS PARA SALVAR A CARTAGENA</c:v>
                </c:pt>
              </c:strCache>
            </c:strRef>
          </c:cat>
          <c:val>
            <c:numRef>
              <c:f>'P. TRANSPARENTE'!$D$4:$D$12</c:f>
              <c:numCache>
                <c:formatCode>0.0%</c:formatCode>
                <c:ptCount val="9"/>
                <c:pt idx="0">
                  <c:v>0.73724365084391763</c:v>
                </c:pt>
                <c:pt idx="1">
                  <c:v>0.76864880952380954</c:v>
                </c:pt>
                <c:pt idx="2">
                  <c:v>0.84028571428571419</c:v>
                </c:pt>
                <c:pt idx="3">
                  <c:v>0.74869852369852374</c:v>
                </c:pt>
                <c:pt idx="4">
                  <c:v>0.64172277517564402</c:v>
                </c:pt>
                <c:pt idx="5" formatCode="0.00%">
                  <c:v>0.77276981961497648</c:v>
                </c:pt>
                <c:pt idx="6">
                  <c:v>0.90395399191600945</c:v>
                </c:pt>
                <c:pt idx="7">
                  <c:v>0.66016670881692485</c:v>
                </c:pt>
                <c:pt idx="8">
                  <c:v>0.56170286371973865</c:v>
                </c:pt>
              </c:numCache>
            </c:numRef>
          </c:val>
          <c:extLst xmlns:c16r2="http://schemas.microsoft.com/office/drawing/2015/06/chart">
            <c:ext xmlns:c16="http://schemas.microsoft.com/office/drawing/2014/chart" uri="{C3380CC4-5D6E-409C-BE32-E72D297353CC}">
              <c16:uniqueId val="{00000006-F104-48C6-A4C9-7898EFC5C588}"/>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639552336"/>
        <c:axId val="639551792"/>
      </c:barChart>
      <c:catAx>
        <c:axId val="63955233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600" b="0" i="0">
                <a:solidFill>
                  <a:srgbClr val="000000"/>
                </a:solidFill>
                <a:latin typeface="Calibri"/>
              </a:defRPr>
            </a:pPr>
            <a:endParaRPr lang="es-CO"/>
          </a:p>
        </c:txPr>
        <c:crossAx val="639551792"/>
        <c:crosses val="autoZero"/>
        <c:auto val="1"/>
        <c:lblAlgn val="ctr"/>
        <c:lblOffset val="100"/>
        <c:noMultiLvlLbl val="1"/>
      </c:catAx>
      <c:valAx>
        <c:axId val="63955179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CO"/>
          </a:p>
        </c:txPr>
        <c:crossAx val="639552336"/>
        <c:crosses val="autoZero"/>
        <c:crossBetween val="between"/>
      </c:valAx>
    </c:plotArea>
    <c:plotVisOnly val="1"/>
    <c:dispBlanksAs val="zero"/>
    <c:showDLblsOverMax val="1"/>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000" b="0" i="0">
                <a:solidFill>
                  <a:srgbClr val="757575"/>
                </a:solidFill>
                <a:latin typeface="Calibri"/>
              </a:defRPr>
            </a:pPr>
            <a:r>
              <a:rPr lang="es-CO" sz="1000" b="1" i="0">
                <a:solidFill>
                  <a:srgbClr val="757575"/>
                </a:solidFill>
                <a:latin typeface="Calibri"/>
              </a:rPr>
              <a:t>LÍNEA ESTRATÉGICA GESTIÓN Y DESEMPEÑO INSTITUCIONAL PARA LA GOBERNANZA. 
AVANCE A </a:t>
            </a:r>
            <a:r>
              <a:rPr lang="es-CO" sz="1000" b="1" i="0" u="none" strike="noStrike" baseline="0">
                <a:effectLst/>
              </a:rPr>
              <a:t>DICIEMBRE </a:t>
            </a:r>
            <a:r>
              <a:rPr lang="es-CO" sz="1000" b="1" i="0">
                <a:solidFill>
                  <a:srgbClr val="757575"/>
                </a:solidFill>
                <a:latin typeface="Calibri"/>
              </a:rPr>
              <a:t> 2022 </a:t>
            </a:r>
          </a:p>
        </c:rich>
      </c:tx>
      <c:overlay val="0"/>
    </c:title>
    <c:autoTitleDeleted val="0"/>
    <c:plotArea>
      <c:layout/>
      <c:barChart>
        <c:barDir val="col"/>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1-A3F6-4979-99BE-03DB5EEF2E65}"/>
              </c:ext>
            </c:extLst>
          </c:dPt>
          <c:dPt>
            <c:idx val="1"/>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3-A3F6-4979-99BE-03DB5EEF2E65}"/>
              </c:ext>
            </c:extLst>
          </c:dPt>
          <c:dPt>
            <c:idx val="2"/>
            <c:invertIfNegative val="1"/>
            <c:bubble3D val="0"/>
            <c:extLst xmlns:c16r2="http://schemas.microsoft.com/office/drawing/2015/06/chart">
              <c:ext xmlns:c16="http://schemas.microsoft.com/office/drawing/2014/chart" uri="{C3380CC4-5D6E-409C-BE32-E72D297353CC}">
                <c16:uniqueId val="{00000003-FB8E-45EC-9D4D-924161B2CD9E}"/>
              </c:ext>
            </c:extLst>
          </c:dPt>
          <c:dLbls>
            <c:spPr>
              <a:noFill/>
              <a:ln>
                <a:noFill/>
              </a:ln>
              <a:effectLst/>
            </c:spPr>
            <c:txPr>
              <a:bodyPr/>
              <a:lstStyle/>
              <a:p>
                <a:pPr lvl="0">
                  <a:defRPr sz="12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TRANSPARENTE'!$C$15:$C$17</c:f>
              <c:strCache>
                <c:ptCount val="3"/>
                <c:pt idx="0">
                  <c:v>LÍNEA ESTRATÉGICA GESTIÓN Y DESEMPEÑO INSTITUCIONAL PARA LA GOBERNANZA</c:v>
                </c:pt>
                <c:pt idx="1">
                  <c:v>Programa: Gestión pública integrada y transparente</c:v>
                </c:pt>
                <c:pt idx="2">
                  <c:v>Programa: Transparencia para el fortalecimiento de la   confianza en las instituciones del distrito de Cartagena.</c:v>
                </c:pt>
              </c:strCache>
            </c:strRef>
          </c:cat>
          <c:val>
            <c:numRef>
              <c:f>'P. TRANSPARENTE'!$D$15:$D$17</c:f>
              <c:numCache>
                <c:formatCode>0.0%</c:formatCode>
                <c:ptCount val="3"/>
                <c:pt idx="0">
                  <c:v>0.76864880952380954</c:v>
                </c:pt>
                <c:pt idx="1">
                  <c:v>0.72479761904761908</c:v>
                </c:pt>
                <c:pt idx="2">
                  <c:v>0.8125</c:v>
                </c:pt>
              </c:numCache>
            </c:numRef>
          </c:val>
          <c:extLst xmlns:c16r2="http://schemas.microsoft.com/office/drawing/2015/06/chart">
            <c:ext xmlns:c16="http://schemas.microsoft.com/office/drawing/2014/chart" uri="{C3380CC4-5D6E-409C-BE32-E72D297353CC}">
              <c16:uniqueId val="{00000004-A3F6-4979-99BE-03DB5EEF2E65}"/>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639555600"/>
        <c:axId val="639552880"/>
      </c:barChart>
      <c:catAx>
        <c:axId val="63955560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639552880"/>
        <c:crosses val="autoZero"/>
        <c:auto val="1"/>
        <c:lblAlgn val="ctr"/>
        <c:lblOffset val="100"/>
        <c:noMultiLvlLbl val="1"/>
      </c:catAx>
      <c:valAx>
        <c:axId val="63955288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CO"/>
          </a:p>
        </c:txPr>
        <c:crossAx val="639555600"/>
        <c:crosses val="autoZero"/>
        <c:crossBetween val="between"/>
      </c:valAx>
    </c:plotArea>
    <c:plotVisOnly val="1"/>
    <c:dispBlanksAs val="zero"/>
    <c:showDLblsOverMax val="1"/>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000" b="0" i="0">
                <a:solidFill>
                  <a:srgbClr val="757575"/>
                </a:solidFill>
                <a:latin typeface="Calibri"/>
              </a:defRPr>
            </a:pPr>
            <a:r>
              <a:rPr lang="es-CO" sz="1000" b="1" i="0">
                <a:solidFill>
                  <a:srgbClr val="757575"/>
                </a:solidFill>
                <a:latin typeface="Calibri"/>
              </a:rPr>
              <a:t>LÍNEA ESTRATÉGICA: CARTAGENA INTELIGENTE CON TODOS Y PARA  TODOS.
 AVANCE A </a:t>
            </a:r>
            <a:r>
              <a:rPr lang="es-CO" sz="1000" b="1" i="0" u="none" strike="noStrike" baseline="0">
                <a:effectLst/>
              </a:rPr>
              <a:t>DICIEMBRE </a:t>
            </a:r>
            <a:r>
              <a:rPr lang="es-CO" sz="1000" b="1" i="0">
                <a:solidFill>
                  <a:srgbClr val="757575"/>
                </a:solidFill>
                <a:latin typeface="Calibri"/>
              </a:rPr>
              <a:t> 2022 </a:t>
            </a:r>
          </a:p>
        </c:rich>
      </c:tx>
      <c:layout>
        <c:manualLayout>
          <c:xMode val="edge"/>
          <c:yMode val="edge"/>
          <c:x val="0.18939481268011527"/>
          <c:y val="2.7118644067796609E-2"/>
        </c:manualLayout>
      </c:layout>
      <c:overlay val="0"/>
    </c:title>
    <c:autoTitleDeleted val="0"/>
    <c:plotArea>
      <c:layout/>
      <c:barChart>
        <c:barDir val="bar"/>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4-AA3D-4B54-AB70-0DE7C0C1C1FD}"/>
              </c:ext>
            </c:extLst>
          </c:dPt>
          <c:dPt>
            <c:idx val="1"/>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2-70CD-446B-AEA9-974B76BF7F6B}"/>
              </c:ext>
            </c:extLst>
          </c:dPt>
          <c:dPt>
            <c:idx val="4"/>
            <c:invertIfNegative val="1"/>
            <c:bubble3D val="0"/>
            <c:spPr>
              <a:solidFill>
                <a:srgbClr val="FF0000"/>
              </a:solidFill>
              <a:ln cmpd="sng">
                <a:solidFill>
                  <a:srgbClr val="000000"/>
                </a:solidFill>
              </a:ln>
            </c:spPr>
            <c:extLst xmlns:c16r2="http://schemas.microsoft.com/office/drawing/2015/06/chart">
              <c:ext xmlns:c16="http://schemas.microsoft.com/office/drawing/2014/chart" uri="{C3380CC4-5D6E-409C-BE32-E72D297353CC}">
                <c16:uniqueId val="{00000001-9F28-4E99-83AF-5B2D4878DBF7}"/>
              </c:ext>
            </c:extLst>
          </c:dPt>
          <c:dPt>
            <c:idx val="5"/>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5-AA3D-4B54-AB70-0DE7C0C1C1FD}"/>
              </c:ext>
            </c:extLst>
          </c:dPt>
          <c:dLbls>
            <c:spPr>
              <a:noFill/>
              <a:ln>
                <a:noFill/>
              </a:ln>
              <a:effectLst/>
            </c:spPr>
            <c:txPr>
              <a:bodyPr/>
              <a:lstStyle/>
              <a:p>
                <a:pPr lvl="0">
                  <a:defRPr sz="9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TRANSPARENTE'!$C$21:$C$26</c:f>
              <c:strCache>
                <c:ptCount val="6"/>
                <c:pt idx="0">
                  <c:v>LÍNEA ESTRATÉGICA: CARTAGENA INTELIGENTE CON TODOS Y PARA  TODOS</c:v>
                </c:pt>
                <c:pt idx="1">
                  <c:v>Programa: Cartagena inteligente con todos y para todos</c:v>
                </c:pt>
                <c:pt idx="2">
                  <c:v>Programa: Cartageneros conectados y alfabetizados</c:v>
                </c:pt>
                <c:pt idx="3">
                  <c:v>Programa: Cartagena hacia la modernidad</c:v>
                </c:pt>
                <c:pt idx="4">
                  <c:v>Programa: Organización y recuperación del patrimonio público del distrito de Cartagena </c:v>
                </c:pt>
                <c:pt idx="5">
                  <c:v>Programa: Premio Jorge Piedrahita Aduen</c:v>
                </c:pt>
              </c:strCache>
            </c:strRef>
          </c:cat>
          <c:val>
            <c:numRef>
              <c:f>'P. TRANSPARENTE'!$D$21:$D$26</c:f>
              <c:numCache>
                <c:formatCode>0.0%</c:formatCode>
                <c:ptCount val="6"/>
                <c:pt idx="0">
                  <c:v>0.84028571428571419</c:v>
                </c:pt>
                <c:pt idx="1">
                  <c:v>0.5714285714285714</c:v>
                </c:pt>
                <c:pt idx="2">
                  <c:v>1</c:v>
                </c:pt>
                <c:pt idx="3">
                  <c:v>0.88</c:v>
                </c:pt>
                <c:pt idx="4">
                  <c:v>1</c:v>
                </c:pt>
                <c:pt idx="5">
                  <c:v>0.75</c:v>
                </c:pt>
              </c:numCache>
            </c:numRef>
          </c:val>
          <c:extLst xmlns:c16r2="http://schemas.microsoft.com/office/drawing/2015/06/chart">
            <c:ext xmlns:c16="http://schemas.microsoft.com/office/drawing/2014/chart" uri="{C3380CC4-5D6E-409C-BE32-E72D297353CC}">
              <c16:uniqueId val="{00000002-9F28-4E99-83AF-5B2D4878DBF7}"/>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639553424"/>
        <c:axId val="639540912"/>
      </c:barChart>
      <c:catAx>
        <c:axId val="639553424"/>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639540912"/>
        <c:crosses val="autoZero"/>
        <c:auto val="1"/>
        <c:lblAlgn val="ctr"/>
        <c:lblOffset val="100"/>
        <c:noMultiLvlLbl val="1"/>
      </c:catAx>
      <c:valAx>
        <c:axId val="639540912"/>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CO"/>
          </a:p>
        </c:txPr>
        <c:crossAx val="639553424"/>
        <c:crosses val="max"/>
        <c:crossBetween val="between"/>
      </c:valAx>
    </c:plotArea>
    <c:plotVisOnly val="1"/>
    <c:dispBlanksAs val="zero"/>
    <c:showDLblsOverMax val="1"/>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400" b="0" i="0">
                <a:solidFill>
                  <a:srgbClr val="757575"/>
                </a:solidFill>
                <a:latin typeface="Calibri"/>
              </a:defRPr>
            </a:pPr>
            <a:r>
              <a:rPr lang="es-CO" sz="1100" b="1" i="0">
                <a:solidFill>
                  <a:srgbClr val="757575"/>
                </a:solidFill>
                <a:latin typeface="Calibri"/>
              </a:rPr>
              <a:t>LÍNEA ESTRATÉGICA: CONVIVENCIA Y SEGURIDAD PARA LA GOBERNABILIDAD. AVANCE A </a:t>
            </a:r>
            <a:r>
              <a:rPr lang="es-CO" sz="1100" b="1" i="0" u="none" strike="noStrike" baseline="0">
                <a:effectLst/>
              </a:rPr>
              <a:t>DICIEMBRE </a:t>
            </a:r>
            <a:r>
              <a:rPr lang="es-CO" sz="1100" b="1" i="0">
                <a:solidFill>
                  <a:srgbClr val="757575"/>
                </a:solidFill>
                <a:latin typeface="Calibri"/>
              </a:rPr>
              <a:t> 2022 </a:t>
            </a:r>
          </a:p>
        </c:rich>
      </c:tx>
      <c:overlay val="0"/>
    </c:title>
    <c:autoTitleDeleted val="0"/>
    <c:plotArea>
      <c:layout/>
      <c:barChart>
        <c:barDir val="bar"/>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1-C8AC-4204-90A7-E4F152786B35}"/>
              </c:ext>
            </c:extLst>
          </c:dPt>
          <c:dPt>
            <c:idx val="1"/>
            <c:invertIfNegative val="1"/>
            <c:bubble3D val="0"/>
            <c:extLst xmlns:c16r2="http://schemas.microsoft.com/office/drawing/2015/06/chart">
              <c:ext xmlns:c16="http://schemas.microsoft.com/office/drawing/2014/chart" uri="{C3380CC4-5D6E-409C-BE32-E72D297353CC}">
                <c16:uniqueId val="{00000003-C8AC-4204-90A7-E4F152786B35}"/>
              </c:ext>
            </c:extLst>
          </c:dPt>
          <c:dPt>
            <c:idx val="2"/>
            <c:invertIfNegative val="1"/>
            <c:bubble3D val="0"/>
            <c:extLst xmlns:c16r2="http://schemas.microsoft.com/office/drawing/2015/06/chart">
              <c:ext xmlns:c16="http://schemas.microsoft.com/office/drawing/2014/chart" uri="{C3380CC4-5D6E-409C-BE32-E72D297353CC}">
                <c16:uniqueId val="{00000005-C8AC-4204-90A7-E4F152786B35}"/>
              </c:ext>
            </c:extLst>
          </c:dPt>
          <c:dPt>
            <c:idx val="3"/>
            <c:invertIfNegative val="1"/>
            <c:bubble3D val="0"/>
            <c:spPr>
              <a:solidFill>
                <a:srgbClr val="FF0000"/>
              </a:solidFill>
              <a:ln cmpd="sng">
                <a:solidFill>
                  <a:srgbClr val="000000"/>
                </a:solidFill>
              </a:ln>
            </c:spPr>
            <c:extLst xmlns:c16r2="http://schemas.microsoft.com/office/drawing/2015/06/chart">
              <c:ext xmlns:c16="http://schemas.microsoft.com/office/drawing/2014/chart" uri="{C3380CC4-5D6E-409C-BE32-E72D297353CC}">
                <c16:uniqueId val="{00000007-C8AC-4204-90A7-E4F152786B35}"/>
              </c:ext>
            </c:extLst>
          </c:dPt>
          <c:dPt>
            <c:idx val="4"/>
            <c:invertIfNegative val="1"/>
            <c:bubble3D val="0"/>
            <c:extLst xmlns:c16r2="http://schemas.microsoft.com/office/drawing/2015/06/chart">
              <c:ext xmlns:c16="http://schemas.microsoft.com/office/drawing/2014/chart" uri="{C3380CC4-5D6E-409C-BE32-E72D297353CC}">
                <c16:uniqueId val="{00000009-C8AC-4204-90A7-E4F152786B35}"/>
              </c:ext>
            </c:extLst>
          </c:dPt>
          <c:dPt>
            <c:idx val="5"/>
            <c:invertIfNegative val="1"/>
            <c:bubble3D val="0"/>
            <c:extLst xmlns:c16r2="http://schemas.microsoft.com/office/drawing/2015/06/chart">
              <c:ext xmlns:c16="http://schemas.microsoft.com/office/drawing/2014/chart" uri="{C3380CC4-5D6E-409C-BE32-E72D297353CC}">
                <c16:uniqueId val="{0000000B-C8AC-4204-90A7-E4F152786B35}"/>
              </c:ext>
            </c:extLst>
          </c:dPt>
          <c:dPt>
            <c:idx val="6"/>
            <c:invertIfNegative val="1"/>
            <c:bubble3D val="0"/>
            <c:extLst xmlns:c16r2="http://schemas.microsoft.com/office/drawing/2015/06/chart">
              <c:ext xmlns:c16="http://schemas.microsoft.com/office/drawing/2014/chart" uri="{C3380CC4-5D6E-409C-BE32-E72D297353CC}">
                <c16:uniqueId val="{0000000D-C8AC-4204-90A7-E4F152786B35}"/>
              </c:ext>
            </c:extLst>
          </c:dPt>
          <c:dPt>
            <c:idx val="7"/>
            <c:invertIfNegative val="1"/>
            <c:bubble3D val="0"/>
            <c:spPr>
              <a:solidFill>
                <a:srgbClr val="FF0000"/>
              </a:solidFill>
              <a:ln cmpd="sng">
                <a:solidFill>
                  <a:srgbClr val="000000"/>
                </a:solidFill>
              </a:ln>
            </c:spPr>
            <c:extLst xmlns:c16r2="http://schemas.microsoft.com/office/drawing/2015/06/chart">
              <c:ext xmlns:c16="http://schemas.microsoft.com/office/drawing/2014/chart" uri="{C3380CC4-5D6E-409C-BE32-E72D297353CC}">
                <c16:uniqueId val="{00000011-F715-40E1-8D2A-2454532F491B}"/>
              </c:ext>
            </c:extLst>
          </c:dPt>
          <c:dPt>
            <c:idx val="8"/>
            <c:invertIfNegative val="1"/>
            <c:bubble3D val="0"/>
            <c:spPr>
              <a:solidFill>
                <a:srgbClr val="FF0000"/>
              </a:solidFill>
              <a:ln cmpd="sng">
                <a:solidFill>
                  <a:srgbClr val="000000"/>
                </a:solidFill>
              </a:ln>
            </c:spPr>
            <c:extLst xmlns:c16r2="http://schemas.microsoft.com/office/drawing/2015/06/chart">
              <c:ext xmlns:c16="http://schemas.microsoft.com/office/drawing/2014/chart" uri="{C3380CC4-5D6E-409C-BE32-E72D297353CC}">
                <c16:uniqueId val="{00000014-8F18-4CAE-8A52-BC5507C7427D}"/>
              </c:ext>
            </c:extLst>
          </c:dPt>
          <c:dPt>
            <c:idx val="9"/>
            <c:invertIfNegative val="1"/>
            <c:bubble3D val="0"/>
            <c:extLst xmlns:c16r2="http://schemas.microsoft.com/office/drawing/2015/06/chart">
              <c:ext xmlns:c16="http://schemas.microsoft.com/office/drawing/2014/chart" uri="{C3380CC4-5D6E-409C-BE32-E72D297353CC}">
                <c16:uniqueId val="{00000013-8F18-4CAE-8A52-BC5507C7427D}"/>
              </c:ext>
            </c:extLst>
          </c:dPt>
          <c:dPt>
            <c:idx val="10"/>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F-C8AC-4204-90A7-E4F152786B35}"/>
              </c:ext>
            </c:extLst>
          </c:dPt>
          <c:dPt>
            <c:idx val="11"/>
            <c:invertIfNegative val="1"/>
            <c:bubble3D val="0"/>
            <c:extLst xmlns:c16r2="http://schemas.microsoft.com/office/drawing/2015/06/chart">
              <c:ext xmlns:c16="http://schemas.microsoft.com/office/drawing/2014/chart" uri="{C3380CC4-5D6E-409C-BE32-E72D297353CC}">
                <c16:uniqueId val="{00000010-08C4-4C8A-835B-8EDB409AF732}"/>
              </c:ext>
            </c:extLst>
          </c:dPt>
          <c:dLbls>
            <c:spPr>
              <a:noFill/>
              <a:ln>
                <a:noFill/>
              </a:ln>
              <a:effectLst/>
            </c:spPr>
            <c:txPr>
              <a:bodyPr/>
              <a:lstStyle/>
              <a:p>
                <a:pPr lvl="0">
                  <a:defRPr sz="900" b="0"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TRANSPARENTE'!$C$30:$C$41</c:f>
              <c:strCache>
                <c:ptCount val="12"/>
                <c:pt idx="0">
                  <c:v>LÍNEA ESTRATÉGICA: CONVIVENCIA Y SEGURIDAD PARA LA GOBERNABILIDAD</c:v>
                </c:pt>
                <c:pt idx="1">
                  <c:v>Programa:   Plan integral de seguridad y convivencia ciudadana</c:v>
                </c:pt>
                <c:pt idx="2">
                  <c:v>Programa:    Fortalecimiento de la convivencia y la seguridad ciudadana</c:v>
                </c:pt>
                <c:pt idx="3">
                  <c:v>Programa:   Mejorar la convivencia ciudadana con la implementación del código nacional de policía y convivencia</c:v>
                </c:pt>
                <c:pt idx="4">
                  <c:v>Programa:    Fortalecimiento capacidad operativa de la secretaria del interior y convivencia ciudadana</c:v>
                </c:pt>
                <c:pt idx="5">
                  <c:v>Programa:   Promoción al acceso a la justicia</c:v>
                </c:pt>
                <c:pt idx="6">
                  <c:v>Programa:    Asistencia y atención integral a los niños, niñas,  adolescentes y jóvenes en riesgo de vincularse a actividades delictivas</c:v>
                </c:pt>
                <c:pt idx="7">
                  <c:v>Programa:    Fortalecimiento sistema de responsabilidad penal para adolescentes –SRPA</c:v>
                </c:pt>
                <c:pt idx="8">
                  <c:v>Programa: Implementación y sostenimiento de herramientas tecnológicas para seguridad y socorro</c:v>
                </c:pt>
                <c:pt idx="9">
                  <c:v>Programa: Optimización de la infraestructura y movilidad de los organismos de seguridad y socorro</c:v>
                </c:pt>
                <c:pt idx="10">
                  <c:v>Programa: Vigilancia de las playas del distrito de Cartagena</c:v>
                </c:pt>
                <c:pt idx="11">
                  <c:v>Programa Convivencia para la Seguridad</c:v>
                </c:pt>
              </c:strCache>
            </c:strRef>
          </c:cat>
          <c:val>
            <c:numRef>
              <c:f>'P. TRANSPARENTE'!$D$30:$D$41</c:f>
              <c:numCache>
                <c:formatCode>0.0%</c:formatCode>
                <c:ptCount val="12"/>
                <c:pt idx="0">
                  <c:v>0.74869852369852374</c:v>
                </c:pt>
                <c:pt idx="1">
                  <c:v>0.875</c:v>
                </c:pt>
                <c:pt idx="2">
                  <c:v>1</c:v>
                </c:pt>
                <c:pt idx="3">
                  <c:v>0.5</c:v>
                </c:pt>
                <c:pt idx="4">
                  <c:v>0.88846153846153841</c:v>
                </c:pt>
                <c:pt idx="5">
                  <c:v>0.875</c:v>
                </c:pt>
                <c:pt idx="6">
                  <c:v>0.88888888888888884</c:v>
                </c:pt>
                <c:pt idx="7">
                  <c:v>0.25</c:v>
                </c:pt>
                <c:pt idx="8">
                  <c:v>0.33333333333333331</c:v>
                </c:pt>
                <c:pt idx="9">
                  <c:v>0.625</c:v>
                </c:pt>
                <c:pt idx="10">
                  <c:v>1</c:v>
                </c:pt>
                <c:pt idx="11">
                  <c:v>1</c:v>
                </c:pt>
              </c:numCache>
            </c:numRef>
          </c:val>
          <c:extLst xmlns:c16r2="http://schemas.microsoft.com/office/drawing/2015/06/chart">
            <c:ext xmlns:c16="http://schemas.microsoft.com/office/drawing/2014/chart" uri="{C3380CC4-5D6E-409C-BE32-E72D297353CC}">
              <c16:uniqueId val="{00000010-C8AC-4204-90A7-E4F152786B35}"/>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565583168"/>
        <c:axId val="565587520"/>
      </c:barChart>
      <c:catAx>
        <c:axId val="565583168"/>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565587520"/>
        <c:crosses val="autoZero"/>
        <c:auto val="1"/>
        <c:lblAlgn val="ctr"/>
        <c:lblOffset val="100"/>
        <c:noMultiLvlLbl val="1"/>
      </c:catAx>
      <c:valAx>
        <c:axId val="565587520"/>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700" b="0" i="0">
                <a:solidFill>
                  <a:srgbClr val="000000"/>
                </a:solidFill>
                <a:latin typeface="Calibri"/>
              </a:defRPr>
            </a:pPr>
            <a:endParaRPr lang="es-CO"/>
          </a:p>
        </c:txPr>
        <c:crossAx val="565583168"/>
        <c:crosses val="max"/>
        <c:crossBetween val="between"/>
      </c:valAx>
    </c:plotArea>
    <c:plotVisOnly val="1"/>
    <c:dispBlanksAs val="zero"/>
    <c:showDLblsOverMax val="1"/>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200" b="0" i="0">
                <a:solidFill>
                  <a:srgbClr val="757575"/>
                </a:solidFill>
                <a:latin typeface="Calibri"/>
              </a:defRPr>
            </a:pPr>
            <a:r>
              <a:rPr lang="es-CO" sz="1100" b="1" i="0">
                <a:solidFill>
                  <a:srgbClr val="757575"/>
                </a:solidFill>
                <a:latin typeface="Calibri"/>
              </a:rPr>
              <a:t>LÍNEA ESTRATÉGICA DERECHOS HUMANOS PARA LA PAZ. AVANCE A </a:t>
            </a:r>
            <a:r>
              <a:rPr lang="es-CO" sz="1100" b="1" i="0" u="none" strike="noStrike" baseline="0">
                <a:effectLst/>
              </a:rPr>
              <a:t>DICIEMBRE </a:t>
            </a:r>
            <a:r>
              <a:rPr lang="es-CO" sz="1100" b="1" i="0">
                <a:solidFill>
                  <a:srgbClr val="757575"/>
                </a:solidFill>
                <a:latin typeface="Calibri"/>
              </a:rPr>
              <a:t> 2022 </a:t>
            </a:r>
          </a:p>
        </c:rich>
      </c:tx>
      <c:overlay val="0"/>
    </c:title>
    <c:autoTitleDeleted val="0"/>
    <c:plotArea>
      <c:layout/>
      <c:barChart>
        <c:barDir val="col"/>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3-2AC2-4260-B2F0-9E1CCD0E3867}"/>
              </c:ext>
            </c:extLst>
          </c:dPt>
          <c:dPt>
            <c:idx val="2"/>
            <c:invertIfNegative val="1"/>
            <c:bubble3D val="0"/>
            <c:spPr>
              <a:solidFill>
                <a:srgbClr val="FF0000"/>
              </a:solidFill>
              <a:ln cmpd="sng">
                <a:solidFill>
                  <a:srgbClr val="000000"/>
                </a:solidFill>
              </a:ln>
            </c:spPr>
            <c:extLst xmlns:c16r2="http://schemas.microsoft.com/office/drawing/2015/06/chart">
              <c:ext xmlns:c16="http://schemas.microsoft.com/office/drawing/2014/chart" uri="{C3380CC4-5D6E-409C-BE32-E72D297353CC}">
                <c16:uniqueId val="{00000001-8EE4-493C-996F-3D714EBCB308}"/>
              </c:ext>
            </c:extLst>
          </c:dPt>
          <c:dLbls>
            <c:spPr>
              <a:noFill/>
              <a:ln>
                <a:noFill/>
              </a:ln>
              <a:effectLst/>
            </c:spPr>
            <c:txPr>
              <a:bodyPr/>
              <a:lstStyle/>
              <a:p>
                <a:pPr lvl="0">
                  <a:defRPr sz="12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TRANSPARENTE'!$C$44:$C$46</c:f>
              <c:strCache>
                <c:ptCount val="3"/>
                <c:pt idx="0">
                  <c:v>LÍNEA ESTRATÉGICA DERECHOS HUMANOS PARA LA PAZ</c:v>
                </c:pt>
                <c:pt idx="1">
                  <c:v>Programa: Prevención, promoción y protección de los derechos humanos en el distrito de Cartagena</c:v>
                </c:pt>
                <c:pt idx="2">
                  <c:v>Programa:   Sistema penitenciario y carcelario en el marco de los derechos humanos</c:v>
                </c:pt>
              </c:strCache>
            </c:strRef>
          </c:cat>
          <c:val>
            <c:numRef>
              <c:f>'P. TRANSPARENTE'!$D$44:$D$46</c:f>
              <c:numCache>
                <c:formatCode>0.0%</c:formatCode>
                <c:ptCount val="3"/>
                <c:pt idx="0">
                  <c:v>0.64172277517564402</c:v>
                </c:pt>
                <c:pt idx="1">
                  <c:v>0.81469555035128793</c:v>
                </c:pt>
                <c:pt idx="2">
                  <c:v>0.46875</c:v>
                </c:pt>
              </c:numCache>
            </c:numRef>
          </c:val>
          <c:extLst xmlns:c16r2="http://schemas.microsoft.com/office/drawing/2015/06/chart">
            <c:ext xmlns:c16="http://schemas.microsoft.com/office/drawing/2014/chart" uri="{C3380CC4-5D6E-409C-BE32-E72D297353CC}">
              <c16:uniqueId val="{00000002-8EE4-493C-996F-3D714EBCB308}"/>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565590784"/>
        <c:axId val="565586432"/>
      </c:barChart>
      <c:catAx>
        <c:axId val="56559078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565586432"/>
        <c:crosses val="autoZero"/>
        <c:auto val="1"/>
        <c:lblAlgn val="ctr"/>
        <c:lblOffset val="100"/>
        <c:noMultiLvlLbl val="1"/>
      </c:catAx>
      <c:valAx>
        <c:axId val="56558643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CO"/>
          </a:p>
        </c:txPr>
        <c:crossAx val="565590784"/>
        <c:crosses val="autoZero"/>
        <c:crossBetween val="between"/>
      </c:valAx>
    </c:plotArea>
    <c:plotVisOnly val="1"/>
    <c:dispBlanksAs val="zero"/>
    <c:showDLblsOverMax val="1"/>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100" b="0" i="0">
                <a:solidFill>
                  <a:srgbClr val="757575"/>
                </a:solidFill>
                <a:latin typeface="Calibri"/>
              </a:defRPr>
            </a:pPr>
            <a:r>
              <a:rPr lang="es-CO" sz="1100" b="1" i="0">
                <a:solidFill>
                  <a:srgbClr val="757575"/>
                </a:solidFill>
                <a:latin typeface="Calibri"/>
              </a:rPr>
              <a:t>LÍNEA ESTRATÉGICA: ATENCIÓN Y REPARACIÓN A VICTIMAS PARA LA CONSTRUCCIÓN DE LA  PAZ TERRITORIAL. 
AVANCE A </a:t>
            </a:r>
            <a:r>
              <a:rPr lang="es-CO" sz="1100" b="1" i="0" u="none" strike="noStrike" baseline="0">
                <a:effectLst/>
              </a:rPr>
              <a:t>DICIEMBRE </a:t>
            </a:r>
            <a:r>
              <a:rPr lang="es-CO" sz="1100" b="1" i="0">
                <a:solidFill>
                  <a:srgbClr val="757575"/>
                </a:solidFill>
                <a:latin typeface="Calibri"/>
              </a:rPr>
              <a:t> 2022 </a:t>
            </a:r>
          </a:p>
        </c:rich>
      </c:tx>
      <c:overlay val="0"/>
    </c:title>
    <c:autoTitleDeleted val="0"/>
    <c:plotArea>
      <c:layout>
        <c:manualLayout>
          <c:layoutTarget val="inner"/>
          <c:xMode val="edge"/>
          <c:yMode val="edge"/>
          <c:x val="0.12784163098694443"/>
          <c:y val="0.21650859558953844"/>
          <c:w val="0.85111580564624545"/>
          <c:h val="0.51836510789849022"/>
        </c:manualLayout>
      </c:layout>
      <c:barChart>
        <c:barDir val="col"/>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extLst xmlns:c16r2="http://schemas.microsoft.com/office/drawing/2015/06/chart">
              <c:ext xmlns:c16="http://schemas.microsoft.com/office/drawing/2014/chart" uri="{C3380CC4-5D6E-409C-BE32-E72D297353CC}">
                <c16:uniqueId val="{00000001-C6C4-48C3-AC20-490CA4ACCFEB}"/>
              </c:ext>
            </c:extLst>
          </c:dPt>
          <c:dPt>
            <c:idx val="1"/>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7-ADA4-4650-955B-52271FAF120D}"/>
              </c:ext>
            </c:extLst>
          </c:dPt>
          <c:dPt>
            <c:idx val="2"/>
            <c:invertIfNegative val="1"/>
            <c:bubble3D val="0"/>
            <c:extLst xmlns:c16r2="http://schemas.microsoft.com/office/drawing/2015/06/chart">
              <c:ext xmlns:c16="http://schemas.microsoft.com/office/drawing/2014/chart" uri="{C3380CC4-5D6E-409C-BE32-E72D297353CC}">
                <c16:uniqueId val="{00000002-C6C4-48C3-AC20-490CA4ACCFEB}"/>
              </c:ext>
            </c:extLst>
          </c:dPt>
          <c:dLbls>
            <c:spPr>
              <a:noFill/>
              <a:ln>
                <a:noFill/>
              </a:ln>
              <a:effectLst/>
            </c:spPr>
            <c:txPr>
              <a:bodyPr/>
              <a:lstStyle/>
              <a:p>
                <a:pPr lvl="0">
                  <a:defRPr sz="12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TRANSPARENTE'!$C$53:$C$55</c:f>
              <c:strCache>
                <c:ptCount val="3"/>
                <c:pt idx="0">
                  <c:v>LÍNEA ESTRATÉGICA: ATENCIÓN Y REPARACIÓN A VICTIMAS PARA LA CONSTRUCCIÓN DE LA  PAZ TERRITORIAL</c:v>
                </c:pt>
                <c:pt idx="1">
                  <c:v>Programa: Atención, asistencia y reparación integral a las víctimas</c:v>
                </c:pt>
                <c:pt idx="2">
                  <c:v>Programa: Construcción de paz territorial</c:v>
                </c:pt>
              </c:strCache>
            </c:strRef>
          </c:cat>
          <c:val>
            <c:numRef>
              <c:f>'P. TRANSPARENTE'!$D$53:$D$55</c:f>
              <c:numCache>
                <c:formatCode>0.0%</c:formatCode>
                <c:ptCount val="3"/>
                <c:pt idx="0">
                  <c:v>0.77276981961497648</c:v>
                </c:pt>
                <c:pt idx="1">
                  <c:v>0.65665075034106413</c:v>
                </c:pt>
                <c:pt idx="2">
                  <c:v>0.88888888888888884</c:v>
                </c:pt>
              </c:numCache>
            </c:numRef>
          </c:val>
          <c:extLst xmlns:c16r2="http://schemas.microsoft.com/office/drawing/2015/06/chart">
            <c:ext xmlns:c16="http://schemas.microsoft.com/office/drawing/2014/chart" uri="{C3380CC4-5D6E-409C-BE32-E72D297353CC}">
              <c16:uniqueId val="{00000000-248C-4FB1-824A-4883041C244E}"/>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565594048"/>
        <c:axId val="565580992"/>
      </c:barChart>
      <c:catAx>
        <c:axId val="56559404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565580992"/>
        <c:crosses val="autoZero"/>
        <c:auto val="1"/>
        <c:lblAlgn val="ctr"/>
        <c:lblOffset val="100"/>
        <c:noMultiLvlLbl val="1"/>
      </c:catAx>
      <c:valAx>
        <c:axId val="56558099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CO"/>
          </a:p>
        </c:txPr>
        <c:crossAx val="565594048"/>
        <c:crosses val="autoZero"/>
        <c:crossBetween val="between"/>
      </c:valAx>
    </c:plotArea>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4489243794009693E-2"/>
          <c:y val="1.7515048978352019E-2"/>
          <c:w val="0.93551075620599033"/>
          <c:h val="0.75920858871803287"/>
        </c:manualLayout>
      </c:layout>
      <c:bar3DChart>
        <c:barDir val="col"/>
        <c:grouping val="clustered"/>
        <c:varyColors val="0"/>
        <c:ser>
          <c:idx val="0"/>
          <c:order val="0"/>
          <c:tx>
            <c:strRef>
              <c:f>'PLAN DE DESARROLLO '!$R$59</c:f>
              <c:strCache>
                <c:ptCount val="1"/>
                <c:pt idx="0">
                  <c:v>CORTE  SEPTIEMBRE  2022</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'PLAN DE DESARROLLO '!$Q$60:$Q$65</c:f>
              <c:strCache>
                <c:ptCount val="6"/>
                <c:pt idx="0">
                  <c:v>PLAN DE DESARROLLO "SALVEMOS JUNTOS A CARTAGENA 2020 - 2023) ACUMULADO CUATRENIO CORTE JUNIO 2021</c:v>
                </c:pt>
                <c:pt idx="1">
                  <c:v>PILAR RESILIENTE</c:v>
                </c:pt>
                <c:pt idx="2">
                  <c:v>PILAR CARTAGENA INCLUYENTE</c:v>
                </c:pt>
                <c:pt idx="3">
                  <c:v>PILAR CARTAGENA CONTINGENTE </c:v>
                </c:pt>
                <c:pt idx="4">
                  <c:v>PILAR CARTAGENA TRANSPARENTE</c:v>
                </c:pt>
                <c:pt idx="5">
                  <c:v>EJE TRANSVERSAL: CARTAGENA CON ATENCION Y GARANTIA DE DERECHOS A POBLACION DIFERENCIAL.</c:v>
                </c:pt>
              </c:strCache>
            </c:strRef>
          </c:cat>
          <c:val>
            <c:numRef>
              <c:f>'PLAN DE DESARROLLO '!$R$60:$R$65</c:f>
              <c:numCache>
                <c:formatCode>0.0%</c:formatCode>
                <c:ptCount val="6"/>
                <c:pt idx="0" formatCode="0.00%">
                  <c:v>0.73926542498722614</c:v>
                </c:pt>
                <c:pt idx="1">
                  <c:v>0.64980743416302122</c:v>
                </c:pt>
                <c:pt idx="2">
                  <c:v>0.82594070908882966</c:v>
                </c:pt>
                <c:pt idx="3">
                  <c:v>0.81331553252547473</c:v>
                </c:pt>
                <c:pt idx="4">
                  <c:v>0.73724365084391763</c:v>
                </c:pt>
                <c:pt idx="5">
                  <c:v>0.67001979831488723</c:v>
                </c:pt>
              </c:numCache>
            </c:numRef>
          </c:val>
          <c:extLst xmlns:c16r2="http://schemas.microsoft.com/office/drawing/2015/06/chart">
            <c:ext xmlns:c16="http://schemas.microsoft.com/office/drawing/2014/chart" uri="{C3380CC4-5D6E-409C-BE32-E72D297353CC}">
              <c16:uniqueId val="{00000000-6691-439A-BB2B-31470253A768}"/>
            </c:ext>
          </c:extLst>
        </c:ser>
        <c:ser>
          <c:idx val="1"/>
          <c:order val="1"/>
          <c:tx>
            <c:strRef>
              <c:f>'PLAN DE DESARROLLO '!$S$59</c:f>
              <c:strCache>
                <c:ptCount val="1"/>
                <c:pt idx="0">
                  <c:v>ACUMULADO DICIEMBRE  2021</c:v>
                </c:pt>
              </c:strCache>
            </c:strRef>
          </c:tx>
          <c:spPr>
            <a:solidFill>
              <a:schemeClr val="accent2"/>
            </a:solidFill>
            <a:ln>
              <a:noFill/>
            </a:ln>
            <a:effectLst/>
            <a:sp3d/>
          </c:spPr>
          <c:invertIfNegative val="0"/>
          <c:dLbls>
            <c:dLbl>
              <c:idx val="0"/>
              <c:layout>
                <c:manualLayout>
                  <c:x val="2.4277458857353655E-2"/>
                  <c:y val="-1.09066097919886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6691-439A-BB2B-31470253A768}"/>
                </c:ext>
                <c:ext xmlns:c15="http://schemas.microsoft.com/office/drawing/2012/chart" uri="{CE6537A1-D6FC-4f65-9D91-7224C49458BB}"/>
              </c:extLst>
            </c:dLbl>
            <c:dLbl>
              <c:idx val="1"/>
              <c:layout>
                <c:manualLayout>
                  <c:x val="2.5626206571651107E-2"/>
                  <c:y val="-1.90865671359800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6691-439A-BB2B-31470253A768}"/>
                </c:ext>
                <c:ext xmlns:c15="http://schemas.microsoft.com/office/drawing/2012/chart" uri="{CE6537A1-D6FC-4f65-9D91-7224C49458BB}"/>
              </c:extLst>
            </c:dLbl>
            <c:dLbl>
              <c:idx val="2"/>
              <c:layout>
                <c:manualLayout>
                  <c:x val="2.4277458857353679E-2"/>
                  <c:y val="-5.453304895994311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6691-439A-BB2B-31470253A768}"/>
                </c:ext>
                <c:ext xmlns:c15="http://schemas.microsoft.com/office/drawing/2012/chart" uri="{CE6537A1-D6FC-4f65-9D91-7224C49458BB}"/>
              </c:extLst>
            </c:dLbl>
            <c:dLbl>
              <c:idx val="3"/>
              <c:layout>
                <c:manualLayout>
                  <c:x val="2.562620657165101E-2"/>
                  <c:y val="-2.181321958397724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6691-439A-BB2B-31470253A768}"/>
                </c:ext>
                <c:ext xmlns:c15="http://schemas.microsoft.com/office/drawing/2012/chart" uri="{CE6537A1-D6FC-4f65-9D91-7224C49458BB}"/>
              </c:extLst>
            </c:dLbl>
            <c:dLbl>
              <c:idx val="4"/>
              <c:layout>
                <c:manualLayout>
                  <c:x val="2.9672449714543386E-2"/>
                  <c:y val="-2.4539872031974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6691-439A-BB2B-31470253A768}"/>
                </c:ext>
                <c:ext xmlns:c15="http://schemas.microsoft.com/office/drawing/2012/chart" uri="{CE6537A1-D6FC-4f65-9D91-7224C49458BB}"/>
              </c:extLst>
            </c:dLbl>
            <c:dLbl>
              <c:idx val="5"/>
              <c:layout>
                <c:manualLayout>
                  <c:x val="3.1021197428840814E-2"/>
                  <c:y val="-1.09066097919886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6691-439A-BB2B-31470253A768}"/>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'PLAN DE DESARROLLO '!$Q$60:$Q$65</c:f>
              <c:strCache>
                <c:ptCount val="6"/>
                <c:pt idx="0">
                  <c:v>PLAN DE DESARROLLO "SALVEMOS JUNTOS A CARTAGENA 2020 - 2023) ACUMULADO CUATRENIO CORTE JUNIO 2021</c:v>
                </c:pt>
                <c:pt idx="1">
                  <c:v>PILAR RESILIENTE</c:v>
                </c:pt>
                <c:pt idx="2">
                  <c:v>PILAR CARTAGENA INCLUYENTE</c:v>
                </c:pt>
                <c:pt idx="3">
                  <c:v>PILAR CARTAGENA CONTINGENTE </c:v>
                </c:pt>
                <c:pt idx="4">
                  <c:v>PILAR CARTAGENA TRANSPARENTE</c:v>
                </c:pt>
                <c:pt idx="5">
                  <c:v>EJE TRANSVERSAL: CARTAGENA CON ATENCION Y GARANTIA DE DERECHOS A POBLACION DIFERENCIAL.</c:v>
                </c:pt>
              </c:strCache>
            </c:strRef>
          </c:cat>
          <c:val>
            <c:numRef>
              <c:f>'PLAN DE DESARROLLO '!$S$60:$S$65</c:f>
              <c:numCache>
                <c:formatCode>0.00%</c:formatCode>
                <c:ptCount val="6"/>
                <c:pt idx="0">
                  <c:v>0.51700000000000002</c:v>
                </c:pt>
                <c:pt idx="1">
                  <c:v>0.42</c:v>
                </c:pt>
                <c:pt idx="2">
                  <c:v>0.56000000000000005</c:v>
                </c:pt>
                <c:pt idx="3">
                  <c:v>0.53</c:v>
                </c:pt>
                <c:pt idx="4">
                  <c:v>0.52</c:v>
                </c:pt>
                <c:pt idx="5">
                  <c:v>0.51</c:v>
                </c:pt>
              </c:numCache>
            </c:numRef>
          </c:val>
          <c:extLst xmlns:c16r2="http://schemas.microsoft.com/office/drawing/2015/06/chart">
            <c:ext xmlns:c16="http://schemas.microsoft.com/office/drawing/2014/chart" uri="{C3380CC4-5D6E-409C-BE32-E72D297353CC}">
              <c16:uniqueId val="{00000007-6691-439A-BB2B-31470253A768}"/>
            </c:ext>
          </c:extLst>
        </c:ser>
        <c:dLbls>
          <c:showLegendKey val="0"/>
          <c:showVal val="0"/>
          <c:showCatName val="0"/>
          <c:showSerName val="0"/>
          <c:showPercent val="0"/>
          <c:showBubbleSize val="0"/>
        </c:dLbls>
        <c:gapWidth val="150"/>
        <c:shape val="box"/>
        <c:axId val="31658032"/>
        <c:axId val="31658576"/>
        <c:axId val="0"/>
      </c:bar3DChart>
      <c:catAx>
        <c:axId val="316580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658576"/>
        <c:crosses val="autoZero"/>
        <c:auto val="1"/>
        <c:lblAlgn val="ctr"/>
        <c:lblOffset val="100"/>
        <c:noMultiLvlLbl val="0"/>
      </c:catAx>
      <c:valAx>
        <c:axId val="316585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658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200" b="1" i="0">
                <a:solidFill>
                  <a:srgbClr val="757575"/>
                </a:solidFill>
                <a:latin typeface="Calibri"/>
              </a:defRPr>
            </a:pPr>
            <a:r>
              <a:rPr lang="es-CO" sz="1200" b="1" i="0">
                <a:solidFill>
                  <a:srgbClr val="757575"/>
                </a:solidFill>
                <a:latin typeface="Calibri"/>
              </a:rPr>
              <a:t>LÍNEA ESTRATÉGICA: CULTURA CIUDADANA PARA LA DEMOCRACIA Y LA PAZ.
AVANCE A </a:t>
            </a:r>
            <a:r>
              <a:rPr lang="es-CO" sz="1200" b="1" i="0" u="none" strike="noStrike" baseline="0">
                <a:effectLst/>
              </a:rPr>
              <a:t>DICIEMBRE </a:t>
            </a:r>
            <a:r>
              <a:rPr lang="es-CO" sz="1200" b="1" i="0">
                <a:solidFill>
                  <a:srgbClr val="757575"/>
                </a:solidFill>
                <a:latin typeface="Calibri"/>
              </a:rPr>
              <a:t> 2022 </a:t>
            </a:r>
          </a:p>
        </c:rich>
      </c:tx>
      <c:overlay val="0"/>
    </c:title>
    <c:autoTitleDeleted val="0"/>
    <c:plotArea>
      <c:layout/>
      <c:barChart>
        <c:barDir val="bar"/>
        <c:grouping val="clustered"/>
        <c:varyColors val="1"/>
        <c:ser>
          <c:idx val="0"/>
          <c:order val="0"/>
          <c:tx>
            <c:v>AVANCE A DIC 2020</c:v>
          </c:tx>
          <c:spPr>
            <a:solidFill>
              <a:srgbClr val="00B050"/>
            </a:solidFill>
            <a:ln cmpd="sng">
              <a:solidFill>
                <a:srgbClr val="000000"/>
              </a:solidFill>
            </a:ln>
          </c:spPr>
          <c:invertIfNegative val="1"/>
          <c:dPt>
            <c:idx val="3"/>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1-B052-4DB3-AF58-341774C51800}"/>
              </c:ext>
            </c:extLst>
          </c:dPt>
          <c:dPt>
            <c:idx val="4"/>
            <c:invertIfNegative val="1"/>
            <c:bubble3D val="0"/>
            <c:extLst xmlns:c16r2="http://schemas.microsoft.com/office/drawing/2015/06/chart">
              <c:ext xmlns:c16="http://schemas.microsoft.com/office/drawing/2014/chart" uri="{C3380CC4-5D6E-409C-BE32-E72D297353CC}">
                <c16:uniqueId val="{00000003-B052-4DB3-AF58-341774C51800}"/>
              </c:ext>
            </c:extLst>
          </c:dPt>
          <c:dPt>
            <c:idx val="5"/>
            <c:invertIfNegative val="1"/>
            <c:bubble3D val="0"/>
            <c:extLst xmlns:c16r2="http://schemas.microsoft.com/office/drawing/2015/06/chart">
              <c:ext xmlns:c16="http://schemas.microsoft.com/office/drawing/2014/chart" uri="{C3380CC4-5D6E-409C-BE32-E72D297353CC}">
                <c16:uniqueId val="{00000005-B052-4DB3-AF58-341774C51800}"/>
              </c:ext>
            </c:extLst>
          </c:dPt>
          <c:dPt>
            <c:idx val="6"/>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7-B052-4DB3-AF58-341774C51800}"/>
              </c:ext>
            </c:extLst>
          </c:dPt>
          <c:dLbls>
            <c:spPr>
              <a:noFill/>
              <a:ln>
                <a:noFill/>
              </a:ln>
              <a:effectLst/>
            </c:spPr>
            <c:txPr>
              <a:bodyPr/>
              <a:lstStyle/>
              <a:p>
                <a:pPr lvl="0">
                  <a:defRPr sz="900" b="0"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TRANSPARENTE'!$C$61:$C$67</c:f>
              <c:strCache>
                <c:ptCount val="7"/>
                <c:pt idx="0">
                  <c:v>LÍNEA ESTRATÉGICA: CULTURA CIUDADANA PARA LA DEMOCRACIA Y LA PAZ</c:v>
                </c:pt>
                <c:pt idx="1">
                  <c:v>Programa: Servidor y servidora pública al servicio de la ciudadanía</c:v>
                </c:pt>
                <c:pt idx="2">
                  <c:v>Programa: Ciudadanía libre, incluyente y transformadora</c:v>
                </c:pt>
                <c:pt idx="3">
                  <c:v>Programa: Cartagena te quiere, quiere a Cartagena: plan decenal de cultura ciudadana y Cartageneidad.</c:v>
                </c:pt>
                <c:pt idx="4">
                  <c:v>Programa: Yo soy Cartagena</c:v>
                </c:pt>
                <c:pt idx="5">
                  <c:v>Programa: Nuestra Cartagena soñada.</c:v>
                </c:pt>
                <c:pt idx="6">
                  <c:v>Programa Conéctate Con Cartagena</c:v>
                </c:pt>
              </c:strCache>
            </c:strRef>
          </c:cat>
          <c:val>
            <c:numRef>
              <c:f>'P. TRANSPARENTE'!$D$61:$D$67</c:f>
              <c:numCache>
                <c:formatCode>0.0%</c:formatCode>
                <c:ptCount val="7"/>
                <c:pt idx="0">
                  <c:v>0.90395399191600945</c:v>
                </c:pt>
                <c:pt idx="1">
                  <c:v>1</c:v>
                </c:pt>
                <c:pt idx="2">
                  <c:v>1</c:v>
                </c:pt>
                <c:pt idx="3">
                  <c:v>0.75</c:v>
                </c:pt>
                <c:pt idx="4">
                  <c:v>1</c:v>
                </c:pt>
                <c:pt idx="5">
                  <c:v>0.92372395149605691</c:v>
                </c:pt>
                <c:pt idx="6">
                  <c:v>0.75</c:v>
                </c:pt>
              </c:numCache>
            </c:numRef>
          </c:val>
          <c:extLst xmlns:c16r2="http://schemas.microsoft.com/office/drawing/2015/06/chart">
            <c:ext xmlns:c16="http://schemas.microsoft.com/office/drawing/2014/chart" uri="{C3380CC4-5D6E-409C-BE32-E72D297353CC}">
              <c16:uniqueId val="{00000008-B052-4DB3-AF58-341774C51800}"/>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565583712"/>
        <c:axId val="565584256"/>
      </c:barChart>
      <c:catAx>
        <c:axId val="565583712"/>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565584256"/>
        <c:crosses val="autoZero"/>
        <c:auto val="1"/>
        <c:lblAlgn val="ctr"/>
        <c:lblOffset val="100"/>
        <c:noMultiLvlLbl val="1"/>
      </c:catAx>
      <c:valAx>
        <c:axId val="565584256"/>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800" b="0" i="0">
                <a:solidFill>
                  <a:srgbClr val="000000"/>
                </a:solidFill>
                <a:latin typeface="Calibri"/>
              </a:defRPr>
            </a:pPr>
            <a:endParaRPr lang="es-CO"/>
          </a:p>
        </c:txPr>
        <c:crossAx val="565583712"/>
        <c:crosses val="max"/>
        <c:crossBetween val="between"/>
      </c:valAx>
    </c:plotArea>
    <c:plotVisOnly val="1"/>
    <c:dispBlanksAs val="zero"/>
    <c:showDLblsOverMax val="1"/>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400" b="0" i="0">
                <a:solidFill>
                  <a:srgbClr val="757575"/>
                </a:solidFill>
                <a:latin typeface="Calibri"/>
              </a:defRPr>
            </a:pPr>
            <a:r>
              <a:rPr lang="es-CO" sz="1100" b="1" i="0">
                <a:solidFill>
                  <a:srgbClr val="757575"/>
                </a:solidFill>
                <a:latin typeface="Calibri"/>
              </a:rPr>
              <a:t>LÍNEA ESTRATÉGICA: PARTICIPACIÓN Y DESCENTRALIZACIÓN. AVANCE A </a:t>
            </a:r>
            <a:r>
              <a:rPr lang="es-CO" sz="1100" b="1" i="0" u="none" strike="noStrike" baseline="0">
                <a:effectLst/>
              </a:rPr>
              <a:t>DICIEMBRE</a:t>
            </a:r>
            <a:r>
              <a:rPr lang="es-CO" sz="1100" b="1" i="0">
                <a:solidFill>
                  <a:srgbClr val="757575"/>
                </a:solidFill>
                <a:latin typeface="Calibri"/>
              </a:rPr>
              <a:t> 2022 </a:t>
            </a:r>
          </a:p>
        </c:rich>
      </c:tx>
      <c:overlay val="0"/>
    </c:title>
    <c:autoTitleDeleted val="0"/>
    <c:plotArea>
      <c:layout/>
      <c:barChart>
        <c:barDir val="col"/>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7-539E-4F26-AE3F-4A703BBA2230}"/>
              </c:ext>
            </c:extLst>
          </c:dPt>
          <c:dPt>
            <c:idx val="1"/>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1-2D0C-4785-AF0F-7405360DF7F0}"/>
              </c:ext>
            </c:extLst>
          </c:dPt>
          <c:dPt>
            <c:idx val="3"/>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3-2D0C-4785-AF0F-7405360DF7F0}"/>
              </c:ext>
            </c:extLst>
          </c:dPt>
          <c:dPt>
            <c:idx val="4"/>
            <c:invertIfNegative val="1"/>
            <c:bubble3D val="0"/>
            <c:spPr>
              <a:solidFill>
                <a:srgbClr val="FF0000"/>
              </a:solidFill>
              <a:ln cmpd="sng">
                <a:solidFill>
                  <a:srgbClr val="000000"/>
                </a:solidFill>
              </a:ln>
            </c:spPr>
            <c:extLst xmlns:c16r2="http://schemas.microsoft.com/office/drawing/2015/06/chart">
              <c:ext xmlns:c16="http://schemas.microsoft.com/office/drawing/2014/chart" uri="{C3380CC4-5D6E-409C-BE32-E72D297353CC}">
                <c16:uniqueId val="{00000005-2D0C-4785-AF0F-7405360DF7F0}"/>
              </c:ext>
            </c:extLst>
          </c:dPt>
          <c:dLbls>
            <c:spPr>
              <a:noFill/>
              <a:ln>
                <a:noFill/>
              </a:ln>
              <a:effectLst/>
            </c:spPr>
            <c:txPr>
              <a:bodyPr/>
              <a:lstStyle/>
              <a:p>
                <a:pPr lvl="0">
                  <a:defRPr sz="11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TRANSPARENTE'!$C$74:$C$78</c:f>
              <c:strCache>
                <c:ptCount val="5"/>
                <c:pt idx="0">
                  <c:v>LÍNEA ESTRATÉGICA: PARTICIPACIÓN Y DESCENTRALIZACIÓN </c:v>
                </c:pt>
                <c:pt idx="1">
                  <c:v>Programa: Participando salvamos a Cartagena</c:v>
                </c:pt>
                <c:pt idx="2">
                  <c:v>Programa: Modernización del Sistema Distrital de Planeación y Descentralización  </c:v>
                </c:pt>
                <c:pt idx="3">
                  <c:v>Programa: Políticas Públicas intersectoriales y con visión Integral de enfoques basados en derechos humanos </c:v>
                </c:pt>
                <c:pt idx="4">
                  <c:v>Programa:   Presupuesto participativo</c:v>
                </c:pt>
              </c:strCache>
            </c:strRef>
          </c:cat>
          <c:val>
            <c:numRef>
              <c:f>'P. TRANSPARENTE'!$D$74:$D$78</c:f>
              <c:numCache>
                <c:formatCode>0.0%</c:formatCode>
                <c:ptCount val="5"/>
                <c:pt idx="0">
                  <c:v>0.66016670881692485</c:v>
                </c:pt>
                <c:pt idx="1">
                  <c:v>0.62901864496929294</c:v>
                </c:pt>
                <c:pt idx="2">
                  <c:v>0.75148148148148153</c:v>
                </c:pt>
                <c:pt idx="3">
                  <c:v>0.6</c:v>
                </c:pt>
                <c:pt idx="4">
                  <c:v>0</c:v>
                </c:pt>
              </c:numCache>
            </c:numRef>
          </c:val>
          <c:extLst xmlns:c16r2="http://schemas.microsoft.com/office/drawing/2015/06/chart">
            <c:ext xmlns:c16="http://schemas.microsoft.com/office/drawing/2014/chart" uri="{C3380CC4-5D6E-409C-BE32-E72D297353CC}">
              <c16:uniqueId val="{00000006-2D0C-4785-AF0F-7405360DF7F0}"/>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565584800"/>
        <c:axId val="565591328"/>
      </c:barChart>
      <c:catAx>
        <c:axId val="56558480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700" b="0" i="0">
                <a:solidFill>
                  <a:srgbClr val="000000"/>
                </a:solidFill>
                <a:latin typeface="Calibri"/>
              </a:defRPr>
            </a:pPr>
            <a:endParaRPr lang="es-CO"/>
          </a:p>
        </c:txPr>
        <c:crossAx val="565591328"/>
        <c:crosses val="autoZero"/>
        <c:auto val="1"/>
        <c:lblAlgn val="ctr"/>
        <c:lblOffset val="100"/>
        <c:noMultiLvlLbl val="1"/>
      </c:catAx>
      <c:valAx>
        <c:axId val="56559132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CO"/>
          </a:p>
        </c:txPr>
        <c:crossAx val="565584800"/>
        <c:crosses val="autoZero"/>
        <c:crossBetween val="between"/>
      </c:valAx>
    </c:plotArea>
    <c:plotVisOnly val="1"/>
    <c:dispBlanksAs val="zero"/>
    <c:showDLblsOverMax val="1"/>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400" b="0" i="0">
                <a:solidFill>
                  <a:srgbClr val="757575"/>
                </a:solidFill>
                <a:latin typeface="Calibri"/>
              </a:defRPr>
            </a:pPr>
            <a:r>
              <a:rPr lang="es-CO" sz="1100" b="1" i="0">
                <a:solidFill>
                  <a:srgbClr val="757575"/>
                </a:solidFill>
                <a:latin typeface="Calibri"/>
              </a:rPr>
              <a:t>LÍNEA ESTRATÉGICA: FINANZAS PÚBLICAS PARA SALVAR A CARTAGENA.
AVANCE SEPTIEMBRE A </a:t>
            </a:r>
            <a:r>
              <a:rPr lang="es-CO" sz="1100" b="1" i="0" u="none" strike="noStrike" baseline="0">
                <a:effectLst/>
              </a:rPr>
              <a:t>DICIEMBRE </a:t>
            </a:r>
            <a:r>
              <a:rPr lang="es-CO" sz="1100" b="1" i="0">
                <a:solidFill>
                  <a:srgbClr val="757575"/>
                </a:solidFill>
                <a:latin typeface="Calibri"/>
              </a:rPr>
              <a:t>2022 </a:t>
            </a:r>
          </a:p>
        </c:rich>
      </c:tx>
      <c:overlay val="0"/>
    </c:title>
    <c:autoTitleDeleted val="0"/>
    <c:plotArea>
      <c:layout/>
      <c:barChart>
        <c:barDir val="col"/>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1-79D0-448C-A72C-42032CCC5A81}"/>
              </c:ext>
            </c:extLst>
          </c:dPt>
          <c:dPt>
            <c:idx val="2"/>
            <c:invertIfNegative val="1"/>
            <c:bubble3D val="0"/>
            <c:spPr>
              <a:solidFill>
                <a:srgbClr val="FF0000"/>
              </a:solidFill>
              <a:ln cmpd="sng">
                <a:solidFill>
                  <a:srgbClr val="000000"/>
                </a:solidFill>
              </a:ln>
            </c:spPr>
            <c:extLst xmlns:c16r2="http://schemas.microsoft.com/office/drawing/2015/06/chart">
              <c:ext xmlns:c16="http://schemas.microsoft.com/office/drawing/2014/chart" uri="{C3380CC4-5D6E-409C-BE32-E72D297353CC}">
                <c16:uniqueId val="{00000003-79D0-448C-A72C-42032CCC5A81}"/>
              </c:ext>
            </c:extLst>
          </c:dPt>
          <c:dLbls>
            <c:spPr>
              <a:noFill/>
              <a:ln>
                <a:noFill/>
              </a:ln>
              <a:effectLst/>
            </c:spPr>
            <c:txPr>
              <a:bodyPr/>
              <a:lstStyle/>
              <a:p>
                <a:pPr lvl="0">
                  <a:defRPr sz="12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TRANSPARENTE'!$C$83:$C$85</c:f>
              <c:strCache>
                <c:ptCount val="3"/>
                <c:pt idx="0">
                  <c:v>LÍNEA ESTRATÉGICA: FINANZAS PÚBLICAS PARA SALVAR A CARTAGENA</c:v>
                </c:pt>
                <c:pt idx="1">
                  <c:v>Programa: Finanzas sostenibles para salvar a Cartagena</c:v>
                </c:pt>
                <c:pt idx="2">
                  <c:v>Programa: Saneamiento fiscal y financiero</c:v>
                </c:pt>
              </c:strCache>
            </c:strRef>
          </c:cat>
          <c:val>
            <c:numRef>
              <c:f>'P. TRANSPARENTE'!$D$83:$D$85</c:f>
              <c:numCache>
                <c:formatCode>0.0%</c:formatCode>
                <c:ptCount val="3"/>
                <c:pt idx="0">
                  <c:v>0.56170286371973865</c:v>
                </c:pt>
                <c:pt idx="1">
                  <c:v>0.81626898025952777</c:v>
                </c:pt>
                <c:pt idx="2">
                  <c:v>0.30713674717994949</c:v>
                </c:pt>
              </c:numCache>
            </c:numRef>
          </c:val>
          <c:extLst xmlns:c16r2="http://schemas.microsoft.com/office/drawing/2015/06/chart">
            <c:ext xmlns:c16="http://schemas.microsoft.com/office/drawing/2014/chart" uri="{C3380CC4-5D6E-409C-BE32-E72D297353CC}">
              <c16:uniqueId val="{00000004-79D0-448C-A72C-42032CCC5A81}"/>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565591872"/>
        <c:axId val="565592416"/>
      </c:barChart>
      <c:catAx>
        <c:axId val="56559187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565592416"/>
        <c:crosses val="autoZero"/>
        <c:auto val="1"/>
        <c:lblAlgn val="ctr"/>
        <c:lblOffset val="100"/>
        <c:noMultiLvlLbl val="1"/>
      </c:catAx>
      <c:valAx>
        <c:axId val="56559241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CO"/>
          </a:p>
        </c:txPr>
        <c:crossAx val="565591872"/>
        <c:crosses val="autoZero"/>
        <c:crossBetween val="between"/>
      </c:valAx>
    </c:plotArea>
    <c:plotVisOnly val="1"/>
    <c:dispBlanksAs val="zero"/>
    <c:showDLblsOverMax val="1"/>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200" b="0" i="0">
                <a:solidFill>
                  <a:srgbClr val="757575"/>
                </a:solidFill>
                <a:latin typeface="Calibri"/>
              </a:defRPr>
            </a:pPr>
            <a:r>
              <a:rPr lang="es-CO" sz="1200" b="1" i="0">
                <a:solidFill>
                  <a:srgbClr val="757575"/>
                </a:solidFill>
                <a:latin typeface="Calibri"/>
              </a:rPr>
              <a:t>AVANCE PILAR TRANSVERSAL </a:t>
            </a:r>
            <a:r>
              <a:rPr lang="es-CO" sz="1200" b="1" i="0" u="none" strike="noStrike" baseline="0">
                <a:effectLst/>
              </a:rPr>
              <a:t>DICIEMBRE</a:t>
            </a:r>
            <a:r>
              <a:rPr lang="es-CO" sz="1200" b="1" i="0">
                <a:solidFill>
                  <a:srgbClr val="757575"/>
                </a:solidFill>
                <a:latin typeface="Calibri"/>
              </a:rPr>
              <a:t> 2022. PILAR Y LINEAS ESTRATEGICAS.</a:t>
            </a:r>
          </a:p>
        </c:rich>
      </c:tx>
      <c:overlay val="0"/>
    </c:title>
    <c:autoTitleDeleted val="0"/>
    <c:plotArea>
      <c:layout/>
      <c:barChart>
        <c:barDir val="col"/>
        <c:grouping val="clustered"/>
        <c:varyColors val="1"/>
        <c:ser>
          <c:idx val="0"/>
          <c:order val="0"/>
          <c:spPr>
            <a:solidFill>
              <a:srgbClr val="FFFF00"/>
            </a:solidFill>
            <a:ln cmpd="sng">
              <a:solidFill>
                <a:srgbClr val="000000"/>
              </a:solidFill>
            </a:ln>
          </c:spPr>
          <c:invertIfNegative val="1"/>
          <c:dPt>
            <c:idx val="0"/>
            <c:invertIfNegative val="1"/>
            <c:bubble3D val="0"/>
            <c:extLst xmlns:c16r2="http://schemas.microsoft.com/office/drawing/2015/06/chart">
              <c:ext xmlns:c16="http://schemas.microsoft.com/office/drawing/2014/chart" uri="{C3380CC4-5D6E-409C-BE32-E72D297353CC}">
                <c16:uniqueId val="{0000000E-2DBF-49D7-A464-7350655DC8F8}"/>
              </c:ext>
            </c:extLst>
          </c:dPt>
          <c:dPt>
            <c:idx val="1"/>
            <c:invertIfNegative val="1"/>
            <c:bubble3D val="0"/>
            <c:extLst xmlns:c16r2="http://schemas.microsoft.com/office/drawing/2015/06/chart">
              <c:ext xmlns:c16="http://schemas.microsoft.com/office/drawing/2014/chart" uri="{C3380CC4-5D6E-409C-BE32-E72D297353CC}">
                <c16:uniqueId val="{00000001-3A5D-4F13-A02E-931F9130CAEF}"/>
              </c:ext>
            </c:extLst>
          </c:dPt>
          <c:dPt>
            <c:idx val="2"/>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10-0417-4A69-8F27-030AF6211B81}"/>
              </c:ext>
            </c:extLst>
          </c:dPt>
          <c:dPt>
            <c:idx val="3"/>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11-0417-4A69-8F27-030AF6211B81}"/>
              </c:ext>
            </c:extLst>
          </c:dPt>
          <c:dPt>
            <c:idx val="5"/>
            <c:invertIfNegative val="1"/>
            <c:bubble3D val="0"/>
            <c:spPr>
              <a:solidFill>
                <a:srgbClr val="FF0000"/>
              </a:solidFill>
              <a:ln cmpd="sng">
                <a:solidFill>
                  <a:srgbClr val="000000"/>
                </a:solidFill>
              </a:ln>
            </c:spPr>
            <c:extLst xmlns:c16r2="http://schemas.microsoft.com/office/drawing/2015/06/chart">
              <c:ext xmlns:c16="http://schemas.microsoft.com/office/drawing/2014/chart" uri="{C3380CC4-5D6E-409C-BE32-E72D297353CC}">
                <c16:uniqueId val="{00000007-C2B5-44C7-BCF0-83E021A9037B}"/>
              </c:ext>
            </c:extLst>
          </c:dPt>
          <c:dPt>
            <c:idx val="6"/>
            <c:invertIfNegative val="1"/>
            <c:bubble3D val="0"/>
            <c:extLst xmlns:c16r2="http://schemas.microsoft.com/office/drawing/2015/06/chart">
              <c:ext xmlns:c16="http://schemas.microsoft.com/office/drawing/2014/chart" uri="{C3380CC4-5D6E-409C-BE32-E72D297353CC}">
                <c16:uniqueId val="{00000003-3A5D-4F13-A02E-931F9130CAEF}"/>
              </c:ext>
            </c:extLst>
          </c:dPt>
          <c:dPt>
            <c:idx val="7"/>
            <c:invertIfNegative val="1"/>
            <c:bubble3D val="0"/>
            <c:extLst xmlns:c16r2="http://schemas.microsoft.com/office/drawing/2015/06/chart">
              <c:ext xmlns:c16="http://schemas.microsoft.com/office/drawing/2014/chart" uri="{C3380CC4-5D6E-409C-BE32-E72D297353CC}">
                <c16:uniqueId val="{00000005-3A5D-4F13-A02E-931F9130CAEF}"/>
              </c:ext>
            </c:extLst>
          </c:dPt>
          <c:dPt>
            <c:idx val="8"/>
            <c:invertIfNegative val="1"/>
            <c:bubble3D val="0"/>
            <c:extLst xmlns:c16r2="http://schemas.microsoft.com/office/drawing/2015/06/chart">
              <c:ext xmlns:c16="http://schemas.microsoft.com/office/drawing/2014/chart" uri="{C3380CC4-5D6E-409C-BE32-E72D297353CC}">
                <c16:uniqueId val="{0000000F-2DBF-49D7-A464-7350655DC8F8}"/>
              </c:ext>
            </c:extLst>
          </c:dPt>
          <c:dLbls>
            <c:spPr>
              <a:noFill/>
              <a:ln>
                <a:noFill/>
              </a:ln>
              <a:effectLst/>
            </c:spPr>
            <c:txPr>
              <a:bodyPr/>
              <a:lstStyle/>
              <a:p>
                <a:pPr lvl="0">
                  <a:defRPr sz="11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TRANSVERSAL'!$C$4:$C$12</c:f>
              <c:strCache>
                <c:ptCount val="9"/>
                <c:pt idx="0">
                  <c:v>EJE TRANSVERSAL: CARTAGENA CON ATENCION Y GARANTIA DE DERECHOS A POBLACION DIFERENCIAL.</c:v>
                </c:pt>
                <c:pt idx="1">
                  <c:v>LINEA ESTRATEGICA PARA LA EQUIDAD E INCLUSIÓN DE LOS NEGROS, AFROS, PALENQUEROS E INDIGENA.</c:v>
                </c:pt>
                <c:pt idx="2">
                  <c:v>LINEA ESTRATEGICA MUJERES CARTAGENERAS POR SUS DERECHOS.</c:v>
                </c:pt>
                <c:pt idx="3">
                  <c:v>LINEA ESTRATEGICA: INCLUSION Y OPORTUNIDAD PARA NIÑOS, NIÑAS Y ADOLESCENTES Y FAMILIAS.</c:v>
                </c:pt>
                <c:pt idx="4">
                  <c:v>LINEA ESTRATEGICA JOVENES SALVANDO A CARTAGENA</c:v>
                </c:pt>
                <c:pt idx="5">
                  <c:v>LINEA ESTRATEGICA EN CARTAGENA SALVAMOS NUESTROS ADULTOS MAYORES.</c:v>
                </c:pt>
                <c:pt idx="6">
                  <c:v>LÍNEA ESTRATÉGICA: TODOS POR LA PROTECCIÓN SOCIAL DE LAS PERSONAS CON DISCAPACIDAD: “RECONOCIDAS, EMPODERADAS Y RESPETADAS”.</c:v>
                </c:pt>
                <c:pt idx="7">
                  <c:v>LINEA ESTRATEGICA TRATO HUMANITARIO AL HABITANTE DE CALLE</c:v>
                </c:pt>
                <c:pt idx="8">
                  <c:v>LINEA ESTRATEGICA DIVERSIDAD SEXUAL Y NUEVAS IDENTIDADES DE GÉNERO.</c:v>
                </c:pt>
              </c:strCache>
            </c:strRef>
          </c:cat>
          <c:val>
            <c:numRef>
              <c:f>'P. TRANSVERSAL'!$D$4:$D$12</c:f>
              <c:numCache>
                <c:formatCode>0.0%</c:formatCode>
                <c:ptCount val="9"/>
                <c:pt idx="0" formatCode="0.00%">
                  <c:v>0.67001979831488723</c:v>
                </c:pt>
                <c:pt idx="1">
                  <c:v>0.54308663558663561</c:v>
                </c:pt>
                <c:pt idx="2">
                  <c:v>0.85305728200371056</c:v>
                </c:pt>
                <c:pt idx="3">
                  <c:v>0.80470053046947254</c:v>
                </c:pt>
                <c:pt idx="4">
                  <c:v>0.65959583333333338</c:v>
                </c:pt>
                <c:pt idx="5">
                  <c:v>0.43715972222222221</c:v>
                </c:pt>
                <c:pt idx="6">
                  <c:v>0.68000936329588013</c:v>
                </c:pt>
                <c:pt idx="7" formatCode="0.00%">
                  <c:v>0.63254901960784315</c:v>
                </c:pt>
                <c:pt idx="8">
                  <c:v>0.75</c:v>
                </c:pt>
              </c:numCache>
            </c:numRef>
          </c:val>
          <c:extLst xmlns:c16r2="http://schemas.microsoft.com/office/drawing/2015/06/chart">
            <c:ext xmlns:c16="http://schemas.microsoft.com/office/drawing/2014/chart" uri="{C3380CC4-5D6E-409C-BE32-E72D297353CC}">
              <c16:uniqueId val="{00000006-3A5D-4F13-A02E-931F9130CAEF}"/>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565582624"/>
        <c:axId val="565592960"/>
      </c:barChart>
      <c:catAx>
        <c:axId val="56558262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600" b="0" i="0">
                <a:solidFill>
                  <a:srgbClr val="000000"/>
                </a:solidFill>
                <a:latin typeface="Calibri"/>
              </a:defRPr>
            </a:pPr>
            <a:endParaRPr lang="es-CO"/>
          </a:p>
        </c:txPr>
        <c:crossAx val="565592960"/>
        <c:crosses val="autoZero"/>
        <c:auto val="1"/>
        <c:lblAlgn val="ctr"/>
        <c:lblOffset val="100"/>
        <c:noMultiLvlLbl val="1"/>
      </c:catAx>
      <c:valAx>
        <c:axId val="56559296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0%" sourceLinked="1"/>
        <c:majorTickMark val="none"/>
        <c:minorTickMark val="none"/>
        <c:tickLblPos val="nextTo"/>
        <c:spPr>
          <a:ln/>
        </c:spPr>
        <c:txPr>
          <a:bodyPr/>
          <a:lstStyle/>
          <a:p>
            <a:pPr lvl="0">
              <a:defRPr b="0" i="0">
                <a:solidFill>
                  <a:srgbClr val="000000"/>
                </a:solidFill>
                <a:latin typeface="Calibri"/>
              </a:defRPr>
            </a:pPr>
            <a:endParaRPr lang="es-CO"/>
          </a:p>
        </c:txPr>
        <c:crossAx val="565582624"/>
        <c:crosses val="autoZero"/>
        <c:crossBetween val="between"/>
      </c:valAx>
    </c:plotArea>
    <c:plotVisOnly val="1"/>
    <c:dispBlanksAs val="zero"/>
    <c:showDLblsOverMax val="1"/>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400" b="0" i="0">
                <a:solidFill>
                  <a:srgbClr val="757575"/>
                </a:solidFill>
                <a:latin typeface="Calibri"/>
              </a:defRPr>
            </a:pPr>
            <a:r>
              <a:rPr lang="es-CO" sz="1100" b="1" i="0">
                <a:solidFill>
                  <a:srgbClr val="757575"/>
                </a:solidFill>
                <a:latin typeface="Calibri"/>
              </a:rPr>
              <a:t>LINEA ESTRATEGICA PARA LA EQUIDAD E INCLUSIÓN DE LOS NEGROS, AFROS, PALENQUEROS E INDIGENA</a:t>
            </a:r>
            <a:r>
              <a:rPr lang="es-CO" sz="1100" b="1" i="0" baseline="0">
                <a:solidFill>
                  <a:srgbClr val="757575"/>
                </a:solidFill>
                <a:latin typeface="Calibri"/>
              </a:rPr>
              <a:t> </a:t>
            </a:r>
            <a:r>
              <a:rPr lang="es-CO" sz="1100" b="1" i="0">
                <a:solidFill>
                  <a:srgbClr val="757575"/>
                </a:solidFill>
                <a:latin typeface="Calibri"/>
              </a:rPr>
              <a:t>AVANCE A </a:t>
            </a:r>
            <a:r>
              <a:rPr lang="es-CO" sz="1100" b="1" i="0" u="none" strike="noStrike" baseline="0">
                <a:effectLst/>
              </a:rPr>
              <a:t>DICIEMBRE </a:t>
            </a:r>
            <a:r>
              <a:rPr lang="es-CO" sz="1100" b="1" i="0">
                <a:solidFill>
                  <a:srgbClr val="757575"/>
                </a:solidFill>
                <a:latin typeface="Calibri"/>
              </a:rPr>
              <a:t> 2022 </a:t>
            </a:r>
          </a:p>
        </c:rich>
      </c:tx>
      <c:layout>
        <c:manualLayout>
          <c:xMode val="edge"/>
          <c:yMode val="edge"/>
          <c:x val="0.11429767481596446"/>
          <c:y val="1.5176151761517615E-2"/>
        </c:manualLayout>
      </c:layout>
      <c:overlay val="0"/>
    </c:title>
    <c:autoTitleDeleted val="0"/>
    <c:plotArea>
      <c:layout/>
      <c:barChart>
        <c:barDir val="bar"/>
        <c:grouping val="clustered"/>
        <c:varyColors val="1"/>
        <c:ser>
          <c:idx val="0"/>
          <c:order val="0"/>
          <c:tx>
            <c:v>AVANCE A DIC 2020</c:v>
          </c:tx>
          <c:spPr>
            <a:solidFill>
              <a:srgbClr val="FFFF00"/>
            </a:solidFill>
            <a:ln cmpd="sng">
              <a:solidFill>
                <a:srgbClr val="000000"/>
              </a:solidFill>
            </a:ln>
          </c:spPr>
          <c:invertIfNegative val="1"/>
          <c:dPt>
            <c:idx val="0"/>
            <c:invertIfNegative val="1"/>
            <c:bubble3D val="0"/>
            <c:extLst xmlns:c16r2="http://schemas.microsoft.com/office/drawing/2015/06/chart">
              <c:ext xmlns:c16="http://schemas.microsoft.com/office/drawing/2014/chart" uri="{C3380CC4-5D6E-409C-BE32-E72D297353CC}">
                <c16:uniqueId val="{00000001-B5D3-4006-ADF9-A17F304F93E6}"/>
              </c:ext>
            </c:extLst>
          </c:dPt>
          <c:dPt>
            <c:idx val="1"/>
            <c:invertIfNegative val="1"/>
            <c:bubble3D val="0"/>
            <c:extLst xmlns:c16r2="http://schemas.microsoft.com/office/drawing/2015/06/chart">
              <c:ext xmlns:c16="http://schemas.microsoft.com/office/drawing/2014/chart" uri="{C3380CC4-5D6E-409C-BE32-E72D297353CC}">
                <c16:uniqueId val="{00000003-B5D3-4006-ADF9-A17F304F93E6}"/>
              </c:ext>
            </c:extLst>
          </c:dPt>
          <c:dPt>
            <c:idx val="2"/>
            <c:invertIfNegative val="1"/>
            <c:bubble3D val="0"/>
            <c:spPr>
              <a:solidFill>
                <a:srgbClr val="FF0000"/>
              </a:solidFill>
              <a:ln cmpd="sng">
                <a:solidFill>
                  <a:srgbClr val="000000"/>
                </a:solidFill>
              </a:ln>
            </c:spPr>
            <c:extLst xmlns:c16r2="http://schemas.microsoft.com/office/drawing/2015/06/chart">
              <c:ext xmlns:c16="http://schemas.microsoft.com/office/drawing/2014/chart" uri="{C3380CC4-5D6E-409C-BE32-E72D297353CC}">
                <c16:uniqueId val="{0000000D-D2D1-4787-B77A-93FD2E050B98}"/>
              </c:ext>
            </c:extLst>
          </c:dPt>
          <c:dPt>
            <c:idx val="3"/>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9-09C1-4F97-B141-A0E8CD640859}"/>
              </c:ext>
            </c:extLst>
          </c:dPt>
          <c:dPt>
            <c:idx val="4"/>
            <c:invertIfNegative val="1"/>
            <c:bubble3D val="0"/>
            <c:spPr>
              <a:solidFill>
                <a:srgbClr val="FF0000"/>
              </a:solidFill>
              <a:ln cmpd="sng">
                <a:solidFill>
                  <a:srgbClr val="000000"/>
                </a:solidFill>
              </a:ln>
            </c:spPr>
            <c:extLst xmlns:c16r2="http://schemas.microsoft.com/office/drawing/2015/06/chart">
              <c:ext xmlns:c16="http://schemas.microsoft.com/office/drawing/2014/chart" uri="{C3380CC4-5D6E-409C-BE32-E72D297353CC}">
                <c16:uniqueId val="{0000000E-8D51-4A69-97F4-3B855D631E0D}"/>
              </c:ext>
            </c:extLst>
          </c:dPt>
          <c:dPt>
            <c:idx val="7"/>
            <c:invertIfNegative val="1"/>
            <c:bubble3D val="0"/>
            <c:spPr>
              <a:solidFill>
                <a:srgbClr val="FF0000"/>
              </a:solidFill>
              <a:ln cmpd="sng">
                <a:solidFill>
                  <a:srgbClr val="000000"/>
                </a:solidFill>
              </a:ln>
            </c:spPr>
            <c:extLst xmlns:c16r2="http://schemas.microsoft.com/office/drawing/2015/06/chart">
              <c:ext xmlns:c16="http://schemas.microsoft.com/office/drawing/2014/chart" uri="{C3380CC4-5D6E-409C-BE32-E72D297353CC}">
                <c16:uniqueId val="{0000000B-09C1-4F97-B141-A0E8CD640859}"/>
              </c:ext>
            </c:extLst>
          </c:dPt>
          <c:dPt>
            <c:idx val="8"/>
            <c:invertIfNegative val="1"/>
            <c:bubble3D val="0"/>
            <c:spPr>
              <a:solidFill>
                <a:srgbClr val="FF0000"/>
              </a:solidFill>
              <a:ln cmpd="sng">
                <a:solidFill>
                  <a:srgbClr val="000000"/>
                </a:solidFill>
              </a:ln>
            </c:spPr>
            <c:extLst xmlns:c16r2="http://schemas.microsoft.com/office/drawing/2015/06/chart">
              <c:ext xmlns:c16="http://schemas.microsoft.com/office/drawing/2014/chart" uri="{C3380CC4-5D6E-409C-BE32-E72D297353CC}">
                <c16:uniqueId val="{0000000E-D2D1-4787-B77A-93FD2E050B98}"/>
              </c:ext>
            </c:extLst>
          </c:dPt>
          <c:dPt>
            <c:idx val="10"/>
            <c:invertIfNegative val="1"/>
            <c:bubble3D val="0"/>
            <c:spPr>
              <a:solidFill>
                <a:srgbClr val="FF0000"/>
              </a:solidFill>
              <a:ln cmpd="sng">
                <a:solidFill>
                  <a:srgbClr val="000000"/>
                </a:solidFill>
              </a:ln>
            </c:spPr>
            <c:extLst xmlns:c16r2="http://schemas.microsoft.com/office/drawing/2015/06/chart">
              <c:ext xmlns:c16="http://schemas.microsoft.com/office/drawing/2014/chart" uri="{C3380CC4-5D6E-409C-BE32-E72D297353CC}">
                <c16:uniqueId val="{00000005-B5D3-4006-ADF9-A17F304F93E6}"/>
              </c:ext>
            </c:extLst>
          </c:dPt>
          <c:dPt>
            <c:idx val="11"/>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7-B5D3-4006-ADF9-A17F304F93E6}"/>
              </c:ext>
            </c:extLst>
          </c:dPt>
          <c:dLbls>
            <c:spPr>
              <a:noFill/>
              <a:ln>
                <a:noFill/>
              </a:ln>
              <a:effectLst/>
            </c:spPr>
            <c:txPr>
              <a:bodyPr/>
              <a:lstStyle/>
              <a:p>
                <a:pPr lvl="0">
                  <a:defRPr sz="12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TRANSVERSAL'!$C$15:$C$26</c:f>
              <c:strCache>
                <c:ptCount val="12"/>
                <c:pt idx="0">
                  <c:v>LINEA ESTRATEGICA PARA LA EQUIDAD E INCLUSIÓN DE LOS NEGROS, AFROS, PALENQUEROS E INDIGENA.</c:v>
                </c:pt>
                <c:pt idx="1">
                  <c:v>Fortalecimiento de Población Negra, Afrocolombiana, Raizal y Palenquera en el Distrito de Cartagena </c:v>
                </c:pt>
                <c:pt idx="2">
                  <c:v>Fortalecimiento e Inclusión Productiva para Población Negra, Afrocolombiana, Raizal y Palenquera en el Distrito de Cartagena.</c:v>
                </c:pt>
                <c:pt idx="3">
                  <c:v>Programa: Inclusión Educativa para el Desarrollo para Población Negra, Afrocolombiana, Raizal y Palenquera en el Distrito de Cartagena.</c:v>
                </c:pt>
                <c:pt idx="4">
                  <c:v>Programa: Promoción, Prevención y Atención En Salud para población Negra, Afrocolombiana, Raizal y Palenquera en el Distrito De Cartagena.</c:v>
                </c:pt>
                <c:pt idx="5">
                  <c:v>Programa: Sostenibilidad Ambiental y Fomento Tradicional</c:v>
                </c:pt>
                <c:pt idx="6">
                  <c:v>Programa: Sostenibilidad Cultural como Garantía de Permanencia.</c:v>
                </c:pt>
                <c:pt idx="7">
                  <c:v>Programa: Fortalecimiento de la Población Indígena en el Distrito de Cartagena.</c:v>
                </c:pt>
                <c:pt idx="8">
                  <c:v>Programa: Educación con Enfoque Diferencial Indígena SISTEMA EDUCATIVO INDIGENA PROPIO - SEIP</c:v>
                </c:pt>
                <c:pt idx="9">
                  <c:v>Programa: Intercultural de Salud Propia Preventiva Indígena- SISPI</c:v>
                </c:pt>
                <c:pt idx="10">
                  <c:v>Programa: Integridad Cultural, Gobierno Propio, Vivienda y Hábitat para las Comunidades Indígenas en el Distrito Cartagena</c:v>
                </c:pt>
                <c:pt idx="11">
                  <c:v>Programa: Empoderamiento del Liderazgo de las Mujeres, Niñez, Jóvenes, Familia y Generación Indígena</c:v>
                </c:pt>
              </c:strCache>
            </c:strRef>
          </c:cat>
          <c:val>
            <c:numRef>
              <c:f>'P. TRANSVERSAL'!$D$15:$D$26</c:f>
              <c:numCache>
                <c:formatCode>0%</c:formatCode>
                <c:ptCount val="12"/>
                <c:pt idx="0">
                  <c:v>0.54308663558663561</c:v>
                </c:pt>
                <c:pt idx="1">
                  <c:v>0.65384615384615385</c:v>
                </c:pt>
                <c:pt idx="2">
                  <c:v>0.41515151515151516</c:v>
                </c:pt>
                <c:pt idx="3">
                  <c:v>1</c:v>
                </c:pt>
                <c:pt idx="4">
                  <c:v>0.38461538461538464</c:v>
                </c:pt>
                <c:pt idx="5">
                  <c:v>0</c:v>
                </c:pt>
                <c:pt idx="6">
                  <c:v>0</c:v>
                </c:pt>
                <c:pt idx="7">
                  <c:v>0.48749999999999999</c:v>
                </c:pt>
                <c:pt idx="8">
                  <c:v>0.11666666666666667</c:v>
                </c:pt>
                <c:pt idx="9">
                  <c:v>0</c:v>
                </c:pt>
                <c:pt idx="10">
                  <c:v>0.5</c:v>
                </c:pt>
                <c:pt idx="11">
                  <c:v>1</c:v>
                </c:pt>
              </c:numCache>
            </c:numRef>
          </c:val>
          <c:extLst xmlns:c16r2="http://schemas.microsoft.com/office/drawing/2015/06/chart">
            <c:ext xmlns:c16="http://schemas.microsoft.com/office/drawing/2014/chart" uri="{C3380CC4-5D6E-409C-BE32-E72D297353CC}">
              <c16:uniqueId val="{00000008-B5D3-4006-ADF9-A17F304F93E6}"/>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565594592"/>
        <c:axId val="565593504"/>
      </c:barChart>
      <c:catAx>
        <c:axId val="565594592"/>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565593504"/>
        <c:crosses val="autoZero"/>
        <c:auto val="1"/>
        <c:lblAlgn val="ctr"/>
        <c:lblOffset val="100"/>
        <c:noMultiLvlLbl val="1"/>
      </c:catAx>
      <c:valAx>
        <c:axId val="565593504"/>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Calibri"/>
              </a:defRPr>
            </a:pPr>
            <a:endParaRPr lang="es-CO"/>
          </a:p>
        </c:txPr>
        <c:crossAx val="565594592"/>
        <c:crosses val="max"/>
        <c:crossBetween val="between"/>
      </c:valAx>
    </c:plotArea>
    <c:plotVisOnly val="1"/>
    <c:dispBlanksAs val="zero"/>
    <c:showDLblsOverMax val="1"/>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200" b="0" i="0">
                <a:solidFill>
                  <a:srgbClr val="757575"/>
                </a:solidFill>
                <a:latin typeface="Calibri"/>
              </a:defRPr>
            </a:pPr>
            <a:r>
              <a:rPr lang="es-CO" sz="1100" b="1" i="0">
                <a:solidFill>
                  <a:srgbClr val="757575"/>
                </a:solidFill>
                <a:latin typeface="Calibri"/>
              </a:rPr>
              <a:t>LINEA ESTRATEGICA MUJERES CARTAGENERAS POR SUS DERECHOS. AVANCE A </a:t>
            </a:r>
            <a:r>
              <a:rPr lang="es-CO" sz="1100" b="1" i="0" u="none" strike="noStrike" baseline="0">
                <a:effectLst/>
              </a:rPr>
              <a:t>DICIEMBRE </a:t>
            </a:r>
            <a:r>
              <a:rPr lang="es-CO" sz="1100" b="1" i="0">
                <a:solidFill>
                  <a:srgbClr val="757575"/>
                </a:solidFill>
                <a:latin typeface="Calibri"/>
              </a:rPr>
              <a:t> 2022 </a:t>
            </a:r>
          </a:p>
        </c:rich>
      </c:tx>
      <c:overlay val="0"/>
    </c:title>
    <c:autoTitleDeleted val="0"/>
    <c:plotArea>
      <c:layout/>
      <c:barChart>
        <c:barDir val="col"/>
        <c:grouping val="clustered"/>
        <c:varyColors val="1"/>
        <c:ser>
          <c:idx val="0"/>
          <c:order val="0"/>
          <c:spPr>
            <a:solidFill>
              <a:srgbClr val="00B050"/>
            </a:solidFill>
            <a:ln cmpd="sng">
              <a:solidFill>
                <a:srgbClr val="000000"/>
              </a:solidFill>
            </a:ln>
          </c:spPr>
          <c:invertIfNegative val="1"/>
          <c:dPt>
            <c:idx val="1"/>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4-58CC-47FC-BD6A-E4D38447107F}"/>
              </c:ext>
            </c:extLst>
          </c:dPt>
          <c:dPt>
            <c:idx val="4"/>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1-6B2A-4A95-AECC-E5C35289D144}"/>
              </c:ext>
            </c:extLst>
          </c:dPt>
          <c:dLbls>
            <c:spPr>
              <a:noFill/>
              <a:ln>
                <a:noFill/>
              </a:ln>
              <a:effectLst/>
            </c:spPr>
            <c:txPr>
              <a:bodyPr/>
              <a:lstStyle/>
              <a:p>
                <a:pPr lvl="0">
                  <a:defRPr sz="11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TRANSVERSAL'!$C$31:$C$35</c:f>
              <c:strCache>
                <c:ptCount val="5"/>
                <c:pt idx="0">
                  <c:v>LINEA ESTRATEGICA MUJERES CARTAGENERAS POR SUS DERECHOS.</c:v>
                </c:pt>
                <c:pt idx="1">
                  <c:v>Programa: Las Mujeres Decidimos Sobre el Ejercicio del Poder</c:v>
                </c:pt>
                <c:pt idx="2">
                  <c:v>Programa: Una Vida Libre de Violencias para las Mujeres</c:v>
                </c:pt>
                <c:pt idx="3">
                  <c:v>Programa: Mujer, Constructoras De Paz</c:v>
                </c:pt>
                <c:pt idx="4">
                  <c:v>Programa: Cartagena Libre de una Cultura Machista</c:v>
                </c:pt>
              </c:strCache>
            </c:strRef>
          </c:cat>
          <c:val>
            <c:numRef>
              <c:f>'P. TRANSVERSAL'!$D$31:$D$35</c:f>
              <c:numCache>
                <c:formatCode>0%</c:formatCode>
                <c:ptCount val="5"/>
                <c:pt idx="0">
                  <c:v>0.85305728200371056</c:v>
                </c:pt>
                <c:pt idx="1">
                  <c:v>0.74099999999999999</c:v>
                </c:pt>
                <c:pt idx="2">
                  <c:v>0.91668367346938773</c:v>
                </c:pt>
                <c:pt idx="3">
                  <c:v>1</c:v>
                </c:pt>
                <c:pt idx="4" formatCode="0.0%">
                  <c:v>0.75454545454545452</c:v>
                </c:pt>
              </c:numCache>
            </c:numRef>
          </c:val>
          <c:extLst xmlns:c16r2="http://schemas.microsoft.com/office/drawing/2015/06/chart">
            <c:ext xmlns:c16="http://schemas.microsoft.com/office/drawing/2014/chart" uri="{C3380CC4-5D6E-409C-BE32-E72D297353CC}">
              <c16:uniqueId val="{00000002-6B2A-4A95-AECC-E5C35289D144}"/>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565595136"/>
        <c:axId val="565579904"/>
      </c:barChart>
      <c:catAx>
        <c:axId val="56559513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565579904"/>
        <c:crosses val="autoZero"/>
        <c:auto val="1"/>
        <c:lblAlgn val="ctr"/>
        <c:lblOffset val="100"/>
        <c:noMultiLvlLbl val="1"/>
      </c:catAx>
      <c:valAx>
        <c:axId val="56557990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Calibri"/>
              </a:defRPr>
            </a:pPr>
            <a:endParaRPr lang="es-CO"/>
          </a:p>
        </c:txPr>
        <c:crossAx val="565595136"/>
        <c:crosses val="autoZero"/>
        <c:crossBetween val="between"/>
      </c:valAx>
    </c:plotArea>
    <c:plotVisOnly val="1"/>
    <c:dispBlanksAs val="zero"/>
    <c:showDLblsOverMax val="1"/>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000" b="1" i="0">
                <a:solidFill>
                  <a:srgbClr val="757575"/>
                </a:solidFill>
                <a:latin typeface="Calibri"/>
              </a:defRPr>
            </a:pPr>
            <a:r>
              <a:rPr lang="es-CO" sz="1100" b="1" i="0">
                <a:solidFill>
                  <a:srgbClr val="757575"/>
                </a:solidFill>
                <a:latin typeface="Calibri"/>
              </a:rPr>
              <a:t>LINEA ESTRATEGICA: INCLUSION Y OPORTUNIDAD PARA NIÑOS, NIÑAS Y ADOLESCENTES Y FAMILIAS. AVANCE A </a:t>
            </a:r>
            <a:r>
              <a:rPr lang="es-CO" sz="1100" b="1" i="0" u="none" strike="noStrike" baseline="0">
                <a:effectLst/>
              </a:rPr>
              <a:t>DICIEMBRE</a:t>
            </a:r>
            <a:r>
              <a:rPr lang="es-CO" sz="1100" b="1" i="0">
                <a:solidFill>
                  <a:srgbClr val="757575"/>
                </a:solidFill>
                <a:latin typeface="Calibri"/>
              </a:rPr>
              <a:t> 2022 </a:t>
            </a:r>
          </a:p>
        </c:rich>
      </c:tx>
      <c:overlay val="0"/>
    </c:title>
    <c:autoTitleDeleted val="0"/>
    <c:plotArea>
      <c:layout/>
      <c:barChart>
        <c:barDir val="col"/>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extLst xmlns:c16r2="http://schemas.microsoft.com/office/drawing/2015/06/chart">
              <c:ext xmlns:c16="http://schemas.microsoft.com/office/drawing/2014/chart" uri="{C3380CC4-5D6E-409C-BE32-E72D297353CC}">
                <c16:uniqueId val="{00000001-A46C-4CA6-B2F8-BA7A4B2BE127}"/>
              </c:ext>
            </c:extLst>
          </c:dPt>
          <c:dPt>
            <c:idx val="1"/>
            <c:invertIfNegative val="1"/>
            <c:bubble3D val="0"/>
            <c:extLst xmlns:c16r2="http://schemas.microsoft.com/office/drawing/2015/06/chart">
              <c:ext xmlns:c16="http://schemas.microsoft.com/office/drawing/2014/chart" uri="{C3380CC4-5D6E-409C-BE32-E72D297353CC}">
                <c16:uniqueId val="{00000003-A46C-4CA6-B2F8-BA7A4B2BE127}"/>
              </c:ext>
            </c:extLst>
          </c:dPt>
          <c:dPt>
            <c:idx val="2"/>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5-A46C-4CA6-B2F8-BA7A4B2BE127}"/>
              </c:ext>
            </c:extLst>
          </c:dPt>
          <c:dPt>
            <c:idx val="3"/>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7-A46C-4CA6-B2F8-BA7A4B2BE127}"/>
              </c:ext>
            </c:extLst>
          </c:dPt>
          <c:dPt>
            <c:idx val="4"/>
            <c:invertIfNegative val="1"/>
            <c:bubble3D val="0"/>
            <c:extLst xmlns:c16r2="http://schemas.microsoft.com/office/drawing/2015/06/chart">
              <c:ext xmlns:c16="http://schemas.microsoft.com/office/drawing/2014/chart" uri="{C3380CC4-5D6E-409C-BE32-E72D297353CC}">
                <c16:uniqueId val="{00000009-A46C-4CA6-B2F8-BA7A4B2BE127}"/>
              </c:ext>
            </c:extLst>
          </c:dPt>
          <c:dLbls>
            <c:spPr>
              <a:noFill/>
              <a:ln>
                <a:noFill/>
              </a:ln>
              <a:effectLst/>
            </c:spPr>
            <c:txPr>
              <a:bodyPr/>
              <a:lstStyle/>
              <a:p>
                <a:pPr lvl="0">
                  <a:defRPr sz="12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TRANSVERSAL'!$C$42:$C$46</c:f>
              <c:strCache>
                <c:ptCount val="5"/>
                <c:pt idx="0">
                  <c:v>LINEA ESTRATEGICA: INCLUSION Y OPORTUNIDAD PARA NIÑOS, NIÑAS Y ADOLESCENTES Y FAMILIAS.</c:v>
                </c:pt>
                <c:pt idx="1">
                  <c:v>Programa: Comprometidos con la Salvación de Nuestra Primera Infancia</c:v>
                </c:pt>
                <c:pt idx="2">
                  <c:v>Programa Protección de la Infancia y la Adolescencia para la Prevención y atención de Violencias.</c:v>
                </c:pt>
                <c:pt idx="3">
                  <c:v>Programa los Niños, las Niñas y Adolescentes de Cartagena Participan y Disfrutan sus Derechos.</c:v>
                </c:pt>
                <c:pt idx="4">
                  <c:v>Programa Fortalecimiento Familiar.</c:v>
                </c:pt>
              </c:strCache>
            </c:strRef>
          </c:cat>
          <c:val>
            <c:numRef>
              <c:f>'P. TRANSVERSAL'!$D$42:$D$46</c:f>
              <c:numCache>
                <c:formatCode>0.0%</c:formatCode>
                <c:ptCount val="5"/>
                <c:pt idx="0">
                  <c:v>0.80470053046947254</c:v>
                </c:pt>
                <c:pt idx="1">
                  <c:v>0.90749999999999997</c:v>
                </c:pt>
                <c:pt idx="2">
                  <c:v>0.61404347826086947</c:v>
                </c:pt>
                <c:pt idx="3">
                  <c:v>0.69725864361702128</c:v>
                </c:pt>
                <c:pt idx="4">
                  <c:v>1</c:v>
                </c:pt>
              </c:numCache>
            </c:numRef>
          </c:val>
          <c:extLst xmlns:c16r2="http://schemas.microsoft.com/office/drawing/2015/06/chart">
            <c:ext xmlns:c16="http://schemas.microsoft.com/office/drawing/2014/chart" uri="{C3380CC4-5D6E-409C-BE32-E72D297353CC}">
              <c16:uniqueId val="{0000000A-A46C-4CA6-B2F8-BA7A4B2BE127}"/>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565585344"/>
        <c:axId val="565585888"/>
      </c:barChart>
      <c:catAx>
        <c:axId val="56558534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565585888"/>
        <c:crosses val="autoZero"/>
        <c:auto val="1"/>
        <c:lblAlgn val="ctr"/>
        <c:lblOffset val="100"/>
        <c:noMultiLvlLbl val="1"/>
      </c:catAx>
      <c:valAx>
        <c:axId val="56558588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CO"/>
          </a:p>
        </c:txPr>
        <c:crossAx val="565585344"/>
        <c:crosses val="autoZero"/>
        <c:crossBetween val="between"/>
      </c:valAx>
    </c:plotArea>
    <c:plotVisOnly val="1"/>
    <c:dispBlanksAs val="zero"/>
    <c:showDLblsOverMax val="1"/>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400" b="0" i="0">
                <a:solidFill>
                  <a:srgbClr val="757575"/>
                </a:solidFill>
                <a:latin typeface="Calibri"/>
              </a:defRPr>
            </a:pPr>
            <a:r>
              <a:rPr lang="es-CO" sz="1100" b="1" i="0">
                <a:solidFill>
                  <a:srgbClr val="757575"/>
                </a:solidFill>
                <a:latin typeface="Calibri"/>
              </a:rPr>
              <a:t>LINEA ESTRATEGICA JOVENES SALVANDO A CARTAGENA. AVANCE A </a:t>
            </a:r>
            <a:r>
              <a:rPr lang="es-CO" sz="1100" b="1" i="0" u="none" strike="noStrike" baseline="0">
                <a:effectLst/>
              </a:rPr>
              <a:t>DICIEMBRE </a:t>
            </a:r>
            <a:r>
              <a:rPr lang="es-CO" sz="1100" b="1" i="0">
                <a:solidFill>
                  <a:srgbClr val="757575"/>
                </a:solidFill>
                <a:latin typeface="Calibri"/>
              </a:rPr>
              <a:t> 2022 </a:t>
            </a:r>
          </a:p>
        </c:rich>
      </c:tx>
      <c:overlay val="0"/>
    </c:title>
    <c:autoTitleDeleted val="0"/>
    <c:plotArea>
      <c:layout/>
      <c:barChart>
        <c:barDir val="col"/>
        <c:grouping val="clustered"/>
        <c:varyColors val="1"/>
        <c:ser>
          <c:idx val="0"/>
          <c:order val="0"/>
          <c:tx>
            <c:v>AVANCE A DIC 2020</c:v>
          </c:tx>
          <c:spPr>
            <a:solidFill>
              <a:srgbClr val="FFFF00"/>
            </a:solidFill>
            <a:ln cmpd="sng">
              <a:solidFill>
                <a:srgbClr val="000000"/>
              </a:solidFill>
            </a:ln>
          </c:spPr>
          <c:invertIfNegative val="1"/>
          <c:dPt>
            <c:idx val="1"/>
            <c:invertIfNegative val="1"/>
            <c:bubble3D val="0"/>
            <c:extLst xmlns:c16r2="http://schemas.microsoft.com/office/drawing/2015/06/chart">
              <c:ext xmlns:c16="http://schemas.microsoft.com/office/drawing/2014/chart" uri="{C3380CC4-5D6E-409C-BE32-E72D297353CC}">
                <c16:uniqueId val="{00000003-1707-483B-A2C8-2E3F32B98C9A}"/>
              </c:ext>
            </c:extLst>
          </c:dPt>
          <c:dPt>
            <c:idx val="2"/>
            <c:invertIfNegative val="1"/>
            <c:bubble3D val="0"/>
            <c:extLst xmlns:c16r2="http://schemas.microsoft.com/office/drawing/2015/06/chart">
              <c:ext xmlns:c16="http://schemas.microsoft.com/office/drawing/2014/chart" uri="{C3380CC4-5D6E-409C-BE32-E72D297353CC}">
                <c16:uniqueId val="{00000000-98D9-478A-8C22-98FC61A8E393}"/>
              </c:ext>
            </c:extLst>
          </c:dPt>
          <c:dLbls>
            <c:spPr>
              <a:noFill/>
              <a:ln>
                <a:noFill/>
              </a:ln>
              <a:effectLst/>
            </c:spPr>
            <c:txPr>
              <a:bodyPr/>
              <a:lstStyle/>
              <a:p>
                <a:pPr lvl="0">
                  <a:defRPr sz="12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TRANSVERSAL'!$C$53:$C$55</c:f>
              <c:strCache>
                <c:ptCount val="3"/>
                <c:pt idx="0">
                  <c:v>LINEA ESTRATEGICA JOVENES SALVANDO A CARTAGENA</c:v>
                </c:pt>
                <c:pt idx="1">
                  <c:v>Programa: Jóvenes Participando y Salvando a Cartagena</c:v>
                </c:pt>
                <c:pt idx="2">
                  <c:v>Programa: Política Pública De Juventud</c:v>
                </c:pt>
              </c:strCache>
            </c:strRef>
          </c:cat>
          <c:val>
            <c:numRef>
              <c:f>'P. TRANSVERSAL'!$D$53:$D$55</c:f>
              <c:numCache>
                <c:formatCode>0%</c:formatCode>
                <c:ptCount val="3"/>
                <c:pt idx="0">
                  <c:v>0.65959583333333338</c:v>
                </c:pt>
                <c:pt idx="1">
                  <c:v>0.71919166666666667</c:v>
                </c:pt>
                <c:pt idx="2">
                  <c:v>0.6</c:v>
                </c:pt>
              </c:numCache>
            </c:numRef>
          </c:val>
          <c:extLst xmlns:c16r2="http://schemas.microsoft.com/office/drawing/2015/06/chart">
            <c:ext xmlns:c16="http://schemas.microsoft.com/office/drawing/2014/chart" uri="{C3380CC4-5D6E-409C-BE32-E72D297353CC}">
              <c16:uniqueId val="{00000000-0288-4B15-A551-275BB53FA592}"/>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565580448"/>
        <c:axId val="565586976"/>
      </c:barChart>
      <c:catAx>
        <c:axId val="56558044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565586976"/>
        <c:crosses val="autoZero"/>
        <c:auto val="1"/>
        <c:lblAlgn val="ctr"/>
        <c:lblOffset val="100"/>
        <c:noMultiLvlLbl val="1"/>
      </c:catAx>
      <c:valAx>
        <c:axId val="56558697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Calibri"/>
              </a:defRPr>
            </a:pPr>
            <a:endParaRPr lang="es-CO"/>
          </a:p>
        </c:txPr>
        <c:crossAx val="565580448"/>
        <c:crosses val="autoZero"/>
        <c:crossBetween val="between"/>
      </c:valAx>
    </c:plotArea>
    <c:plotVisOnly val="1"/>
    <c:dispBlanksAs val="zero"/>
    <c:showDLblsOverMax val="1"/>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000" b="0" i="0">
                <a:solidFill>
                  <a:srgbClr val="757575"/>
                </a:solidFill>
                <a:latin typeface="Calibri"/>
              </a:defRPr>
            </a:pPr>
            <a:r>
              <a:rPr lang="es-CO" sz="1000" b="1" i="0">
                <a:solidFill>
                  <a:srgbClr val="757575"/>
                </a:solidFill>
                <a:latin typeface="Calibri"/>
              </a:rPr>
              <a:t>LINEA ESTRATEGICA EN CARTAGENA SALVAMOS NUESTROS ADULTOS MAYORES. AVANCE A </a:t>
            </a:r>
            <a:r>
              <a:rPr lang="es-CO" sz="1000" b="1" i="0" u="none" strike="noStrike" baseline="0">
                <a:effectLst/>
              </a:rPr>
              <a:t>DICIEMBRE</a:t>
            </a:r>
            <a:r>
              <a:rPr lang="es-CO" sz="1000" b="1" i="0">
                <a:solidFill>
                  <a:srgbClr val="757575"/>
                </a:solidFill>
                <a:latin typeface="Calibri"/>
              </a:rPr>
              <a:t> 2022 </a:t>
            </a:r>
          </a:p>
        </c:rich>
      </c:tx>
      <c:overlay val="0"/>
    </c:title>
    <c:autoTitleDeleted val="0"/>
    <c:plotArea>
      <c:layout/>
      <c:barChart>
        <c:barDir val="col"/>
        <c:grouping val="clustered"/>
        <c:varyColors val="1"/>
        <c:ser>
          <c:idx val="0"/>
          <c:order val="0"/>
          <c:tx>
            <c:v>AVANCE A DIC 2020</c:v>
          </c:tx>
          <c:spPr>
            <a:solidFill>
              <a:srgbClr val="FF0000"/>
            </a:solidFill>
            <a:ln cmpd="sng">
              <a:solidFill>
                <a:srgbClr val="000000"/>
              </a:solidFill>
            </a:ln>
          </c:spPr>
          <c:invertIfNegative val="1"/>
          <c:dLbls>
            <c:spPr>
              <a:noFill/>
              <a:ln>
                <a:noFill/>
              </a:ln>
              <a:effectLst/>
            </c:spPr>
            <c:txPr>
              <a:bodyPr/>
              <a:lstStyle/>
              <a:p>
                <a:pPr lvl="0">
                  <a:defRPr sz="12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TRANSVERSAL'!$C$62:$C$63</c:f>
              <c:strCache>
                <c:ptCount val="2"/>
                <c:pt idx="0">
                  <c:v>LINEA ESTRATEGICA EN CARTAGENA SALVAMOS NUESTROS ADULTOS MAYORES.</c:v>
                </c:pt>
                <c:pt idx="1">
                  <c:v>Programa: Atención Integral Para Mantener a Salvo a los Adultos Mayores</c:v>
                </c:pt>
              </c:strCache>
            </c:strRef>
          </c:cat>
          <c:val>
            <c:numRef>
              <c:f>'P. TRANSVERSAL'!$D$62:$D$63</c:f>
              <c:numCache>
                <c:formatCode>0.0%</c:formatCode>
                <c:ptCount val="2"/>
                <c:pt idx="0">
                  <c:v>0.43715972222222221</c:v>
                </c:pt>
                <c:pt idx="1">
                  <c:v>0.43715972222222221</c:v>
                </c:pt>
              </c:numCache>
            </c:numRef>
          </c:val>
          <c:extLst xmlns:c16r2="http://schemas.microsoft.com/office/drawing/2015/06/chart">
            <c:ext xmlns:c16="http://schemas.microsoft.com/office/drawing/2014/chart" uri="{C3380CC4-5D6E-409C-BE32-E72D297353CC}">
              <c16:uniqueId val="{00000000-4A08-46CE-A04F-5C7A48BD4384}"/>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565589696"/>
        <c:axId val="565581536"/>
      </c:barChart>
      <c:catAx>
        <c:axId val="56558969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565581536"/>
        <c:crosses val="autoZero"/>
        <c:auto val="1"/>
        <c:lblAlgn val="ctr"/>
        <c:lblOffset val="100"/>
        <c:noMultiLvlLbl val="1"/>
      </c:catAx>
      <c:valAx>
        <c:axId val="56558153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CO"/>
          </a:p>
        </c:txPr>
        <c:crossAx val="565589696"/>
        <c:crosses val="autoZero"/>
        <c:crossBetween val="between"/>
      </c:valAx>
    </c:plotArea>
    <c:plotVisOnly val="1"/>
    <c:dispBlanksAs val="zero"/>
    <c:showDLblsOverMax val="1"/>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400" b="0" i="0">
                <a:solidFill>
                  <a:srgbClr val="757575"/>
                </a:solidFill>
                <a:latin typeface="Calibri"/>
              </a:defRPr>
            </a:pPr>
            <a:r>
              <a:rPr lang="es-CO" sz="1100" b="1" i="0">
                <a:solidFill>
                  <a:srgbClr val="757575"/>
                </a:solidFill>
                <a:latin typeface="Calibri"/>
              </a:rPr>
              <a:t>LÍNEA ESTRATÉGICA: TODOS POR LA PROTECCIÓN SOCIAL DE LAS PERSONAS CON DISCAPACIDAD: “RECONOCIDAS, EMPODERADAS Y RESPETADAS”. AVANCE A </a:t>
            </a:r>
            <a:r>
              <a:rPr lang="es-CO" sz="1100" b="1" i="0" u="none" strike="noStrike" baseline="0">
                <a:effectLst/>
              </a:rPr>
              <a:t>DICIEMBRE</a:t>
            </a:r>
            <a:r>
              <a:rPr lang="es-CO" sz="1100" b="1" i="0">
                <a:solidFill>
                  <a:srgbClr val="757575"/>
                </a:solidFill>
                <a:latin typeface="Calibri"/>
              </a:rPr>
              <a:t> 2022 </a:t>
            </a:r>
          </a:p>
        </c:rich>
      </c:tx>
      <c:layout>
        <c:manualLayout>
          <c:xMode val="edge"/>
          <c:yMode val="edge"/>
          <c:x val="0.11248999497552765"/>
          <c:y val="3.9215686274509803E-2"/>
        </c:manualLayout>
      </c:layout>
      <c:overlay val="0"/>
    </c:title>
    <c:autoTitleDeleted val="0"/>
    <c:plotArea>
      <c:layout/>
      <c:barChart>
        <c:barDir val="col"/>
        <c:grouping val="clustered"/>
        <c:varyColors val="1"/>
        <c:ser>
          <c:idx val="0"/>
          <c:order val="0"/>
          <c:tx>
            <c:v>AVANCE A DIC 2020</c:v>
          </c:tx>
          <c:spPr>
            <a:solidFill>
              <a:srgbClr val="FFFF00"/>
            </a:solidFill>
            <a:ln cmpd="sng">
              <a:solidFill>
                <a:srgbClr val="000000"/>
              </a:solidFill>
            </a:ln>
          </c:spPr>
          <c:invertIfNegative val="1"/>
          <c:dPt>
            <c:idx val="1"/>
            <c:invertIfNegative val="1"/>
            <c:bubble3D val="0"/>
            <c:extLst xmlns:c16r2="http://schemas.microsoft.com/office/drawing/2015/06/chart">
              <c:ext xmlns:c16="http://schemas.microsoft.com/office/drawing/2014/chart" uri="{C3380CC4-5D6E-409C-BE32-E72D297353CC}">
                <c16:uniqueId val="{00000001-5AA1-4455-AA3E-649ED9786D1A}"/>
              </c:ext>
            </c:extLst>
          </c:dPt>
          <c:dPt>
            <c:idx val="2"/>
            <c:invertIfNegative val="1"/>
            <c:bubble3D val="0"/>
            <c:extLst xmlns:c16r2="http://schemas.microsoft.com/office/drawing/2015/06/chart">
              <c:ext xmlns:c16="http://schemas.microsoft.com/office/drawing/2014/chart" uri="{C3380CC4-5D6E-409C-BE32-E72D297353CC}">
                <c16:uniqueId val="{00000002-5AA1-4455-AA3E-649ED9786D1A}"/>
              </c:ext>
            </c:extLst>
          </c:dPt>
          <c:dPt>
            <c:idx val="3"/>
            <c:invertIfNegative val="1"/>
            <c:bubble3D val="0"/>
            <c:extLst xmlns:c16r2="http://schemas.microsoft.com/office/drawing/2015/06/chart">
              <c:ext xmlns:c16="http://schemas.microsoft.com/office/drawing/2014/chart" uri="{C3380CC4-5D6E-409C-BE32-E72D297353CC}">
                <c16:uniqueId val="{00000006-FEF0-4F0C-A125-AE8E68E2B943}"/>
              </c:ext>
            </c:extLst>
          </c:dPt>
          <c:dLbls>
            <c:dLbl>
              <c:idx val="2"/>
              <c:spPr/>
              <c:txPr>
                <a:bodyPr/>
                <a:lstStyle/>
                <a:p>
                  <a:pPr lvl="0">
                    <a:defRPr sz="900" b="1" i="0">
                      <a:latin typeface="Calibri"/>
                    </a:defRPr>
                  </a:pPr>
                  <a:endParaRPr lang="es-CO"/>
                </a:p>
              </c:txPr>
              <c:showLegendKey val="0"/>
              <c:showVal val="1"/>
              <c:showCatName val="0"/>
              <c:showSerName val="0"/>
              <c:showPercent val="0"/>
              <c:showBubbleSize val="0"/>
            </c:dLbl>
            <c:spPr>
              <a:noFill/>
              <a:ln>
                <a:noFill/>
              </a:ln>
              <a:effectLst/>
            </c:spPr>
            <c:txPr>
              <a:bodyPr/>
              <a:lstStyle/>
              <a:p>
                <a:pPr lvl="0">
                  <a:defRPr sz="9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TRANSVERSAL'!$C$70:$C$73</c:f>
              <c:strCache>
                <c:ptCount val="4"/>
                <c:pt idx="0">
                  <c:v>LÍNEA ESTRATÉGICA: TODOS POR LA PROTECCIÓN SOCIAL DE LAS PERSONAS CON DISCAPACIDAD: “RECONOCIDAS, EMPODERADAS Y RESPETADAS”.</c:v>
                </c:pt>
                <c:pt idx="1">
                  <c:v>Programa: Gestión Social Integral y Articuladora por la Protección de las Personas Con Discapacidad y/o su Familia o Cuidador.</c:v>
                </c:pt>
                <c:pt idx="2">
                  <c:v>Programa: Pacto o Alianza Por La Inclusión Social y Productiva de las Personas Con Discapacidad.</c:v>
                </c:pt>
                <c:pt idx="3">
                  <c:v>Programa: Desarrollo Local Inclusivo de las Personas Con Discapacidad: Reconocimiento de Capacidades, Diferencias y Diversidad.</c:v>
                </c:pt>
              </c:strCache>
            </c:strRef>
          </c:cat>
          <c:val>
            <c:numRef>
              <c:f>'P. TRANSVERSAL'!$D$70:$D$73</c:f>
              <c:numCache>
                <c:formatCode>0.0%</c:formatCode>
                <c:ptCount val="4"/>
                <c:pt idx="0">
                  <c:v>0.68000936329588013</c:v>
                </c:pt>
                <c:pt idx="1">
                  <c:v>0.5483614232209737</c:v>
                </c:pt>
                <c:pt idx="2">
                  <c:v>0.72499999999999998</c:v>
                </c:pt>
                <c:pt idx="3">
                  <c:v>0.76666666666666661</c:v>
                </c:pt>
              </c:numCache>
            </c:numRef>
          </c:val>
          <c:extLst xmlns:c16r2="http://schemas.microsoft.com/office/drawing/2015/06/chart">
            <c:ext xmlns:c16="http://schemas.microsoft.com/office/drawing/2014/chart" uri="{C3380CC4-5D6E-409C-BE32-E72D297353CC}">
              <c16:uniqueId val="{00000003-5AA1-4455-AA3E-649ED9786D1A}"/>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565582080"/>
        <c:axId val="565588064"/>
      </c:barChart>
      <c:catAx>
        <c:axId val="56558208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565588064"/>
        <c:crosses val="autoZero"/>
        <c:auto val="1"/>
        <c:lblAlgn val="ctr"/>
        <c:lblOffset val="100"/>
        <c:noMultiLvlLbl val="1"/>
      </c:catAx>
      <c:valAx>
        <c:axId val="56558806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CO"/>
          </a:p>
        </c:txPr>
        <c:crossAx val="565582080"/>
        <c:crosses val="autoZero"/>
        <c:crossBetween val="between"/>
      </c:valAx>
    </c:plotArea>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400" b="0" i="0">
                <a:solidFill>
                  <a:srgbClr val="757575"/>
                </a:solidFill>
                <a:latin typeface="Calibri"/>
              </a:defRPr>
            </a:pPr>
            <a:r>
              <a:rPr lang="es-CO" sz="1400" b="0" i="0">
                <a:solidFill>
                  <a:srgbClr val="757575"/>
                </a:solidFill>
                <a:latin typeface="Calibri"/>
              </a:rPr>
              <a:t>AVANCE PILAR RESILIENTE DICIEMBRE 2022 PILAR Y LINEAS ESTRATEGICAS.</a:t>
            </a:r>
          </a:p>
        </c:rich>
      </c:tx>
      <c:layout>
        <c:manualLayout>
          <c:xMode val="edge"/>
          <c:yMode val="edge"/>
          <c:x val="0.17989620758483033"/>
          <c:y val="2.4615384615384615E-2"/>
        </c:manualLayout>
      </c:layout>
      <c:overlay val="0"/>
    </c:title>
    <c:autoTitleDeleted val="0"/>
    <c:plotArea>
      <c:layout/>
      <c:barChart>
        <c:barDir val="col"/>
        <c:grouping val="clustered"/>
        <c:varyColors val="1"/>
        <c:ser>
          <c:idx val="0"/>
          <c:order val="0"/>
          <c:spPr>
            <a:solidFill>
              <a:srgbClr val="FFFF00"/>
            </a:solidFill>
            <a:ln cmpd="sng">
              <a:solidFill>
                <a:srgbClr val="000000"/>
              </a:solidFill>
            </a:ln>
          </c:spPr>
          <c:invertIfNegative val="1"/>
          <c:dPt>
            <c:idx val="1"/>
            <c:invertIfNegative val="1"/>
            <c:bubble3D val="0"/>
            <c:extLst xmlns:c16r2="http://schemas.microsoft.com/office/drawing/2015/06/chart">
              <c:ext xmlns:c16="http://schemas.microsoft.com/office/drawing/2014/chart" uri="{C3380CC4-5D6E-409C-BE32-E72D297353CC}">
                <c16:uniqueId val="{00000001-8BB4-45EE-8A5E-3A40C2351832}"/>
              </c:ext>
            </c:extLst>
          </c:dPt>
          <c:dPt>
            <c:idx val="3"/>
            <c:invertIfNegative val="1"/>
            <c:bubble3D val="0"/>
            <c:spPr>
              <a:solidFill>
                <a:srgbClr val="FF0000"/>
              </a:solidFill>
              <a:ln cmpd="sng">
                <a:solidFill>
                  <a:srgbClr val="000000"/>
                </a:solidFill>
              </a:ln>
            </c:spPr>
            <c:extLst xmlns:c16r2="http://schemas.microsoft.com/office/drawing/2015/06/chart">
              <c:ext xmlns:c16="http://schemas.microsoft.com/office/drawing/2014/chart" uri="{C3380CC4-5D6E-409C-BE32-E72D297353CC}">
                <c16:uniqueId val="{00000003-8BB4-45EE-8A5E-3A40C2351832}"/>
              </c:ext>
            </c:extLst>
          </c:dPt>
          <c:dPt>
            <c:idx val="4"/>
            <c:invertIfNegative val="1"/>
            <c:bubble3D val="0"/>
            <c:extLst xmlns:c16r2="http://schemas.microsoft.com/office/drawing/2015/06/chart">
              <c:ext xmlns:c16="http://schemas.microsoft.com/office/drawing/2014/chart" uri="{C3380CC4-5D6E-409C-BE32-E72D297353CC}">
                <c16:uniqueId val="{00000005-8BB4-45EE-8A5E-3A40C2351832}"/>
              </c:ext>
            </c:extLst>
          </c:dPt>
          <c:dPt>
            <c:idx val="5"/>
            <c:invertIfNegative val="1"/>
            <c:bubble3D val="0"/>
            <c:spPr>
              <a:solidFill>
                <a:srgbClr val="FF0000"/>
              </a:solidFill>
              <a:ln cmpd="sng">
                <a:solidFill>
                  <a:srgbClr val="000000"/>
                </a:solidFill>
              </a:ln>
            </c:spPr>
            <c:extLst xmlns:c16r2="http://schemas.microsoft.com/office/drawing/2015/06/chart">
              <c:ext xmlns:c16="http://schemas.microsoft.com/office/drawing/2014/chart" uri="{C3380CC4-5D6E-409C-BE32-E72D297353CC}">
                <c16:uniqueId val="{00000007-8BB4-45EE-8A5E-3A40C2351832}"/>
              </c:ext>
            </c:extLst>
          </c:dPt>
          <c:dPt>
            <c:idx val="6"/>
            <c:invertIfNegative val="1"/>
            <c:bubble3D val="0"/>
            <c:extLst xmlns:c16r2="http://schemas.microsoft.com/office/drawing/2015/06/chart">
              <c:ext xmlns:c16="http://schemas.microsoft.com/office/drawing/2014/chart" uri="{C3380CC4-5D6E-409C-BE32-E72D297353CC}">
                <c16:uniqueId val="{0000000A-C812-4E46-9459-D07CB4D4937E}"/>
              </c:ext>
            </c:extLst>
          </c:dPt>
          <c:dPt>
            <c:idx val="7"/>
            <c:invertIfNegative val="1"/>
            <c:bubble3D val="0"/>
            <c:extLst xmlns:c16r2="http://schemas.microsoft.com/office/drawing/2015/06/chart">
              <c:ext xmlns:c16="http://schemas.microsoft.com/office/drawing/2014/chart" uri="{C3380CC4-5D6E-409C-BE32-E72D297353CC}">
                <c16:uniqueId val="{00000009-8BB4-45EE-8A5E-3A40C2351832}"/>
              </c:ext>
            </c:extLst>
          </c:dPt>
          <c:dLbls>
            <c:spPr>
              <a:noFill/>
              <a:ln>
                <a:noFill/>
              </a:ln>
              <a:effectLst/>
            </c:spPr>
            <c:txPr>
              <a:bodyPr/>
              <a:lstStyle/>
              <a:p>
                <a:pPr lvl="0">
                  <a:defRPr sz="11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RESILIENTE'!$C$4:$C$11</c:f>
              <c:strCache>
                <c:ptCount val="8"/>
                <c:pt idx="0">
                  <c:v>PILAR RESILIENTE</c:v>
                </c:pt>
                <c:pt idx="1">
                  <c:v>LINEA ESTRATEGICA  “SALVEMOS JUNTOS NUESTRO PATRIMONIO NATURAL” </c:v>
                </c:pt>
                <c:pt idx="2">
                  <c:v>LÍNEA ESTRATÉGICA ESPACIO PÚBLICO, MOVILIDAD Y TRANSPORTE RESILIENTE</c:v>
                </c:pt>
                <c:pt idx="3">
                  <c:v>LÍNEA ESTRATÉGICA DESARROLLO URBANO </c:v>
                </c:pt>
                <c:pt idx="4">
                  <c:v>LÍNEA ESTRATÉGICA GESTIÓN DEL RIESGO.</c:v>
                </c:pt>
                <c:pt idx="5">
                  <c:v>LÍNEA ESTRATÉGICA VIVIENDA  PARA TODOS</c:v>
                </c:pt>
                <c:pt idx="6">
                  <c:v>LÍNEA ESTRATÉGICA SERVICIOS PÚBLICOS BÁSICOS DEL DISTRITO DE CARTAGENA DE INDIAS: “TODOS CON TODO”</c:v>
                </c:pt>
                <c:pt idx="7">
                  <c:v>LÍNEA ESTRATÉGICA INSTRUMENTOS DE ORDENAMIENTO TERRITORIAL.</c:v>
                </c:pt>
              </c:strCache>
            </c:strRef>
          </c:cat>
          <c:val>
            <c:numRef>
              <c:f>'P. RESILIENTE'!$D$4:$D$11</c:f>
              <c:numCache>
                <c:formatCode>0.0%</c:formatCode>
                <c:ptCount val="8"/>
                <c:pt idx="0">
                  <c:v>0.64980743416302122</c:v>
                </c:pt>
                <c:pt idx="1">
                  <c:v>0.72355565936069133</c:v>
                </c:pt>
                <c:pt idx="2">
                  <c:v>0.64373690247544646</c:v>
                </c:pt>
                <c:pt idx="3">
                  <c:v>0.50124935902255641</c:v>
                </c:pt>
                <c:pt idx="4">
                  <c:v>0.72826898572884813</c:v>
                </c:pt>
                <c:pt idx="5">
                  <c:v>0.44369166666666671</c:v>
                </c:pt>
                <c:pt idx="6">
                  <c:v>0.74953835477582842</c:v>
                </c:pt>
                <c:pt idx="7">
                  <c:v>0.75861111111111101</c:v>
                </c:pt>
              </c:numCache>
            </c:numRef>
          </c:val>
          <c:extLst xmlns:c16r2="http://schemas.microsoft.com/office/drawing/2015/06/chart">
            <c:ext xmlns:c16="http://schemas.microsoft.com/office/drawing/2014/chart" uri="{C3380CC4-5D6E-409C-BE32-E72D297353CC}">
              <c16:uniqueId val="{0000000A-8BB4-45EE-8A5E-3A40C2351832}"/>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31659664"/>
        <c:axId val="31805808"/>
      </c:barChart>
      <c:catAx>
        <c:axId val="3165966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700" b="0" i="0">
                <a:solidFill>
                  <a:srgbClr val="000000"/>
                </a:solidFill>
                <a:latin typeface="Calibri"/>
              </a:defRPr>
            </a:pPr>
            <a:endParaRPr lang="es-CO"/>
          </a:p>
        </c:txPr>
        <c:crossAx val="31805808"/>
        <c:crosses val="autoZero"/>
        <c:auto val="1"/>
        <c:lblAlgn val="ctr"/>
        <c:lblOffset val="100"/>
        <c:noMultiLvlLbl val="1"/>
      </c:catAx>
      <c:valAx>
        <c:axId val="3180580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CO"/>
          </a:p>
        </c:txPr>
        <c:crossAx val="31659664"/>
        <c:crosses val="autoZero"/>
        <c:crossBetween val="between"/>
      </c:valAx>
    </c:plotArea>
    <c:plotVisOnly val="1"/>
    <c:dispBlanksAs val="zero"/>
    <c:showDLblsOverMax val="1"/>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200" b="0" i="0">
                <a:solidFill>
                  <a:srgbClr val="757575"/>
                </a:solidFill>
                <a:latin typeface="Calibri"/>
              </a:defRPr>
            </a:pPr>
            <a:r>
              <a:rPr lang="es-CO" sz="1100" b="1" i="0">
                <a:solidFill>
                  <a:srgbClr val="757575"/>
                </a:solidFill>
                <a:latin typeface="Calibri"/>
              </a:rPr>
              <a:t>LINEA ESTRATEGICA TRATO HUMANITARIO AL HABITANTE DE CALLE.
AVANCE A </a:t>
            </a:r>
            <a:r>
              <a:rPr lang="es-CO" sz="1100" b="1" i="0" u="none" strike="noStrike" baseline="0">
                <a:effectLst/>
              </a:rPr>
              <a:t>DICIEMBRE </a:t>
            </a:r>
            <a:r>
              <a:rPr lang="es-CO" sz="1100" b="1" i="0">
                <a:solidFill>
                  <a:srgbClr val="757575"/>
                </a:solidFill>
                <a:latin typeface="Calibri"/>
              </a:rPr>
              <a:t>2022 </a:t>
            </a:r>
          </a:p>
        </c:rich>
      </c:tx>
      <c:overlay val="0"/>
    </c:title>
    <c:autoTitleDeleted val="0"/>
    <c:plotArea>
      <c:layout/>
      <c:barChart>
        <c:barDir val="col"/>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4-E165-438A-BA82-DBAFDF249B65}"/>
              </c:ext>
            </c:extLst>
          </c:dPt>
          <c:dPt>
            <c:idx val="1"/>
            <c:invertIfNegative val="1"/>
            <c:bubble3D val="0"/>
            <c:extLst xmlns:c16r2="http://schemas.microsoft.com/office/drawing/2015/06/chart">
              <c:ext xmlns:c16="http://schemas.microsoft.com/office/drawing/2014/chart" uri="{C3380CC4-5D6E-409C-BE32-E72D297353CC}">
                <c16:uniqueId val="{00000000-1057-48A5-B203-F3B346AF1B01}"/>
              </c:ext>
            </c:extLst>
          </c:dPt>
          <c:dPt>
            <c:idx val="2"/>
            <c:invertIfNegative val="1"/>
            <c:bubble3D val="0"/>
            <c:spPr>
              <a:solidFill>
                <a:srgbClr val="FF0000"/>
              </a:solidFill>
              <a:ln cmpd="sng">
                <a:solidFill>
                  <a:srgbClr val="000000"/>
                </a:solidFill>
              </a:ln>
            </c:spPr>
            <c:extLst xmlns:c16r2="http://schemas.microsoft.com/office/drawing/2015/06/chart">
              <c:ext xmlns:c16="http://schemas.microsoft.com/office/drawing/2014/chart" uri="{C3380CC4-5D6E-409C-BE32-E72D297353CC}">
                <c16:uniqueId val="{00000005-1057-48A5-B203-F3B346AF1B01}"/>
              </c:ext>
            </c:extLst>
          </c:dPt>
          <c:dLbls>
            <c:spPr>
              <a:noFill/>
              <a:ln>
                <a:noFill/>
              </a:ln>
              <a:effectLst/>
            </c:spPr>
            <c:txPr>
              <a:bodyPr/>
              <a:lstStyle/>
              <a:p>
                <a:pPr lvl="0">
                  <a:defRPr sz="9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TRANSVERSAL'!$C$82:$C$84</c:f>
              <c:strCache>
                <c:ptCount val="3"/>
                <c:pt idx="0">
                  <c:v>LINEA ESTRATEGICA TRATO HUMANITARIO AL HABITANTE DE CALLE</c:v>
                </c:pt>
                <c:pt idx="1">
                  <c:v>Programa: Habitante De Calle Con Desarrollo Humano Integral </c:v>
                </c:pt>
                <c:pt idx="2">
                  <c:v>Programa Formación Para El Trabajo - Generación De Ingresos y Responsabilidad Social Empresarial.</c:v>
                </c:pt>
              </c:strCache>
            </c:strRef>
          </c:cat>
          <c:val>
            <c:numRef>
              <c:f>'P. TRANSVERSAL'!$D$82:$D$84</c:f>
              <c:numCache>
                <c:formatCode>0.0%</c:formatCode>
                <c:ptCount val="3"/>
                <c:pt idx="0" formatCode="0.00%">
                  <c:v>0.63254901960784315</c:v>
                </c:pt>
                <c:pt idx="1">
                  <c:v>0.83333333333333326</c:v>
                </c:pt>
                <c:pt idx="2">
                  <c:v>0.43176470588235299</c:v>
                </c:pt>
              </c:numCache>
            </c:numRef>
          </c:val>
          <c:extLst xmlns:c16r2="http://schemas.microsoft.com/office/drawing/2015/06/chart">
            <c:ext xmlns:c16="http://schemas.microsoft.com/office/drawing/2014/chart" uri="{C3380CC4-5D6E-409C-BE32-E72D297353CC}">
              <c16:uniqueId val="{00000000-E437-4E35-A9A1-8158082FFCED}"/>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565588608"/>
        <c:axId val="565589152"/>
      </c:barChart>
      <c:catAx>
        <c:axId val="56558860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565589152"/>
        <c:crosses val="autoZero"/>
        <c:auto val="1"/>
        <c:lblAlgn val="ctr"/>
        <c:lblOffset val="100"/>
        <c:noMultiLvlLbl val="1"/>
      </c:catAx>
      <c:valAx>
        <c:axId val="56558915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0%" sourceLinked="1"/>
        <c:majorTickMark val="none"/>
        <c:minorTickMark val="none"/>
        <c:tickLblPos val="nextTo"/>
        <c:spPr>
          <a:ln/>
        </c:spPr>
        <c:txPr>
          <a:bodyPr/>
          <a:lstStyle/>
          <a:p>
            <a:pPr lvl="0">
              <a:defRPr sz="900" b="0" i="0">
                <a:solidFill>
                  <a:srgbClr val="000000"/>
                </a:solidFill>
                <a:latin typeface="Calibri"/>
              </a:defRPr>
            </a:pPr>
            <a:endParaRPr lang="es-CO"/>
          </a:p>
        </c:txPr>
        <c:crossAx val="565588608"/>
        <c:crosses val="autoZero"/>
        <c:crossBetween val="between"/>
      </c:valAx>
    </c:plotArea>
    <c:plotVisOnly val="1"/>
    <c:dispBlanksAs val="zero"/>
    <c:showDLblsOverMax val="1"/>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200" b="0" i="0">
                <a:solidFill>
                  <a:srgbClr val="757575"/>
                </a:solidFill>
                <a:latin typeface="Calibri"/>
              </a:defRPr>
            </a:pPr>
            <a:r>
              <a:rPr lang="es-CO" sz="1100" b="1" i="0">
                <a:solidFill>
                  <a:srgbClr val="757575"/>
                </a:solidFill>
                <a:latin typeface="Calibri"/>
              </a:rPr>
              <a:t>LINEA ESTRATEGICA DIVERSIDAD SEXUAL Y NUEVAS IDENTIDADES DE GÉNERO. AVANCE A </a:t>
            </a:r>
            <a:r>
              <a:rPr lang="es-CO" sz="1100" b="1" i="0" u="none" strike="noStrike" baseline="0">
                <a:effectLst/>
              </a:rPr>
              <a:t>DICIEMBRE</a:t>
            </a:r>
            <a:r>
              <a:rPr lang="es-CO" sz="1100" b="1" i="0">
                <a:solidFill>
                  <a:srgbClr val="757575"/>
                </a:solidFill>
                <a:latin typeface="Calibri"/>
              </a:rPr>
              <a:t> 2022 </a:t>
            </a:r>
          </a:p>
        </c:rich>
      </c:tx>
      <c:overlay val="0"/>
    </c:title>
    <c:autoTitleDeleted val="0"/>
    <c:plotArea>
      <c:layout/>
      <c:barChart>
        <c:barDir val="col"/>
        <c:grouping val="clustered"/>
        <c:varyColors val="1"/>
        <c:ser>
          <c:idx val="0"/>
          <c:order val="0"/>
          <c:tx>
            <c:v>AVANCE A DIC 2020</c:v>
          </c:tx>
          <c:spPr>
            <a:solidFill>
              <a:srgbClr val="FFFF00"/>
            </a:solidFill>
            <a:ln cmpd="sng">
              <a:solidFill>
                <a:srgbClr val="000000"/>
              </a:solidFill>
            </a:ln>
          </c:spPr>
          <c:invertIfNegative val="1"/>
          <c:dLbls>
            <c:spPr>
              <a:noFill/>
              <a:ln>
                <a:noFill/>
              </a:ln>
              <a:effectLst/>
            </c:spPr>
            <c:txPr>
              <a:bodyPr/>
              <a:lstStyle/>
              <a:p>
                <a:pPr lvl="0">
                  <a:defRPr sz="12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TRANSVERSAL'!$C$91:$C$92</c:f>
              <c:strCache>
                <c:ptCount val="2"/>
                <c:pt idx="0">
                  <c:v>LINEA ESTRATEGICA DIVERSIDAD SEXUAL Y NUEVAS IDENTIDADES DE GÉNERO.</c:v>
                </c:pt>
                <c:pt idx="1">
                  <c:v>Programa: Diversidad Sexual e Identidades de Género</c:v>
                </c:pt>
              </c:strCache>
            </c:strRef>
          </c:cat>
          <c:val>
            <c:numRef>
              <c:f>'P. TRANSVERSAL'!$D$91:$D$92</c:f>
              <c:numCache>
                <c:formatCode>0.0%</c:formatCode>
                <c:ptCount val="2"/>
                <c:pt idx="0">
                  <c:v>0.75</c:v>
                </c:pt>
                <c:pt idx="1">
                  <c:v>0.75</c:v>
                </c:pt>
              </c:numCache>
            </c:numRef>
          </c:val>
          <c:extLst xmlns:c16r2="http://schemas.microsoft.com/office/drawing/2015/06/chart">
            <c:ext xmlns:c16="http://schemas.microsoft.com/office/drawing/2014/chart" uri="{C3380CC4-5D6E-409C-BE32-E72D297353CC}">
              <c16:uniqueId val="{00000000-0ECB-4DA8-B40F-D0C624AF19CB}"/>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565590240"/>
        <c:axId val="870260048"/>
      </c:barChart>
      <c:catAx>
        <c:axId val="56559024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870260048"/>
        <c:crosses val="autoZero"/>
        <c:auto val="1"/>
        <c:lblAlgn val="ctr"/>
        <c:lblOffset val="100"/>
        <c:noMultiLvlLbl val="1"/>
      </c:catAx>
      <c:valAx>
        <c:axId val="87026004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CO"/>
          </a:p>
        </c:txPr>
        <c:crossAx val="565590240"/>
        <c:crosses val="autoZero"/>
        <c:crossBetween val="between"/>
      </c:valAx>
    </c:plotArea>
    <c:plotVisOnly val="1"/>
    <c:dispBlanksAs val="zero"/>
    <c:showDLblsOverMax val="1"/>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autoTitleDeleted val="1"/>
    <c:plotArea>
      <c:layout/>
      <c:barChart>
        <c:barDir val="col"/>
        <c:grouping val="clustered"/>
        <c:varyColors val="1"/>
        <c:ser>
          <c:idx val="0"/>
          <c:order val="0"/>
          <c:spPr>
            <a:solidFill>
              <a:srgbClr val="4472C4"/>
            </a:solidFill>
            <a:ln cmpd="sng">
              <a:solidFill>
                <a:srgbClr val="000000"/>
              </a:solidFill>
            </a:ln>
          </c:spPr>
          <c:invertIfNegative val="1"/>
          <c:cat>
            <c:strRef>
              <c:f>'PLAN DE DESARROLLO '!$B$3:$B$207</c:f>
              <c:strCache>
                <c:ptCount val="205"/>
                <c:pt idx="0">
                  <c:v>PILAR/LINEA ESTRATEGICA/PROGRAMA</c:v>
                </c:pt>
                <c:pt idx="1">
                  <c:v>PLAN DE DESARROLLO "SALVEMOS JUNTOS A CARTAGENA 2020 - 2023)</c:v>
                </c:pt>
                <c:pt idx="2">
                  <c:v>PILAR RESILIENTE</c:v>
                </c:pt>
                <c:pt idx="3">
                  <c:v>LINEA ESTRATEGICA  “SALVEMOS JUNTOS NUESTRO PATRIMONIO NATURAL” </c:v>
                </c:pt>
                <c:pt idx="4">
                  <c:v>Programa Recuperar y Restaurar Nuestras Áreas Naturales (Bosques  y  Biodiversidad y servicios Eco sistémicos)</c:v>
                </c:pt>
                <c:pt idx="5">
                  <c:v>Programa Ordenamiento Ambiental y Adaptación al Cambio Climático para la Sostenibilidad Ambiental. (Mitigación y Gestión del Riesgo Ambiental)</c:v>
                </c:pt>
                <c:pt idx="6">
                  <c:v>Programa Aseguramiento, Monitoreo, Control y Vigilancia Ambiental  (Sistema integrado de Monitoreo Ambiental)               </c:v>
                </c:pt>
                <c:pt idx="7">
                  <c:v>Programa Investigación, Educación y Cultura Ambiental (Educación y Cultura Ambiental)</c:v>
                </c:pt>
                <c:pt idx="8">
                  <c:v>Programa Salvemos Juntos Nuestro Recurso Hídrico (Gestión integral del Recurso Hídrico)</c:v>
                </c:pt>
                <c:pt idx="9">
                  <c:v>Programa Negocios verdes, Economía Circular, Producción y consumo sostenible (Negocios verdes Inclusivos)</c:v>
                </c:pt>
                <c:pt idx="10">
                  <c:v>Programa Instituciones ambientales más modernas, eficientes y transparentes. (Fortalecimiento Institucional)</c:v>
                </c:pt>
                <c:pt idx="11">
                  <c:v>Programa Bienestar y Protección animal</c:v>
                </c:pt>
                <c:pt idx="12">
                  <c:v>LÍNEA ESTRATÉGICA ESPACIO PÚBLICO, MOVILIDAD Y TRANSPORTE RESILIENTE</c:v>
                </c:pt>
                <c:pt idx="13">
                  <c:v>Programa Sostenibilidad del Espacio Público</c:v>
                </c:pt>
                <c:pt idx="14">
                  <c:v>Programa Recuperación del Espacio Público </c:v>
                </c:pt>
                <c:pt idx="15">
                  <c:v>Programa Generación del Espacio Público  </c:v>
                </c:pt>
                <c:pt idx="16">
                  <c:v>Programa Movilidad en Cartagena  </c:v>
                </c:pt>
                <c:pt idx="17">
                  <c:v>Programa Transporte para todos</c:v>
                </c:pt>
                <c:pt idx="18">
                  <c:v>Programa Reducción de la Siniestralidad vial </c:v>
                </c:pt>
                <c:pt idx="19">
                  <c:v>Programa Fortalecimiento de la capacidad de respuesta del Departamento Administrativo de Tránsito y Transporte</c:v>
                </c:pt>
                <c:pt idx="20">
                  <c:v>Programa Movilidad Sostenible en el Distrito de Cartagena</c:v>
                </c:pt>
                <c:pt idx="21">
                  <c:v>LÍNEA ESTRATÉGICA DESARROLLO URBANO </c:v>
                </c:pt>
                <c:pt idx="22">
                  <c:v>Programa Cartagena se Mueve</c:v>
                </c:pt>
                <c:pt idx="23">
                  <c:v>Programa Sistema Hídrico y Plan maestro de drenajes pluviales en la ciudad para salvar el hábitat</c:v>
                </c:pt>
                <c:pt idx="24">
                  <c:v>Programa Cartagena Ciudad de Bordes y Orillas Resiliente </c:v>
                </c:pt>
                <c:pt idx="25">
                  <c:v>Programa Cartagena se Conecta</c:v>
                </c:pt>
                <c:pt idx="26">
                  <c:v>Programa Integral de Caños, lagos, lagunas y ciénagas de Cartagena de Indias</c:v>
                </c:pt>
                <c:pt idx="27">
                  <c:v>LÍNEA ESTRATÉGICA GESTIÓN DEL RIESGO.</c:v>
                </c:pt>
                <c:pt idx="28">
                  <c:v>Programa Conocimiento del Riesgo</c:v>
                </c:pt>
                <c:pt idx="29">
                  <c:v>Programa Reducción del Riesgo</c:v>
                </c:pt>
                <c:pt idx="30">
                  <c:v>Programa Manejo de Desastre</c:v>
                </c:pt>
                <c:pt idx="31">
                  <c:v>Programa Fortalecimiento Cuerpo de Bomberos</c:v>
                </c:pt>
                <c:pt idx="32">
                  <c:v>LÍNEA ESTRATÉGICA VIVIENDA  PARA TODOS</c:v>
                </c:pt>
                <c:pt idx="33">
                  <c:v>Programa Juntos por una Vivienda Digna</c:v>
                </c:pt>
                <c:pt idx="34">
                  <c:v>Programa Mejoro Mi Casa, compromiso de todos</c:v>
                </c:pt>
                <c:pt idx="35">
                  <c:v>Programa ¡Mi Casa a lo Legal!</c:v>
                </c:pt>
                <c:pt idx="36">
                  <c:v>Programa Un Lugar apto para mi hogar</c:v>
                </c:pt>
                <c:pt idx="37">
                  <c:v>Programa Mi Casa, Mi Entorno, Mi Hábitat    </c:v>
                </c:pt>
                <c:pt idx="38">
                  <c:v>LÍNEA ESTRATÉGICA SERVICIOS PÚBLICOS BÁSICOS DEL DISTRITO DE CARTAGENA DE INDIAS: “TODOS CON TODO”</c:v>
                </c:pt>
                <c:pt idx="39">
                  <c:v>Programa de Ahorro y Uso Eficiente De Los Servicios Públicos, "Agua y Saneamiento Básico Para Todos”</c:v>
                </c:pt>
                <c:pt idx="40">
                  <c:v>Programa Energía Asequible, Confiable Sostenible y Moderna Para Todos.</c:v>
                </c:pt>
                <c:pt idx="41">
                  <c:v>Programa Gestión Integral De Residuos Sólidos "Cultura ciudadana para el reciclaje inclusivo y la economía circular"</c:v>
                </c:pt>
                <c:pt idx="42">
                  <c:v>Programa Sistema de Información De Los Servicios Públicos, “Servinfo”</c:v>
                </c:pt>
                <c:pt idx="43">
                  <c:v>Programa Cementerios</c:v>
                </c:pt>
                <c:pt idx="44">
                  <c:v>LÍNEA ESTRATÉGICA INSTRUMENTOS DE ORDENAMIENTO TERRITORIAL.</c:v>
                </c:pt>
                <c:pt idx="45">
                  <c:v>Programa Plan de Ordenamiento Territorial y Especial de Manejo de Patrimonio.</c:v>
                </c:pt>
                <c:pt idx="46">
                  <c:v>Programa Administrando Juntos El Control Urbano</c:v>
                </c:pt>
                <c:pt idx="47">
                  <c:v>Programa Ordenación territorial y  Recuperación social, ambiental y Urbana de la Ciénaga de la Virgen.</c:v>
                </c:pt>
                <c:pt idx="48">
                  <c:v>PILAR CARTAGENA INCLUYENTE</c:v>
                </c:pt>
                <c:pt idx="49">
                  <c:v>LÍNEA ESTRATÉGICA: SUPERACIÓN DE LA POBREZA Y DESIGUALDAD.</c:v>
                </c:pt>
                <c:pt idx="50">
                  <c:v>Programa: Identificación para la superación de la pobreza extrema y desigualdad </c:v>
                </c:pt>
                <c:pt idx="51">
                  <c:v>Programa: Salud para la superación de la pobreza extrema y desigualdad </c:v>
                </c:pt>
                <c:pt idx="52">
                  <c:v>Programa: Educación para la superación de la pobreza extrema y la desigualdad</c:v>
                </c:pt>
                <c:pt idx="53">
                  <c:v>Programa: Habitabilidad para la superación de la pobreza extrema y la desigualdad</c:v>
                </c:pt>
                <c:pt idx="54">
                  <c:v>Programa Ingresos y trabajo para la superación de la pobreza extrema y desigualdad </c:v>
                </c:pt>
                <c:pt idx="55">
                  <c:v>Programa: Bancarización para la superación de la pobreza extrema y desigualdad </c:v>
                </c:pt>
                <c:pt idx="56">
                  <c:v>Programa: Dinámica Familiar para la Superación de la Pobreza Extrema</c:v>
                </c:pt>
                <c:pt idx="57">
                  <c:v>Programa Seguridad alimentaria y nutrición para la superación de la pobreza extrema</c:v>
                </c:pt>
                <c:pt idx="58">
                  <c:v>Programa: Acceso a la justicia para la superación de la pobreza extrema y desigualdad</c:v>
                </c:pt>
                <c:pt idx="59">
                  <c:v>Programa: Fortalecimiento institucional para superación de la pobreza extrema y desigualdad</c:v>
                </c:pt>
                <c:pt idx="60">
                  <c:v>LÍNEA EDUCACIÓN: CULTURA DE LA FORMACIÓN “Con la Educación para Todos y Todas Salvamos Juntos a Cartagena”</c:v>
                </c:pt>
                <c:pt idx="61">
                  <c:v>Programa: Acogida “atención a poblaciones y estrategias de acceso y permanencia”</c:v>
                </c:pt>
                <c:pt idx="62">
                  <c:v>Programa: Sabiduría de la primera infancia “grandes banderas, gesto e ideas para cambiar el planeta”</c:v>
                </c:pt>
                <c:pt idx="63">
                  <c:v>Programa: Formando con amor “Genio Singular”</c:v>
                </c:pt>
                <c:pt idx="64">
                  <c:v>Programa Desarrollo de potencialidades</c:v>
                </c:pt>
                <c:pt idx="65">
                  <c:v>Programa Participación, democracia y autonomía</c:v>
                </c:pt>
                <c:pt idx="66">
                  <c:v>Programa de Educación mediada a través de tecnologías de la información y las comunicaciones-Tic´s</c:v>
                </c:pt>
                <c:pt idx="67">
                  <c:v>Programa: Educación para transformar “educación media técnica y superior”</c:v>
                </c:pt>
                <c:pt idx="68">
                  <c:v>Programa: Movilización educativa “Por una gestión educativa transparente, participativa y eficiente”</c:v>
                </c:pt>
                <c:pt idx="69">
                  <c:v>Programa: Por una Educación Post secundaria Distrital</c:v>
                </c:pt>
                <c:pt idx="70">
                  <c:v>Programa Fortalecimiento de la oferta de educación superior oficial del Distrito de Cartagena D. T. y C.</c:v>
                </c:pt>
                <c:pt idx="71">
                  <c:v>LÍNEA ESTRATÉGICA SALUD PARA TODOS.</c:v>
                </c:pt>
                <c:pt idx="72">
                  <c:v>Programa: Fortalecimiento de la autoridad sanitaria</c:v>
                </c:pt>
                <c:pt idx="73">
                  <c:v>Programa: Transversal gestión diferencial de poblaciones vulnerables</c:v>
                </c:pt>
                <c:pt idx="74">
                  <c:v>Programa Salud ambiental</c:v>
                </c:pt>
                <c:pt idx="75">
                  <c:v>Programa: Vida saludable y condiciones no transmisibles</c:v>
                </c:pt>
                <c:pt idx="76">
                  <c:v>Programa: Convivencia social y salud mental</c:v>
                </c:pt>
                <c:pt idx="77">
                  <c:v>Programa Nutrición e inocuidad de alimentos</c:v>
                </c:pt>
                <c:pt idx="78">
                  <c:v>Programa Sexualidad, derechos sexuales y reproductivos</c:v>
                </c:pt>
                <c:pt idx="79">
                  <c:v>Programa: Vida saludable y enfermedades transmisibles</c:v>
                </c:pt>
                <c:pt idx="80">
                  <c:v>Programa: Salud pública en emergencias y desastres</c:v>
                </c:pt>
                <c:pt idx="81">
                  <c:v>Programa: Salud y ámbito laboral</c:v>
                </c:pt>
                <c:pt idx="82">
                  <c:v>LÍNEA ESTRATÉGICA: DEPORTE Y RECREACIÓN PARA  LA TRANSFORMACIÓN SOCIAL </c:v>
                </c:pt>
                <c:pt idx="83">
                  <c:v>Programa “La escuela y el deporte son de todos” </c:v>
                </c:pt>
                <c:pt idx="84">
                  <c:v>Programa: Deporte asociado “incentivos con-sentido”</c:v>
                </c:pt>
                <c:pt idx="85">
                  <c:v>Programa: Deporte social comunitario con inclusión “Cartagena Incluyente”</c:v>
                </c:pt>
                <c:pt idx="86">
                  <c:v>Programa: Hábitos y estilos de vida saludable “actívate por tu salud”.</c:v>
                </c:pt>
                <c:pt idx="87">
                  <c:v>Programa: Recreación comunitaria “Recréate Cartagena” </c:v>
                </c:pt>
                <c:pt idx="88">
                  <c:v>Programa: Observatorio de ciencias aplicadas al deporte, la recreación, la actividad física y el aprovechamiento del tiempo libre en el distrito de Cartagena de indias.</c:v>
                </c:pt>
                <c:pt idx="89">
                  <c:v>Programa Administración, Mantenimiento, Adecuación, Mejoramiento y Construcción de Escenarios Deportivos  </c:v>
                </c:pt>
                <c:pt idx="90">
                  <c:v>LÍNEA ESTRATÉGICA ARTES, CULTURA Y PATRIMONIO PARA UNA CARTAGENA INCLUYENTE</c:v>
                </c:pt>
                <c:pt idx="91">
                  <c:v> Programa: Mediación  y bibliotecas para la Inclusión </c:v>
                </c:pt>
                <c:pt idx="92">
                  <c:v>Programa: Estímulos para las artes y el Emprendimiento incluyente</c:v>
                </c:pt>
                <c:pt idx="93">
                  <c:v>Programa: Patrimonio Inmaterial: Prácticas significativas para la memoria</c:v>
                </c:pt>
                <c:pt idx="94">
                  <c:v> Programa: Valoración, Cuidado y Apropiación Social del Patrimonio Material</c:v>
                </c:pt>
                <c:pt idx="95">
                  <c:v>Programa: Derechos culturales y buen gobierno para el fortalecimiento institucional y ciudadano</c:v>
                </c:pt>
                <c:pt idx="96">
                  <c:v>Programa: Infraestructura Cultural para la Inclusión</c:v>
                </c:pt>
                <c:pt idx="97">
                  <c:v>LÍNEA ESTRATÉGICA: PLANEACIÓN SOCIAL DEL TERRITORIO </c:v>
                </c:pt>
                <c:pt idx="98">
                  <c:v>Programa: Instrumentos de planificación social del territorio </c:v>
                </c:pt>
                <c:pt idx="99">
                  <c:v>Programa: Catastro multipropósito</c:v>
                </c:pt>
                <c:pt idx="100">
                  <c:v>PILAR CARTAGENA CONTINGENTE </c:v>
                </c:pt>
                <c:pt idx="101">
                  <c:v> LÍNEA ESTRATÉGICA: DESARROLLO ECONÓMICO Y EMPLEABILIDAD</c:v>
                </c:pt>
                <c:pt idx="102">
                  <c:v>Programa: Centros para el emprendimiento y la gestión de la empleabilidad en Cartagena de Indias </c:v>
                </c:pt>
                <c:pt idx="103">
                  <c:v>Programa: Mujeres con Autonomía Económica</c:v>
                </c:pt>
                <c:pt idx="104">
                  <c:v>Programa: "Empleo Inclusivo Para Los Jóvenes”</c:v>
                </c:pt>
                <c:pt idx="105">
                  <c:v>Programa: Encadenamientos productivos</c:v>
                </c:pt>
                <c:pt idx="106">
                  <c:v>Programa: Cartagena facilita el emprendimiento</c:v>
                </c:pt>
                <c:pt idx="107">
                  <c:v>Programa: Zonas de aglomeración productiva</c:v>
                </c:pt>
                <c:pt idx="108">
                  <c:v>Programa: Cierre de brechas de empleabilidad</c:v>
                </c:pt>
                <c:pt idx="109">
                  <c:v>Programa: Cierre de brechas de capital humano</c:v>
                </c:pt>
                <c:pt idx="110">
                  <c:v>Programa: Desarrollo del ecosistema digital basado en la cuarta revolución industrial</c:v>
                </c:pt>
                <c:pt idx="111">
                  <c:v>Programa: Cartagena emprendedora para pequeños productores rurales</c:v>
                </c:pt>
                <c:pt idx="112">
                  <c:v>Programa: Sistemas de Mercados públicos</c:v>
                </c:pt>
                <c:pt idx="113">
                  <c:v>Programa: Más Cooperación Internacional</c:v>
                </c:pt>
                <c:pt idx="114">
                  <c:v>LÍNEA ESTRATÉGICA: COMPETITIVIDAD E INNOVACIÓN</c:v>
                </c:pt>
                <c:pt idx="115">
                  <c:v>Programa: Cartagena ciudad Innovadora</c:v>
                </c:pt>
                <c:pt idx="116">
                  <c:v>Programa: Cartagena destino de inversión</c:v>
                </c:pt>
                <c:pt idx="117">
                  <c:v>Programa: Cartagena fomenta la ciencia, tecnología e innovación agropecuaria: juntos por la extensión agropecuaria a pequeños productores.</c:v>
                </c:pt>
                <c:pt idx="118">
                  <c:v>LÍNEA ESTRATÉGICA: TURISMO, MOTOR DE REACTIVACIÓN ECONÓMICA PARA CARTAGENA DE INDIAS</c:v>
                </c:pt>
                <c:pt idx="119">
                  <c:v>Programa: Promoción Nacional e Internacional de Cartagena de Indias</c:v>
                </c:pt>
                <c:pt idx="120">
                  <c:v>Programa: Conectividad</c:v>
                </c:pt>
                <c:pt idx="121">
                  <c:v>Programa: Turismo Competitivo y Sostenible</c:v>
                </c:pt>
                <c:pt idx="122">
                  <c:v>LÍNEA ESTRATÉGICA: PLANEACIÓN E INTEGRACIÓN CONTINGENTE DEL TERRITORIO</c:v>
                </c:pt>
                <c:pt idx="123">
                  <c:v>Programa Integración y proyectos entre ciudades</c:v>
                </c:pt>
                <c:pt idx="124">
                  <c:v>Programa: Normas de promoción del desarrollo urbano y económico</c:v>
                </c:pt>
                <c:pt idx="125">
                  <c:v>PILAR CARTAGENA TRANSPARENTE</c:v>
                </c:pt>
                <c:pt idx="126">
                  <c:v>LÍNEA ESTRATÉGICA GESTIÓN Y DESEMPEÑO INSTITUCIONAL PARA LA GOBERNANZA</c:v>
                </c:pt>
                <c:pt idx="127">
                  <c:v>Programa: Gestión pública integrada y transparente</c:v>
                </c:pt>
                <c:pt idx="128">
                  <c:v>Programa: Transparencia para el fortalecimiento de la   confianza en las instituciones del distrito de Cartagena.</c:v>
                </c:pt>
                <c:pt idx="129">
                  <c:v>LÍNEA ESTRATÉGICA: CARTAGENA INTELIGENTE CON TODOS Y PARA  TODOS</c:v>
                </c:pt>
                <c:pt idx="130">
                  <c:v>Programa: Cartagena inteligente con todos y para todos</c:v>
                </c:pt>
                <c:pt idx="131">
                  <c:v>Programa: Cartageneros conectados y alfabetizados</c:v>
                </c:pt>
                <c:pt idx="132">
                  <c:v>Programa: Cartagena hacia la modernidad</c:v>
                </c:pt>
                <c:pt idx="133">
                  <c:v>Programa: Organización y recuperación del patrimonio público del distrito de Cartagena </c:v>
                </c:pt>
                <c:pt idx="134">
                  <c:v>Programa: Premio Jorge Piedrahita Aduen</c:v>
                </c:pt>
                <c:pt idx="135">
                  <c:v>LÍNEA ESTRATÉGICA: CONVIVENCIA Y SEGURIDAD PARA LA GOBERNABILIDAD</c:v>
                </c:pt>
                <c:pt idx="136">
                  <c:v>Programa:   Plan integral de seguridad y convivencia ciudadana</c:v>
                </c:pt>
                <c:pt idx="137">
                  <c:v>Programa:    Fortalecimiento de la convivencia y la seguridad ciudadana</c:v>
                </c:pt>
                <c:pt idx="138">
                  <c:v>Programa:   Mejorar la convivencia ciudadana con la implementación del código nacional de policía y convivencia</c:v>
                </c:pt>
                <c:pt idx="139">
                  <c:v>Programa:    Fortalecimiento capacidad operativa de la secretaria del interior y convivencia ciudadana</c:v>
                </c:pt>
                <c:pt idx="140">
                  <c:v>Programa:   Promoción al acceso a la justicia</c:v>
                </c:pt>
                <c:pt idx="141">
                  <c:v>Programa:    Asistencia y atención integral a los niños, niñas,  adolescentes y jóvenes en riesgo de vincularse a actividades delictivas</c:v>
                </c:pt>
                <c:pt idx="142">
                  <c:v>Programa:    Fortalecimiento sistema de responsabilidad penal para adolescentes –SRPA</c:v>
                </c:pt>
                <c:pt idx="143">
                  <c:v>Programa: Implementación y sostenimiento de herramientas tecnológicas para seguridad y socorro</c:v>
                </c:pt>
                <c:pt idx="144">
                  <c:v>Programa: Optimización de la infraestructura y movilidad de los organismos de seguridad y socorro</c:v>
                </c:pt>
                <c:pt idx="145">
                  <c:v>Programa: Vigilancia de las playas del distrito de Cartagena</c:v>
                </c:pt>
                <c:pt idx="146">
                  <c:v>Programa Convivencia para la Seguridad</c:v>
                </c:pt>
                <c:pt idx="147">
                  <c:v>LÍNEA ESTRATÉGICA DERECHOS HUMANOS PARA LA PAZ</c:v>
                </c:pt>
                <c:pt idx="148">
                  <c:v>Programa: Prevención, promoción y protección de los derechos humanos en el distrito de Cartagena</c:v>
                </c:pt>
                <c:pt idx="149">
                  <c:v>Programa:   Sistema penitenciario y carcelario en el marco de los derechos humanos</c:v>
                </c:pt>
                <c:pt idx="150">
                  <c:v>LÍNEA ESTRATÉGICA: ATENCIÓN Y REPARACIÓN A VICTIMAS PARA LA CONSTRUCCIÓN DE LA  PAZ TERRITORIAL</c:v>
                </c:pt>
                <c:pt idx="151">
                  <c:v>Programa: Atención, asistencia y reparación integral a las víctimas</c:v>
                </c:pt>
                <c:pt idx="152">
                  <c:v>Programa: Construcción de paz territorial</c:v>
                </c:pt>
                <c:pt idx="153">
                  <c:v>LÍNEA ESTRATÉGICA: CULTURA CIUDADANA PARA LA DEMOCRACIA Y LA PAZ</c:v>
                </c:pt>
                <c:pt idx="154">
                  <c:v>Programa: Servidor y servidora pública al servicio de la ciudadanía</c:v>
                </c:pt>
                <c:pt idx="155">
                  <c:v>Programa: Ciudadanía libre, incluyente y transformadora</c:v>
                </c:pt>
                <c:pt idx="156">
                  <c:v>Programa: Cartagena te quiere, quiere a Cartagena: plan decenal de cultura ciudadana y Cartageneidad.</c:v>
                </c:pt>
                <c:pt idx="157">
                  <c:v>Programa: Yo soy Cartagena</c:v>
                </c:pt>
                <c:pt idx="158">
                  <c:v>Programa: Nuestra Cartagena soñada.</c:v>
                </c:pt>
                <c:pt idx="159">
                  <c:v>Programa Conéctate Con Cartagena</c:v>
                </c:pt>
                <c:pt idx="160">
                  <c:v>LÍNEA ESTRATÉGICA: PARTICIPACIÓN Y DESCENTRALIZACIÓN </c:v>
                </c:pt>
                <c:pt idx="161">
                  <c:v>Programa: Participando salvamos a Cartagena</c:v>
                </c:pt>
                <c:pt idx="162">
                  <c:v>Programa: Modernización del Sistema Distrital de Planeación y Descentralización  </c:v>
                </c:pt>
                <c:pt idx="163">
                  <c:v>Programa: Políticas Públicas intersectoriales y con visión Integral de enfoques basados en derechos humanos </c:v>
                </c:pt>
                <c:pt idx="164">
                  <c:v>Programa:   Presupuesto participativo</c:v>
                </c:pt>
                <c:pt idx="165">
                  <c:v>LÍNEA ESTRATÉGICA: FINANZAS PÚBLICAS PARA SALVAR A CARTAGENA</c:v>
                </c:pt>
                <c:pt idx="166">
                  <c:v>Programa: Finanzas sostenibles para salvar a Cartagena</c:v>
                </c:pt>
                <c:pt idx="167">
                  <c:v>Programa: Saneamiento fiscal y financiero</c:v>
                </c:pt>
                <c:pt idx="168">
                  <c:v>EJE TRANSVERSAL: CARTAGENA CON ATENCION Y GARANTIA DE DERECHOS A POBLACION DIFERENCIAL.</c:v>
                </c:pt>
                <c:pt idx="169">
                  <c:v>LINEA ESTRATEGICA PARA LA EQUIDAD E INCLUSIÓN DE LOS NEGROS, AFROS, PALENQUEROS E INDIGENA.</c:v>
                </c:pt>
                <c:pt idx="170">
                  <c:v>Fortalecimiento de Población Negra, Afrocolombiana, Raizal y Palenquera en el Distrito de Cartagena </c:v>
                </c:pt>
                <c:pt idx="171">
                  <c:v>Fortalecimiento e Inclusión Productiva para Población Negra, Afrocolombiana, Raizal y Palenquera en el Distrito de Cartagena.</c:v>
                </c:pt>
                <c:pt idx="172">
                  <c:v>Programa: Inclusión Educativa para el Desarrollo para Población Negra, Afrocolombiana, Raizal y Palenquera en el Distrito de Cartagena.</c:v>
                </c:pt>
                <c:pt idx="173">
                  <c:v>Programa: Promoción, Prevención y Atención En Salud para población Negra, Afrocolombiana, Raizal y Palenquera en el Distrito De Cartagena.</c:v>
                </c:pt>
                <c:pt idx="174">
                  <c:v>Programa: Sostenibilidad Ambiental y Fomento Tradicional</c:v>
                </c:pt>
                <c:pt idx="175">
                  <c:v>Programa: Sostenibilidad Cultural como Garantía de Permanencia.</c:v>
                </c:pt>
                <c:pt idx="176">
                  <c:v>Programa: Fortalecimiento de la Población Indígena en el Distrito de Cartagena.</c:v>
                </c:pt>
                <c:pt idx="177">
                  <c:v>Programa: Educación con Enfoque Diferencial Indígena SISTEMA EDUCATIVO INDIGENA PROPIO - SEIP</c:v>
                </c:pt>
                <c:pt idx="178">
                  <c:v>Programa: Intercultural de Salud Propia Preventiva Indígena- SISPI</c:v>
                </c:pt>
                <c:pt idx="179">
                  <c:v>Programa: Integridad Cultural, Gobierno Propio, Vivienda y Hábitat para las Comunidades Indígenas en el Distrito Cartagena</c:v>
                </c:pt>
                <c:pt idx="180">
                  <c:v>Programa: Empoderamiento del Liderazgo de las Mujeres, Niñez, Jóvenes, Familia y Generación Indígena</c:v>
                </c:pt>
                <c:pt idx="181">
                  <c:v>LINEA ESTRATEGICA MUJERES CARTAGENERAS POR SUS DERECHOS.</c:v>
                </c:pt>
                <c:pt idx="182">
                  <c:v>Programa: Las Mujeres Decidimos Sobre el Ejercicio del Poder</c:v>
                </c:pt>
                <c:pt idx="183">
                  <c:v>Programa: Una Vida Libre de Violencias para las Mujeres</c:v>
                </c:pt>
                <c:pt idx="184">
                  <c:v>Programa: Mujer, Constructoras De Paz</c:v>
                </c:pt>
                <c:pt idx="185">
                  <c:v>Programa: Cartagena Libre de una Cultura Machista</c:v>
                </c:pt>
                <c:pt idx="186">
                  <c:v>LINEA ESTRATEGICA: INCLUSION Y OPORTUNIDAD PARA NIÑOS, NIÑAS Y ADOLESCENTES Y FAMILIAS.</c:v>
                </c:pt>
                <c:pt idx="187">
                  <c:v>Programa: Comprometidos con la Salvación de Nuestra Primera Infancia</c:v>
                </c:pt>
                <c:pt idx="188">
                  <c:v>Programa Protección de la Infancia y la Adolescencia para la Prevención y atención de Violencias.</c:v>
                </c:pt>
                <c:pt idx="189">
                  <c:v>Programa los Niños, las Niñas y Adolescentes de Cartagena Participan y Disfrutan sus Derechos.</c:v>
                </c:pt>
                <c:pt idx="190">
                  <c:v>Programa Fortalecimiento Familiar.</c:v>
                </c:pt>
                <c:pt idx="191">
                  <c:v>LINEA ESTRATEGICA JOVENES SALVANDO A CARTAGENA</c:v>
                </c:pt>
                <c:pt idx="192">
                  <c:v>Programa: Jóvenes Participando y Salvando a Cartagena</c:v>
                </c:pt>
                <c:pt idx="193">
                  <c:v>Programa: Política Pública De Juventud</c:v>
                </c:pt>
                <c:pt idx="194">
                  <c:v>LINEA ESTRATEGICA EN CARTAGENA SALVAMOS NUESTROS ADULTOS MAYORES.</c:v>
                </c:pt>
                <c:pt idx="195">
                  <c:v>Programa: Atención Integral Para Mantener a Salvo a los Adultos Mayores</c:v>
                </c:pt>
                <c:pt idx="196">
                  <c:v>LÍNEA ESTRATÉGICA: TODOS POR LA PROTECCIÓN SOCIAL DE LAS PERSONAS CON DISCAPACIDAD: “RECONOCIDAS, EMPODERADAS Y RESPETADAS”.</c:v>
                </c:pt>
                <c:pt idx="197">
                  <c:v>Programa: Gestión Social Integral y Articuladora por la Protección de las Personas Con Discapacidad y/o su Familia o Cuidador.</c:v>
                </c:pt>
                <c:pt idx="198">
                  <c:v>Programa: Pacto o Alianza Por La Inclusión Social y Productiva de las Personas Con Discapacidad.</c:v>
                </c:pt>
                <c:pt idx="199">
                  <c:v>Programa: Desarrollo Local Inclusivo de las Personas Con Discapacidad: Reconocimiento de Capacidades, Diferencias y Diversidad.</c:v>
                </c:pt>
                <c:pt idx="200">
                  <c:v>LINEA ESTRATEGICA TRATO HUMANITARIO AL HABITANTE DE CALLE</c:v>
                </c:pt>
                <c:pt idx="201">
                  <c:v>Programa: Habitante De Calle Con Desarrollo Humano Integral </c:v>
                </c:pt>
                <c:pt idx="202">
                  <c:v>Programa Formación Para El Trabajo - Generación De Ingresos y Responsabilidad Social Empresarial.</c:v>
                </c:pt>
                <c:pt idx="203">
                  <c:v>LINEA ESTRATEGICA DIVERSIDAD SEXUAL Y NUEVAS IDENTIDADES DE GÉNERO.</c:v>
                </c:pt>
                <c:pt idx="204">
                  <c:v>Programa: Diversidad Sexual e Identidades de Género</c:v>
                </c:pt>
              </c:strCache>
            </c:strRef>
          </c:cat>
          <c:val>
            <c:numRef>
              <c:f>'PLAN DE DESARROLLO '!$C$3:$C$207</c:f>
              <c:numCache>
                <c:formatCode>0.00%</c:formatCode>
                <c:ptCount val="205"/>
                <c:pt idx="0" formatCode="General">
                  <c:v>0</c:v>
                </c:pt>
                <c:pt idx="1">
                  <c:v>0.62246592182232174</c:v>
                </c:pt>
                <c:pt idx="2" formatCode="0.0%">
                  <c:v>0.63736873414683914</c:v>
                </c:pt>
                <c:pt idx="3">
                  <c:v>0.79085272458517386</c:v>
                </c:pt>
                <c:pt idx="4" formatCode="0%">
                  <c:v>0.84999639985599418</c:v>
                </c:pt>
                <c:pt idx="5" formatCode="0%">
                  <c:v>1</c:v>
                </c:pt>
                <c:pt idx="6" formatCode="0%">
                  <c:v>0.83333333333333337</c:v>
                </c:pt>
                <c:pt idx="7" formatCode="0%">
                  <c:v>0.98000000000000009</c:v>
                </c:pt>
                <c:pt idx="8" formatCode="0%">
                  <c:v>0.3</c:v>
                </c:pt>
                <c:pt idx="9" formatCode="0%">
                  <c:v>0.73015873015873012</c:v>
                </c:pt>
                <c:pt idx="10" formatCode="0%">
                  <c:v>0.8</c:v>
                </c:pt>
                <c:pt idx="11" formatCode="0%">
                  <c:v>0.83333333333333337</c:v>
                </c:pt>
                <c:pt idx="12" formatCode="0.0%">
                  <c:v>0.609125850340136</c:v>
                </c:pt>
                <c:pt idx="13" formatCode="0%">
                  <c:v>0.36000000000000004</c:v>
                </c:pt>
                <c:pt idx="14" formatCode="0%">
                  <c:v>1.0923333333333334</c:v>
                </c:pt>
                <c:pt idx="15" formatCode="0%">
                  <c:v>0.3125</c:v>
                </c:pt>
                <c:pt idx="16" formatCode="0%">
                  <c:v>0</c:v>
                </c:pt>
                <c:pt idx="17" formatCode="0%">
                  <c:v>0.78</c:v>
                </c:pt>
                <c:pt idx="18" formatCode="0%">
                  <c:v>0.2857142857142857</c:v>
                </c:pt>
                <c:pt idx="19" formatCode="0%">
                  <c:v>0.76666666666666661</c:v>
                </c:pt>
                <c:pt idx="20" formatCode="0%">
                  <c:v>0.66666666666666663</c:v>
                </c:pt>
                <c:pt idx="21" formatCode="0%">
                  <c:v>9.0416666666666673E-2</c:v>
                </c:pt>
                <c:pt idx="22" formatCode="0%">
                  <c:v>4.8750000000000002E-2</c:v>
                </c:pt>
                <c:pt idx="23" formatCode="0%">
                  <c:v>0.33333333333333331</c:v>
                </c:pt>
                <c:pt idx="24" formatCode="0%">
                  <c:v>0</c:v>
                </c:pt>
                <c:pt idx="25" formatCode="0%">
                  <c:v>0</c:v>
                </c:pt>
                <c:pt idx="26" formatCode="0%">
                  <c:v>7.0000000000000007E-2</c:v>
                </c:pt>
                <c:pt idx="27" formatCode="0%">
                  <c:v>0.67799999999999994</c:v>
                </c:pt>
                <c:pt idx="28" formatCode="0%">
                  <c:v>0.05</c:v>
                </c:pt>
                <c:pt idx="29" formatCode="0%">
                  <c:v>1</c:v>
                </c:pt>
                <c:pt idx="30" formatCode="0%">
                  <c:v>0.98399999999999999</c:v>
                </c:pt>
                <c:pt idx="31" formatCode="0%">
                  <c:v>0</c:v>
                </c:pt>
                <c:pt idx="32" formatCode="0%">
                  <c:v>0.52676923076923077</c:v>
                </c:pt>
                <c:pt idx="33" formatCode="0%">
                  <c:v>1</c:v>
                </c:pt>
                <c:pt idx="34" formatCode="0%">
                  <c:v>0.5</c:v>
                </c:pt>
                <c:pt idx="35" formatCode="0%">
                  <c:v>0.63384615384615384</c:v>
                </c:pt>
                <c:pt idx="36" formatCode="0%">
                  <c:v>0</c:v>
                </c:pt>
                <c:pt idx="37" formatCode="0%">
                  <c:v>0.5</c:v>
                </c:pt>
                <c:pt idx="38" formatCode="0%">
                  <c:v>0.94374999999999998</c:v>
                </c:pt>
                <c:pt idx="39" formatCode="0%">
                  <c:v>0.77500000000000002</c:v>
                </c:pt>
                <c:pt idx="40" formatCode="0%">
                  <c:v>1</c:v>
                </c:pt>
                <c:pt idx="41" formatCode="0%">
                  <c:v>1</c:v>
                </c:pt>
                <c:pt idx="42" formatCode="0%">
                  <c:v>0</c:v>
                </c:pt>
                <c:pt idx="43" formatCode="0%">
                  <c:v>1</c:v>
                </c:pt>
                <c:pt idx="44" formatCode="0%">
                  <c:v>0.82266666666666666</c:v>
                </c:pt>
                <c:pt idx="45" formatCode="0%">
                  <c:v>0.96799999999999997</c:v>
                </c:pt>
                <c:pt idx="46" formatCode="0%">
                  <c:v>1</c:v>
                </c:pt>
                <c:pt idx="47" formatCode="0%">
                  <c:v>0.5</c:v>
                </c:pt>
                <c:pt idx="48" formatCode="0%">
                  <c:v>0.64973008425662859</c:v>
                </c:pt>
                <c:pt idx="49" formatCode="0%">
                  <c:v>0.70277222222222235</c:v>
                </c:pt>
                <c:pt idx="50" formatCode="0.0%">
                  <c:v>1</c:v>
                </c:pt>
                <c:pt idx="51" formatCode="0.0%">
                  <c:v>1</c:v>
                </c:pt>
                <c:pt idx="52" formatCode="0.0%">
                  <c:v>0.90500000000000003</c:v>
                </c:pt>
                <c:pt idx="53" formatCode="0.0%">
                  <c:v>0</c:v>
                </c:pt>
                <c:pt idx="54" formatCode="0.0%">
                  <c:v>0.2</c:v>
                </c:pt>
                <c:pt idx="55" formatCode="0.0%">
                  <c:v>0.54233333333333333</c:v>
                </c:pt>
                <c:pt idx="56" formatCode="0.0%">
                  <c:v>0.97388888888888892</c:v>
                </c:pt>
                <c:pt idx="57" formatCode="0.0%">
                  <c:v>0.5</c:v>
                </c:pt>
                <c:pt idx="58" formatCode="0.0%">
                  <c:v>0.90649999999999997</c:v>
                </c:pt>
                <c:pt idx="59" formatCode="0.0%">
                  <c:v>1</c:v>
                </c:pt>
                <c:pt idx="60" formatCode="0%">
                  <c:v>0.585361342580767</c:v>
                </c:pt>
                <c:pt idx="61" formatCode="0%">
                  <c:v>0.33333333333333331</c:v>
                </c:pt>
                <c:pt idx="62" formatCode="0%">
                  <c:v>0.61119302949061671</c:v>
                </c:pt>
                <c:pt idx="63" formatCode="0%">
                  <c:v>0.5</c:v>
                </c:pt>
                <c:pt idx="64" formatCode="0%">
                  <c:v>0.31067499999999998</c:v>
                </c:pt>
                <c:pt idx="65" formatCode="0%">
                  <c:v>1</c:v>
                </c:pt>
                <c:pt idx="66" formatCode="0%">
                  <c:v>0.73333333333333339</c:v>
                </c:pt>
                <c:pt idx="67" formatCode="0%">
                  <c:v>0.68174539631705366</c:v>
                </c:pt>
                <c:pt idx="68" formatCode="0%">
                  <c:v>0.6</c:v>
                </c:pt>
                <c:pt idx="69" formatCode="0%">
                  <c:v>0.75</c:v>
                </c:pt>
                <c:pt idx="70" formatCode="0%">
                  <c:v>0.33333333333333331</c:v>
                </c:pt>
                <c:pt idx="71" formatCode="0.0%">
                  <c:v>0.83884306880404824</c:v>
                </c:pt>
                <c:pt idx="72" formatCode="0%">
                  <c:v>0.83015776739466673</c:v>
                </c:pt>
                <c:pt idx="73" formatCode="0%">
                  <c:v>8.5405543471096176E-2</c:v>
                </c:pt>
                <c:pt idx="74" formatCode="0%">
                  <c:v>0.19560508250553388</c:v>
                </c:pt>
                <c:pt idx="75" formatCode="0%">
                  <c:v>0.9785575048732944</c:v>
                </c:pt>
                <c:pt idx="76" formatCode="0%">
                  <c:v>1</c:v>
                </c:pt>
                <c:pt idx="77" formatCode="0%">
                  <c:v>2.2795804195804199</c:v>
                </c:pt>
                <c:pt idx="78" formatCode="0%">
                  <c:v>0.58063492063492061</c:v>
                </c:pt>
                <c:pt idx="79" formatCode="0%">
                  <c:v>0.92515611624721794</c:v>
                </c:pt>
                <c:pt idx="80" formatCode="0%">
                  <c:v>0.66666666666666663</c:v>
                </c:pt>
                <c:pt idx="81" formatCode="0%">
                  <c:v>0.84666666666666668</c:v>
                </c:pt>
                <c:pt idx="82" formatCode="0%">
                  <c:v>0.68992239045125181</c:v>
                </c:pt>
                <c:pt idx="83" formatCode="0%">
                  <c:v>0.7962526205450734</c:v>
                </c:pt>
                <c:pt idx="84" formatCode="0%">
                  <c:v>0.85</c:v>
                </c:pt>
                <c:pt idx="85" formatCode="0%">
                  <c:v>0.20088024504118715</c:v>
                </c:pt>
                <c:pt idx="86" formatCode="0%">
                  <c:v>0.99882380616325561</c:v>
                </c:pt>
                <c:pt idx="87" formatCode="0%">
                  <c:v>0.50201006354099942</c:v>
                </c:pt>
                <c:pt idx="88" formatCode="0%">
                  <c:v>0.49940566968691125</c:v>
                </c:pt>
                <c:pt idx="89" formatCode="0%">
                  <c:v>0.4522395472788322</c:v>
                </c:pt>
                <c:pt idx="90" formatCode="0%">
                  <c:v>0.60648148148148151</c:v>
                </c:pt>
                <c:pt idx="91" formatCode="0%">
                  <c:v>0.72222222222222232</c:v>
                </c:pt>
                <c:pt idx="92" formatCode="0%">
                  <c:v>0.75</c:v>
                </c:pt>
                <c:pt idx="93" formatCode="0%">
                  <c:v>1</c:v>
                </c:pt>
                <c:pt idx="94" formatCode="0%">
                  <c:v>1</c:v>
                </c:pt>
                <c:pt idx="95" formatCode="0%">
                  <c:v>0</c:v>
                </c:pt>
                <c:pt idx="96" formatCode="0%">
                  <c:v>0.16666666666666666</c:v>
                </c:pt>
                <c:pt idx="97" formatCode="0%">
                  <c:v>0.47500000000000003</c:v>
                </c:pt>
                <c:pt idx="98" formatCode="0%">
                  <c:v>0.95000000000000007</c:v>
                </c:pt>
                <c:pt idx="99" formatCode="0%">
                  <c:v>0</c:v>
                </c:pt>
                <c:pt idx="100" formatCode="0.0%">
                  <c:v>0.43856696197686335</c:v>
                </c:pt>
                <c:pt idx="101" formatCode="0%">
                  <c:v>0.60837037037037034</c:v>
                </c:pt>
                <c:pt idx="102" formatCode="0%">
                  <c:v>0.83200000000000007</c:v>
                </c:pt>
                <c:pt idx="103" formatCode="0%">
                  <c:v>0.94888888888888889</c:v>
                </c:pt>
                <c:pt idx="104" formatCode="0%">
                  <c:v>0.77777777777777768</c:v>
                </c:pt>
                <c:pt idx="105" formatCode="0%">
                  <c:v>0</c:v>
                </c:pt>
                <c:pt idx="106" formatCode="0%">
                  <c:v>0.25</c:v>
                </c:pt>
                <c:pt idx="107" formatCode="0%">
                  <c:v>0</c:v>
                </c:pt>
                <c:pt idx="108" formatCode="0%">
                  <c:v>0</c:v>
                </c:pt>
                <c:pt idx="109" formatCode="0%">
                  <c:v>0</c:v>
                </c:pt>
                <c:pt idx="110" formatCode="0%">
                  <c:v>1</c:v>
                </c:pt>
                <c:pt idx="111" formatCode="0%">
                  <c:v>1</c:v>
                </c:pt>
                <c:pt idx="112" formatCode="0%">
                  <c:v>0</c:v>
                </c:pt>
                <c:pt idx="113" formatCode="0%">
                  <c:v>0.66666666666666663</c:v>
                </c:pt>
                <c:pt idx="114" formatCode="0%">
                  <c:v>0.29333333333333333</c:v>
                </c:pt>
                <c:pt idx="115" formatCode="0%">
                  <c:v>0</c:v>
                </c:pt>
                <c:pt idx="116" formatCode="0%">
                  <c:v>0</c:v>
                </c:pt>
                <c:pt idx="117" formatCode="0%">
                  <c:v>0.88</c:v>
                </c:pt>
                <c:pt idx="118">
                  <c:v>0.41399718222688647</c:v>
                </c:pt>
                <c:pt idx="122" formatCode="0%">
                  <c:v>0</c:v>
                </c:pt>
                <c:pt idx="123" formatCode="0%">
                  <c:v>0</c:v>
                </c:pt>
                <c:pt idx="124" formatCode="0%">
                  <c:v>0</c:v>
                </c:pt>
                <c:pt idx="125" formatCode="0.0%">
                  <c:v>0.69053865512016621</c:v>
                </c:pt>
                <c:pt idx="126" formatCode="0%">
                  <c:v>0.6</c:v>
                </c:pt>
                <c:pt idx="127" formatCode="0%">
                  <c:v>0.19999999999999998</c:v>
                </c:pt>
                <c:pt idx="128" formatCode="0%">
                  <c:v>1</c:v>
                </c:pt>
                <c:pt idx="129" formatCode="0%">
                  <c:v>0.5</c:v>
                </c:pt>
                <c:pt idx="130" formatCode="0%">
                  <c:v>1</c:v>
                </c:pt>
                <c:pt idx="131" formatCode="0%">
                  <c:v>1</c:v>
                </c:pt>
                <c:pt idx="132" formatCode="0%">
                  <c:v>0.5</c:v>
                </c:pt>
                <c:pt idx="133" formatCode="0%">
                  <c:v>0</c:v>
                </c:pt>
                <c:pt idx="134" formatCode="0%">
                  <c:v>0</c:v>
                </c:pt>
                <c:pt idx="135" formatCode="0%">
                  <c:v>0.8571428571428571</c:v>
                </c:pt>
                <c:pt idx="136" formatCode="0%">
                  <c:v>1</c:v>
                </c:pt>
                <c:pt idx="137" formatCode="0%">
                  <c:v>1</c:v>
                </c:pt>
                <c:pt idx="138" formatCode="0%">
                  <c:v>0</c:v>
                </c:pt>
                <c:pt idx="139" formatCode="0%">
                  <c:v>1</c:v>
                </c:pt>
                <c:pt idx="140" formatCode="0%">
                  <c:v>1</c:v>
                </c:pt>
                <c:pt idx="141" formatCode="0%">
                  <c:v>1</c:v>
                </c:pt>
                <c:pt idx="142" formatCode="0%">
                  <c:v>0</c:v>
                </c:pt>
                <c:pt idx="143" formatCode="0%">
                  <c:v>0</c:v>
                </c:pt>
                <c:pt idx="144" formatCode="0%">
                  <c:v>0</c:v>
                </c:pt>
                <c:pt idx="145" formatCode="0%">
                  <c:v>1</c:v>
                </c:pt>
                <c:pt idx="146" formatCode="0%">
                  <c:v>0</c:v>
                </c:pt>
                <c:pt idx="147" formatCode="0%">
                  <c:v>0.83333333333333326</c:v>
                </c:pt>
                <c:pt idx="148" formatCode="0%">
                  <c:v>1</c:v>
                </c:pt>
                <c:pt idx="149" formatCode="0%">
                  <c:v>0.66666666666666663</c:v>
                </c:pt>
                <c:pt idx="150" formatCode="0%">
                  <c:v>0.5</c:v>
                </c:pt>
                <c:pt idx="151" formatCode="0%">
                  <c:v>1</c:v>
                </c:pt>
                <c:pt idx="152" formatCode="0%">
                  <c:v>0</c:v>
                </c:pt>
                <c:pt idx="153" formatCode="0%">
                  <c:v>0.8</c:v>
                </c:pt>
                <c:pt idx="154" formatCode="0%">
                  <c:v>1</c:v>
                </c:pt>
                <c:pt idx="155" formatCode="0%">
                  <c:v>1</c:v>
                </c:pt>
                <c:pt idx="156" formatCode="0%">
                  <c:v>1</c:v>
                </c:pt>
                <c:pt idx="157" formatCode="0%">
                  <c:v>1</c:v>
                </c:pt>
                <c:pt idx="158" formatCode="0%">
                  <c:v>0</c:v>
                </c:pt>
                <c:pt idx="159" formatCode="0%">
                  <c:v>0</c:v>
                </c:pt>
                <c:pt idx="160" formatCode="0%">
                  <c:v>0.9313690476190476</c:v>
                </c:pt>
                <c:pt idx="161" formatCode="0%">
                  <c:v>0.79410714285714279</c:v>
                </c:pt>
                <c:pt idx="162" formatCode="0%">
                  <c:v>1</c:v>
                </c:pt>
                <c:pt idx="163" formatCode="0%">
                  <c:v>1</c:v>
                </c:pt>
                <c:pt idx="164" formatCode="0%">
                  <c:v>0</c:v>
                </c:pt>
                <c:pt idx="165" formatCode="0%">
                  <c:v>0.5024640028660925</c:v>
                </c:pt>
                <c:pt idx="166" formatCode="0%">
                  <c:v>0.5566681050554172</c:v>
                </c:pt>
                <c:pt idx="167" formatCode="0%">
                  <c:v>0.44825990067676769</c:v>
                </c:pt>
                <c:pt idx="168" formatCode="0.0%">
                  <c:v>0.69612517361111115</c:v>
                </c:pt>
                <c:pt idx="169">
                  <c:v>0.4</c:v>
                </c:pt>
                <c:pt idx="170" formatCode="0%">
                  <c:v>0</c:v>
                </c:pt>
                <c:pt idx="171" formatCode="0%">
                  <c:v>1</c:v>
                </c:pt>
                <c:pt idx="172" formatCode="0%">
                  <c:v>0</c:v>
                </c:pt>
                <c:pt idx="173" formatCode="0%">
                  <c:v>0</c:v>
                </c:pt>
                <c:pt idx="174" formatCode="0%">
                  <c:v>0</c:v>
                </c:pt>
                <c:pt idx="175" formatCode="0%">
                  <c:v>0</c:v>
                </c:pt>
                <c:pt idx="176" formatCode="0%">
                  <c:v>0</c:v>
                </c:pt>
                <c:pt idx="177" formatCode="0%">
                  <c:v>0</c:v>
                </c:pt>
                <c:pt idx="178" formatCode="0%">
                  <c:v>0</c:v>
                </c:pt>
                <c:pt idx="179" formatCode="0%">
                  <c:v>0</c:v>
                </c:pt>
                <c:pt idx="180" formatCode="0%">
                  <c:v>1</c:v>
                </c:pt>
                <c:pt idx="181" formatCode="0%">
                  <c:v>0.875</c:v>
                </c:pt>
                <c:pt idx="182" formatCode="0%">
                  <c:v>1</c:v>
                </c:pt>
                <c:pt idx="183" formatCode="0%">
                  <c:v>1</c:v>
                </c:pt>
                <c:pt idx="184" formatCode="0%">
                  <c:v>1</c:v>
                </c:pt>
                <c:pt idx="185" formatCode="0%">
                  <c:v>0.5</c:v>
                </c:pt>
                <c:pt idx="186" formatCode="0%">
                  <c:v>1</c:v>
                </c:pt>
                <c:pt idx="187" formatCode="0%">
                  <c:v>1</c:v>
                </c:pt>
                <c:pt idx="188" formatCode="0%">
                  <c:v>1</c:v>
                </c:pt>
                <c:pt idx="189" formatCode="0%">
                  <c:v>1</c:v>
                </c:pt>
                <c:pt idx="190" formatCode="0%">
                  <c:v>1</c:v>
                </c:pt>
                <c:pt idx="191" formatCode="0%">
                  <c:v>0.80511250000000001</c:v>
                </c:pt>
                <c:pt idx="192" formatCode="0%">
                  <c:v>0.61022500000000002</c:v>
                </c:pt>
                <c:pt idx="193" formatCode="0%">
                  <c:v>1</c:v>
                </c:pt>
                <c:pt idx="194" formatCode="0%">
                  <c:v>0.22222222222222221</c:v>
                </c:pt>
                <c:pt idx="195" formatCode="0%">
                  <c:v>0.22222222222222221</c:v>
                </c:pt>
                <c:pt idx="196" formatCode="0%">
                  <c:v>0.76666666666666661</c:v>
                </c:pt>
                <c:pt idx="197" formatCode="0%">
                  <c:v>0.75</c:v>
                </c:pt>
                <c:pt idx="198" formatCode="0%">
                  <c:v>0.65</c:v>
                </c:pt>
                <c:pt idx="199" formatCode="0%">
                  <c:v>0.9</c:v>
                </c:pt>
                <c:pt idx="200" formatCode="0%">
                  <c:v>1</c:v>
                </c:pt>
                <c:pt idx="201" formatCode="0%">
                  <c:v>1</c:v>
                </c:pt>
                <c:pt idx="202" formatCode="0%">
                  <c:v>0</c:v>
                </c:pt>
                <c:pt idx="203" formatCode="0%">
                  <c:v>0.5</c:v>
                </c:pt>
                <c:pt idx="204" formatCode="0%">
                  <c:v>0.5</c:v>
                </c:pt>
              </c:numCache>
            </c:numRef>
          </c:val>
          <c:extLst xmlns:c16r2="http://schemas.microsoft.com/office/drawing/2015/06/chart">
            <c:ext xmlns:c16="http://schemas.microsoft.com/office/drawing/2014/chart" uri="{C3380CC4-5D6E-409C-BE32-E72D297353CC}">
              <c16:uniqueId val="{00000000-31C6-440F-B8B6-A36988702B38}"/>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spPr>
            <a:solidFill>
              <a:srgbClr val="ED7D31"/>
            </a:solidFill>
            <a:ln cmpd="sng">
              <a:solidFill>
                <a:srgbClr val="000000"/>
              </a:solidFill>
            </a:ln>
          </c:spPr>
          <c:invertIfNegative val="1"/>
          <c:cat>
            <c:strRef>
              <c:f>'PLAN DE DESARROLLO '!$B$3:$B$207</c:f>
              <c:strCache>
                <c:ptCount val="205"/>
                <c:pt idx="0">
                  <c:v>PILAR/LINEA ESTRATEGICA/PROGRAMA</c:v>
                </c:pt>
                <c:pt idx="1">
                  <c:v>PLAN DE DESARROLLO "SALVEMOS JUNTOS A CARTAGENA 2020 - 2023)</c:v>
                </c:pt>
                <c:pt idx="2">
                  <c:v>PILAR RESILIENTE</c:v>
                </c:pt>
                <c:pt idx="3">
                  <c:v>LINEA ESTRATEGICA  “SALVEMOS JUNTOS NUESTRO PATRIMONIO NATURAL” </c:v>
                </c:pt>
                <c:pt idx="4">
                  <c:v>Programa Recuperar y Restaurar Nuestras Áreas Naturales (Bosques  y  Biodiversidad y servicios Eco sistémicos)</c:v>
                </c:pt>
                <c:pt idx="5">
                  <c:v>Programa Ordenamiento Ambiental y Adaptación al Cambio Climático para la Sostenibilidad Ambiental. (Mitigación y Gestión del Riesgo Ambiental)</c:v>
                </c:pt>
                <c:pt idx="6">
                  <c:v>Programa Aseguramiento, Monitoreo, Control y Vigilancia Ambiental  (Sistema integrado de Monitoreo Ambiental)               </c:v>
                </c:pt>
                <c:pt idx="7">
                  <c:v>Programa Investigación, Educación y Cultura Ambiental (Educación y Cultura Ambiental)</c:v>
                </c:pt>
                <c:pt idx="8">
                  <c:v>Programa Salvemos Juntos Nuestro Recurso Hídrico (Gestión integral del Recurso Hídrico)</c:v>
                </c:pt>
                <c:pt idx="9">
                  <c:v>Programa Negocios verdes, Economía Circular, Producción y consumo sostenible (Negocios verdes Inclusivos)</c:v>
                </c:pt>
                <c:pt idx="10">
                  <c:v>Programa Instituciones ambientales más modernas, eficientes y transparentes. (Fortalecimiento Institucional)</c:v>
                </c:pt>
                <c:pt idx="11">
                  <c:v>Programa Bienestar y Protección animal</c:v>
                </c:pt>
                <c:pt idx="12">
                  <c:v>LÍNEA ESTRATÉGICA ESPACIO PÚBLICO, MOVILIDAD Y TRANSPORTE RESILIENTE</c:v>
                </c:pt>
                <c:pt idx="13">
                  <c:v>Programa Sostenibilidad del Espacio Público</c:v>
                </c:pt>
                <c:pt idx="14">
                  <c:v>Programa Recuperación del Espacio Público </c:v>
                </c:pt>
                <c:pt idx="15">
                  <c:v>Programa Generación del Espacio Público  </c:v>
                </c:pt>
                <c:pt idx="16">
                  <c:v>Programa Movilidad en Cartagena  </c:v>
                </c:pt>
                <c:pt idx="17">
                  <c:v>Programa Transporte para todos</c:v>
                </c:pt>
                <c:pt idx="18">
                  <c:v>Programa Reducción de la Siniestralidad vial </c:v>
                </c:pt>
                <c:pt idx="19">
                  <c:v>Programa Fortalecimiento de la capacidad de respuesta del Departamento Administrativo de Tránsito y Transporte</c:v>
                </c:pt>
                <c:pt idx="20">
                  <c:v>Programa Movilidad Sostenible en el Distrito de Cartagena</c:v>
                </c:pt>
                <c:pt idx="21">
                  <c:v>LÍNEA ESTRATÉGICA DESARROLLO URBANO </c:v>
                </c:pt>
                <c:pt idx="22">
                  <c:v>Programa Cartagena se Mueve</c:v>
                </c:pt>
                <c:pt idx="23">
                  <c:v>Programa Sistema Hídrico y Plan maestro de drenajes pluviales en la ciudad para salvar el hábitat</c:v>
                </c:pt>
                <c:pt idx="24">
                  <c:v>Programa Cartagena Ciudad de Bordes y Orillas Resiliente </c:v>
                </c:pt>
                <c:pt idx="25">
                  <c:v>Programa Cartagena se Conecta</c:v>
                </c:pt>
                <c:pt idx="26">
                  <c:v>Programa Integral de Caños, lagos, lagunas y ciénagas de Cartagena de Indias</c:v>
                </c:pt>
                <c:pt idx="27">
                  <c:v>LÍNEA ESTRATÉGICA GESTIÓN DEL RIESGO.</c:v>
                </c:pt>
                <c:pt idx="28">
                  <c:v>Programa Conocimiento del Riesgo</c:v>
                </c:pt>
                <c:pt idx="29">
                  <c:v>Programa Reducción del Riesgo</c:v>
                </c:pt>
                <c:pt idx="30">
                  <c:v>Programa Manejo de Desastre</c:v>
                </c:pt>
                <c:pt idx="31">
                  <c:v>Programa Fortalecimiento Cuerpo de Bomberos</c:v>
                </c:pt>
                <c:pt idx="32">
                  <c:v>LÍNEA ESTRATÉGICA VIVIENDA  PARA TODOS</c:v>
                </c:pt>
                <c:pt idx="33">
                  <c:v>Programa Juntos por una Vivienda Digna</c:v>
                </c:pt>
                <c:pt idx="34">
                  <c:v>Programa Mejoro Mi Casa, compromiso de todos</c:v>
                </c:pt>
                <c:pt idx="35">
                  <c:v>Programa ¡Mi Casa a lo Legal!</c:v>
                </c:pt>
                <c:pt idx="36">
                  <c:v>Programa Un Lugar apto para mi hogar</c:v>
                </c:pt>
                <c:pt idx="37">
                  <c:v>Programa Mi Casa, Mi Entorno, Mi Hábitat    </c:v>
                </c:pt>
                <c:pt idx="38">
                  <c:v>LÍNEA ESTRATÉGICA SERVICIOS PÚBLICOS BÁSICOS DEL DISTRITO DE CARTAGENA DE INDIAS: “TODOS CON TODO”</c:v>
                </c:pt>
                <c:pt idx="39">
                  <c:v>Programa de Ahorro y Uso Eficiente De Los Servicios Públicos, "Agua y Saneamiento Básico Para Todos”</c:v>
                </c:pt>
                <c:pt idx="40">
                  <c:v>Programa Energía Asequible, Confiable Sostenible y Moderna Para Todos.</c:v>
                </c:pt>
                <c:pt idx="41">
                  <c:v>Programa Gestión Integral De Residuos Sólidos "Cultura ciudadana para el reciclaje inclusivo y la economía circular"</c:v>
                </c:pt>
                <c:pt idx="42">
                  <c:v>Programa Sistema de Información De Los Servicios Públicos, “Servinfo”</c:v>
                </c:pt>
                <c:pt idx="43">
                  <c:v>Programa Cementerios</c:v>
                </c:pt>
                <c:pt idx="44">
                  <c:v>LÍNEA ESTRATÉGICA INSTRUMENTOS DE ORDENAMIENTO TERRITORIAL.</c:v>
                </c:pt>
                <c:pt idx="45">
                  <c:v>Programa Plan de Ordenamiento Territorial y Especial de Manejo de Patrimonio.</c:v>
                </c:pt>
                <c:pt idx="46">
                  <c:v>Programa Administrando Juntos El Control Urbano</c:v>
                </c:pt>
                <c:pt idx="47">
                  <c:v>Programa Ordenación territorial y  Recuperación social, ambiental y Urbana de la Ciénaga de la Virgen.</c:v>
                </c:pt>
                <c:pt idx="48">
                  <c:v>PILAR CARTAGENA INCLUYENTE</c:v>
                </c:pt>
                <c:pt idx="49">
                  <c:v>LÍNEA ESTRATÉGICA: SUPERACIÓN DE LA POBREZA Y DESIGUALDAD.</c:v>
                </c:pt>
                <c:pt idx="50">
                  <c:v>Programa: Identificación para la superación de la pobreza extrema y desigualdad </c:v>
                </c:pt>
                <c:pt idx="51">
                  <c:v>Programa: Salud para la superación de la pobreza extrema y desigualdad </c:v>
                </c:pt>
                <c:pt idx="52">
                  <c:v>Programa: Educación para la superación de la pobreza extrema y la desigualdad</c:v>
                </c:pt>
                <c:pt idx="53">
                  <c:v>Programa: Habitabilidad para la superación de la pobreza extrema y la desigualdad</c:v>
                </c:pt>
                <c:pt idx="54">
                  <c:v>Programa Ingresos y trabajo para la superación de la pobreza extrema y desigualdad </c:v>
                </c:pt>
                <c:pt idx="55">
                  <c:v>Programa: Bancarización para la superación de la pobreza extrema y desigualdad </c:v>
                </c:pt>
                <c:pt idx="56">
                  <c:v>Programa: Dinámica Familiar para la Superación de la Pobreza Extrema</c:v>
                </c:pt>
                <c:pt idx="57">
                  <c:v>Programa Seguridad alimentaria y nutrición para la superación de la pobreza extrema</c:v>
                </c:pt>
                <c:pt idx="58">
                  <c:v>Programa: Acceso a la justicia para la superación de la pobreza extrema y desigualdad</c:v>
                </c:pt>
                <c:pt idx="59">
                  <c:v>Programa: Fortalecimiento institucional para superación de la pobreza extrema y desigualdad</c:v>
                </c:pt>
                <c:pt idx="60">
                  <c:v>LÍNEA EDUCACIÓN: CULTURA DE LA FORMACIÓN “Con la Educación para Todos y Todas Salvamos Juntos a Cartagena”</c:v>
                </c:pt>
                <c:pt idx="61">
                  <c:v>Programa: Acogida “atención a poblaciones y estrategias de acceso y permanencia”</c:v>
                </c:pt>
                <c:pt idx="62">
                  <c:v>Programa: Sabiduría de la primera infancia “grandes banderas, gesto e ideas para cambiar el planeta”</c:v>
                </c:pt>
                <c:pt idx="63">
                  <c:v>Programa: Formando con amor “Genio Singular”</c:v>
                </c:pt>
                <c:pt idx="64">
                  <c:v>Programa Desarrollo de potencialidades</c:v>
                </c:pt>
                <c:pt idx="65">
                  <c:v>Programa Participación, democracia y autonomía</c:v>
                </c:pt>
                <c:pt idx="66">
                  <c:v>Programa de Educación mediada a través de tecnologías de la información y las comunicaciones-Tic´s</c:v>
                </c:pt>
                <c:pt idx="67">
                  <c:v>Programa: Educación para transformar “educación media técnica y superior”</c:v>
                </c:pt>
                <c:pt idx="68">
                  <c:v>Programa: Movilización educativa “Por una gestión educativa transparente, participativa y eficiente”</c:v>
                </c:pt>
                <c:pt idx="69">
                  <c:v>Programa: Por una Educación Post secundaria Distrital</c:v>
                </c:pt>
                <c:pt idx="70">
                  <c:v>Programa Fortalecimiento de la oferta de educación superior oficial del Distrito de Cartagena D. T. y C.</c:v>
                </c:pt>
                <c:pt idx="71">
                  <c:v>LÍNEA ESTRATÉGICA SALUD PARA TODOS.</c:v>
                </c:pt>
                <c:pt idx="72">
                  <c:v>Programa: Fortalecimiento de la autoridad sanitaria</c:v>
                </c:pt>
                <c:pt idx="73">
                  <c:v>Programa: Transversal gestión diferencial de poblaciones vulnerables</c:v>
                </c:pt>
                <c:pt idx="74">
                  <c:v>Programa Salud ambiental</c:v>
                </c:pt>
                <c:pt idx="75">
                  <c:v>Programa: Vida saludable y condiciones no transmisibles</c:v>
                </c:pt>
                <c:pt idx="76">
                  <c:v>Programa: Convivencia social y salud mental</c:v>
                </c:pt>
                <c:pt idx="77">
                  <c:v>Programa Nutrición e inocuidad de alimentos</c:v>
                </c:pt>
                <c:pt idx="78">
                  <c:v>Programa Sexualidad, derechos sexuales y reproductivos</c:v>
                </c:pt>
                <c:pt idx="79">
                  <c:v>Programa: Vida saludable y enfermedades transmisibles</c:v>
                </c:pt>
                <c:pt idx="80">
                  <c:v>Programa: Salud pública en emergencias y desastres</c:v>
                </c:pt>
                <c:pt idx="81">
                  <c:v>Programa: Salud y ámbito laboral</c:v>
                </c:pt>
                <c:pt idx="82">
                  <c:v>LÍNEA ESTRATÉGICA: DEPORTE Y RECREACIÓN PARA  LA TRANSFORMACIÓN SOCIAL </c:v>
                </c:pt>
                <c:pt idx="83">
                  <c:v>Programa “La escuela y el deporte son de todos” </c:v>
                </c:pt>
                <c:pt idx="84">
                  <c:v>Programa: Deporte asociado “incentivos con-sentido”</c:v>
                </c:pt>
                <c:pt idx="85">
                  <c:v>Programa: Deporte social comunitario con inclusión “Cartagena Incluyente”</c:v>
                </c:pt>
                <c:pt idx="86">
                  <c:v>Programa: Hábitos y estilos de vida saludable “actívate por tu salud”.</c:v>
                </c:pt>
                <c:pt idx="87">
                  <c:v>Programa: Recreación comunitaria “Recréate Cartagena” </c:v>
                </c:pt>
                <c:pt idx="88">
                  <c:v>Programa: Observatorio de ciencias aplicadas al deporte, la recreación, la actividad física y el aprovechamiento del tiempo libre en el distrito de Cartagena de indias.</c:v>
                </c:pt>
                <c:pt idx="89">
                  <c:v>Programa Administración, Mantenimiento, Adecuación, Mejoramiento y Construcción de Escenarios Deportivos  </c:v>
                </c:pt>
                <c:pt idx="90">
                  <c:v>LÍNEA ESTRATÉGICA ARTES, CULTURA Y PATRIMONIO PARA UNA CARTAGENA INCLUYENTE</c:v>
                </c:pt>
                <c:pt idx="91">
                  <c:v> Programa: Mediación  y bibliotecas para la Inclusión </c:v>
                </c:pt>
                <c:pt idx="92">
                  <c:v>Programa: Estímulos para las artes y el Emprendimiento incluyente</c:v>
                </c:pt>
                <c:pt idx="93">
                  <c:v>Programa: Patrimonio Inmaterial: Prácticas significativas para la memoria</c:v>
                </c:pt>
                <c:pt idx="94">
                  <c:v> Programa: Valoración, Cuidado y Apropiación Social del Patrimonio Material</c:v>
                </c:pt>
                <c:pt idx="95">
                  <c:v>Programa: Derechos culturales y buen gobierno para el fortalecimiento institucional y ciudadano</c:v>
                </c:pt>
                <c:pt idx="96">
                  <c:v>Programa: Infraestructura Cultural para la Inclusión</c:v>
                </c:pt>
                <c:pt idx="97">
                  <c:v>LÍNEA ESTRATÉGICA: PLANEACIÓN SOCIAL DEL TERRITORIO </c:v>
                </c:pt>
                <c:pt idx="98">
                  <c:v>Programa: Instrumentos de planificación social del territorio </c:v>
                </c:pt>
                <c:pt idx="99">
                  <c:v>Programa: Catastro multipropósito</c:v>
                </c:pt>
                <c:pt idx="100">
                  <c:v>PILAR CARTAGENA CONTINGENTE </c:v>
                </c:pt>
                <c:pt idx="101">
                  <c:v> LÍNEA ESTRATÉGICA: DESARROLLO ECONÓMICO Y EMPLEABILIDAD</c:v>
                </c:pt>
                <c:pt idx="102">
                  <c:v>Programa: Centros para el emprendimiento y la gestión de la empleabilidad en Cartagena de Indias </c:v>
                </c:pt>
                <c:pt idx="103">
                  <c:v>Programa: Mujeres con Autonomía Económica</c:v>
                </c:pt>
                <c:pt idx="104">
                  <c:v>Programa: "Empleo Inclusivo Para Los Jóvenes”</c:v>
                </c:pt>
                <c:pt idx="105">
                  <c:v>Programa: Encadenamientos productivos</c:v>
                </c:pt>
                <c:pt idx="106">
                  <c:v>Programa: Cartagena facilita el emprendimiento</c:v>
                </c:pt>
                <c:pt idx="107">
                  <c:v>Programa: Zonas de aglomeración productiva</c:v>
                </c:pt>
                <c:pt idx="108">
                  <c:v>Programa: Cierre de brechas de empleabilidad</c:v>
                </c:pt>
                <c:pt idx="109">
                  <c:v>Programa: Cierre de brechas de capital humano</c:v>
                </c:pt>
                <c:pt idx="110">
                  <c:v>Programa: Desarrollo del ecosistema digital basado en la cuarta revolución industrial</c:v>
                </c:pt>
                <c:pt idx="111">
                  <c:v>Programa: Cartagena emprendedora para pequeños productores rurales</c:v>
                </c:pt>
                <c:pt idx="112">
                  <c:v>Programa: Sistemas de Mercados públicos</c:v>
                </c:pt>
                <c:pt idx="113">
                  <c:v>Programa: Más Cooperación Internacional</c:v>
                </c:pt>
                <c:pt idx="114">
                  <c:v>LÍNEA ESTRATÉGICA: COMPETITIVIDAD E INNOVACIÓN</c:v>
                </c:pt>
                <c:pt idx="115">
                  <c:v>Programa: Cartagena ciudad Innovadora</c:v>
                </c:pt>
                <c:pt idx="116">
                  <c:v>Programa: Cartagena destino de inversión</c:v>
                </c:pt>
                <c:pt idx="117">
                  <c:v>Programa: Cartagena fomenta la ciencia, tecnología e innovación agropecuaria: juntos por la extensión agropecuaria a pequeños productores.</c:v>
                </c:pt>
                <c:pt idx="118">
                  <c:v>LÍNEA ESTRATÉGICA: TURISMO, MOTOR DE REACTIVACIÓN ECONÓMICA PARA CARTAGENA DE INDIAS</c:v>
                </c:pt>
                <c:pt idx="119">
                  <c:v>Programa: Promoción Nacional e Internacional de Cartagena de Indias</c:v>
                </c:pt>
                <c:pt idx="120">
                  <c:v>Programa: Conectividad</c:v>
                </c:pt>
                <c:pt idx="121">
                  <c:v>Programa: Turismo Competitivo y Sostenible</c:v>
                </c:pt>
                <c:pt idx="122">
                  <c:v>LÍNEA ESTRATÉGICA: PLANEACIÓN E INTEGRACIÓN CONTINGENTE DEL TERRITORIO</c:v>
                </c:pt>
                <c:pt idx="123">
                  <c:v>Programa Integración y proyectos entre ciudades</c:v>
                </c:pt>
                <c:pt idx="124">
                  <c:v>Programa: Normas de promoción del desarrollo urbano y económico</c:v>
                </c:pt>
                <c:pt idx="125">
                  <c:v>PILAR CARTAGENA TRANSPARENTE</c:v>
                </c:pt>
                <c:pt idx="126">
                  <c:v>LÍNEA ESTRATÉGICA GESTIÓN Y DESEMPEÑO INSTITUCIONAL PARA LA GOBERNANZA</c:v>
                </c:pt>
                <c:pt idx="127">
                  <c:v>Programa: Gestión pública integrada y transparente</c:v>
                </c:pt>
                <c:pt idx="128">
                  <c:v>Programa: Transparencia para el fortalecimiento de la   confianza en las instituciones del distrito de Cartagena.</c:v>
                </c:pt>
                <c:pt idx="129">
                  <c:v>LÍNEA ESTRATÉGICA: CARTAGENA INTELIGENTE CON TODOS Y PARA  TODOS</c:v>
                </c:pt>
                <c:pt idx="130">
                  <c:v>Programa: Cartagena inteligente con todos y para todos</c:v>
                </c:pt>
                <c:pt idx="131">
                  <c:v>Programa: Cartageneros conectados y alfabetizados</c:v>
                </c:pt>
                <c:pt idx="132">
                  <c:v>Programa: Cartagena hacia la modernidad</c:v>
                </c:pt>
                <c:pt idx="133">
                  <c:v>Programa: Organización y recuperación del patrimonio público del distrito de Cartagena </c:v>
                </c:pt>
                <c:pt idx="134">
                  <c:v>Programa: Premio Jorge Piedrahita Aduen</c:v>
                </c:pt>
                <c:pt idx="135">
                  <c:v>LÍNEA ESTRATÉGICA: CONVIVENCIA Y SEGURIDAD PARA LA GOBERNABILIDAD</c:v>
                </c:pt>
                <c:pt idx="136">
                  <c:v>Programa:   Plan integral de seguridad y convivencia ciudadana</c:v>
                </c:pt>
                <c:pt idx="137">
                  <c:v>Programa:    Fortalecimiento de la convivencia y la seguridad ciudadana</c:v>
                </c:pt>
                <c:pt idx="138">
                  <c:v>Programa:   Mejorar la convivencia ciudadana con la implementación del código nacional de policía y convivencia</c:v>
                </c:pt>
                <c:pt idx="139">
                  <c:v>Programa:    Fortalecimiento capacidad operativa de la secretaria del interior y convivencia ciudadana</c:v>
                </c:pt>
                <c:pt idx="140">
                  <c:v>Programa:   Promoción al acceso a la justicia</c:v>
                </c:pt>
                <c:pt idx="141">
                  <c:v>Programa:    Asistencia y atención integral a los niños, niñas,  adolescentes y jóvenes en riesgo de vincularse a actividades delictivas</c:v>
                </c:pt>
                <c:pt idx="142">
                  <c:v>Programa:    Fortalecimiento sistema de responsabilidad penal para adolescentes –SRPA</c:v>
                </c:pt>
                <c:pt idx="143">
                  <c:v>Programa: Implementación y sostenimiento de herramientas tecnológicas para seguridad y socorro</c:v>
                </c:pt>
                <c:pt idx="144">
                  <c:v>Programa: Optimización de la infraestructura y movilidad de los organismos de seguridad y socorro</c:v>
                </c:pt>
                <c:pt idx="145">
                  <c:v>Programa: Vigilancia de las playas del distrito de Cartagena</c:v>
                </c:pt>
                <c:pt idx="146">
                  <c:v>Programa Convivencia para la Seguridad</c:v>
                </c:pt>
                <c:pt idx="147">
                  <c:v>LÍNEA ESTRATÉGICA DERECHOS HUMANOS PARA LA PAZ</c:v>
                </c:pt>
                <c:pt idx="148">
                  <c:v>Programa: Prevención, promoción y protección de los derechos humanos en el distrito de Cartagena</c:v>
                </c:pt>
                <c:pt idx="149">
                  <c:v>Programa:   Sistema penitenciario y carcelario en el marco de los derechos humanos</c:v>
                </c:pt>
                <c:pt idx="150">
                  <c:v>LÍNEA ESTRATÉGICA: ATENCIÓN Y REPARACIÓN A VICTIMAS PARA LA CONSTRUCCIÓN DE LA  PAZ TERRITORIAL</c:v>
                </c:pt>
                <c:pt idx="151">
                  <c:v>Programa: Atención, asistencia y reparación integral a las víctimas</c:v>
                </c:pt>
                <c:pt idx="152">
                  <c:v>Programa: Construcción de paz territorial</c:v>
                </c:pt>
                <c:pt idx="153">
                  <c:v>LÍNEA ESTRATÉGICA: CULTURA CIUDADANA PARA LA DEMOCRACIA Y LA PAZ</c:v>
                </c:pt>
                <c:pt idx="154">
                  <c:v>Programa: Servidor y servidora pública al servicio de la ciudadanía</c:v>
                </c:pt>
                <c:pt idx="155">
                  <c:v>Programa: Ciudadanía libre, incluyente y transformadora</c:v>
                </c:pt>
                <c:pt idx="156">
                  <c:v>Programa: Cartagena te quiere, quiere a Cartagena: plan decenal de cultura ciudadana y Cartageneidad.</c:v>
                </c:pt>
                <c:pt idx="157">
                  <c:v>Programa: Yo soy Cartagena</c:v>
                </c:pt>
                <c:pt idx="158">
                  <c:v>Programa: Nuestra Cartagena soñada.</c:v>
                </c:pt>
                <c:pt idx="159">
                  <c:v>Programa Conéctate Con Cartagena</c:v>
                </c:pt>
                <c:pt idx="160">
                  <c:v>LÍNEA ESTRATÉGICA: PARTICIPACIÓN Y DESCENTRALIZACIÓN </c:v>
                </c:pt>
                <c:pt idx="161">
                  <c:v>Programa: Participando salvamos a Cartagena</c:v>
                </c:pt>
                <c:pt idx="162">
                  <c:v>Programa: Modernización del Sistema Distrital de Planeación y Descentralización  </c:v>
                </c:pt>
                <c:pt idx="163">
                  <c:v>Programa: Políticas Públicas intersectoriales y con visión Integral de enfoques basados en derechos humanos </c:v>
                </c:pt>
                <c:pt idx="164">
                  <c:v>Programa:   Presupuesto participativo</c:v>
                </c:pt>
                <c:pt idx="165">
                  <c:v>LÍNEA ESTRATÉGICA: FINANZAS PÚBLICAS PARA SALVAR A CARTAGENA</c:v>
                </c:pt>
                <c:pt idx="166">
                  <c:v>Programa: Finanzas sostenibles para salvar a Cartagena</c:v>
                </c:pt>
                <c:pt idx="167">
                  <c:v>Programa: Saneamiento fiscal y financiero</c:v>
                </c:pt>
                <c:pt idx="168">
                  <c:v>EJE TRANSVERSAL: CARTAGENA CON ATENCION Y GARANTIA DE DERECHOS A POBLACION DIFERENCIAL.</c:v>
                </c:pt>
                <c:pt idx="169">
                  <c:v>LINEA ESTRATEGICA PARA LA EQUIDAD E INCLUSIÓN DE LOS NEGROS, AFROS, PALENQUEROS E INDIGENA.</c:v>
                </c:pt>
                <c:pt idx="170">
                  <c:v>Fortalecimiento de Población Negra, Afrocolombiana, Raizal y Palenquera en el Distrito de Cartagena </c:v>
                </c:pt>
                <c:pt idx="171">
                  <c:v>Fortalecimiento e Inclusión Productiva para Población Negra, Afrocolombiana, Raizal y Palenquera en el Distrito de Cartagena.</c:v>
                </c:pt>
                <c:pt idx="172">
                  <c:v>Programa: Inclusión Educativa para el Desarrollo para Población Negra, Afrocolombiana, Raizal y Palenquera en el Distrito de Cartagena.</c:v>
                </c:pt>
                <c:pt idx="173">
                  <c:v>Programa: Promoción, Prevención y Atención En Salud para población Negra, Afrocolombiana, Raizal y Palenquera en el Distrito De Cartagena.</c:v>
                </c:pt>
                <c:pt idx="174">
                  <c:v>Programa: Sostenibilidad Ambiental y Fomento Tradicional</c:v>
                </c:pt>
                <c:pt idx="175">
                  <c:v>Programa: Sostenibilidad Cultural como Garantía de Permanencia.</c:v>
                </c:pt>
                <c:pt idx="176">
                  <c:v>Programa: Fortalecimiento de la Población Indígena en el Distrito de Cartagena.</c:v>
                </c:pt>
                <c:pt idx="177">
                  <c:v>Programa: Educación con Enfoque Diferencial Indígena SISTEMA EDUCATIVO INDIGENA PROPIO - SEIP</c:v>
                </c:pt>
                <c:pt idx="178">
                  <c:v>Programa: Intercultural de Salud Propia Preventiva Indígena- SISPI</c:v>
                </c:pt>
                <c:pt idx="179">
                  <c:v>Programa: Integridad Cultural, Gobierno Propio, Vivienda y Hábitat para las Comunidades Indígenas en el Distrito Cartagena</c:v>
                </c:pt>
                <c:pt idx="180">
                  <c:v>Programa: Empoderamiento del Liderazgo de las Mujeres, Niñez, Jóvenes, Familia y Generación Indígena</c:v>
                </c:pt>
                <c:pt idx="181">
                  <c:v>LINEA ESTRATEGICA MUJERES CARTAGENERAS POR SUS DERECHOS.</c:v>
                </c:pt>
                <c:pt idx="182">
                  <c:v>Programa: Las Mujeres Decidimos Sobre el Ejercicio del Poder</c:v>
                </c:pt>
                <c:pt idx="183">
                  <c:v>Programa: Una Vida Libre de Violencias para las Mujeres</c:v>
                </c:pt>
                <c:pt idx="184">
                  <c:v>Programa: Mujer, Constructoras De Paz</c:v>
                </c:pt>
                <c:pt idx="185">
                  <c:v>Programa: Cartagena Libre de una Cultura Machista</c:v>
                </c:pt>
                <c:pt idx="186">
                  <c:v>LINEA ESTRATEGICA: INCLUSION Y OPORTUNIDAD PARA NIÑOS, NIÑAS Y ADOLESCENTES Y FAMILIAS.</c:v>
                </c:pt>
                <c:pt idx="187">
                  <c:v>Programa: Comprometidos con la Salvación de Nuestra Primera Infancia</c:v>
                </c:pt>
                <c:pt idx="188">
                  <c:v>Programa Protección de la Infancia y la Adolescencia para la Prevención y atención de Violencias.</c:v>
                </c:pt>
                <c:pt idx="189">
                  <c:v>Programa los Niños, las Niñas y Adolescentes de Cartagena Participan y Disfrutan sus Derechos.</c:v>
                </c:pt>
                <c:pt idx="190">
                  <c:v>Programa Fortalecimiento Familiar.</c:v>
                </c:pt>
                <c:pt idx="191">
                  <c:v>LINEA ESTRATEGICA JOVENES SALVANDO A CARTAGENA</c:v>
                </c:pt>
                <c:pt idx="192">
                  <c:v>Programa: Jóvenes Participando y Salvando a Cartagena</c:v>
                </c:pt>
                <c:pt idx="193">
                  <c:v>Programa: Política Pública De Juventud</c:v>
                </c:pt>
                <c:pt idx="194">
                  <c:v>LINEA ESTRATEGICA EN CARTAGENA SALVAMOS NUESTROS ADULTOS MAYORES.</c:v>
                </c:pt>
                <c:pt idx="195">
                  <c:v>Programa: Atención Integral Para Mantener a Salvo a los Adultos Mayores</c:v>
                </c:pt>
                <c:pt idx="196">
                  <c:v>LÍNEA ESTRATÉGICA: TODOS POR LA PROTECCIÓN SOCIAL DE LAS PERSONAS CON DISCAPACIDAD: “RECONOCIDAS, EMPODERADAS Y RESPETADAS”.</c:v>
                </c:pt>
                <c:pt idx="197">
                  <c:v>Programa: Gestión Social Integral y Articuladora por la Protección de las Personas Con Discapacidad y/o su Familia o Cuidador.</c:v>
                </c:pt>
                <c:pt idx="198">
                  <c:v>Programa: Pacto o Alianza Por La Inclusión Social y Productiva de las Personas Con Discapacidad.</c:v>
                </c:pt>
                <c:pt idx="199">
                  <c:v>Programa: Desarrollo Local Inclusivo de las Personas Con Discapacidad: Reconocimiento de Capacidades, Diferencias y Diversidad.</c:v>
                </c:pt>
                <c:pt idx="200">
                  <c:v>LINEA ESTRATEGICA TRATO HUMANITARIO AL HABITANTE DE CALLE</c:v>
                </c:pt>
                <c:pt idx="201">
                  <c:v>Programa: Habitante De Calle Con Desarrollo Humano Integral </c:v>
                </c:pt>
                <c:pt idx="202">
                  <c:v>Programa Formación Para El Trabajo - Generación De Ingresos y Responsabilidad Social Empresarial.</c:v>
                </c:pt>
                <c:pt idx="203">
                  <c:v>LINEA ESTRATEGICA DIVERSIDAD SEXUAL Y NUEVAS IDENTIDADES DE GÉNERO.</c:v>
                </c:pt>
                <c:pt idx="204">
                  <c:v>Programa: Diversidad Sexual e Identidades de Género</c:v>
                </c:pt>
              </c:strCache>
            </c:strRef>
          </c:cat>
          <c:val>
            <c:numRef>
              <c:f>'PLAN DE DESARROLLO '!$D$3:$D$207</c:f>
              <c:numCache>
                <c:formatCode>0%</c:formatCode>
                <c:ptCount val="205"/>
                <c:pt idx="0" formatCode="General">
                  <c:v>0</c:v>
                </c:pt>
                <c:pt idx="1">
                  <c:v>0.18782148571147411</c:v>
                </c:pt>
                <c:pt idx="2" formatCode="0.00%">
                  <c:v>0.20929137923813931</c:v>
                </c:pt>
                <c:pt idx="3" formatCode="0.00%">
                  <c:v>0.19296454113433995</c:v>
                </c:pt>
                <c:pt idx="4">
                  <c:v>0.20849933333333331</c:v>
                </c:pt>
                <c:pt idx="5" formatCode="0.0%">
                  <c:v>0.28750000000000003</c:v>
                </c:pt>
                <c:pt idx="6">
                  <c:v>0.21666666666666667</c:v>
                </c:pt>
                <c:pt idx="7">
                  <c:v>0.25905555555555554</c:v>
                </c:pt>
                <c:pt idx="8">
                  <c:v>7.4999999999999997E-2</c:v>
                </c:pt>
                <c:pt idx="9">
                  <c:v>0.14878048780487804</c:v>
                </c:pt>
                <c:pt idx="10">
                  <c:v>0.14821428571428572</c:v>
                </c:pt>
                <c:pt idx="11">
                  <c:v>0.20000000000000004</c:v>
                </c:pt>
                <c:pt idx="12" formatCode="0.00%">
                  <c:v>0.15547599768116671</c:v>
                </c:pt>
                <c:pt idx="13" formatCode="0.0%">
                  <c:v>0.13487179487179488</c:v>
                </c:pt>
                <c:pt idx="14" formatCode="0.0%">
                  <c:v>0.34997407407407405</c:v>
                </c:pt>
                <c:pt idx="15" formatCode="0.0%">
                  <c:v>0.17204250703517587</c:v>
                </c:pt>
                <c:pt idx="16" formatCode="0.0%">
                  <c:v>0</c:v>
                </c:pt>
                <c:pt idx="17" formatCode="0.0%">
                  <c:v>0.10955056179775281</c:v>
                </c:pt>
                <c:pt idx="18" formatCode="0.0%">
                  <c:v>0.10006666666666666</c:v>
                </c:pt>
                <c:pt idx="19" formatCode="0.0%">
                  <c:v>0.11804311774461029</c:v>
                </c:pt>
                <c:pt idx="20" formatCode="0.0%">
                  <c:v>0.25925925925925924</c:v>
                </c:pt>
                <c:pt idx="21" formatCode="0.0%">
                  <c:v>5.519615384615385E-3</c:v>
                </c:pt>
                <c:pt idx="22" formatCode="0.0%">
                  <c:v>1.21875E-2</c:v>
                </c:pt>
                <c:pt idx="23" formatCode="0.0%">
                  <c:v>6.6605769230769227E-3</c:v>
                </c:pt>
                <c:pt idx="24" formatCode="0.0%">
                  <c:v>0</c:v>
                </c:pt>
                <c:pt idx="25" formatCode="0.0%">
                  <c:v>0</c:v>
                </c:pt>
                <c:pt idx="26" formatCode="0.0%">
                  <c:v>8.7500000000000008E-3</c:v>
                </c:pt>
                <c:pt idx="27" formatCode="0.0%">
                  <c:v>0.40286309523809527</c:v>
                </c:pt>
                <c:pt idx="28" formatCode="0.0%">
                  <c:v>0.125</c:v>
                </c:pt>
                <c:pt idx="29" formatCode="0.0%">
                  <c:v>0.63811904761904759</c:v>
                </c:pt>
                <c:pt idx="30" formatCode="0.0%">
                  <c:v>0.84833333333333338</c:v>
                </c:pt>
                <c:pt idx="31" formatCode="0.0%">
                  <c:v>0</c:v>
                </c:pt>
                <c:pt idx="32" formatCode="0.0%">
                  <c:v>0.19623111111111111</c:v>
                </c:pt>
                <c:pt idx="33" formatCode="0.0%">
                  <c:v>0.3896</c:v>
                </c:pt>
                <c:pt idx="34" formatCode="0.0%">
                  <c:v>0</c:v>
                </c:pt>
                <c:pt idx="35" formatCode="0.0%">
                  <c:v>9.1555555555555557E-2</c:v>
                </c:pt>
                <c:pt idx="36" formatCode="0.0%">
                  <c:v>0</c:v>
                </c:pt>
                <c:pt idx="37" formatCode="0.0%">
                  <c:v>0.5</c:v>
                </c:pt>
                <c:pt idx="38">
                  <c:v>0.13365196078431374</c:v>
                </c:pt>
                <c:pt idx="39" formatCode="0.0%">
                  <c:v>0.12708333333333333</c:v>
                </c:pt>
                <c:pt idx="40">
                  <c:v>1.1764705882352942E-3</c:v>
                </c:pt>
                <c:pt idx="41">
                  <c:v>0.04</c:v>
                </c:pt>
                <c:pt idx="42">
                  <c:v>0</c:v>
                </c:pt>
                <c:pt idx="43">
                  <c:v>0.5</c:v>
                </c:pt>
                <c:pt idx="44">
                  <c:v>0.37833333333333335</c:v>
                </c:pt>
                <c:pt idx="45">
                  <c:v>0.54200000000000004</c:v>
                </c:pt>
                <c:pt idx="46">
                  <c:v>0.42799999999999999</c:v>
                </c:pt>
                <c:pt idx="47">
                  <c:v>0.16500000000000001</c:v>
                </c:pt>
                <c:pt idx="48" formatCode="0.00%">
                  <c:v>0.19705891080422874</c:v>
                </c:pt>
                <c:pt idx="49" formatCode="0.0%">
                  <c:v>9.7563026724382731E-2</c:v>
                </c:pt>
                <c:pt idx="50" formatCode="0.0%">
                  <c:v>7.965976086897042E-2</c:v>
                </c:pt>
                <c:pt idx="51" formatCode="0.0%">
                  <c:v>0.128919012818282</c:v>
                </c:pt>
                <c:pt idx="52" formatCode="0.0%">
                  <c:v>5.0482445061884318E-2</c:v>
                </c:pt>
                <c:pt idx="53" formatCode="0.0%">
                  <c:v>0</c:v>
                </c:pt>
                <c:pt idx="54" formatCode="0.0%">
                  <c:v>2.3133333333333332E-2</c:v>
                </c:pt>
                <c:pt idx="55" formatCode="0.0%">
                  <c:v>9.8252873563218393E-2</c:v>
                </c:pt>
                <c:pt idx="56" formatCode="0.0%">
                  <c:v>0.22112627088546957</c:v>
                </c:pt>
                <c:pt idx="57" formatCode="0.0%">
                  <c:v>3.2151785714285716E-2</c:v>
                </c:pt>
                <c:pt idx="58" formatCode="0.0%">
                  <c:v>0.11799999999999999</c:v>
                </c:pt>
                <c:pt idx="59" formatCode="0.0%">
                  <c:v>0.22390478499838345</c:v>
                </c:pt>
                <c:pt idx="60" formatCode="0.0%">
                  <c:v>0.19057870516762102</c:v>
                </c:pt>
                <c:pt idx="61" formatCode="0.0%">
                  <c:v>0.11588158730158729</c:v>
                </c:pt>
                <c:pt idx="62" formatCode="0.0%">
                  <c:v>0.45955000000000001</c:v>
                </c:pt>
                <c:pt idx="63" formatCode="0.0%">
                  <c:v>7.6923076923076927E-2</c:v>
                </c:pt>
                <c:pt idx="64" formatCode="0.0%">
                  <c:v>0.11611111111111111</c:v>
                </c:pt>
                <c:pt idx="65" formatCode="0.0%">
                  <c:v>0.19853801169590643</c:v>
                </c:pt>
                <c:pt idx="66" formatCode="0.0%">
                  <c:v>0.32544892108822177</c:v>
                </c:pt>
                <c:pt idx="67" formatCode="0.0%">
                  <c:v>0.20540101022297352</c:v>
                </c:pt>
                <c:pt idx="68" formatCode="0.0%">
                  <c:v>0.09</c:v>
                </c:pt>
                <c:pt idx="69" formatCode="0.0%">
                  <c:v>0.12</c:v>
                </c:pt>
                <c:pt idx="70" formatCode="0.0%">
                  <c:v>0.19793333333333332</c:v>
                </c:pt>
                <c:pt idx="71" formatCode="0.0%">
                  <c:v>0.22535719427213827</c:v>
                </c:pt>
                <c:pt idx="72" formatCode="0.0%">
                  <c:v>0.25184363499450352</c:v>
                </c:pt>
                <c:pt idx="73" formatCode="0.0%">
                  <c:v>4.7392486406327233E-2</c:v>
                </c:pt>
                <c:pt idx="74" formatCode="0.0%">
                  <c:v>0.11140127062638347</c:v>
                </c:pt>
                <c:pt idx="75" formatCode="0.0%">
                  <c:v>0.20537962962962961</c:v>
                </c:pt>
                <c:pt idx="76" formatCode="0.0%">
                  <c:v>0.35789473684210532</c:v>
                </c:pt>
                <c:pt idx="77" formatCode="0.0%">
                  <c:v>0.35099020277967652</c:v>
                </c:pt>
                <c:pt idx="78" formatCode="0.0%">
                  <c:v>0.2232142857142857</c:v>
                </c:pt>
                <c:pt idx="79" formatCode="0.0%">
                  <c:v>0.2437890290618045</c:v>
                </c:pt>
                <c:pt idx="80" formatCode="0.0%">
                  <c:v>0.25</c:v>
                </c:pt>
                <c:pt idx="81" formatCode="0.0%">
                  <c:v>0.21166666666666667</c:v>
                </c:pt>
                <c:pt idx="82">
                  <c:v>0.32142756931687133</c:v>
                </c:pt>
                <c:pt idx="83">
                  <c:v>0.67668471931050556</c:v>
                </c:pt>
                <c:pt idx="84">
                  <c:v>0.39673611111111112</c:v>
                </c:pt>
                <c:pt idx="85">
                  <c:v>5.6291666666666663E-2</c:v>
                </c:pt>
                <c:pt idx="86">
                  <c:v>0.62189263636852798</c:v>
                </c:pt>
                <c:pt idx="87">
                  <c:v>0.16500086232371189</c:v>
                </c:pt>
                <c:pt idx="88">
                  <c:v>0.2329395933014354</c:v>
                </c:pt>
                <c:pt idx="89">
                  <c:v>0.10044739613614052</c:v>
                </c:pt>
                <c:pt idx="90" formatCode="0.0%">
                  <c:v>0.15305196934435908</c:v>
                </c:pt>
                <c:pt idx="91" formatCode="0.00%">
                  <c:v>6.1111111111111116E-2</c:v>
                </c:pt>
                <c:pt idx="92">
                  <c:v>0.27756598825207368</c:v>
                </c:pt>
                <c:pt idx="93">
                  <c:v>0.44185126582278483</c:v>
                </c:pt>
                <c:pt idx="94">
                  <c:v>0.11397392707066115</c:v>
                </c:pt>
                <c:pt idx="95">
                  <c:v>0</c:v>
                </c:pt>
                <c:pt idx="96">
                  <c:v>2.3809523809523808E-2</c:v>
                </c:pt>
                <c:pt idx="97" formatCode="0.0%">
                  <c:v>0.19437500000000002</c:v>
                </c:pt>
                <c:pt idx="98">
                  <c:v>0.38875000000000004</c:v>
                </c:pt>
                <c:pt idx="99">
                  <c:v>0</c:v>
                </c:pt>
                <c:pt idx="100" formatCode="0.00%">
                  <c:v>0.12209514705508813</c:v>
                </c:pt>
                <c:pt idx="101" formatCode="0.00%">
                  <c:v>0.14372951195754824</c:v>
                </c:pt>
                <c:pt idx="102" formatCode="0.00%">
                  <c:v>2.7839999999999997E-2</c:v>
                </c:pt>
                <c:pt idx="103" formatCode="0.00%">
                  <c:v>6.2469746974697461E-2</c:v>
                </c:pt>
                <c:pt idx="104" formatCode="0.00%">
                  <c:v>2.5000000000000005E-2</c:v>
                </c:pt>
                <c:pt idx="105" formatCode="0.00%">
                  <c:v>0</c:v>
                </c:pt>
                <c:pt idx="106" formatCode="0.00%">
                  <c:v>0.16</c:v>
                </c:pt>
                <c:pt idx="107" formatCode="0.00%">
                  <c:v>0</c:v>
                </c:pt>
                <c:pt idx="108" formatCode="0.00%">
                  <c:v>0</c:v>
                </c:pt>
                <c:pt idx="109" formatCode="0.00%">
                  <c:v>0</c:v>
                </c:pt>
                <c:pt idx="110" formatCode="0.00%">
                  <c:v>1</c:v>
                </c:pt>
                <c:pt idx="111" formatCode="0.00%">
                  <c:v>0.02</c:v>
                </c:pt>
                <c:pt idx="112" formatCode="0.00%">
                  <c:v>0</c:v>
                </c:pt>
                <c:pt idx="113" formatCode="0.00%">
                  <c:v>0.28571488455833333</c:v>
                </c:pt>
                <c:pt idx="114" formatCode="0.00%">
                  <c:v>7.5333333333333322E-2</c:v>
                </c:pt>
                <c:pt idx="115">
                  <c:v>0</c:v>
                </c:pt>
                <c:pt idx="116">
                  <c:v>0</c:v>
                </c:pt>
                <c:pt idx="117">
                  <c:v>0.22599999999999998</c:v>
                </c:pt>
                <c:pt idx="118" formatCode="0.00%">
                  <c:v>0.26931774292947097</c:v>
                </c:pt>
                <c:pt idx="119">
                  <c:v>0.29128656212174631</c:v>
                </c:pt>
                <c:pt idx="120">
                  <c:v>5.5555555555555552E-2</c:v>
                </c:pt>
                <c:pt idx="121">
                  <c:v>0.46111111111111108</c:v>
                </c:pt>
                <c:pt idx="122">
                  <c:v>0</c:v>
                </c:pt>
                <c:pt idx="123">
                  <c:v>0</c:v>
                </c:pt>
                <c:pt idx="124">
                  <c:v>0</c:v>
                </c:pt>
                <c:pt idx="125" formatCode="0.00%">
                  <c:v>0.26444451169446737</c:v>
                </c:pt>
                <c:pt idx="126" formatCode="0.00%">
                  <c:v>0.32500000000000001</c:v>
                </c:pt>
                <c:pt idx="127" formatCode="0.0%">
                  <c:v>2.5000000000000001E-2</c:v>
                </c:pt>
                <c:pt idx="128" formatCode="0.0%">
                  <c:v>0.625</c:v>
                </c:pt>
                <c:pt idx="129" formatCode="0.0%">
                  <c:v>0.13749999999999998</c:v>
                </c:pt>
                <c:pt idx="130" formatCode="0.0%">
                  <c:v>0.25</c:v>
                </c:pt>
                <c:pt idx="131" formatCode="0.0%">
                  <c:v>0.375</c:v>
                </c:pt>
                <c:pt idx="132" formatCode="0.0%">
                  <c:v>0.2</c:v>
                </c:pt>
                <c:pt idx="133" formatCode="0.0%">
                  <c:v>0</c:v>
                </c:pt>
                <c:pt idx="134" formatCode="0.0%">
                  <c:v>0</c:v>
                </c:pt>
                <c:pt idx="135" formatCode="0.0%">
                  <c:v>0.23200745920745919</c:v>
                </c:pt>
                <c:pt idx="136" formatCode="0.0%">
                  <c:v>0.5</c:v>
                </c:pt>
                <c:pt idx="137" formatCode="0.0%">
                  <c:v>0.96666666666666667</c:v>
                </c:pt>
                <c:pt idx="138" formatCode="0.0%">
                  <c:v>0</c:v>
                </c:pt>
                <c:pt idx="139" formatCode="0.0%">
                  <c:v>8.461538461538462E-2</c:v>
                </c:pt>
                <c:pt idx="140" formatCode="0.0%">
                  <c:v>0.25</c:v>
                </c:pt>
                <c:pt idx="141" formatCode="0.0%">
                  <c:v>0.25080000000000002</c:v>
                </c:pt>
                <c:pt idx="142" formatCode="0.0%">
                  <c:v>0</c:v>
                </c:pt>
                <c:pt idx="143" formatCode="0.0%">
                  <c:v>0</c:v>
                </c:pt>
                <c:pt idx="144" formatCode="0.0%">
                  <c:v>0</c:v>
                </c:pt>
                <c:pt idx="145" formatCode="0.0%">
                  <c:v>0.5</c:v>
                </c:pt>
                <c:pt idx="146" formatCode="0.0%">
                  <c:v>0</c:v>
                </c:pt>
                <c:pt idx="147" formatCode="0.0%">
                  <c:v>0.70833333333333326</c:v>
                </c:pt>
                <c:pt idx="148" formatCode="0.0%">
                  <c:v>0.75</c:v>
                </c:pt>
                <c:pt idx="149" formatCode="0.0%">
                  <c:v>0.66666666666666663</c:v>
                </c:pt>
                <c:pt idx="150">
                  <c:v>8.313864256480219E-2</c:v>
                </c:pt>
                <c:pt idx="151">
                  <c:v>0.16627728512960438</c:v>
                </c:pt>
                <c:pt idx="152">
                  <c:v>0</c:v>
                </c:pt>
                <c:pt idx="153" formatCode="0.0%">
                  <c:v>0.21390836125130366</c:v>
                </c:pt>
                <c:pt idx="154" formatCode="0.0%">
                  <c:v>1</c:v>
                </c:pt>
                <c:pt idx="155" formatCode="0.0%">
                  <c:v>0.28125</c:v>
                </c:pt>
                <c:pt idx="156" formatCode="0.0%">
                  <c:v>0</c:v>
                </c:pt>
                <c:pt idx="157" formatCode="0.0%">
                  <c:v>2.2001675078220945E-3</c:v>
                </c:pt>
                <c:pt idx="158" formatCode="0.0%">
                  <c:v>0</c:v>
                </c:pt>
                <c:pt idx="159" formatCode="0.0%">
                  <c:v>0</c:v>
                </c:pt>
                <c:pt idx="160">
                  <c:v>0.25113116344119935</c:v>
                </c:pt>
                <c:pt idx="161">
                  <c:v>0.33649744288044359</c:v>
                </c:pt>
                <c:pt idx="162">
                  <c:v>0.46802721088435373</c:v>
                </c:pt>
                <c:pt idx="163">
                  <c:v>0.2</c:v>
                </c:pt>
                <c:pt idx="164">
                  <c:v>0</c:v>
                </c:pt>
                <c:pt idx="165" formatCode="0.0%">
                  <c:v>0.16453713375764123</c:v>
                </c:pt>
                <c:pt idx="166">
                  <c:v>0.21700929234609054</c:v>
                </c:pt>
                <c:pt idx="167">
                  <c:v>0.11206497516919192</c:v>
                </c:pt>
                <c:pt idx="168" formatCode="0.00%">
                  <c:v>0.14621747976544702</c:v>
                </c:pt>
                <c:pt idx="169" formatCode="0.0%">
                  <c:v>4.6969696969696974E-2</c:v>
                </c:pt>
                <c:pt idx="170" formatCode="0.0%">
                  <c:v>0</c:v>
                </c:pt>
                <c:pt idx="171" formatCode="0.0%">
                  <c:v>0.1</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0.41666666666666669</c:v>
                </c:pt>
                <c:pt idx="181" formatCode="0.0%">
                  <c:v>0.16517857142857142</c:v>
                </c:pt>
                <c:pt idx="182" formatCode="0.0%">
                  <c:v>0.1</c:v>
                </c:pt>
                <c:pt idx="183" formatCode="0.0%">
                  <c:v>0.18571428571428572</c:v>
                </c:pt>
                <c:pt idx="184" formatCode="0.0%">
                  <c:v>0.25</c:v>
                </c:pt>
                <c:pt idx="185" formatCode="0.0%">
                  <c:v>0.125</c:v>
                </c:pt>
                <c:pt idx="186" formatCode="0.0%">
                  <c:v>0.29987815680395957</c:v>
                </c:pt>
                <c:pt idx="187" formatCode="0.0%">
                  <c:v>0.5357142857142857</c:v>
                </c:pt>
                <c:pt idx="188" formatCode="0.0%">
                  <c:v>0.16888198757763975</c:v>
                </c:pt>
                <c:pt idx="189" formatCode="0.0%">
                  <c:v>5.2526595744680854E-2</c:v>
                </c:pt>
                <c:pt idx="190" formatCode="0.0%">
                  <c:v>0.44238975817923187</c:v>
                </c:pt>
                <c:pt idx="191" formatCode="0.0%">
                  <c:v>0.18177708333333334</c:v>
                </c:pt>
                <c:pt idx="192" formatCode="0.0%">
                  <c:v>0.11355416666666666</c:v>
                </c:pt>
                <c:pt idx="193" formatCode="0.0%">
                  <c:v>0.25</c:v>
                </c:pt>
                <c:pt idx="194" formatCode="0.0%">
                  <c:v>5.5555555555555552E-2</c:v>
                </c:pt>
                <c:pt idx="195">
                  <c:v>5.5555555555555552E-2</c:v>
                </c:pt>
                <c:pt idx="196" formatCode="0.0%">
                  <c:v>0.14121410736579273</c:v>
                </c:pt>
                <c:pt idx="197" formatCode="0.0%">
                  <c:v>6.5308988764044951E-2</c:v>
                </c:pt>
                <c:pt idx="198" formatCode="0.0%">
                  <c:v>0.125</c:v>
                </c:pt>
                <c:pt idx="199" formatCode="0.0%">
                  <c:v>0.23333333333333331</c:v>
                </c:pt>
                <c:pt idx="200" formatCode="0.0%">
                  <c:v>0.14583333333333331</c:v>
                </c:pt>
                <c:pt idx="201" formatCode="0.0%">
                  <c:v>0.29166666666666663</c:v>
                </c:pt>
                <c:pt idx="202" formatCode="0.0%">
                  <c:v>0</c:v>
                </c:pt>
                <c:pt idx="203" formatCode="0.0%">
                  <c:v>0.13333333333333333</c:v>
                </c:pt>
                <c:pt idx="204" formatCode="0.0%">
                  <c:v>0.13333333333333333</c:v>
                </c:pt>
              </c:numCache>
            </c:numRef>
          </c:val>
          <c:extLst xmlns:c16r2="http://schemas.microsoft.com/office/drawing/2015/06/chart">
            <c:ext xmlns:c16="http://schemas.microsoft.com/office/drawing/2014/chart" uri="{C3380CC4-5D6E-409C-BE32-E72D297353CC}">
              <c16:uniqueId val="{00000001-31C6-440F-B8B6-A36988702B38}"/>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2"/>
          <c:order val="2"/>
          <c:invertIfNegative val="1"/>
          <c:cat>
            <c:strRef>
              <c:f>'PLAN DE DESARROLLO '!$B$3:$B$207</c:f>
              <c:strCache>
                <c:ptCount val="205"/>
                <c:pt idx="0">
                  <c:v>PILAR/LINEA ESTRATEGICA/PROGRAMA</c:v>
                </c:pt>
                <c:pt idx="1">
                  <c:v>PLAN DE DESARROLLO "SALVEMOS JUNTOS A CARTAGENA 2020 - 2023)</c:v>
                </c:pt>
                <c:pt idx="2">
                  <c:v>PILAR RESILIENTE</c:v>
                </c:pt>
                <c:pt idx="3">
                  <c:v>LINEA ESTRATEGICA  “SALVEMOS JUNTOS NUESTRO PATRIMONIO NATURAL” </c:v>
                </c:pt>
                <c:pt idx="4">
                  <c:v>Programa Recuperar y Restaurar Nuestras Áreas Naturales (Bosques  y  Biodiversidad y servicios Eco sistémicos)</c:v>
                </c:pt>
                <c:pt idx="5">
                  <c:v>Programa Ordenamiento Ambiental y Adaptación al Cambio Climático para la Sostenibilidad Ambiental. (Mitigación y Gestión del Riesgo Ambiental)</c:v>
                </c:pt>
                <c:pt idx="6">
                  <c:v>Programa Aseguramiento, Monitoreo, Control y Vigilancia Ambiental  (Sistema integrado de Monitoreo Ambiental)               </c:v>
                </c:pt>
                <c:pt idx="7">
                  <c:v>Programa Investigación, Educación y Cultura Ambiental (Educación y Cultura Ambiental)</c:v>
                </c:pt>
                <c:pt idx="8">
                  <c:v>Programa Salvemos Juntos Nuestro Recurso Hídrico (Gestión integral del Recurso Hídrico)</c:v>
                </c:pt>
                <c:pt idx="9">
                  <c:v>Programa Negocios verdes, Economía Circular, Producción y consumo sostenible (Negocios verdes Inclusivos)</c:v>
                </c:pt>
                <c:pt idx="10">
                  <c:v>Programa Instituciones ambientales más modernas, eficientes y transparentes. (Fortalecimiento Institucional)</c:v>
                </c:pt>
                <c:pt idx="11">
                  <c:v>Programa Bienestar y Protección animal</c:v>
                </c:pt>
                <c:pt idx="12">
                  <c:v>LÍNEA ESTRATÉGICA ESPACIO PÚBLICO, MOVILIDAD Y TRANSPORTE RESILIENTE</c:v>
                </c:pt>
                <c:pt idx="13">
                  <c:v>Programa Sostenibilidad del Espacio Público</c:v>
                </c:pt>
                <c:pt idx="14">
                  <c:v>Programa Recuperación del Espacio Público </c:v>
                </c:pt>
                <c:pt idx="15">
                  <c:v>Programa Generación del Espacio Público  </c:v>
                </c:pt>
                <c:pt idx="16">
                  <c:v>Programa Movilidad en Cartagena  </c:v>
                </c:pt>
                <c:pt idx="17">
                  <c:v>Programa Transporte para todos</c:v>
                </c:pt>
                <c:pt idx="18">
                  <c:v>Programa Reducción de la Siniestralidad vial </c:v>
                </c:pt>
                <c:pt idx="19">
                  <c:v>Programa Fortalecimiento de la capacidad de respuesta del Departamento Administrativo de Tránsito y Transporte</c:v>
                </c:pt>
                <c:pt idx="20">
                  <c:v>Programa Movilidad Sostenible en el Distrito de Cartagena</c:v>
                </c:pt>
                <c:pt idx="21">
                  <c:v>LÍNEA ESTRATÉGICA DESARROLLO URBANO </c:v>
                </c:pt>
                <c:pt idx="22">
                  <c:v>Programa Cartagena se Mueve</c:v>
                </c:pt>
                <c:pt idx="23">
                  <c:v>Programa Sistema Hídrico y Plan maestro de drenajes pluviales en la ciudad para salvar el hábitat</c:v>
                </c:pt>
                <c:pt idx="24">
                  <c:v>Programa Cartagena Ciudad de Bordes y Orillas Resiliente </c:v>
                </c:pt>
                <c:pt idx="25">
                  <c:v>Programa Cartagena se Conecta</c:v>
                </c:pt>
                <c:pt idx="26">
                  <c:v>Programa Integral de Caños, lagos, lagunas y ciénagas de Cartagena de Indias</c:v>
                </c:pt>
                <c:pt idx="27">
                  <c:v>LÍNEA ESTRATÉGICA GESTIÓN DEL RIESGO.</c:v>
                </c:pt>
                <c:pt idx="28">
                  <c:v>Programa Conocimiento del Riesgo</c:v>
                </c:pt>
                <c:pt idx="29">
                  <c:v>Programa Reducción del Riesgo</c:v>
                </c:pt>
                <c:pt idx="30">
                  <c:v>Programa Manejo de Desastre</c:v>
                </c:pt>
                <c:pt idx="31">
                  <c:v>Programa Fortalecimiento Cuerpo de Bomberos</c:v>
                </c:pt>
                <c:pt idx="32">
                  <c:v>LÍNEA ESTRATÉGICA VIVIENDA  PARA TODOS</c:v>
                </c:pt>
                <c:pt idx="33">
                  <c:v>Programa Juntos por una Vivienda Digna</c:v>
                </c:pt>
                <c:pt idx="34">
                  <c:v>Programa Mejoro Mi Casa, compromiso de todos</c:v>
                </c:pt>
                <c:pt idx="35">
                  <c:v>Programa ¡Mi Casa a lo Legal!</c:v>
                </c:pt>
                <c:pt idx="36">
                  <c:v>Programa Un Lugar apto para mi hogar</c:v>
                </c:pt>
                <c:pt idx="37">
                  <c:v>Programa Mi Casa, Mi Entorno, Mi Hábitat    </c:v>
                </c:pt>
                <c:pt idx="38">
                  <c:v>LÍNEA ESTRATÉGICA SERVICIOS PÚBLICOS BÁSICOS DEL DISTRITO DE CARTAGENA DE INDIAS: “TODOS CON TODO”</c:v>
                </c:pt>
                <c:pt idx="39">
                  <c:v>Programa de Ahorro y Uso Eficiente De Los Servicios Públicos, "Agua y Saneamiento Básico Para Todos”</c:v>
                </c:pt>
                <c:pt idx="40">
                  <c:v>Programa Energía Asequible, Confiable Sostenible y Moderna Para Todos.</c:v>
                </c:pt>
                <c:pt idx="41">
                  <c:v>Programa Gestión Integral De Residuos Sólidos "Cultura ciudadana para el reciclaje inclusivo y la economía circular"</c:v>
                </c:pt>
                <c:pt idx="42">
                  <c:v>Programa Sistema de Información De Los Servicios Públicos, “Servinfo”</c:v>
                </c:pt>
                <c:pt idx="43">
                  <c:v>Programa Cementerios</c:v>
                </c:pt>
                <c:pt idx="44">
                  <c:v>LÍNEA ESTRATÉGICA INSTRUMENTOS DE ORDENAMIENTO TERRITORIAL.</c:v>
                </c:pt>
                <c:pt idx="45">
                  <c:v>Programa Plan de Ordenamiento Territorial y Especial de Manejo de Patrimonio.</c:v>
                </c:pt>
                <c:pt idx="46">
                  <c:v>Programa Administrando Juntos El Control Urbano</c:v>
                </c:pt>
                <c:pt idx="47">
                  <c:v>Programa Ordenación territorial y  Recuperación social, ambiental y Urbana de la Ciénaga de la Virgen.</c:v>
                </c:pt>
                <c:pt idx="48">
                  <c:v>PILAR CARTAGENA INCLUYENTE</c:v>
                </c:pt>
                <c:pt idx="49">
                  <c:v>LÍNEA ESTRATÉGICA: SUPERACIÓN DE LA POBREZA Y DESIGUALDAD.</c:v>
                </c:pt>
                <c:pt idx="50">
                  <c:v>Programa: Identificación para la superación de la pobreza extrema y desigualdad </c:v>
                </c:pt>
                <c:pt idx="51">
                  <c:v>Programa: Salud para la superación de la pobreza extrema y desigualdad </c:v>
                </c:pt>
                <c:pt idx="52">
                  <c:v>Programa: Educación para la superación de la pobreza extrema y la desigualdad</c:v>
                </c:pt>
                <c:pt idx="53">
                  <c:v>Programa: Habitabilidad para la superación de la pobreza extrema y la desigualdad</c:v>
                </c:pt>
                <c:pt idx="54">
                  <c:v>Programa Ingresos y trabajo para la superación de la pobreza extrema y desigualdad </c:v>
                </c:pt>
                <c:pt idx="55">
                  <c:v>Programa: Bancarización para la superación de la pobreza extrema y desigualdad </c:v>
                </c:pt>
                <c:pt idx="56">
                  <c:v>Programa: Dinámica Familiar para la Superación de la Pobreza Extrema</c:v>
                </c:pt>
                <c:pt idx="57">
                  <c:v>Programa Seguridad alimentaria y nutrición para la superación de la pobreza extrema</c:v>
                </c:pt>
                <c:pt idx="58">
                  <c:v>Programa: Acceso a la justicia para la superación de la pobreza extrema y desigualdad</c:v>
                </c:pt>
                <c:pt idx="59">
                  <c:v>Programa: Fortalecimiento institucional para superación de la pobreza extrema y desigualdad</c:v>
                </c:pt>
                <c:pt idx="60">
                  <c:v>LÍNEA EDUCACIÓN: CULTURA DE LA FORMACIÓN “Con la Educación para Todos y Todas Salvamos Juntos a Cartagena”</c:v>
                </c:pt>
                <c:pt idx="61">
                  <c:v>Programa: Acogida “atención a poblaciones y estrategias de acceso y permanencia”</c:v>
                </c:pt>
                <c:pt idx="62">
                  <c:v>Programa: Sabiduría de la primera infancia “grandes banderas, gesto e ideas para cambiar el planeta”</c:v>
                </c:pt>
                <c:pt idx="63">
                  <c:v>Programa: Formando con amor “Genio Singular”</c:v>
                </c:pt>
                <c:pt idx="64">
                  <c:v>Programa Desarrollo de potencialidades</c:v>
                </c:pt>
                <c:pt idx="65">
                  <c:v>Programa Participación, democracia y autonomía</c:v>
                </c:pt>
                <c:pt idx="66">
                  <c:v>Programa de Educación mediada a través de tecnologías de la información y las comunicaciones-Tic´s</c:v>
                </c:pt>
                <c:pt idx="67">
                  <c:v>Programa: Educación para transformar “educación media técnica y superior”</c:v>
                </c:pt>
                <c:pt idx="68">
                  <c:v>Programa: Movilización educativa “Por una gestión educativa transparente, participativa y eficiente”</c:v>
                </c:pt>
                <c:pt idx="69">
                  <c:v>Programa: Por una Educación Post secundaria Distrital</c:v>
                </c:pt>
                <c:pt idx="70">
                  <c:v>Programa Fortalecimiento de la oferta de educación superior oficial del Distrito de Cartagena D. T. y C.</c:v>
                </c:pt>
                <c:pt idx="71">
                  <c:v>LÍNEA ESTRATÉGICA SALUD PARA TODOS.</c:v>
                </c:pt>
                <c:pt idx="72">
                  <c:v>Programa: Fortalecimiento de la autoridad sanitaria</c:v>
                </c:pt>
                <c:pt idx="73">
                  <c:v>Programa: Transversal gestión diferencial de poblaciones vulnerables</c:v>
                </c:pt>
                <c:pt idx="74">
                  <c:v>Programa Salud ambiental</c:v>
                </c:pt>
                <c:pt idx="75">
                  <c:v>Programa: Vida saludable y condiciones no transmisibles</c:v>
                </c:pt>
                <c:pt idx="76">
                  <c:v>Programa: Convivencia social y salud mental</c:v>
                </c:pt>
                <c:pt idx="77">
                  <c:v>Programa Nutrición e inocuidad de alimentos</c:v>
                </c:pt>
                <c:pt idx="78">
                  <c:v>Programa Sexualidad, derechos sexuales y reproductivos</c:v>
                </c:pt>
                <c:pt idx="79">
                  <c:v>Programa: Vida saludable y enfermedades transmisibles</c:v>
                </c:pt>
                <c:pt idx="80">
                  <c:v>Programa: Salud pública en emergencias y desastres</c:v>
                </c:pt>
                <c:pt idx="81">
                  <c:v>Programa: Salud y ámbito laboral</c:v>
                </c:pt>
                <c:pt idx="82">
                  <c:v>LÍNEA ESTRATÉGICA: DEPORTE Y RECREACIÓN PARA  LA TRANSFORMACIÓN SOCIAL </c:v>
                </c:pt>
                <c:pt idx="83">
                  <c:v>Programa “La escuela y el deporte son de todos” </c:v>
                </c:pt>
                <c:pt idx="84">
                  <c:v>Programa: Deporte asociado “incentivos con-sentido”</c:v>
                </c:pt>
                <c:pt idx="85">
                  <c:v>Programa: Deporte social comunitario con inclusión “Cartagena Incluyente”</c:v>
                </c:pt>
                <c:pt idx="86">
                  <c:v>Programa: Hábitos y estilos de vida saludable “actívate por tu salud”.</c:v>
                </c:pt>
                <c:pt idx="87">
                  <c:v>Programa: Recreación comunitaria “Recréate Cartagena” </c:v>
                </c:pt>
                <c:pt idx="88">
                  <c:v>Programa: Observatorio de ciencias aplicadas al deporte, la recreación, la actividad física y el aprovechamiento del tiempo libre en el distrito de Cartagena de indias.</c:v>
                </c:pt>
                <c:pt idx="89">
                  <c:v>Programa Administración, Mantenimiento, Adecuación, Mejoramiento y Construcción de Escenarios Deportivos  </c:v>
                </c:pt>
                <c:pt idx="90">
                  <c:v>LÍNEA ESTRATÉGICA ARTES, CULTURA Y PATRIMONIO PARA UNA CARTAGENA INCLUYENTE</c:v>
                </c:pt>
                <c:pt idx="91">
                  <c:v> Programa: Mediación  y bibliotecas para la Inclusión </c:v>
                </c:pt>
                <c:pt idx="92">
                  <c:v>Programa: Estímulos para las artes y el Emprendimiento incluyente</c:v>
                </c:pt>
                <c:pt idx="93">
                  <c:v>Programa: Patrimonio Inmaterial: Prácticas significativas para la memoria</c:v>
                </c:pt>
                <c:pt idx="94">
                  <c:v> Programa: Valoración, Cuidado y Apropiación Social del Patrimonio Material</c:v>
                </c:pt>
                <c:pt idx="95">
                  <c:v>Programa: Derechos culturales y buen gobierno para el fortalecimiento institucional y ciudadano</c:v>
                </c:pt>
                <c:pt idx="96">
                  <c:v>Programa: Infraestructura Cultural para la Inclusión</c:v>
                </c:pt>
                <c:pt idx="97">
                  <c:v>LÍNEA ESTRATÉGICA: PLANEACIÓN SOCIAL DEL TERRITORIO </c:v>
                </c:pt>
                <c:pt idx="98">
                  <c:v>Programa: Instrumentos de planificación social del territorio </c:v>
                </c:pt>
                <c:pt idx="99">
                  <c:v>Programa: Catastro multipropósito</c:v>
                </c:pt>
                <c:pt idx="100">
                  <c:v>PILAR CARTAGENA CONTINGENTE </c:v>
                </c:pt>
                <c:pt idx="101">
                  <c:v> LÍNEA ESTRATÉGICA: DESARROLLO ECONÓMICO Y EMPLEABILIDAD</c:v>
                </c:pt>
                <c:pt idx="102">
                  <c:v>Programa: Centros para el emprendimiento y la gestión de la empleabilidad en Cartagena de Indias </c:v>
                </c:pt>
                <c:pt idx="103">
                  <c:v>Programa: Mujeres con Autonomía Económica</c:v>
                </c:pt>
                <c:pt idx="104">
                  <c:v>Programa: "Empleo Inclusivo Para Los Jóvenes”</c:v>
                </c:pt>
                <c:pt idx="105">
                  <c:v>Programa: Encadenamientos productivos</c:v>
                </c:pt>
                <c:pt idx="106">
                  <c:v>Programa: Cartagena facilita el emprendimiento</c:v>
                </c:pt>
                <c:pt idx="107">
                  <c:v>Programa: Zonas de aglomeración productiva</c:v>
                </c:pt>
                <c:pt idx="108">
                  <c:v>Programa: Cierre de brechas de empleabilidad</c:v>
                </c:pt>
                <c:pt idx="109">
                  <c:v>Programa: Cierre de brechas de capital humano</c:v>
                </c:pt>
                <c:pt idx="110">
                  <c:v>Programa: Desarrollo del ecosistema digital basado en la cuarta revolución industrial</c:v>
                </c:pt>
                <c:pt idx="111">
                  <c:v>Programa: Cartagena emprendedora para pequeños productores rurales</c:v>
                </c:pt>
                <c:pt idx="112">
                  <c:v>Programa: Sistemas de Mercados públicos</c:v>
                </c:pt>
                <c:pt idx="113">
                  <c:v>Programa: Más Cooperación Internacional</c:v>
                </c:pt>
                <c:pt idx="114">
                  <c:v>LÍNEA ESTRATÉGICA: COMPETITIVIDAD E INNOVACIÓN</c:v>
                </c:pt>
                <c:pt idx="115">
                  <c:v>Programa: Cartagena ciudad Innovadora</c:v>
                </c:pt>
                <c:pt idx="116">
                  <c:v>Programa: Cartagena destino de inversión</c:v>
                </c:pt>
                <c:pt idx="117">
                  <c:v>Programa: Cartagena fomenta la ciencia, tecnología e innovación agropecuaria: juntos por la extensión agropecuaria a pequeños productores.</c:v>
                </c:pt>
                <c:pt idx="118">
                  <c:v>LÍNEA ESTRATÉGICA: TURISMO, MOTOR DE REACTIVACIÓN ECONÓMICA PARA CARTAGENA DE INDIAS</c:v>
                </c:pt>
                <c:pt idx="119">
                  <c:v>Programa: Promoción Nacional e Internacional de Cartagena de Indias</c:v>
                </c:pt>
                <c:pt idx="120">
                  <c:v>Programa: Conectividad</c:v>
                </c:pt>
                <c:pt idx="121">
                  <c:v>Programa: Turismo Competitivo y Sostenible</c:v>
                </c:pt>
                <c:pt idx="122">
                  <c:v>LÍNEA ESTRATÉGICA: PLANEACIÓN E INTEGRACIÓN CONTINGENTE DEL TERRITORIO</c:v>
                </c:pt>
                <c:pt idx="123">
                  <c:v>Programa Integración y proyectos entre ciudades</c:v>
                </c:pt>
                <c:pt idx="124">
                  <c:v>Programa: Normas de promoción del desarrollo urbano y económico</c:v>
                </c:pt>
                <c:pt idx="125">
                  <c:v>PILAR CARTAGENA TRANSPARENTE</c:v>
                </c:pt>
                <c:pt idx="126">
                  <c:v>LÍNEA ESTRATÉGICA GESTIÓN Y DESEMPEÑO INSTITUCIONAL PARA LA GOBERNANZA</c:v>
                </c:pt>
                <c:pt idx="127">
                  <c:v>Programa: Gestión pública integrada y transparente</c:v>
                </c:pt>
                <c:pt idx="128">
                  <c:v>Programa: Transparencia para el fortalecimiento de la   confianza en las instituciones del distrito de Cartagena.</c:v>
                </c:pt>
                <c:pt idx="129">
                  <c:v>LÍNEA ESTRATÉGICA: CARTAGENA INTELIGENTE CON TODOS Y PARA  TODOS</c:v>
                </c:pt>
                <c:pt idx="130">
                  <c:v>Programa: Cartagena inteligente con todos y para todos</c:v>
                </c:pt>
                <c:pt idx="131">
                  <c:v>Programa: Cartageneros conectados y alfabetizados</c:v>
                </c:pt>
                <c:pt idx="132">
                  <c:v>Programa: Cartagena hacia la modernidad</c:v>
                </c:pt>
                <c:pt idx="133">
                  <c:v>Programa: Organización y recuperación del patrimonio público del distrito de Cartagena </c:v>
                </c:pt>
                <c:pt idx="134">
                  <c:v>Programa: Premio Jorge Piedrahita Aduen</c:v>
                </c:pt>
                <c:pt idx="135">
                  <c:v>LÍNEA ESTRATÉGICA: CONVIVENCIA Y SEGURIDAD PARA LA GOBERNABILIDAD</c:v>
                </c:pt>
                <c:pt idx="136">
                  <c:v>Programa:   Plan integral de seguridad y convivencia ciudadana</c:v>
                </c:pt>
                <c:pt idx="137">
                  <c:v>Programa:    Fortalecimiento de la convivencia y la seguridad ciudadana</c:v>
                </c:pt>
                <c:pt idx="138">
                  <c:v>Programa:   Mejorar la convivencia ciudadana con la implementación del código nacional de policía y convivencia</c:v>
                </c:pt>
                <c:pt idx="139">
                  <c:v>Programa:    Fortalecimiento capacidad operativa de la secretaria del interior y convivencia ciudadana</c:v>
                </c:pt>
                <c:pt idx="140">
                  <c:v>Programa:   Promoción al acceso a la justicia</c:v>
                </c:pt>
                <c:pt idx="141">
                  <c:v>Programa:    Asistencia y atención integral a los niños, niñas,  adolescentes y jóvenes en riesgo de vincularse a actividades delictivas</c:v>
                </c:pt>
                <c:pt idx="142">
                  <c:v>Programa:    Fortalecimiento sistema de responsabilidad penal para adolescentes –SRPA</c:v>
                </c:pt>
                <c:pt idx="143">
                  <c:v>Programa: Implementación y sostenimiento de herramientas tecnológicas para seguridad y socorro</c:v>
                </c:pt>
                <c:pt idx="144">
                  <c:v>Programa: Optimización de la infraestructura y movilidad de los organismos de seguridad y socorro</c:v>
                </c:pt>
                <c:pt idx="145">
                  <c:v>Programa: Vigilancia de las playas del distrito de Cartagena</c:v>
                </c:pt>
                <c:pt idx="146">
                  <c:v>Programa Convivencia para la Seguridad</c:v>
                </c:pt>
                <c:pt idx="147">
                  <c:v>LÍNEA ESTRATÉGICA DERECHOS HUMANOS PARA LA PAZ</c:v>
                </c:pt>
                <c:pt idx="148">
                  <c:v>Programa: Prevención, promoción y protección de los derechos humanos en el distrito de Cartagena</c:v>
                </c:pt>
                <c:pt idx="149">
                  <c:v>Programa:   Sistema penitenciario y carcelario en el marco de los derechos humanos</c:v>
                </c:pt>
                <c:pt idx="150">
                  <c:v>LÍNEA ESTRATÉGICA: ATENCIÓN Y REPARACIÓN A VICTIMAS PARA LA CONSTRUCCIÓN DE LA  PAZ TERRITORIAL</c:v>
                </c:pt>
                <c:pt idx="151">
                  <c:v>Programa: Atención, asistencia y reparación integral a las víctimas</c:v>
                </c:pt>
                <c:pt idx="152">
                  <c:v>Programa: Construcción de paz territorial</c:v>
                </c:pt>
                <c:pt idx="153">
                  <c:v>LÍNEA ESTRATÉGICA: CULTURA CIUDADANA PARA LA DEMOCRACIA Y LA PAZ</c:v>
                </c:pt>
                <c:pt idx="154">
                  <c:v>Programa: Servidor y servidora pública al servicio de la ciudadanía</c:v>
                </c:pt>
                <c:pt idx="155">
                  <c:v>Programa: Ciudadanía libre, incluyente y transformadora</c:v>
                </c:pt>
                <c:pt idx="156">
                  <c:v>Programa: Cartagena te quiere, quiere a Cartagena: plan decenal de cultura ciudadana y Cartageneidad.</c:v>
                </c:pt>
                <c:pt idx="157">
                  <c:v>Programa: Yo soy Cartagena</c:v>
                </c:pt>
                <c:pt idx="158">
                  <c:v>Programa: Nuestra Cartagena soñada.</c:v>
                </c:pt>
                <c:pt idx="159">
                  <c:v>Programa Conéctate Con Cartagena</c:v>
                </c:pt>
                <c:pt idx="160">
                  <c:v>LÍNEA ESTRATÉGICA: PARTICIPACIÓN Y DESCENTRALIZACIÓN </c:v>
                </c:pt>
                <c:pt idx="161">
                  <c:v>Programa: Participando salvamos a Cartagena</c:v>
                </c:pt>
                <c:pt idx="162">
                  <c:v>Programa: Modernización del Sistema Distrital de Planeación y Descentralización  </c:v>
                </c:pt>
                <c:pt idx="163">
                  <c:v>Programa: Políticas Públicas intersectoriales y con visión Integral de enfoques basados en derechos humanos </c:v>
                </c:pt>
                <c:pt idx="164">
                  <c:v>Programa:   Presupuesto participativo</c:v>
                </c:pt>
                <c:pt idx="165">
                  <c:v>LÍNEA ESTRATÉGICA: FINANZAS PÚBLICAS PARA SALVAR A CARTAGENA</c:v>
                </c:pt>
                <c:pt idx="166">
                  <c:v>Programa: Finanzas sostenibles para salvar a Cartagena</c:v>
                </c:pt>
                <c:pt idx="167">
                  <c:v>Programa: Saneamiento fiscal y financiero</c:v>
                </c:pt>
                <c:pt idx="168">
                  <c:v>EJE TRANSVERSAL: CARTAGENA CON ATENCION Y GARANTIA DE DERECHOS A POBLACION DIFERENCIAL.</c:v>
                </c:pt>
                <c:pt idx="169">
                  <c:v>LINEA ESTRATEGICA PARA LA EQUIDAD E INCLUSIÓN DE LOS NEGROS, AFROS, PALENQUEROS E INDIGENA.</c:v>
                </c:pt>
                <c:pt idx="170">
                  <c:v>Fortalecimiento de Población Negra, Afrocolombiana, Raizal y Palenquera en el Distrito de Cartagena </c:v>
                </c:pt>
                <c:pt idx="171">
                  <c:v>Fortalecimiento e Inclusión Productiva para Población Negra, Afrocolombiana, Raizal y Palenquera en el Distrito de Cartagena.</c:v>
                </c:pt>
                <c:pt idx="172">
                  <c:v>Programa: Inclusión Educativa para el Desarrollo para Población Negra, Afrocolombiana, Raizal y Palenquera en el Distrito de Cartagena.</c:v>
                </c:pt>
                <c:pt idx="173">
                  <c:v>Programa: Promoción, Prevención y Atención En Salud para población Negra, Afrocolombiana, Raizal y Palenquera en el Distrito De Cartagena.</c:v>
                </c:pt>
                <c:pt idx="174">
                  <c:v>Programa: Sostenibilidad Ambiental y Fomento Tradicional</c:v>
                </c:pt>
                <c:pt idx="175">
                  <c:v>Programa: Sostenibilidad Cultural como Garantía de Permanencia.</c:v>
                </c:pt>
                <c:pt idx="176">
                  <c:v>Programa: Fortalecimiento de la Población Indígena en el Distrito de Cartagena.</c:v>
                </c:pt>
                <c:pt idx="177">
                  <c:v>Programa: Educación con Enfoque Diferencial Indígena SISTEMA EDUCATIVO INDIGENA PROPIO - SEIP</c:v>
                </c:pt>
                <c:pt idx="178">
                  <c:v>Programa: Intercultural de Salud Propia Preventiva Indígena- SISPI</c:v>
                </c:pt>
                <c:pt idx="179">
                  <c:v>Programa: Integridad Cultural, Gobierno Propio, Vivienda y Hábitat para las Comunidades Indígenas en el Distrito Cartagena</c:v>
                </c:pt>
                <c:pt idx="180">
                  <c:v>Programa: Empoderamiento del Liderazgo de las Mujeres, Niñez, Jóvenes, Familia y Generación Indígena</c:v>
                </c:pt>
                <c:pt idx="181">
                  <c:v>LINEA ESTRATEGICA MUJERES CARTAGENERAS POR SUS DERECHOS.</c:v>
                </c:pt>
                <c:pt idx="182">
                  <c:v>Programa: Las Mujeres Decidimos Sobre el Ejercicio del Poder</c:v>
                </c:pt>
                <c:pt idx="183">
                  <c:v>Programa: Una Vida Libre de Violencias para las Mujeres</c:v>
                </c:pt>
                <c:pt idx="184">
                  <c:v>Programa: Mujer, Constructoras De Paz</c:v>
                </c:pt>
                <c:pt idx="185">
                  <c:v>Programa: Cartagena Libre de una Cultura Machista</c:v>
                </c:pt>
                <c:pt idx="186">
                  <c:v>LINEA ESTRATEGICA: INCLUSION Y OPORTUNIDAD PARA NIÑOS, NIÑAS Y ADOLESCENTES Y FAMILIAS.</c:v>
                </c:pt>
                <c:pt idx="187">
                  <c:v>Programa: Comprometidos con la Salvación de Nuestra Primera Infancia</c:v>
                </c:pt>
                <c:pt idx="188">
                  <c:v>Programa Protección de la Infancia y la Adolescencia para la Prevención y atención de Violencias.</c:v>
                </c:pt>
                <c:pt idx="189">
                  <c:v>Programa los Niños, las Niñas y Adolescentes de Cartagena Participan y Disfrutan sus Derechos.</c:v>
                </c:pt>
                <c:pt idx="190">
                  <c:v>Programa Fortalecimiento Familiar.</c:v>
                </c:pt>
                <c:pt idx="191">
                  <c:v>LINEA ESTRATEGICA JOVENES SALVANDO A CARTAGENA</c:v>
                </c:pt>
                <c:pt idx="192">
                  <c:v>Programa: Jóvenes Participando y Salvando a Cartagena</c:v>
                </c:pt>
                <c:pt idx="193">
                  <c:v>Programa: Política Pública De Juventud</c:v>
                </c:pt>
                <c:pt idx="194">
                  <c:v>LINEA ESTRATEGICA EN CARTAGENA SALVAMOS NUESTROS ADULTOS MAYORES.</c:v>
                </c:pt>
                <c:pt idx="195">
                  <c:v>Programa: Atención Integral Para Mantener a Salvo a los Adultos Mayores</c:v>
                </c:pt>
                <c:pt idx="196">
                  <c:v>LÍNEA ESTRATÉGICA: TODOS POR LA PROTECCIÓN SOCIAL DE LAS PERSONAS CON DISCAPACIDAD: “RECONOCIDAS, EMPODERADAS Y RESPETADAS”.</c:v>
                </c:pt>
                <c:pt idx="197">
                  <c:v>Programa: Gestión Social Integral y Articuladora por la Protección de las Personas Con Discapacidad y/o su Familia o Cuidador.</c:v>
                </c:pt>
                <c:pt idx="198">
                  <c:v>Programa: Pacto o Alianza Por La Inclusión Social y Productiva de las Personas Con Discapacidad.</c:v>
                </c:pt>
                <c:pt idx="199">
                  <c:v>Programa: Desarrollo Local Inclusivo de las Personas Con Discapacidad: Reconocimiento de Capacidades, Diferencias y Diversidad.</c:v>
                </c:pt>
                <c:pt idx="200">
                  <c:v>LINEA ESTRATEGICA TRATO HUMANITARIO AL HABITANTE DE CALLE</c:v>
                </c:pt>
                <c:pt idx="201">
                  <c:v>Programa: Habitante De Calle Con Desarrollo Humano Integral </c:v>
                </c:pt>
                <c:pt idx="202">
                  <c:v>Programa Formación Para El Trabajo - Generación De Ingresos y Responsabilidad Social Empresarial.</c:v>
                </c:pt>
                <c:pt idx="203">
                  <c:v>LINEA ESTRATEGICA DIVERSIDAD SEXUAL Y NUEVAS IDENTIDADES DE GÉNERO.</c:v>
                </c:pt>
                <c:pt idx="204">
                  <c:v>Programa: Diversidad Sexual e Identidades de Género</c:v>
                </c:pt>
              </c:strCache>
            </c:strRef>
          </c:cat>
          <c:val>
            <c:numRef>
              <c:f>'PLAN DE DESARROLLO '!$E$3:$E$207</c:f>
              <c:numCache>
                <c:formatCode>0.00%</c:formatCode>
                <c:ptCount val="205"/>
                <c:pt idx="0" formatCode="General">
                  <c:v>0</c:v>
                </c:pt>
                <c:pt idx="1">
                  <c:v>0.20342900154563412</c:v>
                </c:pt>
                <c:pt idx="2">
                  <c:v>0.20799153966236636</c:v>
                </c:pt>
                <c:pt idx="3" formatCode="0.0%">
                  <c:v>0.2188879633553133</c:v>
                </c:pt>
                <c:pt idx="4" formatCode="0%">
                  <c:v>0.28833266666666668</c:v>
                </c:pt>
                <c:pt idx="5" formatCode="0%">
                  <c:v>0.20388888888888893</c:v>
                </c:pt>
                <c:pt idx="6" formatCode="0%">
                  <c:v>0.23333333333333331</c:v>
                </c:pt>
                <c:pt idx="7" formatCode="0%">
                  <c:v>0.25738888888888889</c:v>
                </c:pt>
                <c:pt idx="8" formatCode="0%">
                  <c:v>0.29000000000000004</c:v>
                </c:pt>
                <c:pt idx="9" formatCode="0%">
                  <c:v>0.16802168021680217</c:v>
                </c:pt>
                <c:pt idx="10" formatCode="0%">
                  <c:v>0.17142857142857143</c:v>
                </c:pt>
                <c:pt idx="11" formatCode="0%">
                  <c:v>0.13870967741935483</c:v>
                </c:pt>
                <c:pt idx="12">
                  <c:v>0.13261661828858617</c:v>
                </c:pt>
                <c:pt idx="13" formatCode="0.0%">
                  <c:v>0.16773504273504272</c:v>
                </c:pt>
                <c:pt idx="14" formatCode="0.0%">
                  <c:v>8.7037037037037038E-2</c:v>
                </c:pt>
                <c:pt idx="15" formatCode="0.0%">
                  <c:v>0.10126072649527484</c:v>
                </c:pt>
                <c:pt idx="16" formatCode="0.0%">
                  <c:v>0</c:v>
                </c:pt>
                <c:pt idx="17" formatCode="0.0%">
                  <c:v>0.1404494382022472</c:v>
                </c:pt>
                <c:pt idx="18" formatCode="0.0%">
                  <c:v>0.10539682539682539</c:v>
                </c:pt>
                <c:pt idx="19" formatCode="0.0%">
                  <c:v>0.12041873963515753</c:v>
                </c:pt>
                <c:pt idx="20" formatCode="0.0%">
                  <c:v>0.20601851851851852</c:v>
                </c:pt>
                <c:pt idx="21" formatCode="0.0%">
                  <c:v>0.14261289394985049</c:v>
                </c:pt>
                <c:pt idx="22" formatCode="0.0%">
                  <c:v>0.25</c:v>
                </c:pt>
                <c:pt idx="23" formatCode="0.0%">
                  <c:v>0.17298941798941803</c:v>
                </c:pt>
                <c:pt idx="24" formatCode="0.0%">
                  <c:v>7.1428571428571425E-2</c:v>
                </c:pt>
                <c:pt idx="25" formatCode="0.0%">
                  <c:v>9.3646480331262938E-2</c:v>
                </c:pt>
                <c:pt idx="26" formatCode="0.0%">
                  <c:v>0.125</c:v>
                </c:pt>
                <c:pt idx="27" formatCode="0.0%">
                  <c:v>0.32642857142857146</c:v>
                </c:pt>
                <c:pt idx="28" formatCode="0.0%">
                  <c:v>0.625</c:v>
                </c:pt>
                <c:pt idx="29" formatCode="0.0%">
                  <c:v>0.13095238095238096</c:v>
                </c:pt>
                <c:pt idx="30" formatCode="0.0%">
                  <c:v>0.22333333333333333</c:v>
                </c:pt>
                <c:pt idx="31" formatCode="0.0%">
                  <c:v>0</c:v>
                </c:pt>
                <c:pt idx="32" formatCode="0.0%">
                  <c:v>0.19809460317460317</c:v>
                </c:pt>
                <c:pt idx="33" formatCode="0.0%">
                  <c:v>0.34360000000000002</c:v>
                </c:pt>
                <c:pt idx="34" formatCode="0.0%">
                  <c:v>0.10242857142857142</c:v>
                </c:pt>
                <c:pt idx="35" formatCode="0.0%">
                  <c:v>0.14444444444444443</c:v>
                </c:pt>
                <c:pt idx="36" formatCode="0.0%">
                  <c:v>0.15</c:v>
                </c:pt>
                <c:pt idx="37" formatCode="0.0%">
                  <c:v>0.25</c:v>
                </c:pt>
                <c:pt idx="38" formatCode="0%">
                  <c:v>0.1409667941063065</c:v>
                </c:pt>
                <c:pt idx="39" formatCode="0%">
                  <c:v>0.17698934837092734</c:v>
                </c:pt>
                <c:pt idx="40" formatCode="0%">
                  <c:v>0.11764705882352942</c:v>
                </c:pt>
                <c:pt idx="41" formatCode="0%">
                  <c:v>1.9230769230769232E-2</c:v>
                </c:pt>
                <c:pt idx="42" formatCode="0%">
                  <c:v>0</c:v>
                </c:pt>
                <c:pt idx="43" formatCode="0%">
                  <c:v>0.25</c:v>
                </c:pt>
                <c:pt idx="44" formatCode="0%">
                  <c:v>0.29633333333333334</c:v>
                </c:pt>
                <c:pt idx="45" formatCode="0%">
                  <c:v>0.46399999999999997</c:v>
                </c:pt>
                <c:pt idx="46" formatCode="0%">
                  <c:v>0.15</c:v>
                </c:pt>
                <c:pt idx="47" formatCode="0%">
                  <c:v>0.27500000000000002</c:v>
                </c:pt>
                <c:pt idx="48">
                  <c:v>0.21388643886582148</c:v>
                </c:pt>
                <c:pt idx="49" formatCode="0.0%">
                  <c:v>6.8312536370888702E-2</c:v>
                </c:pt>
                <c:pt idx="50" formatCode="0.0%">
                  <c:v>5.0346931516594161E-2</c:v>
                </c:pt>
                <c:pt idx="51" formatCode="0.0%">
                  <c:v>6.0306826750188502E-2</c:v>
                </c:pt>
                <c:pt idx="52" formatCode="0.0%">
                  <c:v>2.0064725940894167E-2</c:v>
                </c:pt>
                <c:pt idx="53" formatCode="0.0%">
                  <c:v>7.4386520754645177E-2</c:v>
                </c:pt>
                <c:pt idx="54" formatCode="0.0%">
                  <c:v>2.8333333333333332E-2</c:v>
                </c:pt>
                <c:pt idx="55" formatCode="0.0%">
                  <c:v>0.10169220945083013</c:v>
                </c:pt>
                <c:pt idx="56" formatCode="0.0%">
                  <c:v>9.5606160896430717E-2</c:v>
                </c:pt>
                <c:pt idx="57" formatCode="0.0%">
                  <c:v>6.7931547619047628E-2</c:v>
                </c:pt>
                <c:pt idx="58" formatCode="0.0%">
                  <c:v>9.3333333333333338E-2</c:v>
                </c:pt>
                <c:pt idx="59" formatCode="0.0%">
                  <c:v>9.1123774113589823E-2</c:v>
                </c:pt>
                <c:pt idx="60" formatCode="0.0%">
                  <c:v>0.2668712925410216</c:v>
                </c:pt>
                <c:pt idx="61" formatCode="0.0%">
                  <c:v>0.17353059581320451</c:v>
                </c:pt>
                <c:pt idx="62" formatCode="0.0%">
                  <c:v>0.25</c:v>
                </c:pt>
                <c:pt idx="63" formatCode="0.0%">
                  <c:v>0.30213675213675217</c:v>
                </c:pt>
                <c:pt idx="64" formatCode="0.0%">
                  <c:v>0.26180555555555551</c:v>
                </c:pt>
                <c:pt idx="65" formatCode="0.0%">
                  <c:v>0.19269005847953213</c:v>
                </c:pt>
                <c:pt idx="66" formatCode="0.0%">
                  <c:v>0.1864788050898267</c:v>
                </c:pt>
                <c:pt idx="67" formatCode="0.0%">
                  <c:v>0.34623782500201239</c:v>
                </c:pt>
                <c:pt idx="68" formatCode="0.0%">
                  <c:v>0.56249999999999989</c:v>
                </c:pt>
                <c:pt idx="69" formatCode="0.0%">
                  <c:v>0.16</c:v>
                </c:pt>
                <c:pt idx="70" formatCode="0.0%">
                  <c:v>0.23333333333333331</c:v>
                </c:pt>
                <c:pt idx="71" formatCode="0.0%">
                  <c:v>0.2394246638627282</c:v>
                </c:pt>
                <c:pt idx="72" formatCode="0.0%">
                  <c:v>0.25</c:v>
                </c:pt>
                <c:pt idx="73" formatCode="0.0%">
                  <c:v>0.24998208836273181</c:v>
                </c:pt>
                <c:pt idx="74" formatCode="0.0%">
                  <c:v>0.25</c:v>
                </c:pt>
                <c:pt idx="75" formatCode="0.0%">
                  <c:v>0.21129629629629632</c:v>
                </c:pt>
                <c:pt idx="76" formatCode="0.0%">
                  <c:v>0.25</c:v>
                </c:pt>
                <c:pt idx="77" formatCode="0.0%">
                  <c:v>0.18296825396825395</c:v>
                </c:pt>
                <c:pt idx="78" formatCode="0.0%">
                  <c:v>0.25</c:v>
                </c:pt>
                <c:pt idx="79" formatCode="0.0%">
                  <c:v>0.25</c:v>
                </c:pt>
                <c:pt idx="80" formatCode="0.0%">
                  <c:v>0.25</c:v>
                </c:pt>
                <c:pt idx="81" formatCode="0.0%">
                  <c:v>0.25</c:v>
                </c:pt>
                <c:pt idx="82" formatCode="0%">
                  <c:v>0.3082928779956427</c:v>
                </c:pt>
                <c:pt idx="83" formatCode="0%">
                  <c:v>0.5</c:v>
                </c:pt>
                <c:pt idx="84" formatCode="0%">
                  <c:v>0</c:v>
                </c:pt>
                <c:pt idx="85" formatCode="0%">
                  <c:v>0.21937833333333331</c:v>
                </c:pt>
                <c:pt idx="86" formatCode="0%">
                  <c:v>0.20370370370370372</c:v>
                </c:pt>
                <c:pt idx="87" formatCode="0%">
                  <c:v>0.20588235294117649</c:v>
                </c:pt>
                <c:pt idx="88" formatCode="0%">
                  <c:v>0.2</c:v>
                </c:pt>
                <c:pt idx="89" formatCode="0%">
                  <c:v>0.21249999999999999</c:v>
                </c:pt>
                <c:pt idx="90" formatCode="0.0%">
                  <c:v>0.15979226242464764</c:v>
                </c:pt>
                <c:pt idx="91">
                  <c:v>0.11592962064099448</c:v>
                </c:pt>
                <c:pt idx="92" formatCode="0%">
                  <c:v>9.1637578350786314E-2</c:v>
                </c:pt>
                <c:pt idx="93" formatCode="0%">
                  <c:v>0.19290611814345993</c:v>
                </c:pt>
                <c:pt idx="94" formatCode="0%">
                  <c:v>0.11185168598407372</c:v>
                </c:pt>
                <c:pt idx="95" formatCode="0%">
                  <c:v>0.25</c:v>
                </c:pt>
                <c:pt idx="96" formatCode="0%">
                  <c:v>0.19642857142857142</c:v>
                </c:pt>
                <c:pt idx="97" formatCode="0.0%">
                  <c:v>0.24062499999999998</c:v>
                </c:pt>
                <c:pt idx="98" formatCode="0%">
                  <c:v>0.33124999999999999</c:v>
                </c:pt>
                <c:pt idx="99" formatCode="0%">
                  <c:v>0.15</c:v>
                </c:pt>
                <c:pt idx="100">
                  <c:v>0.28771667638221343</c:v>
                </c:pt>
                <c:pt idx="101">
                  <c:v>0.22721743663855876</c:v>
                </c:pt>
                <c:pt idx="102" formatCode="0%">
                  <c:v>3.7866666666666667E-2</c:v>
                </c:pt>
                <c:pt idx="103" formatCode="0%">
                  <c:v>8.0060506050605051E-2</c:v>
                </c:pt>
                <c:pt idx="104" formatCode="0%">
                  <c:v>5.8636363636363632E-2</c:v>
                </c:pt>
                <c:pt idx="105" formatCode="0%">
                  <c:v>0.58333333333333337</c:v>
                </c:pt>
                <c:pt idx="106" formatCode="0%">
                  <c:v>0.25</c:v>
                </c:pt>
                <c:pt idx="107" formatCode="0%">
                  <c:v>0</c:v>
                </c:pt>
                <c:pt idx="108" formatCode="0%">
                  <c:v>0</c:v>
                </c:pt>
                <c:pt idx="109" formatCode="0%">
                  <c:v>0</c:v>
                </c:pt>
                <c:pt idx="110" formatCode="0%">
                  <c:v>0.25</c:v>
                </c:pt>
                <c:pt idx="111" formatCode="0%">
                  <c:v>0.1</c:v>
                </c:pt>
                <c:pt idx="112" formatCode="0%">
                  <c:v>0.18506006006006007</c:v>
                </c:pt>
                <c:pt idx="113" formatCode="0%">
                  <c:v>0.5</c:v>
                </c:pt>
                <c:pt idx="114">
                  <c:v>0.31666666666666665</c:v>
                </c:pt>
                <c:pt idx="115" formatCode="0%">
                  <c:v>0.25</c:v>
                </c:pt>
                <c:pt idx="116" formatCode="0%">
                  <c:v>0.5</c:v>
                </c:pt>
                <c:pt idx="117" formatCode="0%">
                  <c:v>0.2</c:v>
                </c:pt>
                <c:pt idx="118">
                  <c:v>0.25676592584141494</c:v>
                </c:pt>
                <c:pt idx="119" formatCode="0%">
                  <c:v>0.27029777752424489</c:v>
                </c:pt>
                <c:pt idx="120" formatCode="0%">
                  <c:v>0.25</c:v>
                </c:pt>
                <c:pt idx="121" formatCode="0%">
                  <c:v>0.25</c:v>
                </c:pt>
                <c:pt idx="122" formatCode="0%">
                  <c:v>6.25E-2</c:v>
                </c:pt>
                <c:pt idx="123" formatCode="0%">
                  <c:v>0.125</c:v>
                </c:pt>
                <c:pt idx="124" formatCode="0%">
                  <c:v>0</c:v>
                </c:pt>
                <c:pt idx="125">
                  <c:v>0.21919454065663629</c:v>
                </c:pt>
                <c:pt idx="126">
                  <c:v>0.17321428571428571</c:v>
                </c:pt>
                <c:pt idx="127" formatCode="0.0%">
                  <c:v>9.6428571428571419E-2</c:v>
                </c:pt>
                <c:pt idx="128" formatCode="0.0%">
                  <c:v>0.25</c:v>
                </c:pt>
                <c:pt idx="129" formatCode="0.0%">
                  <c:v>0.30499999999999999</c:v>
                </c:pt>
                <c:pt idx="130" formatCode="0.0%">
                  <c:v>0.25</c:v>
                </c:pt>
                <c:pt idx="131" formatCode="0.0%">
                  <c:v>0.375</c:v>
                </c:pt>
                <c:pt idx="132" formatCode="0.0%">
                  <c:v>0.4</c:v>
                </c:pt>
                <c:pt idx="133" formatCode="0.0%">
                  <c:v>0.25</c:v>
                </c:pt>
                <c:pt idx="134" formatCode="0.0%">
                  <c:v>0.25</c:v>
                </c:pt>
                <c:pt idx="135" formatCode="0.0%">
                  <c:v>0.17683487179487178</c:v>
                </c:pt>
                <c:pt idx="136" formatCode="0.0%">
                  <c:v>0.25</c:v>
                </c:pt>
                <c:pt idx="137" formatCode="0.0%">
                  <c:v>0.33333333333333331</c:v>
                </c:pt>
                <c:pt idx="138" formatCode="0.0%">
                  <c:v>0</c:v>
                </c:pt>
                <c:pt idx="139" formatCode="0.0%">
                  <c:v>8.461538461538462E-2</c:v>
                </c:pt>
                <c:pt idx="140" formatCode="0.0%">
                  <c:v>0.25</c:v>
                </c:pt>
                <c:pt idx="141" formatCode="0.0%">
                  <c:v>0.15040000000000001</c:v>
                </c:pt>
                <c:pt idx="142" formatCode="0.0%">
                  <c:v>0.25</c:v>
                </c:pt>
                <c:pt idx="143" formatCode="0.0%">
                  <c:v>0</c:v>
                </c:pt>
                <c:pt idx="144" formatCode="0.0%">
                  <c:v>0</c:v>
                </c:pt>
                <c:pt idx="145" formatCode="0.0%">
                  <c:v>0.45</c:v>
                </c:pt>
                <c:pt idx="146" formatCode="0.0%">
                  <c:v>0</c:v>
                </c:pt>
                <c:pt idx="147" formatCode="0.0%">
                  <c:v>0.25083333333333335</c:v>
                </c:pt>
                <c:pt idx="148" formatCode="0.0%">
                  <c:v>0.25</c:v>
                </c:pt>
                <c:pt idx="149" formatCode="0.0%">
                  <c:v>0.25166666666666671</c:v>
                </c:pt>
                <c:pt idx="150" formatCode="0%">
                  <c:v>0.1238844361073215</c:v>
                </c:pt>
                <c:pt idx="151" formatCode="0%">
                  <c:v>0.16443553888130968</c:v>
                </c:pt>
                <c:pt idx="152" formatCode="0%">
                  <c:v>8.3333333333333329E-2</c:v>
                </c:pt>
                <c:pt idx="153" formatCode="0.0%">
                  <c:v>0.10950450293378312</c:v>
                </c:pt>
                <c:pt idx="154" formatCode="0.0%">
                  <c:v>0.24857685009487665</c:v>
                </c:pt>
                <c:pt idx="155" formatCode="0.0%">
                  <c:v>0.15625</c:v>
                </c:pt>
                <c:pt idx="156" formatCode="0.0%">
                  <c:v>0.25</c:v>
                </c:pt>
                <c:pt idx="157" formatCode="0.0%">
                  <c:v>2.2001675078220945E-3</c:v>
                </c:pt>
                <c:pt idx="158" formatCode="0.0%">
                  <c:v>0</c:v>
                </c:pt>
                <c:pt idx="159" formatCode="0.0%">
                  <c:v>0</c:v>
                </c:pt>
                <c:pt idx="160" formatCode="0%">
                  <c:v>0.33650711759171709</c:v>
                </c:pt>
                <c:pt idx="161" formatCode="0%">
                  <c:v>0.35577985617651181</c:v>
                </c:pt>
                <c:pt idx="162" formatCode="0%">
                  <c:v>0.45374149659863944</c:v>
                </c:pt>
                <c:pt idx="163" formatCode="0%">
                  <c:v>0.2</c:v>
                </c:pt>
                <c:pt idx="164" formatCode="0%">
                  <c:v>0</c:v>
                </c:pt>
                <c:pt idx="165" formatCode="0.0%">
                  <c:v>0.27777777777777779</c:v>
                </c:pt>
                <c:pt idx="166" formatCode="0%">
                  <c:v>0.30555555555555552</c:v>
                </c:pt>
                <c:pt idx="167" formatCode="0%">
                  <c:v>0.25</c:v>
                </c:pt>
                <c:pt idx="168">
                  <c:v>0.18082354013642138</c:v>
                </c:pt>
                <c:pt idx="169" formatCode="0.0%">
                  <c:v>6.9358974358974368E-2</c:v>
                </c:pt>
                <c:pt idx="170" formatCode="0.0%">
                  <c:v>3.8461538461538464E-2</c:v>
                </c:pt>
                <c:pt idx="171" formatCode="0.0%">
                  <c:v>6.6666666666666666E-2</c:v>
                </c:pt>
                <c:pt idx="172" formatCode="0.0%">
                  <c:v>0</c:v>
                </c:pt>
                <c:pt idx="173" formatCode="0.0%">
                  <c:v>0</c:v>
                </c:pt>
                <c:pt idx="174" formatCode="0.0%">
                  <c:v>0</c:v>
                </c:pt>
                <c:pt idx="175" formatCode="0.0%">
                  <c:v>0</c:v>
                </c:pt>
                <c:pt idx="176" formatCode="0.0%">
                  <c:v>0.2</c:v>
                </c:pt>
                <c:pt idx="177" formatCode="0.0%">
                  <c:v>0</c:v>
                </c:pt>
                <c:pt idx="178" formatCode="0.0%">
                  <c:v>0</c:v>
                </c:pt>
                <c:pt idx="179" formatCode="0.0%">
                  <c:v>0</c:v>
                </c:pt>
                <c:pt idx="180" formatCode="0.0%">
                  <c:v>4.1666666666666664E-2</c:v>
                </c:pt>
                <c:pt idx="181" formatCode="0.0%">
                  <c:v>0.17654220779220781</c:v>
                </c:pt>
                <c:pt idx="182" formatCode="0.0%">
                  <c:v>0.1</c:v>
                </c:pt>
                <c:pt idx="183" formatCode="0.0%">
                  <c:v>0.18571428571428572</c:v>
                </c:pt>
                <c:pt idx="184" formatCode="0.0%">
                  <c:v>0.25</c:v>
                </c:pt>
                <c:pt idx="185" formatCode="0.0%">
                  <c:v>0.17045454545454547</c:v>
                </c:pt>
                <c:pt idx="186" formatCode="0.0%">
                  <c:v>0.12909147726727999</c:v>
                </c:pt>
                <c:pt idx="187" formatCode="0.0%">
                  <c:v>0.1607142857142857</c:v>
                </c:pt>
                <c:pt idx="188" formatCode="0.0%">
                  <c:v>0.16816770186335403</c:v>
                </c:pt>
                <c:pt idx="189" formatCode="0.0%">
                  <c:v>5.2526595744680854E-2</c:v>
                </c:pt>
                <c:pt idx="190" formatCode="0.0%">
                  <c:v>0.13495732574679942</c:v>
                </c:pt>
                <c:pt idx="191" formatCode="0.0%">
                  <c:v>0.21145833333333333</c:v>
                </c:pt>
                <c:pt idx="192" formatCode="0.0%">
                  <c:v>0.17291666666666666</c:v>
                </c:pt>
                <c:pt idx="193" formatCode="0.0%">
                  <c:v>0.25</c:v>
                </c:pt>
                <c:pt idx="194" formatCode="0.0%">
                  <c:v>0.29500000000000004</c:v>
                </c:pt>
                <c:pt idx="195" formatCode="0%">
                  <c:v>0.29500000000000004</c:v>
                </c:pt>
                <c:pt idx="196" formatCode="0.0%">
                  <c:v>0.1818039950062422</c:v>
                </c:pt>
                <c:pt idx="197" formatCode="0.0%">
                  <c:v>8.7078651685393263E-2</c:v>
                </c:pt>
                <c:pt idx="198" formatCode="0.0%">
                  <c:v>0.17499999999999999</c:v>
                </c:pt>
                <c:pt idx="199" formatCode="0.0%">
                  <c:v>0.28333333333333333</c:v>
                </c:pt>
                <c:pt idx="200" formatCode="0.0%">
                  <c:v>0.25</c:v>
                </c:pt>
                <c:pt idx="201" formatCode="0.0%">
                  <c:v>0.25</c:v>
                </c:pt>
                <c:pt idx="202" formatCode="0.0%">
                  <c:v>0</c:v>
                </c:pt>
                <c:pt idx="203" formatCode="0.0%">
                  <c:v>0.13333333333333333</c:v>
                </c:pt>
                <c:pt idx="204" formatCode="0.0%">
                  <c:v>0.13333333333333333</c:v>
                </c:pt>
              </c:numCache>
            </c:numRef>
          </c:val>
          <c:extLst xmlns:c16r2="http://schemas.microsoft.com/office/drawing/2015/06/chart">
            <c:ext xmlns:c16="http://schemas.microsoft.com/office/drawing/2014/chart" uri="{C3380CC4-5D6E-409C-BE32-E72D297353CC}">
              <c16:uniqueId val="{00000002-31C6-440F-B8B6-A36988702B38}"/>
            </c:ext>
          </c:extLst>
        </c:ser>
        <c:ser>
          <c:idx val="3"/>
          <c:order val="3"/>
          <c:invertIfNegative val="1"/>
          <c:cat>
            <c:strRef>
              <c:f>'PLAN DE DESARROLLO '!$B$3:$B$207</c:f>
              <c:strCache>
                <c:ptCount val="205"/>
                <c:pt idx="0">
                  <c:v>PILAR/LINEA ESTRATEGICA/PROGRAMA</c:v>
                </c:pt>
                <c:pt idx="1">
                  <c:v>PLAN DE DESARROLLO "SALVEMOS JUNTOS A CARTAGENA 2020 - 2023)</c:v>
                </c:pt>
                <c:pt idx="2">
                  <c:v>PILAR RESILIENTE</c:v>
                </c:pt>
                <c:pt idx="3">
                  <c:v>LINEA ESTRATEGICA  “SALVEMOS JUNTOS NUESTRO PATRIMONIO NATURAL” </c:v>
                </c:pt>
                <c:pt idx="4">
                  <c:v>Programa Recuperar y Restaurar Nuestras Áreas Naturales (Bosques  y  Biodiversidad y servicios Eco sistémicos)</c:v>
                </c:pt>
                <c:pt idx="5">
                  <c:v>Programa Ordenamiento Ambiental y Adaptación al Cambio Climático para la Sostenibilidad Ambiental. (Mitigación y Gestión del Riesgo Ambiental)</c:v>
                </c:pt>
                <c:pt idx="6">
                  <c:v>Programa Aseguramiento, Monitoreo, Control y Vigilancia Ambiental  (Sistema integrado de Monitoreo Ambiental)               </c:v>
                </c:pt>
                <c:pt idx="7">
                  <c:v>Programa Investigación, Educación y Cultura Ambiental (Educación y Cultura Ambiental)</c:v>
                </c:pt>
                <c:pt idx="8">
                  <c:v>Programa Salvemos Juntos Nuestro Recurso Hídrico (Gestión integral del Recurso Hídrico)</c:v>
                </c:pt>
                <c:pt idx="9">
                  <c:v>Programa Negocios verdes, Economía Circular, Producción y consumo sostenible (Negocios verdes Inclusivos)</c:v>
                </c:pt>
                <c:pt idx="10">
                  <c:v>Programa Instituciones ambientales más modernas, eficientes y transparentes. (Fortalecimiento Institucional)</c:v>
                </c:pt>
                <c:pt idx="11">
                  <c:v>Programa Bienestar y Protección animal</c:v>
                </c:pt>
                <c:pt idx="12">
                  <c:v>LÍNEA ESTRATÉGICA ESPACIO PÚBLICO, MOVILIDAD Y TRANSPORTE RESILIENTE</c:v>
                </c:pt>
                <c:pt idx="13">
                  <c:v>Programa Sostenibilidad del Espacio Público</c:v>
                </c:pt>
                <c:pt idx="14">
                  <c:v>Programa Recuperación del Espacio Público </c:v>
                </c:pt>
                <c:pt idx="15">
                  <c:v>Programa Generación del Espacio Público  </c:v>
                </c:pt>
                <c:pt idx="16">
                  <c:v>Programa Movilidad en Cartagena  </c:v>
                </c:pt>
                <c:pt idx="17">
                  <c:v>Programa Transporte para todos</c:v>
                </c:pt>
                <c:pt idx="18">
                  <c:v>Programa Reducción de la Siniestralidad vial </c:v>
                </c:pt>
                <c:pt idx="19">
                  <c:v>Programa Fortalecimiento de la capacidad de respuesta del Departamento Administrativo de Tránsito y Transporte</c:v>
                </c:pt>
                <c:pt idx="20">
                  <c:v>Programa Movilidad Sostenible en el Distrito de Cartagena</c:v>
                </c:pt>
                <c:pt idx="21">
                  <c:v>LÍNEA ESTRATÉGICA DESARROLLO URBANO </c:v>
                </c:pt>
                <c:pt idx="22">
                  <c:v>Programa Cartagena se Mueve</c:v>
                </c:pt>
                <c:pt idx="23">
                  <c:v>Programa Sistema Hídrico y Plan maestro de drenajes pluviales en la ciudad para salvar el hábitat</c:v>
                </c:pt>
                <c:pt idx="24">
                  <c:v>Programa Cartagena Ciudad de Bordes y Orillas Resiliente </c:v>
                </c:pt>
                <c:pt idx="25">
                  <c:v>Programa Cartagena se Conecta</c:v>
                </c:pt>
                <c:pt idx="26">
                  <c:v>Programa Integral de Caños, lagos, lagunas y ciénagas de Cartagena de Indias</c:v>
                </c:pt>
                <c:pt idx="27">
                  <c:v>LÍNEA ESTRATÉGICA GESTIÓN DEL RIESGO.</c:v>
                </c:pt>
                <c:pt idx="28">
                  <c:v>Programa Conocimiento del Riesgo</c:v>
                </c:pt>
                <c:pt idx="29">
                  <c:v>Programa Reducción del Riesgo</c:v>
                </c:pt>
                <c:pt idx="30">
                  <c:v>Programa Manejo de Desastre</c:v>
                </c:pt>
                <c:pt idx="31">
                  <c:v>Programa Fortalecimiento Cuerpo de Bomberos</c:v>
                </c:pt>
                <c:pt idx="32">
                  <c:v>LÍNEA ESTRATÉGICA VIVIENDA  PARA TODOS</c:v>
                </c:pt>
                <c:pt idx="33">
                  <c:v>Programa Juntos por una Vivienda Digna</c:v>
                </c:pt>
                <c:pt idx="34">
                  <c:v>Programa Mejoro Mi Casa, compromiso de todos</c:v>
                </c:pt>
                <c:pt idx="35">
                  <c:v>Programa ¡Mi Casa a lo Legal!</c:v>
                </c:pt>
                <c:pt idx="36">
                  <c:v>Programa Un Lugar apto para mi hogar</c:v>
                </c:pt>
                <c:pt idx="37">
                  <c:v>Programa Mi Casa, Mi Entorno, Mi Hábitat    </c:v>
                </c:pt>
                <c:pt idx="38">
                  <c:v>LÍNEA ESTRATÉGICA SERVICIOS PÚBLICOS BÁSICOS DEL DISTRITO DE CARTAGENA DE INDIAS: “TODOS CON TODO”</c:v>
                </c:pt>
                <c:pt idx="39">
                  <c:v>Programa de Ahorro y Uso Eficiente De Los Servicios Públicos, "Agua y Saneamiento Básico Para Todos”</c:v>
                </c:pt>
                <c:pt idx="40">
                  <c:v>Programa Energía Asequible, Confiable Sostenible y Moderna Para Todos.</c:v>
                </c:pt>
                <c:pt idx="41">
                  <c:v>Programa Gestión Integral De Residuos Sólidos "Cultura ciudadana para el reciclaje inclusivo y la economía circular"</c:v>
                </c:pt>
                <c:pt idx="42">
                  <c:v>Programa Sistema de Información De Los Servicios Públicos, “Servinfo”</c:v>
                </c:pt>
                <c:pt idx="43">
                  <c:v>Programa Cementerios</c:v>
                </c:pt>
                <c:pt idx="44">
                  <c:v>LÍNEA ESTRATÉGICA INSTRUMENTOS DE ORDENAMIENTO TERRITORIAL.</c:v>
                </c:pt>
                <c:pt idx="45">
                  <c:v>Programa Plan de Ordenamiento Territorial y Especial de Manejo de Patrimonio.</c:v>
                </c:pt>
                <c:pt idx="46">
                  <c:v>Programa Administrando Juntos El Control Urbano</c:v>
                </c:pt>
                <c:pt idx="47">
                  <c:v>Programa Ordenación territorial y  Recuperación social, ambiental y Urbana de la Ciénaga de la Virgen.</c:v>
                </c:pt>
                <c:pt idx="48">
                  <c:v>PILAR CARTAGENA INCLUYENTE</c:v>
                </c:pt>
                <c:pt idx="49">
                  <c:v>LÍNEA ESTRATÉGICA: SUPERACIÓN DE LA POBREZA Y DESIGUALDAD.</c:v>
                </c:pt>
                <c:pt idx="50">
                  <c:v>Programa: Identificación para la superación de la pobreza extrema y desigualdad </c:v>
                </c:pt>
                <c:pt idx="51">
                  <c:v>Programa: Salud para la superación de la pobreza extrema y desigualdad </c:v>
                </c:pt>
                <c:pt idx="52">
                  <c:v>Programa: Educación para la superación de la pobreza extrema y la desigualdad</c:v>
                </c:pt>
                <c:pt idx="53">
                  <c:v>Programa: Habitabilidad para la superación de la pobreza extrema y la desigualdad</c:v>
                </c:pt>
                <c:pt idx="54">
                  <c:v>Programa Ingresos y trabajo para la superación de la pobreza extrema y desigualdad </c:v>
                </c:pt>
                <c:pt idx="55">
                  <c:v>Programa: Bancarización para la superación de la pobreza extrema y desigualdad </c:v>
                </c:pt>
                <c:pt idx="56">
                  <c:v>Programa: Dinámica Familiar para la Superación de la Pobreza Extrema</c:v>
                </c:pt>
                <c:pt idx="57">
                  <c:v>Programa Seguridad alimentaria y nutrición para la superación de la pobreza extrema</c:v>
                </c:pt>
                <c:pt idx="58">
                  <c:v>Programa: Acceso a la justicia para la superación de la pobreza extrema y desigualdad</c:v>
                </c:pt>
                <c:pt idx="59">
                  <c:v>Programa: Fortalecimiento institucional para superación de la pobreza extrema y desigualdad</c:v>
                </c:pt>
                <c:pt idx="60">
                  <c:v>LÍNEA EDUCACIÓN: CULTURA DE LA FORMACIÓN “Con la Educación para Todos y Todas Salvamos Juntos a Cartagena”</c:v>
                </c:pt>
                <c:pt idx="61">
                  <c:v>Programa: Acogida “atención a poblaciones y estrategias de acceso y permanencia”</c:v>
                </c:pt>
                <c:pt idx="62">
                  <c:v>Programa: Sabiduría de la primera infancia “grandes banderas, gesto e ideas para cambiar el planeta”</c:v>
                </c:pt>
                <c:pt idx="63">
                  <c:v>Programa: Formando con amor “Genio Singular”</c:v>
                </c:pt>
                <c:pt idx="64">
                  <c:v>Programa Desarrollo de potencialidades</c:v>
                </c:pt>
                <c:pt idx="65">
                  <c:v>Programa Participación, democracia y autonomía</c:v>
                </c:pt>
                <c:pt idx="66">
                  <c:v>Programa de Educación mediada a través de tecnologías de la información y las comunicaciones-Tic´s</c:v>
                </c:pt>
                <c:pt idx="67">
                  <c:v>Programa: Educación para transformar “educación media técnica y superior”</c:v>
                </c:pt>
                <c:pt idx="68">
                  <c:v>Programa: Movilización educativa “Por una gestión educativa transparente, participativa y eficiente”</c:v>
                </c:pt>
                <c:pt idx="69">
                  <c:v>Programa: Por una Educación Post secundaria Distrital</c:v>
                </c:pt>
                <c:pt idx="70">
                  <c:v>Programa Fortalecimiento de la oferta de educación superior oficial del Distrito de Cartagena D. T. y C.</c:v>
                </c:pt>
                <c:pt idx="71">
                  <c:v>LÍNEA ESTRATÉGICA SALUD PARA TODOS.</c:v>
                </c:pt>
                <c:pt idx="72">
                  <c:v>Programa: Fortalecimiento de la autoridad sanitaria</c:v>
                </c:pt>
                <c:pt idx="73">
                  <c:v>Programa: Transversal gestión diferencial de poblaciones vulnerables</c:v>
                </c:pt>
                <c:pt idx="74">
                  <c:v>Programa Salud ambiental</c:v>
                </c:pt>
                <c:pt idx="75">
                  <c:v>Programa: Vida saludable y condiciones no transmisibles</c:v>
                </c:pt>
                <c:pt idx="76">
                  <c:v>Programa: Convivencia social y salud mental</c:v>
                </c:pt>
                <c:pt idx="77">
                  <c:v>Programa Nutrición e inocuidad de alimentos</c:v>
                </c:pt>
                <c:pt idx="78">
                  <c:v>Programa Sexualidad, derechos sexuales y reproductivos</c:v>
                </c:pt>
                <c:pt idx="79">
                  <c:v>Programa: Vida saludable y enfermedades transmisibles</c:v>
                </c:pt>
                <c:pt idx="80">
                  <c:v>Programa: Salud pública en emergencias y desastres</c:v>
                </c:pt>
                <c:pt idx="81">
                  <c:v>Programa: Salud y ámbito laboral</c:v>
                </c:pt>
                <c:pt idx="82">
                  <c:v>LÍNEA ESTRATÉGICA: DEPORTE Y RECREACIÓN PARA  LA TRANSFORMACIÓN SOCIAL </c:v>
                </c:pt>
                <c:pt idx="83">
                  <c:v>Programa “La escuela y el deporte son de todos” </c:v>
                </c:pt>
                <c:pt idx="84">
                  <c:v>Programa: Deporte asociado “incentivos con-sentido”</c:v>
                </c:pt>
                <c:pt idx="85">
                  <c:v>Programa: Deporte social comunitario con inclusión “Cartagena Incluyente”</c:v>
                </c:pt>
                <c:pt idx="86">
                  <c:v>Programa: Hábitos y estilos de vida saludable “actívate por tu salud”.</c:v>
                </c:pt>
                <c:pt idx="87">
                  <c:v>Programa: Recreación comunitaria “Recréate Cartagena” </c:v>
                </c:pt>
                <c:pt idx="88">
                  <c:v>Programa: Observatorio de ciencias aplicadas al deporte, la recreación, la actividad física y el aprovechamiento del tiempo libre en el distrito de Cartagena de indias.</c:v>
                </c:pt>
                <c:pt idx="89">
                  <c:v>Programa Administración, Mantenimiento, Adecuación, Mejoramiento y Construcción de Escenarios Deportivos  </c:v>
                </c:pt>
                <c:pt idx="90">
                  <c:v>LÍNEA ESTRATÉGICA ARTES, CULTURA Y PATRIMONIO PARA UNA CARTAGENA INCLUYENTE</c:v>
                </c:pt>
                <c:pt idx="91">
                  <c:v> Programa: Mediación  y bibliotecas para la Inclusión </c:v>
                </c:pt>
                <c:pt idx="92">
                  <c:v>Programa: Estímulos para las artes y el Emprendimiento incluyente</c:v>
                </c:pt>
                <c:pt idx="93">
                  <c:v>Programa: Patrimonio Inmaterial: Prácticas significativas para la memoria</c:v>
                </c:pt>
                <c:pt idx="94">
                  <c:v> Programa: Valoración, Cuidado y Apropiación Social del Patrimonio Material</c:v>
                </c:pt>
                <c:pt idx="95">
                  <c:v>Programa: Derechos culturales y buen gobierno para el fortalecimiento institucional y ciudadano</c:v>
                </c:pt>
                <c:pt idx="96">
                  <c:v>Programa: Infraestructura Cultural para la Inclusión</c:v>
                </c:pt>
                <c:pt idx="97">
                  <c:v>LÍNEA ESTRATÉGICA: PLANEACIÓN SOCIAL DEL TERRITORIO </c:v>
                </c:pt>
                <c:pt idx="98">
                  <c:v>Programa: Instrumentos de planificación social del territorio </c:v>
                </c:pt>
                <c:pt idx="99">
                  <c:v>Programa: Catastro multipropósito</c:v>
                </c:pt>
                <c:pt idx="100">
                  <c:v>PILAR CARTAGENA CONTINGENTE </c:v>
                </c:pt>
                <c:pt idx="101">
                  <c:v> LÍNEA ESTRATÉGICA: DESARROLLO ECONÓMICO Y EMPLEABILIDAD</c:v>
                </c:pt>
                <c:pt idx="102">
                  <c:v>Programa: Centros para el emprendimiento y la gestión de la empleabilidad en Cartagena de Indias </c:v>
                </c:pt>
                <c:pt idx="103">
                  <c:v>Programa: Mujeres con Autonomía Económica</c:v>
                </c:pt>
                <c:pt idx="104">
                  <c:v>Programa: "Empleo Inclusivo Para Los Jóvenes”</c:v>
                </c:pt>
                <c:pt idx="105">
                  <c:v>Programa: Encadenamientos productivos</c:v>
                </c:pt>
                <c:pt idx="106">
                  <c:v>Programa: Cartagena facilita el emprendimiento</c:v>
                </c:pt>
                <c:pt idx="107">
                  <c:v>Programa: Zonas de aglomeración productiva</c:v>
                </c:pt>
                <c:pt idx="108">
                  <c:v>Programa: Cierre de brechas de empleabilidad</c:v>
                </c:pt>
                <c:pt idx="109">
                  <c:v>Programa: Cierre de brechas de capital humano</c:v>
                </c:pt>
                <c:pt idx="110">
                  <c:v>Programa: Desarrollo del ecosistema digital basado en la cuarta revolución industrial</c:v>
                </c:pt>
                <c:pt idx="111">
                  <c:v>Programa: Cartagena emprendedora para pequeños productores rurales</c:v>
                </c:pt>
                <c:pt idx="112">
                  <c:v>Programa: Sistemas de Mercados públicos</c:v>
                </c:pt>
                <c:pt idx="113">
                  <c:v>Programa: Más Cooperación Internacional</c:v>
                </c:pt>
                <c:pt idx="114">
                  <c:v>LÍNEA ESTRATÉGICA: COMPETITIVIDAD E INNOVACIÓN</c:v>
                </c:pt>
                <c:pt idx="115">
                  <c:v>Programa: Cartagena ciudad Innovadora</c:v>
                </c:pt>
                <c:pt idx="116">
                  <c:v>Programa: Cartagena destino de inversión</c:v>
                </c:pt>
                <c:pt idx="117">
                  <c:v>Programa: Cartagena fomenta la ciencia, tecnología e innovación agropecuaria: juntos por la extensión agropecuaria a pequeños productores.</c:v>
                </c:pt>
                <c:pt idx="118">
                  <c:v>LÍNEA ESTRATÉGICA: TURISMO, MOTOR DE REACTIVACIÓN ECONÓMICA PARA CARTAGENA DE INDIAS</c:v>
                </c:pt>
                <c:pt idx="119">
                  <c:v>Programa: Promoción Nacional e Internacional de Cartagena de Indias</c:v>
                </c:pt>
                <c:pt idx="120">
                  <c:v>Programa: Conectividad</c:v>
                </c:pt>
                <c:pt idx="121">
                  <c:v>Programa: Turismo Competitivo y Sostenible</c:v>
                </c:pt>
                <c:pt idx="122">
                  <c:v>LÍNEA ESTRATÉGICA: PLANEACIÓN E INTEGRACIÓN CONTINGENTE DEL TERRITORIO</c:v>
                </c:pt>
                <c:pt idx="123">
                  <c:v>Programa Integración y proyectos entre ciudades</c:v>
                </c:pt>
                <c:pt idx="124">
                  <c:v>Programa: Normas de promoción del desarrollo urbano y económico</c:v>
                </c:pt>
                <c:pt idx="125">
                  <c:v>PILAR CARTAGENA TRANSPARENTE</c:v>
                </c:pt>
                <c:pt idx="126">
                  <c:v>LÍNEA ESTRATÉGICA GESTIÓN Y DESEMPEÑO INSTITUCIONAL PARA LA GOBERNANZA</c:v>
                </c:pt>
                <c:pt idx="127">
                  <c:v>Programa: Gestión pública integrada y transparente</c:v>
                </c:pt>
                <c:pt idx="128">
                  <c:v>Programa: Transparencia para el fortalecimiento de la   confianza en las instituciones del distrito de Cartagena.</c:v>
                </c:pt>
                <c:pt idx="129">
                  <c:v>LÍNEA ESTRATÉGICA: CARTAGENA INTELIGENTE CON TODOS Y PARA  TODOS</c:v>
                </c:pt>
                <c:pt idx="130">
                  <c:v>Programa: Cartagena inteligente con todos y para todos</c:v>
                </c:pt>
                <c:pt idx="131">
                  <c:v>Programa: Cartageneros conectados y alfabetizados</c:v>
                </c:pt>
                <c:pt idx="132">
                  <c:v>Programa: Cartagena hacia la modernidad</c:v>
                </c:pt>
                <c:pt idx="133">
                  <c:v>Programa: Organización y recuperación del patrimonio público del distrito de Cartagena </c:v>
                </c:pt>
                <c:pt idx="134">
                  <c:v>Programa: Premio Jorge Piedrahita Aduen</c:v>
                </c:pt>
                <c:pt idx="135">
                  <c:v>LÍNEA ESTRATÉGICA: CONVIVENCIA Y SEGURIDAD PARA LA GOBERNABILIDAD</c:v>
                </c:pt>
                <c:pt idx="136">
                  <c:v>Programa:   Plan integral de seguridad y convivencia ciudadana</c:v>
                </c:pt>
                <c:pt idx="137">
                  <c:v>Programa:    Fortalecimiento de la convivencia y la seguridad ciudadana</c:v>
                </c:pt>
                <c:pt idx="138">
                  <c:v>Programa:   Mejorar la convivencia ciudadana con la implementación del código nacional de policía y convivencia</c:v>
                </c:pt>
                <c:pt idx="139">
                  <c:v>Programa:    Fortalecimiento capacidad operativa de la secretaria del interior y convivencia ciudadana</c:v>
                </c:pt>
                <c:pt idx="140">
                  <c:v>Programa:   Promoción al acceso a la justicia</c:v>
                </c:pt>
                <c:pt idx="141">
                  <c:v>Programa:    Asistencia y atención integral a los niños, niñas,  adolescentes y jóvenes en riesgo de vincularse a actividades delictivas</c:v>
                </c:pt>
                <c:pt idx="142">
                  <c:v>Programa:    Fortalecimiento sistema de responsabilidad penal para adolescentes –SRPA</c:v>
                </c:pt>
                <c:pt idx="143">
                  <c:v>Programa: Implementación y sostenimiento de herramientas tecnológicas para seguridad y socorro</c:v>
                </c:pt>
                <c:pt idx="144">
                  <c:v>Programa: Optimización de la infraestructura y movilidad de los organismos de seguridad y socorro</c:v>
                </c:pt>
                <c:pt idx="145">
                  <c:v>Programa: Vigilancia de las playas del distrito de Cartagena</c:v>
                </c:pt>
                <c:pt idx="146">
                  <c:v>Programa Convivencia para la Seguridad</c:v>
                </c:pt>
                <c:pt idx="147">
                  <c:v>LÍNEA ESTRATÉGICA DERECHOS HUMANOS PARA LA PAZ</c:v>
                </c:pt>
                <c:pt idx="148">
                  <c:v>Programa: Prevención, promoción y protección de los derechos humanos en el distrito de Cartagena</c:v>
                </c:pt>
                <c:pt idx="149">
                  <c:v>Programa:   Sistema penitenciario y carcelario en el marco de los derechos humanos</c:v>
                </c:pt>
                <c:pt idx="150">
                  <c:v>LÍNEA ESTRATÉGICA: ATENCIÓN Y REPARACIÓN A VICTIMAS PARA LA CONSTRUCCIÓN DE LA  PAZ TERRITORIAL</c:v>
                </c:pt>
                <c:pt idx="151">
                  <c:v>Programa: Atención, asistencia y reparación integral a las víctimas</c:v>
                </c:pt>
                <c:pt idx="152">
                  <c:v>Programa: Construcción de paz territorial</c:v>
                </c:pt>
                <c:pt idx="153">
                  <c:v>LÍNEA ESTRATÉGICA: CULTURA CIUDADANA PARA LA DEMOCRACIA Y LA PAZ</c:v>
                </c:pt>
                <c:pt idx="154">
                  <c:v>Programa: Servidor y servidora pública al servicio de la ciudadanía</c:v>
                </c:pt>
                <c:pt idx="155">
                  <c:v>Programa: Ciudadanía libre, incluyente y transformadora</c:v>
                </c:pt>
                <c:pt idx="156">
                  <c:v>Programa: Cartagena te quiere, quiere a Cartagena: plan decenal de cultura ciudadana y Cartageneidad.</c:v>
                </c:pt>
                <c:pt idx="157">
                  <c:v>Programa: Yo soy Cartagena</c:v>
                </c:pt>
                <c:pt idx="158">
                  <c:v>Programa: Nuestra Cartagena soñada.</c:v>
                </c:pt>
                <c:pt idx="159">
                  <c:v>Programa Conéctate Con Cartagena</c:v>
                </c:pt>
                <c:pt idx="160">
                  <c:v>LÍNEA ESTRATÉGICA: PARTICIPACIÓN Y DESCENTRALIZACIÓN </c:v>
                </c:pt>
                <c:pt idx="161">
                  <c:v>Programa: Participando salvamos a Cartagena</c:v>
                </c:pt>
                <c:pt idx="162">
                  <c:v>Programa: Modernización del Sistema Distrital de Planeación y Descentralización  </c:v>
                </c:pt>
                <c:pt idx="163">
                  <c:v>Programa: Políticas Públicas intersectoriales y con visión Integral de enfoques basados en derechos humanos </c:v>
                </c:pt>
                <c:pt idx="164">
                  <c:v>Programa:   Presupuesto participativo</c:v>
                </c:pt>
                <c:pt idx="165">
                  <c:v>LÍNEA ESTRATÉGICA: FINANZAS PÚBLICAS PARA SALVAR A CARTAGENA</c:v>
                </c:pt>
                <c:pt idx="166">
                  <c:v>Programa: Finanzas sostenibles para salvar a Cartagena</c:v>
                </c:pt>
                <c:pt idx="167">
                  <c:v>Programa: Saneamiento fiscal y financiero</c:v>
                </c:pt>
                <c:pt idx="168">
                  <c:v>EJE TRANSVERSAL: CARTAGENA CON ATENCION Y GARANTIA DE DERECHOS A POBLACION DIFERENCIAL.</c:v>
                </c:pt>
                <c:pt idx="169">
                  <c:v>LINEA ESTRATEGICA PARA LA EQUIDAD E INCLUSIÓN DE LOS NEGROS, AFROS, PALENQUEROS E INDIGENA.</c:v>
                </c:pt>
                <c:pt idx="170">
                  <c:v>Fortalecimiento de Población Negra, Afrocolombiana, Raizal y Palenquera en el Distrito de Cartagena </c:v>
                </c:pt>
                <c:pt idx="171">
                  <c:v>Fortalecimiento e Inclusión Productiva para Población Negra, Afrocolombiana, Raizal y Palenquera en el Distrito de Cartagena.</c:v>
                </c:pt>
                <c:pt idx="172">
                  <c:v>Programa: Inclusión Educativa para el Desarrollo para Población Negra, Afrocolombiana, Raizal y Palenquera en el Distrito de Cartagena.</c:v>
                </c:pt>
                <c:pt idx="173">
                  <c:v>Programa: Promoción, Prevención y Atención En Salud para población Negra, Afrocolombiana, Raizal y Palenquera en el Distrito De Cartagena.</c:v>
                </c:pt>
                <c:pt idx="174">
                  <c:v>Programa: Sostenibilidad Ambiental y Fomento Tradicional</c:v>
                </c:pt>
                <c:pt idx="175">
                  <c:v>Programa: Sostenibilidad Cultural como Garantía de Permanencia.</c:v>
                </c:pt>
                <c:pt idx="176">
                  <c:v>Programa: Fortalecimiento de la Población Indígena en el Distrito de Cartagena.</c:v>
                </c:pt>
                <c:pt idx="177">
                  <c:v>Programa: Educación con Enfoque Diferencial Indígena SISTEMA EDUCATIVO INDIGENA PROPIO - SEIP</c:v>
                </c:pt>
                <c:pt idx="178">
                  <c:v>Programa: Intercultural de Salud Propia Preventiva Indígena- SISPI</c:v>
                </c:pt>
                <c:pt idx="179">
                  <c:v>Programa: Integridad Cultural, Gobierno Propio, Vivienda y Hábitat para las Comunidades Indígenas en el Distrito Cartagena</c:v>
                </c:pt>
                <c:pt idx="180">
                  <c:v>Programa: Empoderamiento del Liderazgo de las Mujeres, Niñez, Jóvenes, Familia y Generación Indígena</c:v>
                </c:pt>
                <c:pt idx="181">
                  <c:v>LINEA ESTRATEGICA MUJERES CARTAGENERAS POR SUS DERECHOS.</c:v>
                </c:pt>
                <c:pt idx="182">
                  <c:v>Programa: Las Mujeres Decidimos Sobre el Ejercicio del Poder</c:v>
                </c:pt>
                <c:pt idx="183">
                  <c:v>Programa: Una Vida Libre de Violencias para las Mujeres</c:v>
                </c:pt>
                <c:pt idx="184">
                  <c:v>Programa: Mujer, Constructoras De Paz</c:v>
                </c:pt>
                <c:pt idx="185">
                  <c:v>Programa: Cartagena Libre de una Cultura Machista</c:v>
                </c:pt>
                <c:pt idx="186">
                  <c:v>LINEA ESTRATEGICA: INCLUSION Y OPORTUNIDAD PARA NIÑOS, NIÑAS Y ADOLESCENTES Y FAMILIAS.</c:v>
                </c:pt>
                <c:pt idx="187">
                  <c:v>Programa: Comprometidos con la Salvación de Nuestra Primera Infancia</c:v>
                </c:pt>
                <c:pt idx="188">
                  <c:v>Programa Protección de la Infancia y la Adolescencia para la Prevención y atención de Violencias.</c:v>
                </c:pt>
                <c:pt idx="189">
                  <c:v>Programa los Niños, las Niñas y Adolescentes de Cartagena Participan y Disfrutan sus Derechos.</c:v>
                </c:pt>
                <c:pt idx="190">
                  <c:v>Programa Fortalecimiento Familiar.</c:v>
                </c:pt>
                <c:pt idx="191">
                  <c:v>LINEA ESTRATEGICA JOVENES SALVANDO A CARTAGENA</c:v>
                </c:pt>
                <c:pt idx="192">
                  <c:v>Programa: Jóvenes Participando y Salvando a Cartagena</c:v>
                </c:pt>
                <c:pt idx="193">
                  <c:v>Programa: Política Pública De Juventud</c:v>
                </c:pt>
                <c:pt idx="194">
                  <c:v>LINEA ESTRATEGICA EN CARTAGENA SALVAMOS NUESTROS ADULTOS MAYORES.</c:v>
                </c:pt>
                <c:pt idx="195">
                  <c:v>Programa: Atención Integral Para Mantener a Salvo a los Adultos Mayores</c:v>
                </c:pt>
                <c:pt idx="196">
                  <c:v>LÍNEA ESTRATÉGICA: TODOS POR LA PROTECCIÓN SOCIAL DE LAS PERSONAS CON DISCAPACIDAD: “RECONOCIDAS, EMPODERADAS Y RESPETADAS”.</c:v>
                </c:pt>
                <c:pt idx="197">
                  <c:v>Programa: Gestión Social Integral y Articuladora por la Protección de las Personas Con Discapacidad y/o su Familia o Cuidador.</c:v>
                </c:pt>
                <c:pt idx="198">
                  <c:v>Programa: Pacto o Alianza Por La Inclusión Social y Productiva de las Personas Con Discapacidad.</c:v>
                </c:pt>
                <c:pt idx="199">
                  <c:v>Programa: Desarrollo Local Inclusivo de las Personas Con Discapacidad: Reconocimiento de Capacidades, Diferencias y Diversidad.</c:v>
                </c:pt>
                <c:pt idx="200">
                  <c:v>LINEA ESTRATEGICA TRATO HUMANITARIO AL HABITANTE DE CALLE</c:v>
                </c:pt>
                <c:pt idx="201">
                  <c:v>Programa: Habitante De Calle Con Desarrollo Humano Integral </c:v>
                </c:pt>
                <c:pt idx="202">
                  <c:v>Programa Formación Para El Trabajo - Generación De Ingresos y Responsabilidad Social Empresarial.</c:v>
                </c:pt>
                <c:pt idx="203">
                  <c:v>LINEA ESTRATEGICA DIVERSIDAD SEXUAL Y NUEVAS IDENTIDADES DE GÉNERO.</c:v>
                </c:pt>
                <c:pt idx="204">
                  <c:v>Programa: Diversidad Sexual e Identidades de Género</c:v>
                </c:pt>
              </c:strCache>
            </c:strRef>
          </c:cat>
          <c:val>
            <c:numRef>
              <c:f>'PLAN DE DESARROLLO '!$N$3:$N$207</c:f>
              <c:numCache>
                <c:formatCode>0.00%</c:formatCode>
                <c:ptCount val="205"/>
                <c:pt idx="0"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2" formatCode="General">
                  <c:v>0</c:v>
                </c:pt>
                <c:pt idx="23" formatCode="General">
                  <c:v>0</c:v>
                </c:pt>
                <c:pt idx="24" formatCode="General">
                  <c:v>0</c:v>
                </c:pt>
                <c:pt idx="25" formatCode="General">
                  <c:v>0</c:v>
                </c:pt>
                <c:pt idx="26" formatCode="General">
                  <c:v>0</c:v>
                </c:pt>
                <c:pt idx="28" formatCode="General">
                  <c:v>0</c:v>
                </c:pt>
                <c:pt idx="29" formatCode="General">
                  <c:v>0</c:v>
                </c:pt>
                <c:pt idx="30" formatCode="General">
                  <c:v>0</c:v>
                </c:pt>
                <c:pt idx="31" formatCode="General">
                  <c:v>0</c:v>
                </c:pt>
                <c:pt idx="33" formatCode="General">
                  <c:v>0</c:v>
                </c:pt>
                <c:pt idx="34" formatCode="General">
                  <c:v>0</c:v>
                </c:pt>
                <c:pt idx="35" formatCode="General">
                  <c:v>0</c:v>
                </c:pt>
                <c:pt idx="36" formatCode="General">
                  <c:v>0</c:v>
                </c:pt>
                <c:pt idx="37" formatCode="General">
                  <c:v>0</c:v>
                </c:pt>
                <c:pt idx="39" formatCode="General">
                  <c:v>0</c:v>
                </c:pt>
                <c:pt idx="40" formatCode="General">
                  <c:v>0</c:v>
                </c:pt>
                <c:pt idx="41" formatCode="General">
                  <c:v>0</c:v>
                </c:pt>
                <c:pt idx="42" formatCode="General">
                  <c:v>0</c:v>
                </c:pt>
                <c:pt idx="43" formatCode="General">
                  <c:v>0</c:v>
                </c:pt>
                <c:pt idx="45" formatCode="General">
                  <c:v>0</c:v>
                </c:pt>
                <c:pt idx="46" formatCode="General">
                  <c:v>0</c:v>
                </c:pt>
                <c:pt idx="47" formatCode="General">
                  <c:v>0</c:v>
                </c:pt>
                <c:pt idx="50" formatCode="General">
                  <c:v>0</c:v>
                </c:pt>
                <c:pt idx="51" formatCode="General">
                  <c:v>0</c:v>
                </c:pt>
                <c:pt idx="52" formatCode="General">
                  <c:v>0</c:v>
                </c:pt>
                <c:pt idx="53" formatCode="General">
                  <c:v>0</c:v>
                </c:pt>
                <c:pt idx="54" formatCode="General">
                  <c:v>0</c:v>
                </c:pt>
                <c:pt idx="55" formatCode="General">
                  <c:v>0</c:v>
                </c:pt>
                <c:pt idx="56" formatCode="General">
                  <c:v>0</c:v>
                </c:pt>
                <c:pt idx="57" formatCode="General">
                  <c:v>0</c:v>
                </c:pt>
                <c:pt idx="58" formatCode="General">
                  <c:v>0</c:v>
                </c:pt>
                <c:pt idx="59" formatCode="General">
                  <c:v>0</c:v>
                </c:pt>
                <c:pt idx="61" formatCode="General">
                  <c:v>0</c:v>
                </c:pt>
                <c:pt idx="62" formatCode="General">
                  <c:v>0</c:v>
                </c:pt>
                <c:pt idx="63" formatCode="General">
                  <c:v>0</c:v>
                </c:pt>
                <c:pt idx="64" formatCode="General">
                  <c:v>0</c:v>
                </c:pt>
                <c:pt idx="65" formatCode="General">
                  <c:v>0</c:v>
                </c:pt>
                <c:pt idx="66" formatCode="General">
                  <c:v>0</c:v>
                </c:pt>
                <c:pt idx="67" formatCode="General">
                  <c:v>0</c:v>
                </c:pt>
                <c:pt idx="68" formatCode="General">
                  <c:v>0</c:v>
                </c:pt>
                <c:pt idx="69" formatCode="General">
                  <c:v>0</c:v>
                </c:pt>
                <c:pt idx="70" formatCode="General">
                  <c:v>0</c:v>
                </c:pt>
                <c:pt idx="72" formatCode="General">
                  <c:v>0</c:v>
                </c:pt>
                <c:pt idx="73" formatCode="General">
                  <c:v>0</c:v>
                </c:pt>
                <c:pt idx="74" formatCode="General">
                  <c:v>0</c:v>
                </c:pt>
                <c:pt idx="75" formatCode="General">
                  <c:v>0</c:v>
                </c:pt>
                <c:pt idx="76" formatCode="General">
                  <c:v>0</c:v>
                </c:pt>
                <c:pt idx="77" formatCode="General">
                  <c:v>0</c:v>
                </c:pt>
                <c:pt idx="78" formatCode="General">
                  <c:v>0</c:v>
                </c:pt>
                <c:pt idx="79" formatCode="General">
                  <c:v>0</c:v>
                </c:pt>
                <c:pt idx="80" formatCode="General">
                  <c:v>0</c:v>
                </c:pt>
                <c:pt idx="81" formatCode="General">
                  <c:v>0</c:v>
                </c:pt>
                <c:pt idx="83" formatCode="General">
                  <c:v>0</c:v>
                </c:pt>
                <c:pt idx="84" formatCode="General">
                  <c:v>0</c:v>
                </c:pt>
                <c:pt idx="85" formatCode="General">
                  <c:v>0</c:v>
                </c:pt>
                <c:pt idx="86" formatCode="General">
                  <c:v>0</c:v>
                </c:pt>
                <c:pt idx="87" formatCode="General">
                  <c:v>0</c:v>
                </c:pt>
                <c:pt idx="88" formatCode="General">
                  <c:v>0</c:v>
                </c:pt>
                <c:pt idx="89" formatCode="General">
                  <c:v>0</c:v>
                </c:pt>
                <c:pt idx="91" formatCode="General">
                  <c:v>0</c:v>
                </c:pt>
                <c:pt idx="92" formatCode="General">
                  <c:v>0</c:v>
                </c:pt>
                <c:pt idx="93" formatCode="General">
                  <c:v>0</c:v>
                </c:pt>
                <c:pt idx="94" formatCode="General">
                  <c:v>0</c:v>
                </c:pt>
                <c:pt idx="95" formatCode="General">
                  <c:v>0</c:v>
                </c:pt>
                <c:pt idx="96" formatCode="General">
                  <c:v>0</c:v>
                </c:pt>
                <c:pt idx="98" formatCode="General">
                  <c:v>0</c:v>
                </c:pt>
                <c:pt idx="99" formatCode="General">
                  <c:v>0</c:v>
                </c:pt>
                <c:pt idx="102" formatCode="General">
                  <c:v>0</c:v>
                </c:pt>
                <c:pt idx="103" formatCode="General">
                  <c:v>0</c:v>
                </c:pt>
                <c:pt idx="104" formatCode="General">
                  <c:v>0</c:v>
                </c:pt>
                <c:pt idx="105" formatCode="General">
                  <c:v>0</c:v>
                </c:pt>
                <c:pt idx="106" formatCode="General">
                  <c:v>0</c:v>
                </c:pt>
                <c:pt idx="107" formatCode="General">
                  <c:v>0</c:v>
                </c:pt>
                <c:pt idx="108" formatCode="General">
                  <c:v>0</c:v>
                </c:pt>
                <c:pt idx="109" formatCode="General">
                  <c:v>0</c:v>
                </c:pt>
                <c:pt idx="110" formatCode="General">
                  <c:v>0</c:v>
                </c:pt>
                <c:pt idx="111" formatCode="General">
                  <c:v>0</c:v>
                </c:pt>
                <c:pt idx="112" formatCode="General">
                  <c:v>0</c:v>
                </c:pt>
                <c:pt idx="113" formatCode="General">
                  <c:v>0</c:v>
                </c:pt>
                <c:pt idx="115" formatCode="General">
                  <c:v>0</c:v>
                </c:pt>
                <c:pt idx="116" formatCode="General">
                  <c:v>0</c:v>
                </c:pt>
                <c:pt idx="117" formatCode="General">
                  <c:v>0</c:v>
                </c:pt>
                <c:pt idx="119" formatCode="General">
                  <c:v>0</c:v>
                </c:pt>
                <c:pt idx="120" formatCode="General">
                  <c:v>0</c:v>
                </c:pt>
                <c:pt idx="121" formatCode="General">
                  <c:v>0</c:v>
                </c:pt>
                <c:pt idx="123" formatCode="General">
                  <c:v>0</c:v>
                </c:pt>
                <c:pt idx="124" formatCode="General">
                  <c:v>0</c:v>
                </c:pt>
                <c:pt idx="127" formatCode="General">
                  <c:v>0</c:v>
                </c:pt>
                <c:pt idx="128" formatCode="General">
                  <c:v>0</c:v>
                </c:pt>
                <c:pt idx="130" formatCode="General">
                  <c:v>0</c:v>
                </c:pt>
                <c:pt idx="131" formatCode="General">
                  <c:v>0</c:v>
                </c:pt>
                <c:pt idx="132" formatCode="General">
                  <c:v>0</c:v>
                </c:pt>
                <c:pt idx="133" formatCode="General">
                  <c:v>0</c:v>
                </c:pt>
                <c:pt idx="134" formatCode="General">
                  <c:v>0</c:v>
                </c:pt>
                <c:pt idx="136" formatCode="General">
                  <c:v>0</c:v>
                </c:pt>
                <c:pt idx="137" formatCode="General">
                  <c:v>0</c:v>
                </c:pt>
                <c:pt idx="138" formatCode="General">
                  <c:v>0</c:v>
                </c:pt>
                <c:pt idx="139" formatCode="General">
                  <c:v>0</c:v>
                </c:pt>
                <c:pt idx="140" formatCode="General">
                  <c:v>0</c:v>
                </c:pt>
                <c:pt idx="141" formatCode="General">
                  <c:v>0</c:v>
                </c:pt>
                <c:pt idx="142" formatCode="General">
                  <c:v>0</c:v>
                </c:pt>
                <c:pt idx="143" formatCode="General">
                  <c:v>0</c:v>
                </c:pt>
                <c:pt idx="144" formatCode="General">
                  <c:v>0</c:v>
                </c:pt>
                <c:pt idx="145" formatCode="General">
                  <c:v>0</c:v>
                </c:pt>
                <c:pt idx="146" formatCode="General">
                  <c:v>0</c:v>
                </c:pt>
                <c:pt idx="148" formatCode="General">
                  <c:v>0</c:v>
                </c:pt>
                <c:pt idx="149" formatCode="General">
                  <c:v>0</c:v>
                </c:pt>
                <c:pt idx="151" formatCode="General">
                  <c:v>0</c:v>
                </c:pt>
                <c:pt idx="152" formatCode="General">
                  <c:v>0</c:v>
                </c:pt>
                <c:pt idx="154" formatCode="General">
                  <c:v>0</c:v>
                </c:pt>
                <c:pt idx="155" formatCode="General">
                  <c:v>0</c:v>
                </c:pt>
                <c:pt idx="156" formatCode="General">
                  <c:v>0</c:v>
                </c:pt>
                <c:pt idx="157" formatCode="General">
                  <c:v>0</c:v>
                </c:pt>
                <c:pt idx="158" formatCode="General">
                  <c:v>0</c:v>
                </c:pt>
                <c:pt idx="159" formatCode="General">
                  <c:v>0</c:v>
                </c:pt>
                <c:pt idx="161" formatCode="General">
                  <c:v>0</c:v>
                </c:pt>
                <c:pt idx="162" formatCode="General">
                  <c:v>0</c:v>
                </c:pt>
                <c:pt idx="163" formatCode="General">
                  <c:v>0</c:v>
                </c:pt>
                <c:pt idx="164" formatCode="General">
                  <c:v>0</c:v>
                </c:pt>
                <c:pt idx="166" formatCode="General">
                  <c:v>0</c:v>
                </c:pt>
                <c:pt idx="167" formatCode="General">
                  <c:v>0</c:v>
                </c:pt>
                <c:pt idx="170" formatCode="General">
                  <c:v>0</c:v>
                </c:pt>
                <c:pt idx="171" formatCode="General">
                  <c:v>0</c:v>
                </c:pt>
                <c:pt idx="172" formatCode="General">
                  <c:v>0</c:v>
                </c:pt>
                <c:pt idx="173" formatCode="General">
                  <c:v>0</c:v>
                </c:pt>
                <c:pt idx="174" formatCode="General">
                  <c:v>0</c:v>
                </c:pt>
                <c:pt idx="175" formatCode="General">
                  <c:v>0</c:v>
                </c:pt>
                <c:pt idx="176" formatCode="General">
                  <c:v>0</c:v>
                </c:pt>
                <c:pt idx="177" formatCode="General">
                  <c:v>0</c:v>
                </c:pt>
                <c:pt idx="178" formatCode="General">
                  <c:v>0</c:v>
                </c:pt>
                <c:pt idx="179" formatCode="General">
                  <c:v>0</c:v>
                </c:pt>
                <c:pt idx="180" formatCode="General">
                  <c:v>0</c:v>
                </c:pt>
                <c:pt idx="182" formatCode="General">
                  <c:v>0</c:v>
                </c:pt>
                <c:pt idx="183" formatCode="General">
                  <c:v>0</c:v>
                </c:pt>
                <c:pt idx="184" formatCode="General">
                  <c:v>0</c:v>
                </c:pt>
                <c:pt idx="185" formatCode="General">
                  <c:v>0</c:v>
                </c:pt>
                <c:pt idx="187" formatCode="General">
                  <c:v>0</c:v>
                </c:pt>
                <c:pt idx="188" formatCode="General">
                  <c:v>0</c:v>
                </c:pt>
                <c:pt idx="189" formatCode="General">
                  <c:v>0</c:v>
                </c:pt>
                <c:pt idx="190" formatCode="General">
                  <c:v>0</c:v>
                </c:pt>
                <c:pt idx="192" formatCode="General">
                  <c:v>0</c:v>
                </c:pt>
                <c:pt idx="193" formatCode="General">
                  <c:v>0</c:v>
                </c:pt>
                <c:pt idx="195" formatCode="General">
                  <c:v>0</c:v>
                </c:pt>
                <c:pt idx="197" formatCode="General">
                  <c:v>0</c:v>
                </c:pt>
                <c:pt idx="198" formatCode="General">
                  <c:v>0</c:v>
                </c:pt>
                <c:pt idx="199" formatCode="General">
                  <c:v>0</c:v>
                </c:pt>
                <c:pt idx="201" formatCode="General">
                  <c:v>0</c:v>
                </c:pt>
                <c:pt idx="202" formatCode="General">
                  <c:v>0</c:v>
                </c:pt>
                <c:pt idx="204" formatCode="General">
                  <c:v>0</c:v>
                </c:pt>
              </c:numCache>
            </c:numRef>
          </c:val>
          <c:extLst xmlns:c16r2="http://schemas.microsoft.com/office/drawing/2015/06/chart">
            <c:ext xmlns:c16="http://schemas.microsoft.com/office/drawing/2014/chart" uri="{C3380CC4-5D6E-409C-BE32-E72D297353CC}">
              <c16:uniqueId val="{00000003-31C6-440F-B8B6-A36988702B38}"/>
            </c:ext>
          </c:extLst>
        </c:ser>
        <c:ser>
          <c:idx val="4"/>
          <c:order val="4"/>
          <c:invertIfNegative val="1"/>
          <c:cat>
            <c:strRef>
              <c:f>'PLAN DE DESARROLLO '!$B$3:$B$207</c:f>
              <c:strCache>
                <c:ptCount val="205"/>
                <c:pt idx="0">
                  <c:v>PILAR/LINEA ESTRATEGICA/PROGRAMA</c:v>
                </c:pt>
                <c:pt idx="1">
                  <c:v>PLAN DE DESARROLLO "SALVEMOS JUNTOS A CARTAGENA 2020 - 2023)</c:v>
                </c:pt>
                <c:pt idx="2">
                  <c:v>PILAR RESILIENTE</c:v>
                </c:pt>
                <c:pt idx="3">
                  <c:v>LINEA ESTRATEGICA  “SALVEMOS JUNTOS NUESTRO PATRIMONIO NATURAL” </c:v>
                </c:pt>
                <c:pt idx="4">
                  <c:v>Programa Recuperar y Restaurar Nuestras Áreas Naturales (Bosques  y  Biodiversidad y servicios Eco sistémicos)</c:v>
                </c:pt>
                <c:pt idx="5">
                  <c:v>Programa Ordenamiento Ambiental y Adaptación al Cambio Climático para la Sostenibilidad Ambiental. (Mitigación y Gestión del Riesgo Ambiental)</c:v>
                </c:pt>
                <c:pt idx="6">
                  <c:v>Programa Aseguramiento, Monitoreo, Control y Vigilancia Ambiental  (Sistema integrado de Monitoreo Ambiental)               </c:v>
                </c:pt>
                <c:pt idx="7">
                  <c:v>Programa Investigación, Educación y Cultura Ambiental (Educación y Cultura Ambiental)</c:v>
                </c:pt>
                <c:pt idx="8">
                  <c:v>Programa Salvemos Juntos Nuestro Recurso Hídrico (Gestión integral del Recurso Hídrico)</c:v>
                </c:pt>
                <c:pt idx="9">
                  <c:v>Programa Negocios verdes, Economía Circular, Producción y consumo sostenible (Negocios verdes Inclusivos)</c:v>
                </c:pt>
                <c:pt idx="10">
                  <c:v>Programa Instituciones ambientales más modernas, eficientes y transparentes. (Fortalecimiento Institucional)</c:v>
                </c:pt>
                <c:pt idx="11">
                  <c:v>Programa Bienestar y Protección animal</c:v>
                </c:pt>
                <c:pt idx="12">
                  <c:v>LÍNEA ESTRATÉGICA ESPACIO PÚBLICO, MOVILIDAD Y TRANSPORTE RESILIENTE</c:v>
                </c:pt>
                <c:pt idx="13">
                  <c:v>Programa Sostenibilidad del Espacio Público</c:v>
                </c:pt>
                <c:pt idx="14">
                  <c:v>Programa Recuperación del Espacio Público </c:v>
                </c:pt>
                <c:pt idx="15">
                  <c:v>Programa Generación del Espacio Público  </c:v>
                </c:pt>
                <c:pt idx="16">
                  <c:v>Programa Movilidad en Cartagena  </c:v>
                </c:pt>
                <c:pt idx="17">
                  <c:v>Programa Transporte para todos</c:v>
                </c:pt>
                <c:pt idx="18">
                  <c:v>Programa Reducción de la Siniestralidad vial </c:v>
                </c:pt>
                <c:pt idx="19">
                  <c:v>Programa Fortalecimiento de la capacidad de respuesta del Departamento Administrativo de Tránsito y Transporte</c:v>
                </c:pt>
                <c:pt idx="20">
                  <c:v>Programa Movilidad Sostenible en el Distrito de Cartagena</c:v>
                </c:pt>
                <c:pt idx="21">
                  <c:v>LÍNEA ESTRATÉGICA DESARROLLO URBANO </c:v>
                </c:pt>
                <c:pt idx="22">
                  <c:v>Programa Cartagena se Mueve</c:v>
                </c:pt>
                <c:pt idx="23">
                  <c:v>Programa Sistema Hídrico y Plan maestro de drenajes pluviales en la ciudad para salvar el hábitat</c:v>
                </c:pt>
                <c:pt idx="24">
                  <c:v>Programa Cartagena Ciudad de Bordes y Orillas Resiliente </c:v>
                </c:pt>
                <c:pt idx="25">
                  <c:v>Programa Cartagena se Conecta</c:v>
                </c:pt>
                <c:pt idx="26">
                  <c:v>Programa Integral de Caños, lagos, lagunas y ciénagas de Cartagena de Indias</c:v>
                </c:pt>
                <c:pt idx="27">
                  <c:v>LÍNEA ESTRATÉGICA GESTIÓN DEL RIESGO.</c:v>
                </c:pt>
                <c:pt idx="28">
                  <c:v>Programa Conocimiento del Riesgo</c:v>
                </c:pt>
                <c:pt idx="29">
                  <c:v>Programa Reducción del Riesgo</c:v>
                </c:pt>
                <c:pt idx="30">
                  <c:v>Programa Manejo de Desastre</c:v>
                </c:pt>
                <c:pt idx="31">
                  <c:v>Programa Fortalecimiento Cuerpo de Bomberos</c:v>
                </c:pt>
                <c:pt idx="32">
                  <c:v>LÍNEA ESTRATÉGICA VIVIENDA  PARA TODOS</c:v>
                </c:pt>
                <c:pt idx="33">
                  <c:v>Programa Juntos por una Vivienda Digna</c:v>
                </c:pt>
                <c:pt idx="34">
                  <c:v>Programa Mejoro Mi Casa, compromiso de todos</c:v>
                </c:pt>
                <c:pt idx="35">
                  <c:v>Programa ¡Mi Casa a lo Legal!</c:v>
                </c:pt>
                <c:pt idx="36">
                  <c:v>Programa Un Lugar apto para mi hogar</c:v>
                </c:pt>
                <c:pt idx="37">
                  <c:v>Programa Mi Casa, Mi Entorno, Mi Hábitat    </c:v>
                </c:pt>
                <c:pt idx="38">
                  <c:v>LÍNEA ESTRATÉGICA SERVICIOS PÚBLICOS BÁSICOS DEL DISTRITO DE CARTAGENA DE INDIAS: “TODOS CON TODO”</c:v>
                </c:pt>
                <c:pt idx="39">
                  <c:v>Programa de Ahorro y Uso Eficiente De Los Servicios Públicos, "Agua y Saneamiento Básico Para Todos”</c:v>
                </c:pt>
                <c:pt idx="40">
                  <c:v>Programa Energía Asequible, Confiable Sostenible y Moderna Para Todos.</c:v>
                </c:pt>
                <c:pt idx="41">
                  <c:v>Programa Gestión Integral De Residuos Sólidos "Cultura ciudadana para el reciclaje inclusivo y la economía circular"</c:v>
                </c:pt>
                <c:pt idx="42">
                  <c:v>Programa Sistema de Información De Los Servicios Públicos, “Servinfo”</c:v>
                </c:pt>
                <c:pt idx="43">
                  <c:v>Programa Cementerios</c:v>
                </c:pt>
                <c:pt idx="44">
                  <c:v>LÍNEA ESTRATÉGICA INSTRUMENTOS DE ORDENAMIENTO TERRITORIAL.</c:v>
                </c:pt>
                <c:pt idx="45">
                  <c:v>Programa Plan de Ordenamiento Territorial y Especial de Manejo de Patrimonio.</c:v>
                </c:pt>
                <c:pt idx="46">
                  <c:v>Programa Administrando Juntos El Control Urbano</c:v>
                </c:pt>
                <c:pt idx="47">
                  <c:v>Programa Ordenación territorial y  Recuperación social, ambiental y Urbana de la Ciénaga de la Virgen.</c:v>
                </c:pt>
                <c:pt idx="48">
                  <c:v>PILAR CARTAGENA INCLUYENTE</c:v>
                </c:pt>
                <c:pt idx="49">
                  <c:v>LÍNEA ESTRATÉGICA: SUPERACIÓN DE LA POBREZA Y DESIGUALDAD.</c:v>
                </c:pt>
                <c:pt idx="50">
                  <c:v>Programa: Identificación para la superación de la pobreza extrema y desigualdad </c:v>
                </c:pt>
                <c:pt idx="51">
                  <c:v>Programa: Salud para la superación de la pobreza extrema y desigualdad </c:v>
                </c:pt>
                <c:pt idx="52">
                  <c:v>Programa: Educación para la superación de la pobreza extrema y la desigualdad</c:v>
                </c:pt>
                <c:pt idx="53">
                  <c:v>Programa: Habitabilidad para la superación de la pobreza extrema y la desigualdad</c:v>
                </c:pt>
                <c:pt idx="54">
                  <c:v>Programa Ingresos y trabajo para la superación de la pobreza extrema y desigualdad </c:v>
                </c:pt>
                <c:pt idx="55">
                  <c:v>Programa: Bancarización para la superación de la pobreza extrema y desigualdad </c:v>
                </c:pt>
                <c:pt idx="56">
                  <c:v>Programa: Dinámica Familiar para la Superación de la Pobreza Extrema</c:v>
                </c:pt>
                <c:pt idx="57">
                  <c:v>Programa Seguridad alimentaria y nutrición para la superación de la pobreza extrema</c:v>
                </c:pt>
                <c:pt idx="58">
                  <c:v>Programa: Acceso a la justicia para la superación de la pobreza extrema y desigualdad</c:v>
                </c:pt>
                <c:pt idx="59">
                  <c:v>Programa: Fortalecimiento institucional para superación de la pobreza extrema y desigualdad</c:v>
                </c:pt>
                <c:pt idx="60">
                  <c:v>LÍNEA EDUCACIÓN: CULTURA DE LA FORMACIÓN “Con la Educación para Todos y Todas Salvamos Juntos a Cartagena”</c:v>
                </c:pt>
                <c:pt idx="61">
                  <c:v>Programa: Acogida “atención a poblaciones y estrategias de acceso y permanencia”</c:v>
                </c:pt>
                <c:pt idx="62">
                  <c:v>Programa: Sabiduría de la primera infancia “grandes banderas, gesto e ideas para cambiar el planeta”</c:v>
                </c:pt>
                <c:pt idx="63">
                  <c:v>Programa: Formando con amor “Genio Singular”</c:v>
                </c:pt>
                <c:pt idx="64">
                  <c:v>Programa Desarrollo de potencialidades</c:v>
                </c:pt>
                <c:pt idx="65">
                  <c:v>Programa Participación, democracia y autonomía</c:v>
                </c:pt>
                <c:pt idx="66">
                  <c:v>Programa de Educación mediada a través de tecnologías de la información y las comunicaciones-Tic´s</c:v>
                </c:pt>
                <c:pt idx="67">
                  <c:v>Programa: Educación para transformar “educación media técnica y superior”</c:v>
                </c:pt>
                <c:pt idx="68">
                  <c:v>Programa: Movilización educativa “Por una gestión educativa transparente, participativa y eficiente”</c:v>
                </c:pt>
                <c:pt idx="69">
                  <c:v>Programa: Por una Educación Post secundaria Distrital</c:v>
                </c:pt>
                <c:pt idx="70">
                  <c:v>Programa Fortalecimiento de la oferta de educación superior oficial del Distrito de Cartagena D. T. y C.</c:v>
                </c:pt>
                <c:pt idx="71">
                  <c:v>LÍNEA ESTRATÉGICA SALUD PARA TODOS.</c:v>
                </c:pt>
                <c:pt idx="72">
                  <c:v>Programa: Fortalecimiento de la autoridad sanitaria</c:v>
                </c:pt>
                <c:pt idx="73">
                  <c:v>Programa: Transversal gestión diferencial de poblaciones vulnerables</c:v>
                </c:pt>
                <c:pt idx="74">
                  <c:v>Programa Salud ambiental</c:v>
                </c:pt>
                <c:pt idx="75">
                  <c:v>Programa: Vida saludable y condiciones no transmisibles</c:v>
                </c:pt>
                <c:pt idx="76">
                  <c:v>Programa: Convivencia social y salud mental</c:v>
                </c:pt>
                <c:pt idx="77">
                  <c:v>Programa Nutrición e inocuidad de alimentos</c:v>
                </c:pt>
                <c:pt idx="78">
                  <c:v>Programa Sexualidad, derechos sexuales y reproductivos</c:v>
                </c:pt>
                <c:pt idx="79">
                  <c:v>Programa: Vida saludable y enfermedades transmisibles</c:v>
                </c:pt>
                <c:pt idx="80">
                  <c:v>Programa: Salud pública en emergencias y desastres</c:v>
                </c:pt>
                <c:pt idx="81">
                  <c:v>Programa: Salud y ámbito laboral</c:v>
                </c:pt>
                <c:pt idx="82">
                  <c:v>LÍNEA ESTRATÉGICA: DEPORTE Y RECREACIÓN PARA  LA TRANSFORMACIÓN SOCIAL </c:v>
                </c:pt>
                <c:pt idx="83">
                  <c:v>Programa “La escuela y el deporte son de todos” </c:v>
                </c:pt>
                <c:pt idx="84">
                  <c:v>Programa: Deporte asociado “incentivos con-sentido”</c:v>
                </c:pt>
                <c:pt idx="85">
                  <c:v>Programa: Deporte social comunitario con inclusión “Cartagena Incluyente”</c:v>
                </c:pt>
                <c:pt idx="86">
                  <c:v>Programa: Hábitos y estilos de vida saludable “actívate por tu salud”.</c:v>
                </c:pt>
                <c:pt idx="87">
                  <c:v>Programa: Recreación comunitaria “Recréate Cartagena” </c:v>
                </c:pt>
                <c:pt idx="88">
                  <c:v>Programa: Observatorio de ciencias aplicadas al deporte, la recreación, la actividad física y el aprovechamiento del tiempo libre en el distrito de Cartagena de indias.</c:v>
                </c:pt>
                <c:pt idx="89">
                  <c:v>Programa Administración, Mantenimiento, Adecuación, Mejoramiento y Construcción de Escenarios Deportivos  </c:v>
                </c:pt>
                <c:pt idx="90">
                  <c:v>LÍNEA ESTRATÉGICA ARTES, CULTURA Y PATRIMONIO PARA UNA CARTAGENA INCLUYENTE</c:v>
                </c:pt>
                <c:pt idx="91">
                  <c:v> Programa: Mediación  y bibliotecas para la Inclusión </c:v>
                </c:pt>
                <c:pt idx="92">
                  <c:v>Programa: Estímulos para las artes y el Emprendimiento incluyente</c:v>
                </c:pt>
                <c:pt idx="93">
                  <c:v>Programa: Patrimonio Inmaterial: Prácticas significativas para la memoria</c:v>
                </c:pt>
                <c:pt idx="94">
                  <c:v> Programa: Valoración, Cuidado y Apropiación Social del Patrimonio Material</c:v>
                </c:pt>
                <c:pt idx="95">
                  <c:v>Programa: Derechos culturales y buen gobierno para el fortalecimiento institucional y ciudadano</c:v>
                </c:pt>
                <c:pt idx="96">
                  <c:v>Programa: Infraestructura Cultural para la Inclusión</c:v>
                </c:pt>
                <c:pt idx="97">
                  <c:v>LÍNEA ESTRATÉGICA: PLANEACIÓN SOCIAL DEL TERRITORIO </c:v>
                </c:pt>
                <c:pt idx="98">
                  <c:v>Programa: Instrumentos de planificación social del territorio </c:v>
                </c:pt>
                <c:pt idx="99">
                  <c:v>Programa: Catastro multipropósito</c:v>
                </c:pt>
                <c:pt idx="100">
                  <c:v>PILAR CARTAGENA CONTINGENTE </c:v>
                </c:pt>
                <c:pt idx="101">
                  <c:v> LÍNEA ESTRATÉGICA: DESARROLLO ECONÓMICO Y EMPLEABILIDAD</c:v>
                </c:pt>
                <c:pt idx="102">
                  <c:v>Programa: Centros para el emprendimiento y la gestión de la empleabilidad en Cartagena de Indias </c:v>
                </c:pt>
                <c:pt idx="103">
                  <c:v>Programa: Mujeres con Autonomía Económica</c:v>
                </c:pt>
                <c:pt idx="104">
                  <c:v>Programa: "Empleo Inclusivo Para Los Jóvenes”</c:v>
                </c:pt>
                <c:pt idx="105">
                  <c:v>Programa: Encadenamientos productivos</c:v>
                </c:pt>
                <c:pt idx="106">
                  <c:v>Programa: Cartagena facilita el emprendimiento</c:v>
                </c:pt>
                <c:pt idx="107">
                  <c:v>Programa: Zonas de aglomeración productiva</c:v>
                </c:pt>
                <c:pt idx="108">
                  <c:v>Programa: Cierre de brechas de empleabilidad</c:v>
                </c:pt>
                <c:pt idx="109">
                  <c:v>Programa: Cierre de brechas de capital humano</c:v>
                </c:pt>
                <c:pt idx="110">
                  <c:v>Programa: Desarrollo del ecosistema digital basado en la cuarta revolución industrial</c:v>
                </c:pt>
                <c:pt idx="111">
                  <c:v>Programa: Cartagena emprendedora para pequeños productores rurales</c:v>
                </c:pt>
                <c:pt idx="112">
                  <c:v>Programa: Sistemas de Mercados públicos</c:v>
                </c:pt>
                <c:pt idx="113">
                  <c:v>Programa: Más Cooperación Internacional</c:v>
                </c:pt>
                <c:pt idx="114">
                  <c:v>LÍNEA ESTRATÉGICA: COMPETITIVIDAD E INNOVACIÓN</c:v>
                </c:pt>
                <c:pt idx="115">
                  <c:v>Programa: Cartagena ciudad Innovadora</c:v>
                </c:pt>
                <c:pt idx="116">
                  <c:v>Programa: Cartagena destino de inversión</c:v>
                </c:pt>
                <c:pt idx="117">
                  <c:v>Programa: Cartagena fomenta la ciencia, tecnología e innovación agropecuaria: juntos por la extensión agropecuaria a pequeños productores.</c:v>
                </c:pt>
                <c:pt idx="118">
                  <c:v>LÍNEA ESTRATÉGICA: TURISMO, MOTOR DE REACTIVACIÓN ECONÓMICA PARA CARTAGENA DE INDIAS</c:v>
                </c:pt>
                <c:pt idx="119">
                  <c:v>Programa: Promoción Nacional e Internacional de Cartagena de Indias</c:v>
                </c:pt>
                <c:pt idx="120">
                  <c:v>Programa: Conectividad</c:v>
                </c:pt>
                <c:pt idx="121">
                  <c:v>Programa: Turismo Competitivo y Sostenible</c:v>
                </c:pt>
                <c:pt idx="122">
                  <c:v>LÍNEA ESTRATÉGICA: PLANEACIÓN E INTEGRACIÓN CONTINGENTE DEL TERRITORIO</c:v>
                </c:pt>
                <c:pt idx="123">
                  <c:v>Programa Integración y proyectos entre ciudades</c:v>
                </c:pt>
                <c:pt idx="124">
                  <c:v>Programa: Normas de promoción del desarrollo urbano y económico</c:v>
                </c:pt>
                <c:pt idx="125">
                  <c:v>PILAR CARTAGENA TRANSPARENTE</c:v>
                </c:pt>
                <c:pt idx="126">
                  <c:v>LÍNEA ESTRATÉGICA GESTIÓN Y DESEMPEÑO INSTITUCIONAL PARA LA GOBERNANZA</c:v>
                </c:pt>
                <c:pt idx="127">
                  <c:v>Programa: Gestión pública integrada y transparente</c:v>
                </c:pt>
                <c:pt idx="128">
                  <c:v>Programa: Transparencia para el fortalecimiento de la   confianza en las instituciones del distrito de Cartagena.</c:v>
                </c:pt>
                <c:pt idx="129">
                  <c:v>LÍNEA ESTRATÉGICA: CARTAGENA INTELIGENTE CON TODOS Y PARA  TODOS</c:v>
                </c:pt>
                <c:pt idx="130">
                  <c:v>Programa: Cartagena inteligente con todos y para todos</c:v>
                </c:pt>
                <c:pt idx="131">
                  <c:v>Programa: Cartageneros conectados y alfabetizados</c:v>
                </c:pt>
                <c:pt idx="132">
                  <c:v>Programa: Cartagena hacia la modernidad</c:v>
                </c:pt>
                <c:pt idx="133">
                  <c:v>Programa: Organización y recuperación del patrimonio público del distrito de Cartagena </c:v>
                </c:pt>
                <c:pt idx="134">
                  <c:v>Programa: Premio Jorge Piedrahita Aduen</c:v>
                </c:pt>
                <c:pt idx="135">
                  <c:v>LÍNEA ESTRATÉGICA: CONVIVENCIA Y SEGURIDAD PARA LA GOBERNABILIDAD</c:v>
                </c:pt>
                <c:pt idx="136">
                  <c:v>Programa:   Plan integral de seguridad y convivencia ciudadana</c:v>
                </c:pt>
                <c:pt idx="137">
                  <c:v>Programa:    Fortalecimiento de la convivencia y la seguridad ciudadana</c:v>
                </c:pt>
                <c:pt idx="138">
                  <c:v>Programa:   Mejorar la convivencia ciudadana con la implementación del código nacional de policía y convivencia</c:v>
                </c:pt>
                <c:pt idx="139">
                  <c:v>Programa:    Fortalecimiento capacidad operativa de la secretaria del interior y convivencia ciudadana</c:v>
                </c:pt>
                <c:pt idx="140">
                  <c:v>Programa:   Promoción al acceso a la justicia</c:v>
                </c:pt>
                <c:pt idx="141">
                  <c:v>Programa:    Asistencia y atención integral a los niños, niñas,  adolescentes y jóvenes en riesgo de vincularse a actividades delictivas</c:v>
                </c:pt>
                <c:pt idx="142">
                  <c:v>Programa:    Fortalecimiento sistema de responsabilidad penal para adolescentes –SRPA</c:v>
                </c:pt>
                <c:pt idx="143">
                  <c:v>Programa: Implementación y sostenimiento de herramientas tecnológicas para seguridad y socorro</c:v>
                </c:pt>
                <c:pt idx="144">
                  <c:v>Programa: Optimización de la infraestructura y movilidad de los organismos de seguridad y socorro</c:v>
                </c:pt>
                <c:pt idx="145">
                  <c:v>Programa: Vigilancia de las playas del distrito de Cartagena</c:v>
                </c:pt>
                <c:pt idx="146">
                  <c:v>Programa Convivencia para la Seguridad</c:v>
                </c:pt>
                <c:pt idx="147">
                  <c:v>LÍNEA ESTRATÉGICA DERECHOS HUMANOS PARA LA PAZ</c:v>
                </c:pt>
                <c:pt idx="148">
                  <c:v>Programa: Prevención, promoción y protección de los derechos humanos en el distrito de Cartagena</c:v>
                </c:pt>
                <c:pt idx="149">
                  <c:v>Programa:   Sistema penitenciario y carcelario en el marco de los derechos humanos</c:v>
                </c:pt>
                <c:pt idx="150">
                  <c:v>LÍNEA ESTRATÉGICA: ATENCIÓN Y REPARACIÓN A VICTIMAS PARA LA CONSTRUCCIÓN DE LA  PAZ TERRITORIAL</c:v>
                </c:pt>
                <c:pt idx="151">
                  <c:v>Programa: Atención, asistencia y reparación integral a las víctimas</c:v>
                </c:pt>
                <c:pt idx="152">
                  <c:v>Programa: Construcción de paz territorial</c:v>
                </c:pt>
                <c:pt idx="153">
                  <c:v>LÍNEA ESTRATÉGICA: CULTURA CIUDADANA PARA LA DEMOCRACIA Y LA PAZ</c:v>
                </c:pt>
                <c:pt idx="154">
                  <c:v>Programa: Servidor y servidora pública al servicio de la ciudadanía</c:v>
                </c:pt>
                <c:pt idx="155">
                  <c:v>Programa: Ciudadanía libre, incluyente y transformadora</c:v>
                </c:pt>
                <c:pt idx="156">
                  <c:v>Programa: Cartagena te quiere, quiere a Cartagena: plan decenal de cultura ciudadana y Cartageneidad.</c:v>
                </c:pt>
                <c:pt idx="157">
                  <c:v>Programa: Yo soy Cartagena</c:v>
                </c:pt>
                <c:pt idx="158">
                  <c:v>Programa: Nuestra Cartagena soñada.</c:v>
                </c:pt>
                <c:pt idx="159">
                  <c:v>Programa Conéctate Con Cartagena</c:v>
                </c:pt>
                <c:pt idx="160">
                  <c:v>LÍNEA ESTRATÉGICA: PARTICIPACIÓN Y DESCENTRALIZACIÓN </c:v>
                </c:pt>
                <c:pt idx="161">
                  <c:v>Programa: Participando salvamos a Cartagena</c:v>
                </c:pt>
                <c:pt idx="162">
                  <c:v>Programa: Modernización del Sistema Distrital de Planeación y Descentralización  </c:v>
                </c:pt>
                <c:pt idx="163">
                  <c:v>Programa: Políticas Públicas intersectoriales y con visión Integral de enfoques basados en derechos humanos </c:v>
                </c:pt>
                <c:pt idx="164">
                  <c:v>Programa:   Presupuesto participativo</c:v>
                </c:pt>
                <c:pt idx="165">
                  <c:v>LÍNEA ESTRATÉGICA: FINANZAS PÚBLICAS PARA SALVAR A CARTAGENA</c:v>
                </c:pt>
                <c:pt idx="166">
                  <c:v>Programa: Finanzas sostenibles para salvar a Cartagena</c:v>
                </c:pt>
                <c:pt idx="167">
                  <c:v>Programa: Saneamiento fiscal y financiero</c:v>
                </c:pt>
                <c:pt idx="168">
                  <c:v>EJE TRANSVERSAL: CARTAGENA CON ATENCION Y GARANTIA DE DERECHOS A POBLACION DIFERENCIAL.</c:v>
                </c:pt>
                <c:pt idx="169">
                  <c:v>LINEA ESTRATEGICA PARA LA EQUIDAD E INCLUSIÓN DE LOS NEGROS, AFROS, PALENQUEROS E INDIGENA.</c:v>
                </c:pt>
                <c:pt idx="170">
                  <c:v>Fortalecimiento de Población Negra, Afrocolombiana, Raizal y Palenquera en el Distrito de Cartagena </c:v>
                </c:pt>
                <c:pt idx="171">
                  <c:v>Fortalecimiento e Inclusión Productiva para Población Negra, Afrocolombiana, Raizal y Palenquera en el Distrito de Cartagena.</c:v>
                </c:pt>
                <c:pt idx="172">
                  <c:v>Programa: Inclusión Educativa para el Desarrollo para Población Negra, Afrocolombiana, Raizal y Palenquera en el Distrito de Cartagena.</c:v>
                </c:pt>
                <c:pt idx="173">
                  <c:v>Programa: Promoción, Prevención y Atención En Salud para población Negra, Afrocolombiana, Raizal y Palenquera en el Distrito De Cartagena.</c:v>
                </c:pt>
                <c:pt idx="174">
                  <c:v>Programa: Sostenibilidad Ambiental y Fomento Tradicional</c:v>
                </c:pt>
                <c:pt idx="175">
                  <c:v>Programa: Sostenibilidad Cultural como Garantía de Permanencia.</c:v>
                </c:pt>
                <c:pt idx="176">
                  <c:v>Programa: Fortalecimiento de la Población Indígena en el Distrito de Cartagena.</c:v>
                </c:pt>
                <c:pt idx="177">
                  <c:v>Programa: Educación con Enfoque Diferencial Indígena SISTEMA EDUCATIVO INDIGENA PROPIO - SEIP</c:v>
                </c:pt>
                <c:pt idx="178">
                  <c:v>Programa: Intercultural de Salud Propia Preventiva Indígena- SISPI</c:v>
                </c:pt>
                <c:pt idx="179">
                  <c:v>Programa: Integridad Cultural, Gobierno Propio, Vivienda y Hábitat para las Comunidades Indígenas en el Distrito Cartagena</c:v>
                </c:pt>
                <c:pt idx="180">
                  <c:v>Programa: Empoderamiento del Liderazgo de las Mujeres, Niñez, Jóvenes, Familia y Generación Indígena</c:v>
                </c:pt>
                <c:pt idx="181">
                  <c:v>LINEA ESTRATEGICA MUJERES CARTAGENERAS POR SUS DERECHOS.</c:v>
                </c:pt>
                <c:pt idx="182">
                  <c:v>Programa: Las Mujeres Decidimos Sobre el Ejercicio del Poder</c:v>
                </c:pt>
                <c:pt idx="183">
                  <c:v>Programa: Una Vida Libre de Violencias para las Mujeres</c:v>
                </c:pt>
                <c:pt idx="184">
                  <c:v>Programa: Mujer, Constructoras De Paz</c:v>
                </c:pt>
                <c:pt idx="185">
                  <c:v>Programa: Cartagena Libre de una Cultura Machista</c:v>
                </c:pt>
                <c:pt idx="186">
                  <c:v>LINEA ESTRATEGICA: INCLUSION Y OPORTUNIDAD PARA NIÑOS, NIÑAS Y ADOLESCENTES Y FAMILIAS.</c:v>
                </c:pt>
                <c:pt idx="187">
                  <c:v>Programa: Comprometidos con la Salvación de Nuestra Primera Infancia</c:v>
                </c:pt>
                <c:pt idx="188">
                  <c:v>Programa Protección de la Infancia y la Adolescencia para la Prevención y atención de Violencias.</c:v>
                </c:pt>
                <c:pt idx="189">
                  <c:v>Programa los Niños, las Niñas y Adolescentes de Cartagena Participan y Disfrutan sus Derechos.</c:v>
                </c:pt>
                <c:pt idx="190">
                  <c:v>Programa Fortalecimiento Familiar.</c:v>
                </c:pt>
                <c:pt idx="191">
                  <c:v>LINEA ESTRATEGICA JOVENES SALVANDO A CARTAGENA</c:v>
                </c:pt>
                <c:pt idx="192">
                  <c:v>Programa: Jóvenes Participando y Salvando a Cartagena</c:v>
                </c:pt>
                <c:pt idx="193">
                  <c:v>Programa: Política Pública De Juventud</c:v>
                </c:pt>
                <c:pt idx="194">
                  <c:v>LINEA ESTRATEGICA EN CARTAGENA SALVAMOS NUESTROS ADULTOS MAYORES.</c:v>
                </c:pt>
                <c:pt idx="195">
                  <c:v>Programa: Atención Integral Para Mantener a Salvo a los Adultos Mayores</c:v>
                </c:pt>
                <c:pt idx="196">
                  <c:v>LÍNEA ESTRATÉGICA: TODOS POR LA PROTECCIÓN SOCIAL DE LAS PERSONAS CON DISCAPACIDAD: “RECONOCIDAS, EMPODERADAS Y RESPETADAS”.</c:v>
                </c:pt>
                <c:pt idx="197">
                  <c:v>Programa: Gestión Social Integral y Articuladora por la Protección de las Personas Con Discapacidad y/o su Familia o Cuidador.</c:v>
                </c:pt>
                <c:pt idx="198">
                  <c:v>Programa: Pacto o Alianza Por La Inclusión Social y Productiva de las Personas Con Discapacidad.</c:v>
                </c:pt>
                <c:pt idx="199">
                  <c:v>Programa: Desarrollo Local Inclusivo de las Personas Con Discapacidad: Reconocimiento de Capacidades, Diferencias y Diversidad.</c:v>
                </c:pt>
                <c:pt idx="200">
                  <c:v>LINEA ESTRATEGICA TRATO HUMANITARIO AL HABITANTE DE CALLE</c:v>
                </c:pt>
                <c:pt idx="201">
                  <c:v>Programa: Habitante De Calle Con Desarrollo Humano Integral </c:v>
                </c:pt>
                <c:pt idx="202">
                  <c:v>Programa Formación Para El Trabajo - Generación De Ingresos y Responsabilidad Social Empresarial.</c:v>
                </c:pt>
                <c:pt idx="203">
                  <c:v>LINEA ESTRATEGICA DIVERSIDAD SEXUAL Y NUEVAS IDENTIDADES DE GÉNERO.</c:v>
                </c:pt>
                <c:pt idx="204">
                  <c:v>Programa: Diversidad Sexual e Identidades de Género</c:v>
                </c:pt>
              </c:strCache>
            </c:strRef>
          </c:cat>
          <c:val>
            <c:numRef>
              <c:f>'PLAN DE DESARROLLO '!$O$3:$O$207</c:f>
              <c:numCache>
                <c:formatCode>General</c:formatCode>
                <c:ptCount val="205"/>
                <c:pt idx="8" formatCode="0.00%">
                  <c:v>0.26073457501277386</c:v>
                </c:pt>
                <c:pt idx="9" formatCode="0.00%">
                  <c:v>6.5183643753193465E-2</c:v>
                </c:pt>
              </c:numCache>
            </c:numRef>
          </c:val>
          <c:extLst xmlns:c16r2="http://schemas.microsoft.com/office/drawing/2015/06/chart">
            <c:ext xmlns:c16="http://schemas.microsoft.com/office/drawing/2014/chart" uri="{C3380CC4-5D6E-409C-BE32-E72D297353CC}">
              <c16:uniqueId val="{00000004-31C6-440F-B8B6-A36988702B38}"/>
            </c:ext>
          </c:extLst>
        </c:ser>
        <c:dLbls>
          <c:showLegendKey val="0"/>
          <c:showVal val="0"/>
          <c:showCatName val="0"/>
          <c:showSerName val="0"/>
          <c:showPercent val="0"/>
          <c:showBubbleSize val="0"/>
        </c:dLbls>
        <c:gapWidth val="150"/>
        <c:axId val="870261680"/>
        <c:axId val="870262224"/>
      </c:barChart>
      <c:catAx>
        <c:axId val="87026168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870262224"/>
        <c:crosses val="autoZero"/>
        <c:auto val="1"/>
        <c:lblAlgn val="ctr"/>
        <c:lblOffset val="100"/>
        <c:noMultiLvlLbl val="1"/>
      </c:catAx>
      <c:valAx>
        <c:axId val="87026222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rgbClr val="000000"/>
                </a:solidFill>
                <a:latin typeface="Calibri"/>
              </a:defRPr>
            </a:pPr>
            <a:endParaRPr lang="es-CO"/>
          </a:p>
        </c:txPr>
        <c:crossAx val="870261680"/>
        <c:crosses val="autoZero"/>
        <c:crossBetween val="between"/>
      </c:valAx>
    </c:plotArea>
    <c:legend>
      <c:legendPos val="b"/>
      <c:overlay val="0"/>
      <c:txPr>
        <a:bodyPr/>
        <a:lstStyle/>
        <a:p>
          <a:pPr lvl="0">
            <a:defRPr sz="900" b="0" i="0">
              <a:solidFill>
                <a:srgbClr val="1A1A1A"/>
              </a:solidFill>
              <a:latin typeface="Calibri"/>
            </a:defRPr>
          </a:pPr>
          <a:endParaRPr lang="es-CO"/>
        </a:p>
      </c:txPr>
    </c:legend>
    <c:plotVisOnly val="1"/>
    <c:dispBlanksAs val="zero"/>
    <c:showDLblsOverMax val="1"/>
  </c:char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200" b="1" i="0">
                <a:solidFill>
                  <a:srgbClr val="757575"/>
                </a:solidFill>
                <a:latin typeface="Calibri"/>
              </a:defRPr>
            </a:pPr>
            <a:r>
              <a:rPr lang="es-CO" sz="1200" b="1" i="0">
                <a:solidFill>
                  <a:srgbClr val="757575"/>
                </a:solidFill>
                <a:latin typeface="Calibri"/>
              </a:rPr>
              <a:t>LINEA ESTRATEGICA  “SALVEMOS JUNTOS NUESTRO PATRIMONIO NATURAL” AVANCE A </a:t>
            </a:r>
            <a:r>
              <a:rPr lang="es-CO" sz="1200" b="1" i="0" u="none" strike="noStrike" baseline="0">
                <a:effectLst/>
              </a:rPr>
              <a:t>DICIEMBRE</a:t>
            </a:r>
            <a:r>
              <a:rPr lang="es-CO" sz="1200" b="1" i="0">
                <a:solidFill>
                  <a:srgbClr val="757575"/>
                </a:solidFill>
                <a:latin typeface="Calibri"/>
              </a:rPr>
              <a:t> 2022 </a:t>
            </a:r>
          </a:p>
        </c:rich>
      </c:tx>
      <c:overlay val="0"/>
    </c:title>
    <c:autoTitleDeleted val="0"/>
    <c:plotArea>
      <c:layout>
        <c:manualLayout>
          <c:layoutTarget val="inner"/>
          <c:xMode val="edge"/>
          <c:yMode val="edge"/>
          <c:x val="0.14564029053890387"/>
          <c:y val="0.1891817137315667"/>
          <c:w val="0.85105706919378443"/>
          <c:h val="0.47472240668711591"/>
        </c:manualLayout>
      </c:layout>
      <c:barChart>
        <c:barDir val="col"/>
        <c:grouping val="clustered"/>
        <c:varyColors val="1"/>
        <c:ser>
          <c:idx val="0"/>
          <c:order val="0"/>
          <c:tx>
            <c:v>AVANCE A DIC 2020</c:v>
          </c:tx>
          <c:spPr>
            <a:solidFill>
              <a:srgbClr val="FFFF00"/>
            </a:solidFill>
            <a:ln cmpd="sng">
              <a:solidFill>
                <a:srgbClr val="000000"/>
              </a:solidFill>
            </a:ln>
          </c:spPr>
          <c:invertIfNegative val="1"/>
          <c:dPt>
            <c:idx val="0"/>
            <c:invertIfNegative val="1"/>
            <c:bubble3D val="0"/>
            <c:extLst xmlns:c16r2="http://schemas.microsoft.com/office/drawing/2015/06/chart">
              <c:ext xmlns:c16="http://schemas.microsoft.com/office/drawing/2014/chart" uri="{C3380CC4-5D6E-409C-BE32-E72D297353CC}">
                <c16:uniqueId val="{00000001-7CDB-4B5E-A04C-4CE9E1EDACED}"/>
              </c:ext>
            </c:extLst>
          </c:dPt>
          <c:dPt>
            <c:idx val="3"/>
            <c:invertIfNegative val="1"/>
            <c:bubble3D val="0"/>
            <c:extLst xmlns:c16r2="http://schemas.microsoft.com/office/drawing/2015/06/chart">
              <c:ext xmlns:c16="http://schemas.microsoft.com/office/drawing/2014/chart" uri="{C3380CC4-5D6E-409C-BE32-E72D297353CC}">
                <c16:uniqueId val="{00000003-7CDB-4B5E-A04C-4CE9E1EDACED}"/>
              </c:ext>
            </c:extLst>
          </c:dPt>
          <c:dPt>
            <c:idx val="4"/>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5-7CDB-4B5E-A04C-4CE9E1EDACED}"/>
              </c:ext>
            </c:extLst>
          </c:dPt>
          <c:dPt>
            <c:idx val="6"/>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7-41FA-4F8E-BA25-B3ACA2B46C46}"/>
              </c:ext>
            </c:extLst>
          </c:dPt>
          <c:dPt>
            <c:idx val="7"/>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7-7CDB-4B5E-A04C-4CE9E1EDACED}"/>
              </c:ext>
            </c:extLst>
          </c:dPt>
          <c:dPt>
            <c:idx val="8"/>
            <c:invertIfNegative val="1"/>
            <c:bubble3D val="0"/>
            <c:extLst xmlns:c16r2="http://schemas.microsoft.com/office/drawing/2015/06/chart">
              <c:ext xmlns:c16="http://schemas.microsoft.com/office/drawing/2014/chart" uri="{C3380CC4-5D6E-409C-BE32-E72D297353CC}">
                <c16:uniqueId val="{00000009-7CDB-4B5E-A04C-4CE9E1EDACED}"/>
              </c:ext>
            </c:extLst>
          </c:dPt>
          <c:dLbls>
            <c:spPr>
              <a:noFill/>
              <a:ln>
                <a:noFill/>
              </a:ln>
              <a:effectLst/>
            </c:spPr>
            <c:txPr>
              <a:bodyPr/>
              <a:lstStyle/>
              <a:p>
                <a:pPr lvl="0">
                  <a:defRPr sz="9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RESILIENTE'!$C$15:$C$23</c:f>
              <c:strCache>
                <c:ptCount val="9"/>
                <c:pt idx="0">
                  <c:v>LINEA ESTRATEGICA  “SALVEMOS JUNTOS NUESTRO PATRIMONIO NATURAL” </c:v>
                </c:pt>
                <c:pt idx="1">
                  <c:v>Programa Recuperar y Restaurar Nuestras Áreas Naturales (Bosques  y  Biodiversidad y servicios Eco sistémicos)</c:v>
                </c:pt>
                <c:pt idx="2">
                  <c:v>Programa Ordenamiento Ambiental y Adaptación al Cambio Climático para la Sostenibilidad Ambiental. (Mitigación y Gestión del Riesgo Ambiental)</c:v>
                </c:pt>
                <c:pt idx="3">
                  <c:v>Programa Aseguramiento, Monitoreo, Control y Vigilancia Ambiental  (Sistema integrado de Monitoreo Ambiental)               </c:v>
                </c:pt>
                <c:pt idx="4">
                  <c:v>Programa Investigación, Educación y Cultura Ambiental (Educación y Cultura Ambiental)</c:v>
                </c:pt>
                <c:pt idx="5">
                  <c:v>Programa Salvemos Juntos Nuestro Recurso Hídrico (Gestión integral del Recurso Hídrico)</c:v>
                </c:pt>
                <c:pt idx="6">
                  <c:v>Programa Negocios verdes, Economía Circular, Producción y consumo sostenible (Negocios verdes Inclusivos)</c:v>
                </c:pt>
                <c:pt idx="7">
                  <c:v>Programa Instituciones ambientales más modernas, eficientes y transparentes. (Fortalecimiento Institucional)</c:v>
                </c:pt>
                <c:pt idx="8">
                  <c:v>Programa Bienestar y Protección animal</c:v>
                </c:pt>
              </c:strCache>
            </c:strRef>
          </c:cat>
          <c:val>
            <c:numRef>
              <c:f>'P. RESILIENTE'!$D$15:$D$23</c:f>
              <c:numCache>
                <c:formatCode>0.0%</c:formatCode>
                <c:ptCount val="9"/>
                <c:pt idx="0">
                  <c:v>0.72355565936069133</c:v>
                </c:pt>
                <c:pt idx="1">
                  <c:v>0.65900722222222219</c:v>
                </c:pt>
                <c:pt idx="2">
                  <c:v>0.54803333333333326</c:v>
                </c:pt>
                <c:pt idx="3">
                  <c:v>0.68533333333333335</c:v>
                </c:pt>
                <c:pt idx="4">
                  <c:v>0.85143939393939394</c:v>
                </c:pt>
                <c:pt idx="5">
                  <c:v>0.6366666666666666</c:v>
                </c:pt>
                <c:pt idx="6">
                  <c:v>0.80230352303523034</c:v>
                </c:pt>
                <c:pt idx="7">
                  <c:v>0.96785714285714286</c:v>
                </c:pt>
                <c:pt idx="8">
                  <c:v>0.63780465949820786</c:v>
                </c:pt>
              </c:numCache>
            </c:numRef>
          </c:val>
          <c:extLst xmlns:c16r2="http://schemas.microsoft.com/office/drawing/2015/06/chart">
            <c:ext xmlns:c16="http://schemas.microsoft.com/office/drawing/2014/chart" uri="{C3380CC4-5D6E-409C-BE32-E72D297353CC}">
              <c16:uniqueId val="{0000000A-7CDB-4B5E-A04C-4CE9E1EDACED}"/>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31792752"/>
        <c:axId val="31802544"/>
      </c:barChart>
      <c:catAx>
        <c:axId val="3179275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600" b="0" i="0">
                <a:solidFill>
                  <a:srgbClr val="000000"/>
                </a:solidFill>
                <a:latin typeface="Calibri"/>
              </a:defRPr>
            </a:pPr>
            <a:endParaRPr lang="es-CO"/>
          </a:p>
        </c:txPr>
        <c:crossAx val="31802544"/>
        <c:crosses val="autoZero"/>
        <c:auto val="1"/>
        <c:lblAlgn val="ctr"/>
        <c:lblOffset val="100"/>
        <c:noMultiLvlLbl val="1"/>
      </c:catAx>
      <c:valAx>
        <c:axId val="3180254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CO"/>
          </a:p>
        </c:txPr>
        <c:crossAx val="31792752"/>
        <c:crosses val="autoZero"/>
        <c:crossBetween val="between"/>
      </c:valAx>
    </c:plotArea>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100" b="1" i="0">
                <a:solidFill>
                  <a:srgbClr val="757575"/>
                </a:solidFill>
                <a:latin typeface="Calibri"/>
              </a:defRPr>
            </a:pPr>
            <a:r>
              <a:rPr lang="es-CO" sz="1100" b="1" i="0">
                <a:solidFill>
                  <a:srgbClr val="757575"/>
                </a:solidFill>
                <a:latin typeface="Calibri"/>
              </a:rPr>
              <a:t>LÍNEA ESTRATÉGICA ESPACIO PÚBLICO, MOVILIDAD Y TRANSPORTE RESILIENTE AVANCE A </a:t>
            </a:r>
            <a:r>
              <a:rPr lang="es-CO" sz="1100" b="1" i="0" u="none" strike="noStrike" baseline="0">
                <a:effectLst/>
              </a:rPr>
              <a:t>DICIEMBRE</a:t>
            </a:r>
            <a:r>
              <a:rPr lang="es-CO" sz="1100" b="1" i="0">
                <a:solidFill>
                  <a:srgbClr val="757575"/>
                </a:solidFill>
                <a:latin typeface="Calibri"/>
              </a:rPr>
              <a:t> 2022 </a:t>
            </a:r>
          </a:p>
        </c:rich>
      </c:tx>
      <c:overlay val="0"/>
    </c:title>
    <c:autoTitleDeleted val="0"/>
    <c:plotArea>
      <c:layout/>
      <c:barChart>
        <c:barDir val="bar"/>
        <c:grouping val="clustered"/>
        <c:varyColors val="1"/>
        <c:ser>
          <c:idx val="0"/>
          <c:order val="0"/>
          <c:tx>
            <c:v>AVANCE A DIC 2020</c:v>
          </c:tx>
          <c:spPr>
            <a:solidFill>
              <a:srgbClr val="FFFF00"/>
            </a:solidFill>
            <a:ln cmpd="sng">
              <a:solidFill>
                <a:srgbClr val="000000"/>
              </a:solidFill>
            </a:ln>
          </c:spPr>
          <c:invertIfNegative val="1"/>
          <c:dPt>
            <c:idx val="1"/>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1-BB2E-4057-A01A-10B2FD46F189}"/>
              </c:ext>
            </c:extLst>
          </c:dPt>
          <c:dPt>
            <c:idx val="2"/>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3-BB2E-4057-A01A-10B2FD46F189}"/>
              </c:ext>
            </c:extLst>
          </c:dPt>
          <c:dPt>
            <c:idx val="3"/>
            <c:invertIfNegative val="1"/>
            <c:bubble3D val="0"/>
            <c:extLst xmlns:c16r2="http://schemas.microsoft.com/office/drawing/2015/06/chart">
              <c:ext xmlns:c16="http://schemas.microsoft.com/office/drawing/2014/chart" uri="{C3380CC4-5D6E-409C-BE32-E72D297353CC}">
                <c16:uniqueId val="{00000009-5B47-4994-895A-1F287DBE5BE8}"/>
              </c:ext>
            </c:extLst>
          </c:dPt>
          <c:dPt>
            <c:idx val="5"/>
            <c:invertIfNegative val="1"/>
            <c:bubble3D val="0"/>
            <c:spPr>
              <a:solidFill>
                <a:srgbClr val="FF0000"/>
              </a:solidFill>
              <a:ln cmpd="sng">
                <a:solidFill>
                  <a:srgbClr val="000000"/>
                </a:solidFill>
              </a:ln>
            </c:spPr>
            <c:extLst xmlns:c16r2="http://schemas.microsoft.com/office/drawing/2015/06/chart">
              <c:ext xmlns:c16="http://schemas.microsoft.com/office/drawing/2014/chart" uri="{C3380CC4-5D6E-409C-BE32-E72D297353CC}">
                <c16:uniqueId val="{00000005-BB2E-4057-A01A-10B2FD46F189}"/>
              </c:ext>
            </c:extLst>
          </c:dPt>
          <c:dPt>
            <c:idx val="7"/>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9-0258-470A-85CC-A7E54902BF16}"/>
              </c:ext>
            </c:extLst>
          </c:dPt>
          <c:dPt>
            <c:idx val="8"/>
            <c:invertIfNegative val="1"/>
            <c:bubble3D val="0"/>
            <c:extLst xmlns:c16r2="http://schemas.microsoft.com/office/drawing/2015/06/chart">
              <c:ext xmlns:c16="http://schemas.microsoft.com/office/drawing/2014/chart" uri="{C3380CC4-5D6E-409C-BE32-E72D297353CC}">
                <c16:uniqueId val="{00000007-BB2E-4057-A01A-10B2FD46F189}"/>
              </c:ext>
            </c:extLst>
          </c:dPt>
          <c:dLbls>
            <c:spPr>
              <a:noFill/>
              <a:ln>
                <a:noFill/>
              </a:ln>
              <a:effectLst/>
            </c:spPr>
            <c:txPr>
              <a:bodyPr/>
              <a:lstStyle/>
              <a:p>
                <a:pPr lvl="0">
                  <a:defRPr sz="9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RESILIENTE'!$C$27:$C$35</c:f>
              <c:strCache>
                <c:ptCount val="9"/>
                <c:pt idx="0">
                  <c:v>LÍNEA ESTRATÉGICA ESPACIO PÚBLICO, MOVILIDAD Y TRANSPORTE RESILIENTE</c:v>
                </c:pt>
                <c:pt idx="1">
                  <c:v>Programa Sostenibilidad del Espacio Público</c:v>
                </c:pt>
                <c:pt idx="2">
                  <c:v>Programa Recuperación del Espacio Público </c:v>
                </c:pt>
                <c:pt idx="3">
                  <c:v>Programa Generación del Espacio Público  </c:v>
                </c:pt>
                <c:pt idx="4">
                  <c:v>Programa Movilidad en Cartagena  </c:v>
                </c:pt>
                <c:pt idx="5">
                  <c:v>Programa Transporte para todos</c:v>
                </c:pt>
                <c:pt idx="6">
                  <c:v>Programa Reducción de la Siniestralidad vial </c:v>
                </c:pt>
                <c:pt idx="7">
                  <c:v>Programa Fortalecimiento de la capacidad de respuesta del Departamento Administrativo de Tránsito y Transporte</c:v>
                </c:pt>
                <c:pt idx="8">
                  <c:v>Programa Movilidad Sostenible en el Distrito de Cartagena</c:v>
                </c:pt>
              </c:strCache>
            </c:strRef>
          </c:cat>
          <c:val>
            <c:numRef>
              <c:f>'P. RESILIENTE'!$D$27:$D$35</c:f>
              <c:numCache>
                <c:formatCode>0.0%</c:formatCode>
                <c:ptCount val="9"/>
                <c:pt idx="0">
                  <c:v>0.64373690247544646</c:v>
                </c:pt>
                <c:pt idx="1">
                  <c:v>0.875</c:v>
                </c:pt>
                <c:pt idx="2">
                  <c:v>1</c:v>
                </c:pt>
                <c:pt idx="3">
                  <c:v>0.5441128416906863</c:v>
                </c:pt>
                <c:pt idx="4">
                  <c:v>0.59</c:v>
                </c:pt>
                <c:pt idx="5">
                  <c:v>9.4433767001774097E-2</c:v>
                </c:pt>
                <c:pt idx="6">
                  <c:v>0.55981527777777784</c:v>
                </c:pt>
                <c:pt idx="7">
                  <c:v>0.9038666666666666</c:v>
                </c:pt>
                <c:pt idx="8">
                  <c:v>0.58266666666666667</c:v>
                </c:pt>
              </c:numCache>
            </c:numRef>
          </c:val>
          <c:extLst xmlns:c16r2="http://schemas.microsoft.com/office/drawing/2015/06/chart">
            <c:ext xmlns:c16="http://schemas.microsoft.com/office/drawing/2014/chart" uri="{C3380CC4-5D6E-409C-BE32-E72D297353CC}">
              <c16:uniqueId val="{00000008-BB2E-4057-A01A-10B2FD46F189}"/>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31795472"/>
        <c:axId val="31798736"/>
      </c:barChart>
      <c:catAx>
        <c:axId val="31795472"/>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31798736"/>
        <c:crosses val="autoZero"/>
        <c:auto val="1"/>
        <c:lblAlgn val="ctr"/>
        <c:lblOffset val="100"/>
        <c:noMultiLvlLbl val="1"/>
      </c:catAx>
      <c:valAx>
        <c:axId val="31798736"/>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500" b="0" i="0">
                <a:solidFill>
                  <a:srgbClr val="000000"/>
                </a:solidFill>
                <a:latin typeface="Calibri"/>
              </a:defRPr>
            </a:pPr>
            <a:endParaRPr lang="es-CO"/>
          </a:p>
        </c:txPr>
        <c:crossAx val="31795472"/>
        <c:crosses val="max"/>
        <c:crossBetween val="between"/>
      </c:valAx>
    </c:plotArea>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100" b="0" i="0">
                <a:solidFill>
                  <a:srgbClr val="757575"/>
                </a:solidFill>
                <a:latin typeface="Calibri"/>
              </a:defRPr>
            </a:pPr>
            <a:r>
              <a:rPr lang="es-CO" sz="1100" b="1" i="0">
                <a:solidFill>
                  <a:srgbClr val="757575"/>
                </a:solidFill>
                <a:latin typeface="Calibri"/>
              </a:rPr>
              <a:t>LÍNEA ESTRATÉGICA DESARROLLO URBANO AVANCE A </a:t>
            </a:r>
            <a:r>
              <a:rPr lang="es-CO" sz="1100" b="1" i="0" u="none" strike="noStrike" baseline="0">
                <a:effectLst/>
              </a:rPr>
              <a:t>DICIEMBRE</a:t>
            </a:r>
            <a:r>
              <a:rPr lang="es-CO" sz="1100" b="1" i="0">
                <a:solidFill>
                  <a:srgbClr val="757575"/>
                </a:solidFill>
                <a:latin typeface="Calibri"/>
              </a:rPr>
              <a:t> 2022 </a:t>
            </a:r>
          </a:p>
        </c:rich>
      </c:tx>
      <c:overlay val="0"/>
    </c:title>
    <c:autoTitleDeleted val="0"/>
    <c:plotArea>
      <c:layout/>
      <c:barChart>
        <c:barDir val="col"/>
        <c:grouping val="clustered"/>
        <c:varyColors val="1"/>
        <c:ser>
          <c:idx val="0"/>
          <c:order val="0"/>
          <c:tx>
            <c:v>AVANCE A DIC 2020</c:v>
          </c:tx>
          <c:spPr>
            <a:solidFill>
              <a:srgbClr val="FF0000"/>
            </a:solidFill>
            <a:ln cmpd="sng">
              <a:solidFill>
                <a:srgbClr val="000000"/>
              </a:solidFill>
            </a:ln>
          </c:spPr>
          <c:invertIfNegative val="1"/>
          <c:dPt>
            <c:idx val="0"/>
            <c:invertIfNegative val="1"/>
            <c:bubble3D val="0"/>
            <c:extLst xmlns:c16r2="http://schemas.microsoft.com/office/drawing/2015/06/chart">
              <c:ext xmlns:c16="http://schemas.microsoft.com/office/drawing/2014/chart" uri="{C3380CC4-5D6E-409C-BE32-E72D297353CC}">
                <c16:uniqueId val="{0000000B-4E6F-411F-AE91-13D70E9BCB31}"/>
              </c:ext>
            </c:extLst>
          </c:dPt>
          <c:dPt>
            <c:idx val="1"/>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1-863F-492B-AD48-4DC6723E5E6D}"/>
              </c:ext>
            </c:extLst>
          </c:dPt>
          <c:dPt>
            <c:idx val="2"/>
            <c:invertIfNegative val="1"/>
            <c:bubble3D val="0"/>
            <c:extLst xmlns:c16r2="http://schemas.microsoft.com/office/drawing/2015/06/chart">
              <c:ext xmlns:c16="http://schemas.microsoft.com/office/drawing/2014/chart" uri="{C3380CC4-5D6E-409C-BE32-E72D297353CC}">
                <c16:uniqueId val="{00000003-863F-492B-AD48-4DC6723E5E6D}"/>
              </c:ext>
            </c:extLst>
          </c:dPt>
          <c:dPt>
            <c:idx val="3"/>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6-504E-4AB2-97CF-360412B47A07}"/>
              </c:ext>
            </c:extLst>
          </c:dPt>
          <c:dPt>
            <c:idx val="5"/>
            <c:invertIfNegative val="1"/>
            <c:bubble3D val="0"/>
            <c:extLst xmlns:c16r2="http://schemas.microsoft.com/office/drawing/2015/06/chart">
              <c:ext xmlns:c16="http://schemas.microsoft.com/office/drawing/2014/chart" uri="{C3380CC4-5D6E-409C-BE32-E72D297353CC}">
                <c16:uniqueId val="{00000007-504E-4AB2-97CF-360412B47A07}"/>
              </c:ext>
            </c:extLst>
          </c:dPt>
          <c:dLbls>
            <c:spPr>
              <a:noFill/>
              <a:ln>
                <a:noFill/>
              </a:ln>
              <a:effectLst/>
            </c:spPr>
            <c:txPr>
              <a:bodyPr/>
              <a:lstStyle/>
              <a:p>
                <a:pPr lvl="0">
                  <a:defRPr sz="9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RESILIENTE'!$C$45:$C$50</c:f>
              <c:strCache>
                <c:ptCount val="6"/>
                <c:pt idx="0">
                  <c:v>LÍNEA ESTRATÉGICA DESARROLLO URBANO </c:v>
                </c:pt>
                <c:pt idx="1">
                  <c:v>Programa Cartagena se Mueve</c:v>
                </c:pt>
                <c:pt idx="2">
                  <c:v>Programa Sistema Hídrico y Plan maestro de drenajes pluviales en la ciudad para salvar el hábitat</c:v>
                </c:pt>
                <c:pt idx="3">
                  <c:v>Programa Cartagena Ciudad de Bordes y Orillas Resiliente </c:v>
                </c:pt>
                <c:pt idx="4">
                  <c:v>Programa Cartagena se Conecta</c:v>
                </c:pt>
                <c:pt idx="5">
                  <c:v>Programa Integral de Caños, lagos, lagunas y ciénagas de Cartagena de Indias</c:v>
                </c:pt>
              </c:strCache>
            </c:strRef>
          </c:cat>
          <c:val>
            <c:numRef>
              <c:f>'P. RESILIENTE'!$D$45:$D$50</c:f>
              <c:numCache>
                <c:formatCode>0.0%</c:formatCode>
                <c:ptCount val="6"/>
                <c:pt idx="0">
                  <c:v>0.50124935902255641</c:v>
                </c:pt>
                <c:pt idx="1">
                  <c:v>1</c:v>
                </c:pt>
                <c:pt idx="2" formatCode="0.00%">
                  <c:v>0.43081822368421047</c:v>
                </c:pt>
                <c:pt idx="3">
                  <c:v>0.62542857142857144</c:v>
                </c:pt>
                <c:pt idx="4">
                  <c:v>0</c:v>
                </c:pt>
                <c:pt idx="5">
                  <c:v>0.44999999999999996</c:v>
                </c:pt>
              </c:numCache>
            </c:numRef>
          </c:val>
          <c:extLst xmlns:c16r2="http://schemas.microsoft.com/office/drawing/2015/06/chart">
            <c:ext xmlns:c16="http://schemas.microsoft.com/office/drawing/2014/chart" uri="{C3380CC4-5D6E-409C-BE32-E72D297353CC}">
              <c16:uniqueId val="{00000004-863F-492B-AD48-4DC6723E5E6D}"/>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31799824"/>
        <c:axId val="31800912"/>
      </c:barChart>
      <c:catAx>
        <c:axId val="3179982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600" b="0" i="0">
                <a:solidFill>
                  <a:srgbClr val="000000"/>
                </a:solidFill>
                <a:latin typeface="Calibri"/>
              </a:defRPr>
            </a:pPr>
            <a:endParaRPr lang="es-CO"/>
          </a:p>
        </c:txPr>
        <c:crossAx val="31800912"/>
        <c:crosses val="autoZero"/>
        <c:auto val="1"/>
        <c:lblAlgn val="ctr"/>
        <c:lblOffset val="100"/>
        <c:noMultiLvlLbl val="1"/>
      </c:catAx>
      <c:valAx>
        <c:axId val="3180091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CO"/>
          </a:p>
        </c:txPr>
        <c:crossAx val="31799824"/>
        <c:crosses val="autoZero"/>
        <c:crossBetween val="between"/>
      </c:valAx>
    </c:plotArea>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100" b="1" i="0">
                <a:solidFill>
                  <a:srgbClr val="757575"/>
                </a:solidFill>
                <a:latin typeface="Calibri"/>
              </a:defRPr>
            </a:pPr>
            <a:r>
              <a:rPr lang="es-CO" sz="1100" b="1" i="0">
                <a:solidFill>
                  <a:srgbClr val="757575"/>
                </a:solidFill>
                <a:latin typeface="Calibri"/>
              </a:rPr>
              <a:t>LÍNEA ESTRATÉGICA GESTIÓN DEL RIESGO. AVANCE A </a:t>
            </a:r>
            <a:r>
              <a:rPr lang="es-CO" sz="1100" b="1" i="0" u="none" strike="noStrike" baseline="0">
                <a:effectLst/>
              </a:rPr>
              <a:t>DICIEMBRE</a:t>
            </a:r>
            <a:r>
              <a:rPr lang="es-CO" sz="1100" b="1" i="0">
                <a:solidFill>
                  <a:srgbClr val="757575"/>
                </a:solidFill>
                <a:latin typeface="Calibri"/>
              </a:rPr>
              <a:t> 2022 </a:t>
            </a:r>
          </a:p>
        </c:rich>
      </c:tx>
      <c:layout>
        <c:manualLayout>
          <c:xMode val="edge"/>
          <c:yMode val="edge"/>
          <c:x val="0.14416935587969537"/>
          <c:y val="2.8368794326241134E-2"/>
        </c:manualLayout>
      </c:layout>
      <c:overlay val="0"/>
    </c:title>
    <c:autoTitleDeleted val="0"/>
    <c:plotArea>
      <c:layout/>
      <c:barChart>
        <c:barDir val="col"/>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5-79F1-4E35-97BF-D8C23E96F8FB}"/>
              </c:ext>
            </c:extLst>
          </c:dPt>
          <c:dPt>
            <c:idx val="1"/>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4-D7EB-4577-91CD-3CE8E1903B52}"/>
              </c:ext>
            </c:extLst>
          </c:dPt>
          <c:dPt>
            <c:idx val="4"/>
            <c:invertIfNegative val="1"/>
            <c:bubble3D val="0"/>
            <c:spPr>
              <a:solidFill>
                <a:srgbClr val="FF0000"/>
              </a:solidFill>
              <a:ln cmpd="sng">
                <a:solidFill>
                  <a:srgbClr val="000000"/>
                </a:solidFill>
              </a:ln>
            </c:spPr>
            <c:extLst xmlns:c16r2="http://schemas.microsoft.com/office/drawing/2015/06/chart">
              <c:ext xmlns:c16="http://schemas.microsoft.com/office/drawing/2014/chart" uri="{C3380CC4-5D6E-409C-BE32-E72D297353CC}">
                <c16:uniqueId val="{00000000-4561-487E-B4C4-833006D974E7}"/>
              </c:ext>
            </c:extLst>
          </c:dPt>
          <c:dLbls>
            <c:spPr>
              <a:noFill/>
              <a:ln>
                <a:noFill/>
              </a:ln>
              <a:effectLst/>
            </c:spPr>
            <c:txPr>
              <a:bodyPr/>
              <a:lstStyle/>
              <a:p>
                <a:pPr lvl="0">
                  <a:defRPr sz="9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RESILIENTE'!$C$55:$C$59</c:f>
              <c:strCache>
                <c:ptCount val="5"/>
                <c:pt idx="0">
                  <c:v>LÍNEA ESTRATÉGICA GESTIÓN DEL RIESGO.</c:v>
                </c:pt>
                <c:pt idx="1">
                  <c:v>Programa Conocimiento del Riesgo</c:v>
                </c:pt>
                <c:pt idx="2">
                  <c:v>Programa Reducción del Riesgo</c:v>
                </c:pt>
                <c:pt idx="3">
                  <c:v>Programa Manejo de Desastre</c:v>
                </c:pt>
                <c:pt idx="4">
                  <c:v>Programa Fortalecimiento Cuerpo de Bomberos</c:v>
                </c:pt>
              </c:strCache>
            </c:strRef>
          </c:cat>
          <c:val>
            <c:numRef>
              <c:f>'P. RESILIENTE'!$D$55:$D$59</c:f>
              <c:numCache>
                <c:formatCode>0%</c:formatCode>
                <c:ptCount val="5"/>
                <c:pt idx="0">
                  <c:v>0.72826898572884813</c:v>
                </c:pt>
                <c:pt idx="1">
                  <c:v>0.6875</c:v>
                </c:pt>
                <c:pt idx="2">
                  <c:v>0.94113149847094801</c:v>
                </c:pt>
                <c:pt idx="3">
                  <c:v>0.95111111111111113</c:v>
                </c:pt>
                <c:pt idx="4">
                  <c:v>0.33333333333333331</c:v>
                </c:pt>
              </c:numCache>
            </c:numRef>
          </c:val>
          <c:extLst xmlns:c16r2="http://schemas.microsoft.com/office/drawing/2015/06/chart">
            <c:ext xmlns:c16="http://schemas.microsoft.com/office/drawing/2014/chart" uri="{C3380CC4-5D6E-409C-BE32-E72D297353CC}">
              <c16:uniqueId val="{00000000-8861-44EB-9B26-622441745FE6}"/>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497804560"/>
        <c:axId val="497806736"/>
      </c:barChart>
      <c:catAx>
        <c:axId val="49780456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497806736"/>
        <c:crosses val="autoZero"/>
        <c:auto val="1"/>
        <c:lblAlgn val="ctr"/>
        <c:lblOffset val="100"/>
        <c:noMultiLvlLbl val="1"/>
      </c:catAx>
      <c:valAx>
        <c:axId val="49780673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Calibri"/>
              </a:defRPr>
            </a:pPr>
            <a:endParaRPr lang="es-CO"/>
          </a:p>
        </c:txPr>
        <c:crossAx val="497804560"/>
        <c:crosses val="autoZero"/>
        <c:crossBetween val="between"/>
      </c:valAx>
    </c:plotArea>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400" b="1" i="0">
                <a:solidFill>
                  <a:srgbClr val="757575"/>
                </a:solidFill>
                <a:latin typeface="Calibri"/>
              </a:defRPr>
            </a:pPr>
            <a:r>
              <a:rPr lang="es-CO" sz="1400" b="1" i="0">
                <a:solidFill>
                  <a:srgbClr val="757575"/>
                </a:solidFill>
                <a:latin typeface="Calibri"/>
              </a:rPr>
              <a:t>LÍNEA ESTRATÉGICA VIVIENDA  PARA TODOS AVANCE A </a:t>
            </a:r>
            <a:r>
              <a:rPr lang="es-CO" sz="1400" b="1" i="0" u="none" strike="noStrike" baseline="0">
                <a:effectLst/>
              </a:rPr>
              <a:t>DICIEMBRE</a:t>
            </a:r>
            <a:r>
              <a:rPr lang="es-CO" sz="1400" b="1" i="0">
                <a:solidFill>
                  <a:srgbClr val="757575"/>
                </a:solidFill>
                <a:latin typeface="Calibri"/>
              </a:rPr>
              <a:t> 2022 </a:t>
            </a:r>
          </a:p>
        </c:rich>
      </c:tx>
      <c:overlay val="0"/>
    </c:title>
    <c:autoTitleDeleted val="0"/>
    <c:plotArea>
      <c:layout/>
      <c:barChart>
        <c:barDir val="col"/>
        <c:grouping val="clustered"/>
        <c:varyColors val="1"/>
        <c:ser>
          <c:idx val="0"/>
          <c:order val="0"/>
          <c:tx>
            <c:v>AVANCE A DIC 2020</c:v>
          </c:tx>
          <c:spPr>
            <a:solidFill>
              <a:srgbClr val="FFFF00"/>
            </a:solidFill>
            <a:ln cmpd="sng">
              <a:solidFill>
                <a:srgbClr val="000000"/>
              </a:solidFill>
            </a:ln>
          </c:spPr>
          <c:invertIfNegative val="1"/>
          <c:dPt>
            <c:idx val="0"/>
            <c:invertIfNegative val="1"/>
            <c:bubble3D val="0"/>
            <c:spPr>
              <a:solidFill>
                <a:srgbClr val="FF0000"/>
              </a:solidFill>
              <a:ln cmpd="sng">
                <a:solidFill>
                  <a:srgbClr val="000000"/>
                </a:solidFill>
              </a:ln>
            </c:spPr>
            <c:extLst xmlns:c16r2="http://schemas.microsoft.com/office/drawing/2015/06/chart">
              <c:ext xmlns:c16="http://schemas.microsoft.com/office/drawing/2014/chart" uri="{C3380CC4-5D6E-409C-BE32-E72D297353CC}">
                <c16:uniqueId val="{00000001-6FB4-4A6E-9E91-9039F81C6665}"/>
              </c:ext>
            </c:extLst>
          </c:dPt>
          <c:dPt>
            <c:idx val="1"/>
            <c:invertIfNegative val="1"/>
            <c:bubble3D val="0"/>
            <c:extLst xmlns:c16r2="http://schemas.microsoft.com/office/drawing/2015/06/chart">
              <c:ext xmlns:c16="http://schemas.microsoft.com/office/drawing/2014/chart" uri="{C3380CC4-5D6E-409C-BE32-E72D297353CC}">
                <c16:uniqueId val="{00000003-6FB4-4A6E-9E91-9039F81C6665}"/>
              </c:ext>
            </c:extLst>
          </c:dPt>
          <c:dPt>
            <c:idx val="2"/>
            <c:invertIfNegative val="1"/>
            <c:bubble3D val="0"/>
            <c:spPr>
              <a:solidFill>
                <a:srgbClr val="FF0000"/>
              </a:solidFill>
              <a:ln cmpd="sng">
                <a:solidFill>
                  <a:srgbClr val="000000"/>
                </a:solidFill>
              </a:ln>
            </c:spPr>
            <c:extLst xmlns:c16r2="http://schemas.microsoft.com/office/drawing/2015/06/chart">
              <c:ext xmlns:c16="http://schemas.microsoft.com/office/drawing/2014/chart" uri="{C3380CC4-5D6E-409C-BE32-E72D297353CC}">
                <c16:uniqueId val="{00000005-6FB4-4A6E-9E91-9039F81C6665}"/>
              </c:ext>
            </c:extLst>
          </c:dPt>
          <c:dPt>
            <c:idx val="3"/>
            <c:invertIfNegative val="1"/>
            <c:bubble3D val="0"/>
            <c:spPr>
              <a:solidFill>
                <a:srgbClr val="FF0000"/>
              </a:solidFill>
              <a:ln cmpd="sng">
                <a:solidFill>
                  <a:srgbClr val="000000"/>
                </a:solidFill>
              </a:ln>
            </c:spPr>
            <c:extLst xmlns:c16r2="http://schemas.microsoft.com/office/drawing/2015/06/chart">
              <c:ext xmlns:c16="http://schemas.microsoft.com/office/drawing/2014/chart" uri="{C3380CC4-5D6E-409C-BE32-E72D297353CC}">
                <c16:uniqueId val="{00000007-6FB4-4A6E-9E91-9039F81C6665}"/>
              </c:ext>
            </c:extLst>
          </c:dPt>
          <c:dPt>
            <c:idx val="4"/>
            <c:invertIfNegative val="1"/>
            <c:bubble3D val="0"/>
            <c:spPr>
              <a:solidFill>
                <a:srgbClr val="FF0000"/>
              </a:solidFill>
              <a:ln cmpd="sng">
                <a:solidFill>
                  <a:srgbClr val="000000"/>
                </a:solidFill>
              </a:ln>
            </c:spPr>
            <c:extLst xmlns:c16r2="http://schemas.microsoft.com/office/drawing/2015/06/chart">
              <c:ext xmlns:c16="http://schemas.microsoft.com/office/drawing/2014/chart" uri="{C3380CC4-5D6E-409C-BE32-E72D297353CC}">
                <c16:uniqueId val="{0000000D-BB1B-4EF2-B52E-333D75903D8D}"/>
              </c:ext>
            </c:extLst>
          </c:dPt>
          <c:dPt>
            <c:idx val="5"/>
            <c:invertIfNegative val="1"/>
            <c:bubble3D val="0"/>
            <c:spPr>
              <a:solidFill>
                <a:srgbClr val="FF0000"/>
              </a:solidFill>
              <a:ln cmpd="sng">
                <a:solidFill>
                  <a:srgbClr val="000000"/>
                </a:solidFill>
              </a:ln>
            </c:spPr>
            <c:extLst xmlns:c16r2="http://schemas.microsoft.com/office/drawing/2015/06/chart">
              <c:ext xmlns:c16="http://schemas.microsoft.com/office/drawing/2014/chart" uri="{C3380CC4-5D6E-409C-BE32-E72D297353CC}">
                <c16:uniqueId val="{00000009-6FB4-4A6E-9E91-9039F81C6665}"/>
              </c:ext>
            </c:extLst>
          </c:dPt>
          <c:dLbls>
            <c:spPr>
              <a:noFill/>
              <a:ln>
                <a:noFill/>
              </a:ln>
              <a:effectLst/>
            </c:spPr>
            <c:txPr>
              <a:bodyPr/>
              <a:lstStyle/>
              <a:p>
                <a:pPr lvl="0">
                  <a:defRPr sz="9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RESILIENTE'!$C$69:$C$74</c:f>
              <c:strCache>
                <c:ptCount val="6"/>
                <c:pt idx="0">
                  <c:v>LÍNEA ESTRATÉGICA VIVIENDA  PARA TODOS</c:v>
                </c:pt>
                <c:pt idx="1">
                  <c:v>Programa Juntos por una Vivienda Digna</c:v>
                </c:pt>
                <c:pt idx="2">
                  <c:v>Programa Mejoro Mi Casa, compromiso de todos</c:v>
                </c:pt>
                <c:pt idx="3">
                  <c:v>Programa ¡Mi Casa a lo Legal!</c:v>
                </c:pt>
                <c:pt idx="4">
                  <c:v>Programa Un Lugar apto para mi hogar</c:v>
                </c:pt>
                <c:pt idx="5">
                  <c:v>Programa Mi Casa, Mi Entorno, Mi Hábitat    </c:v>
                </c:pt>
              </c:strCache>
            </c:strRef>
          </c:cat>
          <c:val>
            <c:numRef>
              <c:f>'P. RESILIENTE'!$D$69:$D$74</c:f>
              <c:numCache>
                <c:formatCode>0%</c:formatCode>
                <c:ptCount val="6"/>
                <c:pt idx="0">
                  <c:v>0.44369166666666671</c:v>
                </c:pt>
                <c:pt idx="1">
                  <c:v>0.58712500000000001</c:v>
                </c:pt>
                <c:pt idx="2">
                  <c:v>0.30649999999999999</c:v>
                </c:pt>
                <c:pt idx="3">
                  <c:v>0.37066666666666664</c:v>
                </c:pt>
                <c:pt idx="4">
                  <c:v>0.5</c:v>
                </c:pt>
                <c:pt idx="5">
                  <c:v>0.45416666666666661</c:v>
                </c:pt>
              </c:numCache>
            </c:numRef>
          </c:val>
          <c:extLst xmlns:c16r2="http://schemas.microsoft.com/office/drawing/2015/06/chart">
            <c:ext xmlns:c16="http://schemas.microsoft.com/office/drawing/2014/chart" uri="{C3380CC4-5D6E-409C-BE32-E72D297353CC}">
              <c16:uniqueId val="{0000000A-6FB4-4A6E-9E91-9039F81C6665}"/>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497807824"/>
        <c:axId val="131052032"/>
      </c:barChart>
      <c:catAx>
        <c:axId val="49780782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131052032"/>
        <c:crosses val="autoZero"/>
        <c:auto val="1"/>
        <c:lblAlgn val="ctr"/>
        <c:lblOffset val="100"/>
        <c:noMultiLvlLbl val="1"/>
      </c:catAx>
      <c:valAx>
        <c:axId val="13105203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Calibri"/>
              </a:defRPr>
            </a:pPr>
            <a:endParaRPr lang="es-CO"/>
          </a:p>
        </c:txPr>
        <c:crossAx val="497807824"/>
        <c:crosses val="autoZero"/>
        <c:crossBetween val="between"/>
      </c:valAx>
    </c:plotArea>
    <c:plotVisOnly val="1"/>
    <c:dispBlanksAs val="zero"/>
    <c:showDLblsOverMax val="1"/>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7.xml"/></Relationships>
</file>

<file path=xl/chartsheets/sheet1.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chart" Target="../charts/chart6.xml"/><Relationship Id="rId7" Type="http://schemas.openxmlformats.org/officeDocument/2006/relationships/chart" Target="../charts/chart10.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4.xml"/><Relationship Id="rId7" Type="http://schemas.openxmlformats.org/officeDocument/2006/relationships/chart" Target="../charts/chart18.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_rels/drawing4.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5" Type="http://schemas.openxmlformats.org/officeDocument/2006/relationships/chart" Target="../charts/chart23.xml"/><Relationship Id="rId4" Type="http://schemas.openxmlformats.org/officeDocument/2006/relationships/chart" Target="../charts/chart22.xml"/></Relationships>
</file>

<file path=xl/drawings/_rels/drawing5.xml.rels><?xml version="1.0" encoding="UTF-8" standalone="yes"?>
<Relationships xmlns="http://schemas.openxmlformats.org/package/2006/relationships"><Relationship Id="rId8" Type="http://schemas.openxmlformats.org/officeDocument/2006/relationships/chart" Target="../charts/chart31.xml"/><Relationship Id="rId3" Type="http://schemas.openxmlformats.org/officeDocument/2006/relationships/chart" Target="../charts/chart26.xml"/><Relationship Id="rId7" Type="http://schemas.openxmlformats.org/officeDocument/2006/relationships/chart" Target="../charts/chart30.xml"/><Relationship Id="rId2" Type="http://schemas.openxmlformats.org/officeDocument/2006/relationships/chart" Target="../charts/chart25.xml"/><Relationship Id="rId1" Type="http://schemas.openxmlformats.org/officeDocument/2006/relationships/chart" Target="../charts/chart24.xml"/><Relationship Id="rId6" Type="http://schemas.openxmlformats.org/officeDocument/2006/relationships/chart" Target="../charts/chart29.xml"/><Relationship Id="rId5" Type="http://schemas.openxmlformats.org/officeDocument/2006/relationships/chart" Target="../charts/chart28.xml"/><Relationship Id="rId4" Type="http://schemas.openxmlformats.org/officeDocument/2006/relationships/chart" Target="../charts/chart27.xml"/><Relationship Id="rId9" Type="http://schemas.openxmlformats.org/officeDocument/2006/relationships/chart" Target="../charts/chart32.xml"/></Relationships>
</file>

<file path=xl/drawings/_rels/drawing6.xml.rels><?xml version="1.0" encoding="UTF-8" standalone="yes"?>
<Relationships xmlns="http://schemas.openxmlformats.org/package/2006/relationships"><Relationship Id="rId8" Type="http://schemas.openxmlformats.org/officeDocument/2006/relationships/chart" Target="../charts/chart40.xml"/><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 Id="rId9" Type="http://schemas.openxmlformats.org/officeDocument/2006/relationships/chart" Target="../charts/chart4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2.xml"/></Relationships>
</file>

<file path=xl/drawings/drawing1.xml><?xml version="1.0" encoding="utf-8"?>
<xdr:wsDr xmlns:xdr="http://schemas.openxmlformats.org/drawingml/2006/spreadsheetDrawing" xmlns:a="http://schemas.openxmlformats.org/drawingml/2006/main">
  <xdr:oneCellAnchor>
    <xdr:from>
      <xdr:col>18</xdr:col>
      <xdr:colOff>285750</xdr:colOff>
      <xdr:row>7</xdr:row>
      <xdr:rowOff>149679</xdr:rowOff>
    </xdr:from>
    <xdr:ext cx="9296400" cy="5749018"/>
    <xdr:graphicFrame macro="">
      <xdr:nvGraphicFramePr>
        <xdr:cNvPr id="339246466" name="Chart 4">
          <a:extLst>
            <a:ext uri="{FF2B5EF4-FFF2-40B4-BE49-F238E27FC236}">
              <a16:creationId xmlns:a16="http://schemas.microsoft.com/office/drawing/2014/main" xmlns="" id="{00000000-0008-0000-0700-0000827D38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xdr:from>
      <xdr:col>30</xdr:col>
      <xdr:colOff>476249</xdr:colOff>
      <xdr:row>28</xdr:row>
      <xdr:rowOff>299356</xdr:rowOff>
    </xdr:from>
    <xdr:to>
      <xdr:col>39</xdr:col>
      <xdr:colOff>204107</xdr:colOff>
      <xdr:row>41</xdr:row>
      <xdr:rowOff>326571</xdr:rowOff>
    </xdr:to>
    <xdr:graphicFrame macro="">
      <xdr:nvGraphicFramePr>
        <xdr:cNvPr id="2" name="Gráfico 1">
          <a:extLst>
            <a:ext uri="{FF2B5EF4-FFF2-40B4-BE49-F238E27FC236}">
              <a16:creationId xmlns:a16="http://schemas.microsoft.com/office/drawing/2014/main" xmlns=""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1034144</xdr:colOff>
      <xdr:row>56</xdr:row>
      <xdr:rowOff>240845</xdr:rowOff>
    </xdr:from>
    <xdr:to>
      <xdr:col>32</xdr:col>
      <xdr:colOff>40821</xdr:colOff>
      <xdr:row>70</xdr:row>
      <xdr:rowOff>258536</xdr:rowOff>
    </xdr:to>
    <xdr:graphicFrame macro="">
      <xdr:nvGraphicFramePr>
        <xdr:cNvPr id="4" name="Gráfico 3">
          <a:extLst>
            <a:ext uri="{FF2B5EF4-FFF2-40B4-BE49-F238E27FC236}">
              <a16:creationId xmlns:a16="http://schemas.microsoft.com/office/drawing/2014/main" xmlns=""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4</xdr:col>
      <xdr:colOff>561975</xdr:colOff>
      <xdr:row>2</xdr:row>
      <xdr:rowOff>57150</xdr:rowOff>
    </xdr:from>
    <xdr:ext cx="7953375" cy="3095625"/>
    <xdr:graphicFrame macro="">
      <xdr:nvGraphicFramePr>
        <xdr:cNvPr id="1610528280" name="Chart 5">
          <a:extLst>
            <a:ext uri="{FF2B5EF4-FFF2-40B4-BE49-F238E27FC236}">
              <a16:creationId xmlns:a16="http://schemas.microsoft.com/office/drawing/2014/main" xmlns="" id="{00000000-0008-0000-0900-000018B6FE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200025</xdr:colOff>
      <xdr:row>12</xdr:row>
      <xdr:rowOff>0</xdr:rowOff>
    </xdr:from>
    <xdr:ext cx="7534275" cy="4743450"/>
    <xdr:graphicFrame macro="">
      <xdr:nvGraphicFramePr>
        <xdr:cNvPr id="897616730" name="Chart 6">
          <a:extLst>
            <a:ext uri="{FF2B5EF4-FFF2-40B4-BE49-F238E27FC236}">
              <a16:creationId xmlns:a16="http://schemas.microsoft.com/office/drawing/2014/main" xmlns="" id="{00000000-0008-0000-0900-00005A8B80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4</xdr:col>
      <xdr:colOff>228599</xdr:colOff>
      <xdr:row>26</xdr:row>
      <xdr:rowOff>133350</xdr:rowOff>
    </xdr:from>
    <xdr:ext cx="5353051" cy="3743325"/>
    <xdr:graphicFrame macro="">
      <xdr:nvGraphicFramePr>
        <xdr:cNvPr id="1915671740" name="Chart 7">
          <a:extLst>
            <a:ext uri="{FF2B5EF4-FFF2-40B4-BE49-F238E27FC236}">
              <a16:creationId xmlns:a16="http://schemas.microsoft.com/office/drawing/2014/main" xmlns="" id="{00000000-0008-0000-0900-0000BCD42E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4</xdr:col>
      <xdr:colOff>266700</xdr:colOff>
      <xdr:row>41</xdr:row>
      <xdr:rowOff>142875</xdr:rowOff>
    </xdr:from>
    <xdr:ext cx="5867400" cy="2924175"/>
    <xdr:graphicFrame macro="">
      <xdr:nvGraphicFramePr>
        <xdr:cNvPr id="285970788" name="Chart 8">
          <a:extLst>
            <a:ext uri="{FF2B5EF4-FFF2-40B4-BE49-F238E27FC236}">
              <a16:creationId xmlns:a16="http://schemas.microsoft.com/office/drawing/2014/main" xmlns="" id="{00000000-0008-0000-0900-000064910B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4</xdr:col>
      <xdr:colOff>638175</xdr:colOff>
      <xdr:row>52</xdr:row>
      <xdr:rowOff>171450</xdr:rowOff>
    </xdr:from>
    <xdr:ext cx="5810250" cy="2686050"/>
    <xdr:graphicFrame macro="">
      <xdr:nvGraphicFramePr>
        <xdr:cNvPr id="369667996" name="Chart 9">
          <a:extLst>
            <a:ext uri="{FF2B5EF4-FFF2-40B4-BE49-F238E27FC236}">
              <a16:creationId xmlns:a16="http://schemas.microsoft.com/office/drawing/2014/main" xmlns="" id="{00000000-0008-0000-0900-00009CAF081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4</xdr:col>
      <xdr:colOff>552450</xdr:colOff>
      <xdr:row>66</xdr:row>
      <xdr:rowOff>171450</xdr:rowOff>
    </xdr:from>
    <xdr:ext cx="6953250" cy="2686050"/>
    <xdr:graphicFrame macro="">
      <xdr:nvGraphicFramePr>
        <xdr:cNvPr id="443926574" name="Chart 10">
          <a:extLst>
            <a:ext uri="{FF2B5EF4-FFF2-40B4-BE49-F238E27FC236}">
              <a16:creationId xmlns:a16="http://schemas.microsoft.com/office/drawing/2014/main" xmlns="" id="{00000000-0008-0000-0900-00002EC875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4</xdr:col>
      <xdr:colOff>485775</xdr:colOff>
      <xdr:row>80</xdr:row>
      <xdr:rowOff>142875</xdr:rowOff>
    </xdr:from>
    <xdr:ext cx="6019800" cy="3352800"/>
    <xdr:graphicFrame macro="">
      <xdr:nvGraphicFramePr>
        <xdr:cNvPr id="983199009" name="Chart 11">
          <a:extLst>
            <a:ext uri="{FF2B5EF4-FFF2-40B4-BE49-F238E27FC236}">
              <a16:creationId xmlns:a16="http://schemas.microsoft.com/office/drawing/2014/main" xmlns="" id="{00000000-0008-0000-0900-0000216D9A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4</xdr:col>
      <xdr:colOff>238125</xdr:colOff>
      <xdr:row>92</xdr:row>
      <xdr:rowOff>152400</xdr:rowOff>
    </xdr:from>
    <xdr:ext cx="6886575" cy="2476500"/>
    <xdr:graphicFrame macro="">
      <xdr:nvGraphicFramePr>
        <xdr:cNvPr id="1176596529" name="Chart 12">
          <a:extLst>
            <a:ext uri="{FF2B5EF4-FFF2-40B4-BE49-F238E27FC236}">
              <a16:creationId xmlns:a16="http://schemas.microsoft.com/office/drawing/2014/main" xmlns="" id="{00000000-0008-0000-0900-0000317021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4</xdr:col>
      <xdr:colOff>190500</xdr:colOff>
      <xdr:row>3</xdr:row>
      <xdr:rowOff>114300</xdr:rowOff>
    </xdr:from>
    <xdr:ext cx="6838950" cy="3943350"/>
    <xdr:graphicFrame macro="">
      <xdr:nvGraphicFramePr>
        <xdr:cNvPr id="360724147" name="Chart 13">
          <a:extLst>
            <a:ext uri="{FF2B5EF4-FFF2-40B4-BE49-F238E27FC236}">
              <a16:creationId xmlns:a16="http://schemas.microsoft.com/office/drawing/2014/main" xmlns="" id="{00000000-0008-0000-0A00-0000B33680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257174</xdr:colOff>
      <xdr:row>14</xdr:row>
      <xdr:rowOff>85725</xdr:rowOff>
    </xdr:from>
    <xdr:ext cx="5553075" cy="5114925"/>
    <xdr:graphicFrame macro="">
      <xdr:nvGraphicFramePr>
        <xdr:cNvPr id="1008895435" name="Chart 14">
          <a:extLst>
            <a:ext uri="{FF2B5EF4-FFF2-40B4-BE49-F238E27FC236}">
              <a16:creationId xmlns:a16="http://schemas.microsoft.com/office/drawing/2014/main" xmlns="" id="{00000000-0008-0000-0A00-0000CB8522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4</xdr:col>
      <xdr:colOff>257175</xdr:colOff>
      <xdr:row>26</xdr:row>
      <xdr:rowOff>142875</xdr:rowOff>
    </xdr:from>
    <xdr:ext cx="5581650" cy="4448175"/>
    <xdr:graphicFrame macro="">
      <xdr:nvGraphicFramePr>
        <xdr:cNvPr id="1313632284" name="Chart 15">
          <a:extLst>
            <a:ext uri="{FF2B5EF4-FFF2-40B4-BE49-F238E27FC236}">
              <a16:creationId xmlns:a16="http://schemas.microsoft.com/office/drawing/2014/main" xmlns="" id="{00000000-0008-0000-0A00-00001C704C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4</xdr:col>
      <xdr:colOff>200025</xdr:colOff>
      <xdr:row>40</xdr:row>
      <xdr:rowOff>57150</xdr:rowOff>
    </xdr:from>
    <xdr:ext cx="5505450" cy="4781550"/>
    <xdr:graphicFrame macro="">
      <xdr:nvGraphicFramePr>
        <xdr:cNvPr id="1375114889" name="Chart 16">
          <a:extLst>
            <a:ext uri="{FF2B5EF4-FFF2-40B4-BE49-F238E27FC236}">
              <a16:creationId xmlns:a16="http://schemas.microsoft.com/office/drawing/2014/main" xmlns="" id="{00000000-0008-0000-0A00-00008996F6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4</xdr:col>
      <xdr:colOff>314325</xdr:colOff>
      <xdr:row>54</xdr:row>
      <xdr:rowOff>133350</xdr:rowOff>
    </xdr:from>
    <xdr:ext cx="4933950" cy="4800600"/>
    <xdr:graphicFrame macro="">
      <xdr:nvGraphicFramePr>
        <xdr:cNvPr id="688153862" name="Chart 17">
          <a:extLst>
            <a:ext uri="{FF2B5EF4-FFF2-40B4-BE49-F238E27FC236}">
              <a16:creationId xmlns:a16="http://schemas.microsoft.com/office/drawing/2014/main" xmlns="" id="{00000000-0008-0000-0A00-0000066504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11</xdr:col>
      <xdr:colOff>295275</xdr:colOff>
      <xdr:row>66</xdr:row>
      <xdr:rowOff>171450</xdr:rowOff>
    </xdr:from>
    <xdr:ext cx="4514850" cy="3619500"/>
    <xdr:graphicFrame macro="">
      <xdr:nvGraphicFramePr>
        <xdr:cNvPr id="1277444889" name="Chart 18">
          <a:extLst>
            <a:ext uri="{FF2B5EF4-FFF2-40B4-BE49-F238E27FC236}">
              <a16:creationId xmlns:a16="http://schemas.microsoft.com/office/drawing/2014/main" xmlns="" id="{00000000-0008-0000-0A00-0000194324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5</xdr:col>
      <xdr:colOff>247650</xdr:colOff>
      <xdr:row>76</xdr:row>
      <xdr:rowOff>85725</xdr:rowOff>
    </xdr:from>
    <xdr:ext cx="5143500" cy="2476500"/>
    <xdr:graphicFrame macro="">
      <xdr:nvGraphicFramePr>
        <xdr:cNvPr id="2002846480" name="Chart 19">
          <a:extLst>
            <a:ext uri="{FF2B5EF4-FFF2-40B4-BE49-F238E27FC236}">
              <a16:creationId xmlns:a16="http://schemas.microsoft.com/office/drawing/2014/main" xmlns="" id="{00000000-0008-0000-0A00-0000100361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552450</xdr:colOff>
      <xdr:row>0</xdr:row>
      <xdr:rowOff>19050</xdr:rowOff>
    </xdr:from>
    <xdr:ext cx="6210300" cy="3133725"/>
    <xdr:graphicFrame macro="">
      <xdr:nvGraphicFramePr>
        <xdr:cNvPr id="1791792976" name="Chart 20">
          <a:extLst>
            <a:ext uri="{FF2B5EF4-FFF2-40B4-BE49-F238E27FC236}">
              <a16:creationId xmlns:a16="http://schemas.microsoft.com/office/drawing/2014/main" xmlns="" id="{00000000-0008-0000-0B00-00005097CC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447675</xdr:colOff>
      <xdr:row>11</xdr:row>
      <xdr:rowOff>76200</xdr:rowOff>
    </xdr:from>
    <xdr:ext cx="5505450" cy="5172075"/>
    <xdr:graphicFrame macro="">
      <xdr:nvGraphicFramePr>
        <xdr:cNvPr id="899865283" name="Chart 21">
          <a:extLst>
            <a:ext uri="{FF2B5EF4-FFF2-40B4-BE49-F238E27FC236}">
              <a16:creationId xmlns:a16="http://schemas.microsoft.com/office/drawing/2014/main" xmlns="" id="{00000000-0008-0000-0B00-0000C3DAA2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4</xdr:col>
      <xdr:colOff>123825</xdr:colOff>
      <xdr:row>25</xdr:row>
      <xdr:rowOff>171450</xdr:rowOff>
    </xdr:from>
    <xdr:ext cx="7000875" cy="2857500"/>
    <xdr:graphicFrame macro="">
      <xdr:nvGraphicFramePr>
        <xdr:cNvPr id="1920009459" name="Chart 22">
          <a:extLst>
            <a:ext uri="{FF2B5EF4-FFF2-40B4-BE49-F238E27FC236}">
              <a16:creationId xmlns:a16="http://schemas.microsoft.com/office/drawing/2014/main" xmlns="" id="{00000000-0008-0000-0B00-0000F30471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4</xdr:col>
      <xdr:colOff>438150</xdr:colOff>
      <xdr:row>34</xdr:row>
      <xdr:rowOff>0</xdr:rowOff>
    </xdr:from>
    <xdr:ext cx="8991600" cy="3095625"/>
    <xdr:graphicFrame macro="">
      <xdr:nvGraphicFramePr>
        <xdr:cNvPr id="1665287154" name="Chart 23">
          <a:extLst>
            <a:ext uri="{FF2B5EF4-FFF2-40B4-BE49-F238E27FC236}">
              <a16:creationId xmlns:a16="http://schemas.microsoft.com/office/drawing/2014/main" xmlns="" id="{00000000-0008-0000-0B00-0000F24342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twoCellAnchor>
    <xdr:from>
      <xdr:col>5</xdr:col>
      <xdr:colOff>0</xdr:colOff>
      <xdr:row>43</xdr:row>
      <xdr:rowOff>190499</xdr:rowOff>
    </xdr:from>
    <xdr:to>
      <xdr:col>12</xdr:col>
      <xdr:colOff>695325</xdr:colOff>
      <xdr:row>55</xdr:row>
      <xdr:rowOff>76199</xdr:rowOff>
    </xdr:to>
    <xdr:graphicFrame macro="">
      <xdr:nvGraphicFramePr>
        <xdr:cNvPr id="2" name="Gráfico 1">
          <a:extLst>
            <a:ext uri="{FF2B5EF4-FFF2-40B4-BE49-F238E27FC236}">
              <a16:creationId xmlns:a16="http://schemas.microsoft.com/office/drawing/2014/main" xmlns=""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4</xdr:col>
      <xdr:colOff>695325</xdr:colOff>
      <xdr:row>2</xdr:row>
      <xdr:rowOff>47625</xdr:rowOff>
    </xdr:from>
    <xdr:ext cx="7534275" cy="3314700"/>
    <xdr:graphicFrame macro="">
      <xdr:nvGraphicFramePr>
        <xdr:cNvPr id="2001954316" name="Chart 24">
          <a:extLst>
            <a:ext uri="{FF2B5EF4-FFF2-40B4-BE49-F238E27FC236}">
              <a16:creationId xmlns:a16="http://schemas.microsoft.com/office/drawing/2014/main" xmlns="" id="{00000000-0008-0000-0C00-00000C6653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257175</xdr:colOff>
      <xdr:row>10</xdr:row>
      <xdr:rowOff>180975</xdr:rowOff>
    </xdr:from>
    <xdr:ext cx="6410325" cy="2828925"/>
    <xdr:graphicFrame macro="">
      <xdr:nvGraphicFramePr>
        <xdr:cNvPr id="758651883" name="Chart 25">
          <a:extLst>
            <a:ext uri="{FF2B5EF4-FFF2-40B4-BE49-F238E27FC236}">
              <a16:creationId xmlns:a16="http://schemas.microsoft.com/office/drawing/2014/main" xmlns="" id="{00000000-0008-0000-0C00-0000EB1B38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4</xdr:col>
      <xdr:colOff>257175</xdr:colOff>
      <xdr:row>17</xdr:row>
      <xdr:rowOff>142875</xdr:rowOff>
    </xdr:from>
    <xdr:ext cx="6610350" cy="3552825"/>
    <xdr:graphicFrame macro="">
      <xdr:nvGraphicFramePr>
        <xdr:cNvPr id="1921128053" name="Chart 26">
          <a:extLst>
            <a:ext uri="{FF2B5EF4-FFF2-40B4-BE49-F238E27FC236}">
              <a16:creationId xmlns:a16="http://schemas.microsoft.com/office/drawing/2014/main" xmlns="" id="{00000000-0008-0000-0C00-0000751682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4</xdr:col>
      <xdr:colOff>533400</xdr:colOff>
      <xdr:row>27</xdr:row>
      <xdr:rowOff>47625</xdr:rowOff>
    </xdr:from>
    <xdr:ext cx="5467350" cy="5981700"/>
    <xdr:graphicFrame macro="">
      <xdr:nvGraphicFramePr>
        <xdr:cNvPr id="1151941273" name="Chart 27">
          <a:extLst>
            <a:ext uri="{FF2B5EF4-FFF2-40B4-BE49-F238E27FC236}">
              <a16:creationId xmlns:a16="http://schemas.microsoft.com/office/drawing/2014/main" xmlns="" id="{00000000-0008-0000-0C00-0000993AA9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4</xdr:col>
      <xdr:colOff>190500</xdr:colOff>
      <xdr:row>40</xdr:row>
      <xdr:rowOff>133350</xdr:rowOff>
    </xdr:from>
    <xdr:ext cx="5534025" cy="2847975"/>
    <xdr:graphicFrame macro="">
      <xdr:nvGraphicFramePr>
        <xdr:cNvPr id="41470566" name="Chart 28">
          <a:extLst>
            <a:ext uri="{FF2B5EF4-FFF2-40B4-BE49-F238E27FC236}">
              <a16:creationId xmlns:a16="http://schemas.microsoft.com/office/drawing/2014/main" xmlns="" id="{00000000-0008-0000-0C00-000066CA78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4</xdr:col>
      <xdr:colOff>66675</xdr:colOff>
      <xdr:row>49</xdr:row>
      <xdr:rowOff>200024</xdr:rowOff>
    </xdr:from>
    <xdr:ext cx="6638925" cy="2962275"/>
    <xdr:graphicFrame macro="">
      <xdr:nvGraphicFramePr>
        <xdr:cNvPr id="1627805166" name="Chart 29">
          <a:extLst>
            <a:ext uri="{FF2B5EF4-FFF2-40B4-BE49-F238E27FC236}">
              <a16:creationId xmlns:a16="http://schemas.microsoft.com/office/drawing/2014/main" xmlns="" id="{00000000-0008-0000-0C00-0000EE5506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4</xdr:col>
      <xdr:colOff>114300</xdr:colOff>
      <xdr:row>58</xdr:row>
      <xdr:rowOff>152400</xdr:rowOff>
    </xdr:from>
    <xdr:ext cx="6962775" cy="3600450"/>
    <xdr:graphicFrame macro="">
      <xdr:nvGraphicFramePr>
        <xdr:cNvPr id="1725918948" name="Chart 30">
          <a:extLst>
            <a:ext uri="{FF2B5EF4-FFF2-40B4-BE49-F238E27FC236}">
              <a16:creationId xmlns:a16="http://schemas.microsoft.com/office/drawing/2014/main" xmlns="" id="{00000000-0008-0000-0C00-0000E46EDF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4</xdr:col>
      <xdr:colOff>228600</xdr:colOff>
      <xdr:row>70</xdr:row>
      <xdr:rowOff>152400</xdr:rowOff>
    </xdr:from>
    <xdr:ext cx="6429375" cy="3048000"/>
    <xdr:graphicFrame macro="">
      <xdr:nvGraphicFramePr>
        <xdr:cNvPr id="1775481097" name="Chart 31">
          <a:extLst>
            <a:ext uri="{FF2B5EF4-FFF2-40B4-BE49-F238E27FC236}">
              <a16:creationId xmlns:a16="http://schemas.microsoft.com/office/drawing/2014/main" xmlns="" id="{00000000-0008-0000-0C00-000009B1D3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4</xdr:col>
      <xdr:colOff>161925</xdr:colOff>
      <xdr:row>79</xdr:row>
      <xdr:rowOff>47625</xdr:rowOff>
    </xdr:from>
    <xdr:ext cx="6743700" cy="3038475"/>
    <xdr:graphicFrame macro="">
      <xdr:nvGraphicFramePr>
        <xdr:cNvPr id="1778056107" name="Chart 32">
          <a:extLst>
            <a:ext uri="{FF2B5EF4-FFF2-40B4-BE49-F238E27FC236}">
              <a16:creationId xmlns:a16="http://schemas.microsoft.com/office/drawing/2014/main" xmlns="" id="{00000000-0008-0000-0C00-0000ABFBFA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514350</xdr:colOff>
      <xdr:row>2</xdr:row>
      <xdr:rowOff>47625</xdr:rowOff>
    </xdr:from>
    <xdr:ext cx="7772400" cy="3333750"/>
    <xdr:graphicFrame macro="">
      <xdr:nvGraphicFramePr>
        <xdr:cNvPr id="233278574" name="Chart 33">
          <a:extLst>
            <a:ext uri="{FF2B5EF4-FFF2-40B4-BE49-F238E27FC236}">
              <a16:creationId xmlns:a16="http://schemas.microsoft.com/office/drawing/2014/main" xmlns="" id="{00000000-0008-0000-0D00-00006E8CE7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285750</xdr:colOff>
      <xdr:row>11</xdr:row>
      <xdr:rowOff>171450</xdr:rowOff>
    </xdr:from>
    <xdr:ext cx="5267325" cy="5857875"/>
    <xdr:graphicFrame macro="">
      <xdr:nvGraphicFramePr>
        <xdr:cNvPr id="796443163" name="Chart 34">
          <a:extLst>
            <a:ext uri="{FF2B5EF4-FFF2-40B4-BE49-F238E27FC236}">
              <a16:creationId xmlns:a16="http://schemas.microsoft.com/office/drawing/2014/main" xmlns="" id="{00000000-0008-0000-0D00-00001BC278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4</xdr:col>
      <xdr:colOff>409575</xdr:colOff>
      <xdr:row>27</xdr:row>
      <xdr:rowOff>9525</xdr:rowOff>
    </xdr:from>
    <xdr:ext cx="6267450" cy="2667000"/>
    <xdr:graphicFrame macro="">
      <xdr:nvGraphicFramePr>
        <xdr:cNvPr id="832828950" name="Chart 35">
          <a:extLst>
            <a:ext uri="{FF2B5EF4-FFF2-40B4-BE49-F238E27FC236}">
              <a16:creationId xmlns:a16="http://schemas.microsoft.com/office/drawing/2014/main" xmlns="" id="{00000000-0008-0000-0D00-000016F6A3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4</xdr:col>
      <xdr:colOff>361950</xdr:colOff>
      <xdr:row>37</xdr:row>
      <xdr:rowOff>66675</xdr:rowOff>
    </xdr:from>
    <xdr:ext cx="6810375" cy="3552825"/>
    <xdr:graphicFrame macro="">
      <xdr:nvGraphicFramePr>
        <xdr:cNvPr id="503014261" name="Chart 36">
          <a:extLst>
            <a:ext uri="{FF2B5EF4-FFF2-40B4-BE49-F238E27FC236}">
              <a16:creationId xmlns:a16="http://schemas.microsoft.com/office/drawing/2014/main" xmlns="" id="{00000000-0008-0000-0D00-00007563FB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4</xdr:col>
      <xdr:colOff>466725</xdr:colOff>
      <xdr:row>49</xdr:row>
      <xdr:rowOff>47625</xdr:rowOff>
    </xdr:from>
    <xdr:ext cx="5419725" cy="2276475"/>
    <xdr:graphicFrame macro="">
      <xdr:nvGraphicFramePr>
        <xdr:cNvPr id="1663053603" name="Chart 37">
          <a:extLst>
            <a:ext uri="{FF2B5EF4-FFF2-40B4-BE49-F238E27FC236}">
              <a16:creationId xmlns:a16="http://schemas.microsoft.com/office/drawing/2014/main" xmlns="" id="{00000000-0008-0000-0D00-0000232F20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4</xdr:col>
      <xdr:colOff>228600</xdr:colOff>
      <xdr:row>57</xdr:row>
      <xdr:rowOff>123825</xdr:rowOff>
    </xdr:from>
    <xdr:ext cx="5591175" cy="2543175"/>
    <xdr:graphicFrame macro="">
      <xdr:nvGraphicFramePr>
        <xdr:cNvPr id="1876506282" name="Chart 38">
          <a:extLst>
            <a:ext uri="{FF2B5EF4-FFF2-40B4-BE49-F238E27FC236}">
              <a16:creationId xmlns:a16="http://schemas.microsoft.com/office/drawing/2014/main" xmlns="" id="{00000000-0008-0000-0D00-0000AA36D9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4</xdr:col>
      <xdr:colOff>85725</xdr:colOff>
      <xdr:row>67</xdr:row>
      <xdr:rowOff>85725</xdr:rowOff>
    </xdr:from>
    <xdr:ext cx="7115175" cy="2914650"/>
    <xdr:graphicFrame macro="">
      <xdr:nvGraphicFramePr>
        <xdr:cNvPr id="201295212" name="Chart 39">
          <a:extLst>
            <a:ext uri="{FF2B5EF4-FFF2-40B4-BE49-F238E27FC236}">
              <a16:creationId xmlns:a16="http://schemas.microsoft.com/office/drawing/2014/main" xmlns="" id="{00000000-0008-0000-0D00-00006C85FF0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4</xdr:col>
      <xdr:colOff>104775</xdr:colOff>
      <xdr:row>76</xdr:row>
      <xdr:rowOff>76200</xdr:rowOff>
    </xdr:from>
    <xdr:ext cx="6400800" cy="2752725"/>
    <xdr:graphicFrame macro="">
      <xdr:nvGraphicFramePr>
        <xdr:cNvPr id="1919846785" name="Chart 40">
          <a:extLst>
            <a:ext uri="{FF2B5EF4-FFF2-40B4-BE49-F238E27FC236}">
              <a16:creationId xmlns:a16="http://schemas.microsoft.com/office/drawing/2014/main" xmlns="" id="{00000000-0008-0000-0D00-000081896E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4</xdr:col>
      <xdr:colOff>85725</xdr:colOff>
      <xdr:row>85</xdr:row>
      <xdr:rowOff>85725</xdr:rowOff>
    </xdr:from>
    <xdr:ext cx="6162675" cy="3038475"/>
    <xdr:graphicFrame macro="">
      <xdr:nvGraphicFramePr>
        <xdr:cNvPr id="7804536" name="Chart 41">
          <a:extLst>
            <a:ext uri="{FF2B5EF4-FFF2-40B4-BE49-F238E27FC236}">
              <a16:creationId xmlns:a16="http://schemas.microsoft.com/office/drawing/2014/main" xmlns="" id="{00000000-0008-0000-0D00-0000781677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wsDr>
</file>

<file path=xl/drawings/drawing7.xml><?xml version="1.0" encoding="utf-8"?>
<xdr:wsDr xmlns:xdr="http://schemas.openxmlformats.org/drawingml/2006/spreadsheetDrawing" xmlns:a="http://schemas.openxmlformats.org/drawingml/2006/main">
  <xdr:absoluteAnchor>
    <xdr:pos x="0" y="0"/>
    <xdr:ext cx="8610600" cy="6276975"/>
    <xdr:graphicFrame macro="">
      <xdr:nvGraphicFramePr>
        <xdr:cNvPr id="123836847" name="Chart 42">
          <a:extLst>
            <a:ext uri="{FF2B5EF4-FFF2-40B4-BE49-F238E27FC236}">
              <a16:creationId xmlns:a16="http://schemas.microsoft.com/office/drawing/2014/main" xmlns="" id="{00000000-0008-0000-0F00-0000AF9961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R1000"/>
  <sheetViews>
    <sheetView workbookViewId="0"/>
  </sheetViews>
  <sheetFormatPr baseColWidth="10" defaultColWidth="12.625" defaultRowHeight="15" customHeight="1" x14ac:dyDescent="0.2"/>
  <cols>
    <col min="1" max="1" width="25" customWidth="1"/>
    <col min="2" max="2" width="27.75" customWidth="1"/>
    <col min="3" max="3" width="36" customWidth="1"/>
    <col min="4" max="4" width="36.375" customWidth="1"/>
    <col min="5" max="12" width="37.375" customWidth="1"/>
    <col min="13" max="19" width="37.375" hidden="1" customWidth="1"/>
    <col min="20" max="20" width="34.25" customWidth="1"/>
    <col min="21" max="22" width="40.5" customWidth="1"/>
    <col min="23" max="23" width="41.625" customWidth="1"/>
    <col min="24" max="24" width="33.125" customWidth="1"/>
    <col min="25" max="29" width="34" customWidth="1"/>
    <col min="30" max="30" width="35" hidden="1" customWidth="1"/>
    <col min="31" max="32" width="34.875" hidden="1" customWidth="1"/>
    <col min="33" max="33" width="34" hidden="1" customWidth="1"/>
    <col min="34" max="42" width="34" customWidth="1"/>
    <col min="43" max="46" width="34" hidden="1" customWidth="1"/>
    <col min="47" max="55" width="34" customWidth="1"/>
    <col min="56" max="59" width="34" hidden="1" customWidth="1"/>
    <col min="60" max="68" width="34" customWidth="1"/>
    <col min="69" max="72" width="34" hidden="1" customWidth="1"/>
    <col min="73" max="73" width="48.5" customWidth="1"/>
    <col min="74" max="74" width="44.125" customWidth="1"/>
    <col min="75" max="75" width="46.125" customWidth="1"/>
    <col min="76" max="76" width="52.875" customWidth="1"/>
    <col min="77" max="77" width="24.375" customWidth="1"/>
    <col min="78" max="79" width="34.375" customWidth="1"/>
    <col min="80" max="80" width="19.125" customWidth="1"/>
    <col min="81" max="81" width="24.125" hidden="1" customWidth="1"/>
    <col min="82" max="82" width="21.625" customWidth="1"/>
    <col min="83" max="83" width="27.5" hidden="1" customWidth="1"/>
    <col min="84" max="84" width="22.875" hidden="1" customWidth="1"/>
    <col min="85" max="85" width="32.25" customWidth="1"/>
    <col min="86" max="86" width="37.75" customWidth="1"/>
    <col min="87" max="87" width="47.625" customWidth="1"/>
    <col min="88" max="88" width="32.5" customWidth="1"/>
    <col min="89" max="89" width="39.25" hidden="1" customWidth="1"/>
    <col min="90" max="90" width="30.375" hidden="1" customWidth="1"/>
    <col min="91" max="91" width="55.375" hidden="1" customWidth="1"/>
    <col min="92" max="95" width="47.75" hidden="1" customWidth="1"/>
    <col min="96" max="96" width="60.875" hidden="1" customWidth="1"/>
  </cols>
  <sheetData>
    <row r="1" spans="1:96" ht="23.25" customHeight="1" x14ac:dyDescent="0.2">
      <c r="A1" s="1" t="s">
        <v>0</v>
      </c>
      <c r="B1" s="1" t="s">
        <v>1</v>
      </c>
      <c r="C1" s="1" t="s">
        <v>2</v>
      </c>
      <c r="D1" s="1" t="s">
        <v>3</v>
      </c>
      <c r="E1" s="1" t="s">
        <v>4</v>
      </c>
      <c r="F1" s="2" t="s">
        <v>5</v>
      </c>
      <c r="G1" s="3" t="s">
        <v>6</v>
      </c>
      <c r="H1" s="3" t="s">
        <v>7</v>
      </c>
      <c r="I1" s="4" t="s">
        <v>8</v>
      </c>
      <c r="J1" s="4" t="s">
        <v>9</v>
      </c>
      <c r="K1" s="5" t="s">
        <v>10</v>
      </c>
      <c r="L1" s="5" t="s">
        <v>11</v>
      </c>
      <c r="M1" s="6" t="s">
        <v>12</v>
      </c>
      <c r="N1" s="7" t="s">
        <v>13</v>
      </c>
      <c r="O1" s="7" t="s">
        <v>14</v>
      </c>
      <c r="P1" s="8" t="s">
        <v>15</v>
      </c>
      <c r="Q1" s="8" t="s">
        <v>16</v>
      </c>
      <c r="R1" s="9" t="s">
        <v>17</v>
      </c>
      <c r="S1" s="9" t="s">
        <v>18</v>
      </c>
      <c r="T1" s="1" t="s">
        <v>19</v>
      </c>
      <c r="U1" s="10" t="s">
        <v>20</v>
      </c>
      <c r="V1" s="1" t="s">
        <v>21</v>
      </c>
      <c r="W1" s="1" t="s">
        <v>22</v>
      </c>
      <c r="X1" s="1" t="s">
        <v>23</v>
      </c>
      <c r="Y1" s="10" t="s">
        <v>24</v>
      </c>
      <c r="Z1" s="1" t="s">
        <v>25</v>
      </c>
      <c r="AA1" s="11" t="s">
        <v>26</v>
      </c>
      <c r="AB1" s="1" t="s">
        <v>27</v>
      </c>
      <c r="AC1" s="11" t="s">
        <v>28</v>
      </c>
      <c r="AD1" s="12" t="s">
        <v>29</v>
      </c>
      <c r="AE1" s="12" t="s">
        <v>30</v>
      </c>
      <c r="AF1" s="12" t="s">
        <v>31</v>
      </c>
      <c r="AG1" s="12" t="s">
        <v>32</v>
      </c>
      <c r="AH1" s="10" t="s">
        <v>33</v>
      </c>
      <c r="AI1" s="1" t="s">
        <v>34</v>
      </c>
      <c r="AJ1" s="11" t="s">
        <v>26</v>
      </c>
      <c r="AK1" s="1" t="s">
        <v>35</v>
      </c>
      <c r="AL1" s="11" t="s">
        <v>26</v>
      </c>
      <c r="AM1" s="1" t="s">
        <v>36</v>
      </c>
      <c r="AN1" s="11" t="s">
        <v>26</v>
      </c>
      <c r="AO1" s="1" t="s">
        <v>37</v>
      </c>
      <c r="AP1" s="11" t="s">
        <v>26</v>
      </c>
      <c r="AQ1" s="13" t="s">
        <v>38</v>
      </c>
      <c r="AR1" s="13" t="s">
        <v>39</v>
      </c>
      <c r="AS1" s="13" t="s">
        <v>40</v>
      </c>
      <c r="AT1" s="13" t="s">
        <v>41</v>
      </c>
      <c r="AU1" s="10" t="s">
        <v>42</v>
      </c>
      <c r="AV1" s="1" t="s">
        <v>43</v>
      </c>
      <c r="AW1" s="11" t="s">
        <v>26</v>
      </c>
      <c r="AX1" s="1" t="s">
        <v>44</v>
      </c>
      <c r="AY1" s="11" t="s">
        <v>26</v>
      </c>
      <c r="AZ1" s="1" t="s">
        <v>45</v>
      </c>
      <c r="BA1" s="11" t="s">
        <v>26</v>
      </c>
      <c r="BB1" s="1" t="s">
        <v>46</v>
      </c>
      <c r="BC1" s="11" t="s">
        <v>26</v>
      </c>
      <c r="BD1" s="8" t="s">
        <v>47</v>
      </c>
      <c r="BE1" s="8" t="s">
        <v>48</v>
      </c>
      <c r="BF1" s="8" t="s">
        <v>49</v>
      </c>
      <c r="BG1" s="8" t="s">
        <v>50</v>
      </c>
      <c r="BH1" s="10" t="s">
        <v>51</v>
      </c>
      <c r="BI1" s="1" t="s">
        <v>52</v>
      </c>
      <c r="BJ1" s="11" t="s">
        <v>26</v>
      </c>
      <c r="BK1" s="1" t="s">
        <v>53</v>
      </c>
      <c r="BL1" s="11" t="s">
        <v>26</v>
      </c>
      <c r="BM1" s="1" t="s">
        <v>54</v>
      </c>
      <c r="BN1" s="11" t="s">
        <v>26</v>
      </c>
      <c r="BO1" s="1" t="s">
        <v>55</v>
      </c>
      <c r="BP1" s="11" t="s">
        <v>26</v>
      </c>
      <c r="BQ1" s="9" t="s">
        <v>56</v>
      </c>
      <c r="BR1" s="9" t="s">
        <v>57</v>
      </c>
      <c r="BS1" s="9" t="s">
        <v>58</v>
      </c>
      <c r="BT1" s="9" t="s">
        <v>59</v>
      </c>
      <c r="BU1" s="1" t="s">
        <v>60</v>
      </c>
      <c r="BV1" s="1" t="s">
        <v>61</v>
      </c>
      <c r="BW1" s="1" t="s">
        <v>62</v>
      </c>
      <c r="BX1" s="1" t="s">
        <v>63</v>
      </c>
      <c r="BY1" s="1" t="s">
        <v>64</v>
      </c>
      <c r="BZ1" s="14" t="s">
        <v>65</v>
      </c>
      <c r="CA1" s="14" t="s">
        <v>66</v>
      </c>
      <c r="CB1" s="1" t="s">
        <v>67</v>
      </c>
      <c r="CC1" s="15" t="s">
        <v>68</v>
      </c>
      <c r="CD1" s="1" t="s">
        <v>69</v>
      </c>
      <c r="CE1" s="15" t="s">
        <v>70</v>
      </c>
      <c r="CF1" s="15" t="s">
        <v>71</v>
      </c>
      <c r="CG1" s="15" t="s">
        <v>72</v>
      </c>
      <c r="CH1" s="15" t="s">
        <v>73</v>
      </c>
      <c r="CI1" s="1" t="s">
        <v>74</v>
      </c>
      <c r="CJ1" s="1" t="s">
        <v>75</v>
      </c>
      <c r="CK1" s="1" t="s">
        <v>76</v>
      </c>
      <c r="CL1" s="1" t="s">
        <v>77</v>
      </c>
      <c r="CM1" s="1" t="s">
        <v>78</v>
      </c>
      <c r="CN1" s="1" t="s">
        <v>79</v>
      </c>
      <c r="CO1" s="1" t="s">
        <v>80</v>
      </c>
      <c r="CP1" s="1" t="s">
        <v>81</v>
      </c>
      <c r="CQ1" s="1" t="s">
        <v>82</v>
      </c>
      <c r="CR1" s="1" t="s">
        <v>83</v>
      </c>
    </row>
    <row r="2" spans="1:96" ht="23.25" customHeight="1" x14ac:dyDescent="0.2">
      <c r="A2" s="16"/>
      <c r="B2" s="17"/>
      <c r="C2" s="16"/>
      <c r="D2" s="17"/>
      <c r="E2" s="16"/>
      <c r="F2" s="16"/>
      <c r="G2" s="16"/>
      <c r="H2" s="16"/>
      <c r="I2" s="16"/>
      <c r="J2" s="16"/>
      <c r="K2" s="16"/>
      <c r="L2" s="16"/>
      <c r="M2" s="16"/>
      <c r="N2" s="16"/>
      <c r="O2" s="16"/>
      <c r="P2" s="16"/>
      <c r="Q2" s="16"/>
      <c r="R2" s="16"/>
      <c r="S2" s="16"/>
      <c r="T2" s="17"/>
      <c r="U2" s="18"/>
      <c r="V2" s="18"/>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6"/>
      <c r="BW2" s="19"/>
      <c r="BX2" s="18"/>
      <c r="BY2" s="17"/>
      <c r="BZ2" s="20"/>
      <c r="CA2" s="20"/>
      <c r="CB2" s="16"/>
      <c r="CC2" s="16"/>
      <c r="CD2" s="16"/>
      <c r="CE2" s="16"/>
      <c r="CF2" s="16"/>
      <c r="CG2" s="16"/>
      <c r="CH2" s="16"/>
      <c r="CI2" s="17"/>
      <c r="CJ2" s="17"/>
      <c r="CK2" s="16"/>
      <c r="CL2" s="16"/>
      <c r="CM2" s="16"/>
      <c r="CN2" s="16"/>
      <c r="CO2" s="16"/>
      <c r="CP2" s="16"/>
      <c r="CQ2" s="16"/>
      <c r="CR2" s="16"/>
    </row>
    <row r="3" spans="1:96" ht="23.25" customHeight="1" x14ac:dyDescent="0.2">
      <c r="A3" s="16"/>
      <c r="B3" s="17"/>
      <c r="C3" s="16"/>
      <c r="D3" s="17"/>
      <c r="E3" s="16"/>
      <c r="F3" s="16"/>
      <c r="G3" s="16"/>
      <c r="H3" s="16"/>
      <c r="I3" s="16"/>
      <c r="J3" s="16"/>
      <c r="K3" s="16"/>
      <c r="L3" s="16"/>
      <c r="M3" s="16"/>
      <c r="N3" s="16"/>
      <c r="O3" s="16"/>
      <c r="P3" s="16"/>
      <c r="Q3" s="16"/>
      <c r="R3" s="16"/>
      <c r="S3" s="16"/>
      <c r="T3" s="17"/>
      <c r="U3" s="18"/>
      <c r="V3" s="18"/>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6"/>
      <c r="BW3" s="19"/>
      <c r="BX3" s="18"/>
      <c r="BY3" s="17"/>
      <c r="BZ3" s="20"/>
      <c r="CA3" s="20"/>
      <c r="CB3" s="16"/>
      <c r="CC3" s="16"/>
      <c r="CD3" s="16"/>
      <c r="CE3" s="16"/>
      <c r="CF3" s="16"/>
      <c r="CG3" s="16"/>
      <c r="CH3" s="16"/>
      <c r="CI3" s="17"/>
      <c r="CJ3" s="17"/>
      <c r="CK3" s="16"/>
      <c r="CL3" s="16"/>
      <c r="CM3" s="16"/>
      <c r="CN3" s="16"/>
      <c r="CO3" s="16"/>
      <c r="CP3" s="16"/>
      <c r="CQ3" s="16"/>
      <c r="CR3" s="16"/>
    </row>
    <row r="4" spans="1:96" ht="23.25" customHeight="1" x14ac:dyDescent="0.2">
      <c r="A4" s="16"/>
      <c r="B4" s="17"/>
      <c r="C4" s="16"/>
      <c r="D4" s="17"/>
      <c r="E4" s="16"/>
      <c r="F4" s="16"/>
      <c r="G4" s="16"/>
      <c r="H4" s="16"/>
      <c r="I4" s="16"/>
      <c r="J4" s="16"/>
      <c r="K4" s="16"/>
      <c r="L4" s="16"/>
      <c r="M4" s="16"/>
      <c r="N4" s="16"/>
      <c r="O4" s="16"/>
      <c r="P4" s="16"/>
      <c r="Q4" s="16"/>
      <c r="R4" s="16"/>
      <c r="S4" s="16"/>
      <c r="T4" s="17"/>
      <c r="U4" s="18"/>
      <c r="V4" s="18"/>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6"/>
      <c r="BW4" s="19"/>
      <c r="BX4" s="18"/>
      <c r="BY4" s="17"/>
      <c r="BZ4" s="20"/>
      <c r="CA4" s="20"/>
      <c r="CB4" s="16"/>
      <c r="CC4" s="16"/>
      <c r="CD4" s="16"/>
      <c r="CE4" s="16"/>
      <c r="CF4" s="16"/>
      <c r="CG4" s="16"/>
      <c r="CH4" s="16"/>
      <c r="CI4" s="17"/>
      <c r="CJ4" s="17"/>
      <c r="CK4" s="16"/>
      <c r="CL4" s="16"/>
      <c r="CM4" s="16"/>
      <c r="CN4" s="16"/>
      <c r="CO4" s="16"/>
      <c r="CP4" s="16"/>
      <c r="CQ4" s="16"/>
      <c r="CR4" s="16"/>
    </row>
    <row r="5" spans="1:96" ht="23.25" customHeight="1" x14ac:dyDescent="0.2">
      <c r="A5" s="16"/>
      <c r="B5" s="17"/>
      <c r="C5" s="16"/>
      <c r="D5" s="17"/>
      <c r="E5" s="16"/>
      <c r="F5" s="16"/>
      <c r="G5" s="16"/>
      <c r="H5" s="16"/>
      <c r="I5" s="16"/>
      <c r="J5" s="16"/>
      <c r="K5" s="16"/>
      <c r="L5" s="16"/>
      <c r="M5" s="16"/>
      <c r="N5" s="16"/>
      <c r="O5" s="16"/>
      <c r="P5" s="16"/>
      <c r="Q5" s="16"/>
      <c r="R5" s="16"/>
      <c r="S5" s="16"/>
      <c r="T5" s="17"/>
      <c r="U5" s="18"/>
      <c r="V5" s="18"/>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6"/>
      <c r="BW5" s="19"/>
      <c r="BX5" s="18"/>
      <c r="BY5" s="17"/>
      <c r="BZ5" s="20"/>
      <c r="CA5" s="20"/>
      <c r="CB5" s="16"/>
      <c r="CC5" s="16"/>
      <c r="CD5" s="16"/>
      <c r="CE5" s="16"/>
      <c r="CF5" s="16"/>
      <c r="CG5" s="16"/>
      <c r="CH5" s="16"/>
      <c r="CI5" s="17"/>
      <c r="CJ5" s="17"/>
      <c r="CK5" s="16"/>
      <c r="CL5" s="16"/>
      <c r="CM5" s="16"/>
      <c r="CN5" s="16"/>
      <c r="CO5" s="16"/>
      <c r="CP5" s="16"/>
      <c r="CQ5" s="16"/>
      <c r="CR5" s="16"/>
    </row>
    <row r="6" spans="1:96" ht="23.25" customHeight="1" x14ac:dyDescent="0.2">
      <c r="A6" s="16"/>
      <c r="B6" s="17"/>
      <c r="C6" s="16"/>
      <c r="D6" s="17"/>
      <c r="E6" s="16"/>
      <c r="F6" s="16"/>
      <c r="G6" s="16"/>
      <c r="H6" s="16"/>
      <c r="I6" s="16"/>
      <c r="J6" s="16"/>
      <c r="K6" s="16"/>
      <c r="L6" s="16"/>
      <c r="M6" s="16"/>
      <c r="N6" s="16"/>
      <c r="O6" s="16"/>
      <c r="P6" s="16"/>
      <c r="Q6" s="16"/>
      <c r="R6" s="16"/>
      <c r="S6" s="16"/>
      <c r="T6" s="17"/>
      <c r="U6" s="18"/>
      <c r="V6" s="18"/>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6"/>
      <c r="BW6" s="19"/>
      <c r="BX6" s="18"/>
      <c r="BY6" s="17"/>
      <c r="BZ6" s="20"/>
      <c r="CA6" s="20"/>
      <c r="CB6" s="16"/>
      <c r="CC6" s="16"/>
      <c r="CD6" s="16"/>
      <c r="CE6" s="16"/>
      <c r="CF6" s="16"/>
      <c r="CG6" s="16"/>
      <c r="CH6" s="16"/>
      <c r="CI6" s="17"/>
      <c r="CJ6" s="17"/>
      <c r="CK6" s="16"/>
      <c r="CL6" s="16"/>
      <c r="CM6" s="16"/>
      <c r="CN6" s="16"/>
      <c r="CO6" s="16"/>
      <c r="CP6" s="16"/>
      <c r="CQ6" s="16"/>
      <c r="CR6" s="16"/>
    </row>
    <row r="7" spans="1:96" ht="23.25" customHeight="1" x14ac:dyDescent="0.2">
      <c r="A7" s="16"/>
      <c r="B7" s="17"/>
      <c r="C7" s="16"/>
      <c r="D7" s="17"/>
      <c r="E7" s="16"/>
      <c r="F7" s="16"/>
      <c r="G7" s="16"/>
      <c r="H7" s="16"/>
      <c r="I7" s="16"/>
      <c r="J7" s="16"/>
      <c r="K7" s="16"/>
      <c r="L7" s="16"/>
      <c r="M7" s="16"/>
      <c r="N7" s="16"/>
      <c r="O7" s="16"/>
      <c r="P7" s="16"/>
      <c r="Q7" s="16"/>
      <c r="R7" s="16"/>
      <c r="S7" s="16"/>
      <c r="T7" s="17"/>
      <c r="U7" s="18"/>
      <c r="V7" s="18"/>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6"/>
      <c r="BW7" s="19"/>
      <c r="BX7" s="18"/>
      <c r="BY7" s="17"/>
      <c r="BZ7" s="20"/>
      <c r="CA7" s="20"/>
      <c r="CB7" s="16"/>
      <c r="CC7" s="16"/>
      <c r="CD7" s="16"/>
      <c r="CE7" s="16"/>
      <c r="CF7" s="16"/>
      <c r="CG7" s="16"/>
      <c r="CH7" s="16"/>
      <c r="CI7" s="17"/>
      <c r="CJ7" s="17"/>
      <c r="CK7" s="16"/>
      <c r="CL7" s="16"/>
      <c r="CM7" s="16"/>
      <c r="CN7" s="16"/>
      <c r="CO7" s="16"/>
      <c r="CP7" s="16"/>
      <c r="CQ7" s="16"/>
      <c r="CR7" s="16"/>
    </row>
    <row r="8" spans="1:96" ht="23.25" customHeight="1" x14ac:dyDescent="0.2">
      <c r="A8" s="16"/>
      <c r="B8" s="17"/>
      <c r="C8" s="16"/>
      <c r="D8" s="17"/>
      <c r="E8" s="16"/>
      <c r="F8" s="16"/>
      <c r="G8" s="16"/>
      <c r="H8" s="16"/>
      <c r="I8" s="16"/>
      <c r="J8" s="16"/>
      <c r="K8" s="16"/>
      <c r="L8" s="16"/>
      <c r="M8" s="16"/>
      <c r="N8" s="16"/>
      <c r="O8" s="16"/>
      <c r="P8" s="16"/>
      <c r="Q8" s="16"/>
      <c r="R8" s="16"/>
      <c r="S8" s="16"/>
      <c r="T8" s="17"/>
      <c r="U8" s="18"/>
      <c r="V8" s="18"/>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6"/>
      <c r="BW8" s="19"/>
      <c r="BX8" s="18"/>
      <c r="BY8" s="17"/>
      <c r="BZ8" s="20"/>
      <c r="CA8" s="20"/>
      <c r="CB8" s="16"/>
      <c r="CC8" s="16"/>
      <c r="CD8" s="16"/>
      <c r="CE8" s="16"/>
      <c r="CF8" s="16"/>
      <c r="CG8" s="16"/>
      <c r="CH8" s="16"/>
      <c r="CI8" s="17"/>
      <c r="CJ8" s="17"/>
      <c r="CK8" s="16"/>
      <c r="CL8" s="16"/>
      <c r="CM8" s="16"/>
      <c r="CN8" s="16"/>
      <c r="CO8" s="16"/>
      <c r="CP8" s="16"/>
      <c r="CQ8" s="16"/>
      <c r="CR8" s="16"/>
    </row>
    <row r="9" spans="1:96" ht="23.25" customHeight="1" x14ac:dyDescent="0.2">
      <c r="A9" s="16"/>
      <c r="B9" s="17"/>
      <c r="C9" s="16"/>
      <c r="D9" s="17"/>
      <c r="E9" s="16"/>
      <c r="F9" s="16"/>
      <c r="G9" s="16"/>
      <c r="H9" s="16"/>
      <c r="I9" s="16"/>
      <c r="J9" s="16"/>
      <c r="K9" s="16"/>
      <c r="L9" s="16"/>
      <c r="M9" s="16"/>
      <c r="N9" s="16"/>
      <c r="O9" s="16"/>
      <c r="P9" s="16"/>
      <c r="Q9" s="16"/>
      <c r="R9" s="16"/>
      <c r="S9" s="16"/>
      <c r="T9" s="17"/>
      <c r="U9" s="18"/>
      <c r="V9" s="18"/>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6"/>
      <c r="BW9" s="19"/>
      <c r="BX9" s="18"/>
      <c r="BY9" s="17"/>
      <c r="BZ9" s="20"/>
      <c r="CA9" s="20"/>
      <c r="CB9" s="16"/>
      <c r="CC9" s="16"/>
      <c r="CD9" s="16"/>
      <c r="CE9" s="16"/>
      <c r="CF9" s="16"/>
      <c r="CG9" s="16"/>
      <c r="CH9" s="16"/>
      <c r="CI9" s="17"/>
      <c r="CJ9" s="17"/>
      <c r="CK9" s="16"/>
      <c r="CL9" s="16"/>
      <c r="CM9" s="16"/>
      <c r="CN9" s="16"/>
      <c r="CO9" s="16"/>
      <c r="CP9" s="16"/>
      <c r="CQ9" s="16"/>
      <c r="CR9" s="16"/>
    </row>
    <row r="10" spans="1:96" ht="23.25" customHeight="1" x14ac:dyDescent="0.2">
      <c r="A10" s="16"/>
      <c r="B10" s="17"/>
      <c r="C10" s="16"/>
      <c r="D10" s="17"/>
      <c r="E10" s="16"/>
      <c r="F10" s="16"/>
      <c r="G10" s="16"/>
      <c r="H10" s="16"/>
      <c r="I10" s="16"/>
      <c r="J10" s="16"/>
      <c r="K10" s="16"/>
      <c r="L10" s="16"/>
      <c r="M10" s="16"/>
      <c r="N10" s="16"/>
      <c r="O10" s="16"/>
      <c r="P10" s="16"/>
      <c r="Q10" s="16"/>
      <c r="R10" s="16"/>
      <c r="S10" s="16"/>
      <c r="T10" s="17"/>
      <c r="U10" s="18"/>
      <c r="V10" s="18"/>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6"/>
      <c r="BW10" s="19"/>
      <c r="BX10" s="18"/>
      <c r="BY10" s="17"/>
      <c r="BZ10" s="20"/>
      <c r="CA10" s="20"/>
      <c r="CB10" s="16"/>
      <c r="CC10" s="16"/>
      <c r="CD10" s="16"/>
      <c r="CE10" s="16"/>
      <c r="CF10" s="16"/>
      <c r="CG10" s="16"/>
      <c r="CH10" s="16"/>
      <c r="CI10" s="17"/>
      <c r="CJ10" s="17"/>
      <c r="CK10" s="16"/>
      <c r="CL10" s="16"/>
      <c r="CM10" s="16"/>
      <c r="CN10" s="16"/>
      <c r="CO10" s="16"/>
      <c r="CP10" s="16"/>
      <c r="CQ10" s="16"/>
      <c r="CR10" s="16"/>
    </row>
    <row r="11" spans="1:96" ht="23.25" customHeight="1" x14ac:dyDescent="0.2">
      <c r="A11" s="16"/>
      <c r="B11" s="17"/>
      <c r="C11" s="16"/>
      <c r="D11" s="17"/>
      <c r="E11" s="16"/>
      <c r="F11" s="16"/>
      <c r="G11" s="16"/>
      <c r="H11" s="16"/>
      <c r="I11" s="16"/>
      <c r="J11" s="16"/>
      <c r="K11" s="16"/>
      <c r="L11" s="16"/>
      <c r="M11" s="16"/>
      <c r="N11" s="16"/>
      <c r="O11" s="16"/>
      <c r="P11" s="16"/>
      <c r="Q11" s="16"/>
      <c r="R11" s="16"/>
      <c r="S11" s="16"/>
      <c r="T11" s="17"/>
      <c r="U11" s="18"/>
      <c r="V11" s="18"/>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6"/>
      <c r="BW11" s="19"/>
      <c r="BX11" s="18"/>
      <c r="BY11" s="17"/>
      <c r="BZ11" s="20"/>
      <c r="CA11" s="20"/>
      <c r="CB11" s="16"/>
      <c r="CC11" s="16"/>
      <c r="CD11" s="16"/>
      <c r="CE11" s="16"/>
      <c r="CF11" s="16"/>
      <c r="CG11" s="16"/>
      <c r="CH11" s="16"/>
      <c r="CI11" s="17"/>
      <c r="CJ11" s="17"/>
      <c r="CK11" s="16"/>
      <c r="CL11" s="16"/>
      <c r="CM11" s="16"/>
      <c r="CN11" s="16"/>
      <c r="CO11" s="16"/>
      <c r="CP11" s="16"/>
      <c r="CQ11" s="16"/>
      <c r="CR11" s="16"/>
    </row>
    <row r="12" spans="1:96" ht="23.25" customHeight="1" x14ac:dyDescent="0.2">
      <c r="A12" s="16"/>
      <c r="B12" s="17"/>
      <c r="C12" s="16"/>
      <c r="D12" s="17"/>
      <c r="E12" s="16"/>
      <c r="F12" s="16"/>
      <c r="G12" s="16"/>
      <c r="H12" s="16"/>
      <c r="I12" s="16"/>
      <c r="J12" s="16"/>
      <c r="K12" s="16"/>
      <c r="L12" s="16"/>
      <c r="M12" s="16"/>
      <c r="N12" s="16"/>
      <c r="O12" s="16"/>
      <c r="P12" s="16"/>
      <c r="Q12" s="16"/>
      <c r="R12" s="16"/>
      <c r="S12" s="16"/>
      <c r="T12" s="17"/>
      <c r="U12" s="18"/>
      <c r="V12" s="18"/>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6"/>
      <c r="BW12" s="19"/>
      <c r="BX12" s="18"/>
      <c r="BY12" s="17"/>
      <c r="BZ12" s="20"/>
      <c r="CA12" s="20"/>
      <c r="CB12" s="16"/>
      <c r="CC12" s="16"/>
      <c r="CD12" s="16"/>
      <c r="CE12" s="16"/>
      <c r="CF12" s="16"/>
      <c r="CG12" s="16"/>
      <c r="CH12" s="16"/>
      <c r="CI12" s="17"/>
      <c r="CJ12" s="17"/>
      <c r="CK12" s="16"/>
      <c r="CL12" s="16"/>
      <c r="CM12" s="16"/>
      <c r="CN12" s="16"/>
      <c r="CO12" s="16"/>
      <c r="CP12" s="16"/>
      <c r="CQ12" s="16"/>
      <c r="CR12" s="16"/>
    </row>
    <row r="13" spans="1:96" ht="23.25" customHeight="1" x14ac:dyDescent="0.2">
      <c r="A13" s="16"/>
      <c r="B13" s="17"/>
      <c r="C13" s="16"/>
      <c r="D13" s="17"/>
      <c r="E13" s="16"/>
      <c r="F13" s="16"/>
      <c r="G13" s="16"/>
      <c r="H13" s="16"/>
      <c r="I13" s="16"/>
      <c r="J13" s="16"/>
      <c r="K13" s="16"/>
      <c r="L13" s="16"/>
      <c r="M13" s="16"/>
      <c r="N13" s="16"/>
      <c r="O13" s="16"/>
      <c r="P13" s="16"/>
      <c r="Q13" s="16"/>
      <c r="R13" s="16"/>
      <c r="S13" s="16"/>
      <c r="T13" s="17"/>
      <c r="U13" s="18"/>
      <c r="V13" s="18"/>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6"/>
      <c r="BW13" s="19"/>
      <c r="BX13" s="18"/>
      <c r="BY13" s="17"/>
      <c r="BZ13" s="20"/>
      <c r="CA13" s="20"/>
      <c r="CB13" s="16"/>
      <c r="CC13" s="16"/>
      <c r="CD13" s="16"/>
      <c r="CE13" s="16"/>
      <c r="CF13" s="16"/>
      <c r="CG13" s="16"/>
      <c r="CH13" s="16"/>
      <c r="CI13" s="17"/>
      <c r="CJ13" s="17"/>
      <c r="CK13" s="16"/>
      <c r="CL13" s="16"/>
      <c r="CM13" s="16"/>
      <c r="CN13" s="16"/>
      <c r="CO13" s="16"/>
      <c r="CP13" s="16"/>
      <c r="CQ13" s="16"/>
      <c r="CR13" s="16"/>
    </row>
    <row r="14" spans="1:96" ht="23.25" customHeight="1" x14ac:dyDescent="0.2">
      <c r="A14" s="16"/>
      <c r="B14" s="17"/>
      <c r="C14" s="16"/>
      <c r="D14" s="17"/>
      <c r="E14" s="16"/>
      <c r="F14" s="16"/>
      <c r="G14" s="16"/>
      <c r="H14" s="16"/>
      <c r="I14" s="16"/>
      <c r="J14" s="16"/>
      <c r="K14" s="16"/>
      <c r="L14" s="16"/>
      <c r="M14" s="16"/>
      <c r="N14" s="16"/>
      <c r="O14" s="16"/>
      <c r="P14" s="16"/>
      <c r="Q14" s="16"/>
      <c r="R14" s="16"/>
      <c r="S14" s="16"/>
      <c r="T14" s="17"/>
      <c r="U14" s="18"/>
      <c r="V14" s="18"/>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6"/>
      <c r="BW14" s="19"/>
      <c r="BX14" s="18"/>
      <c r="BY14" s="17"/>
      <c r="BZ14" s="20"/>
      <c r="CA14" s="20"/>
      <c r="CB14" s="16"/>
      <c r="CC14" s="16"/>
      <c r="CD14" s="16"/>
      <c r="CE14" s="16"/>
      <c r="CF14" s="16"/>
      <c r="CG14" s="16"/>
      <c r="CH14" s="16"/>
      <c r="CI14" s="17"/>
      <c r="CJ14" s="17"/>
      <c r="CK14" s="16"/>
      <c r="CL14" s="16"/>
      <c r="CM14" s="16"/>
      <c r="CN14" s="16"/>
      <c r="CO14" s="16"/>
      <c r="CP14" s="16"/>
      <c r="CQ14" s="16"/>
      <c r="CR14" s="16"/>
    </row>
    <row r="15" spans="1:96" ht="23.25" customHeight="1" x14ac:dyDescent="0.2">
      <c r="A15" s="16"/>
      <c r="B15" s="17"/>
      <c r="C15" s="16"/>
      <c r="D15" s="17"/>
      <c r="E15" s="16"/>
      <c r="F15" s="16"/>
      <c r="G15" s="16"/>
      <c r="H15" s="16"/>
      <c r="I15" s="16"/>
      <c r="J15" s="16"/>
      <c r="K15" s="16"/>
      <c r="L15" s="16"/>
      <c r="M15" s="16"/>
      <c r="N15" s="16"/>
      <c r="O15" s="16"/>
      <c r="P15" s="16"/>
      <c r="Q15" s="16"/>
      <c r="R15" s="16"/>
      <c r="S15" s="16"/>
      <c r="T15" s="17"/>
      <c r="U15" s="18"/>
      <c r="V15" s="18"/>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6"/>
      <c r="BW15" s="19"/>
      <c r="BX15" s="18"/>
      <c r="BY15" s="17"/>
      <c r="BZ15" s="20"/>
      <c r="CA15" s="20"/>
      <c r="CB15" s="16"/>
      <c r="CC15" s="16"/>
      <c r="CD15" s="16"/>
      <c r="CE15" s="16"/>
      <c r="CF15" s="16"/>
      <c r="CG15" s="16"/>
      <c r="CH15" s="16"/>
      <c r="CI15" s="17"/>
      <c r="CJ15" s="17"/>
      <c r="CK15" s="16"/>
      <c r="CL15" s="16"/>
      <c r="CM15" s="16"/>
      <c r="CN15" s="16"/>
      <c r="CO15" s="16"/>
      <c r="CP15" s="16"/>
      <c r="CQ15" s="16"/>
      <c r="CR15" s="16"/>
    </row>
    <row r="16" spans="1:96" ht="23.25" customHeight="1" x14ac:dyDescent="0.2">
      <c r="A16" s="16"/>
      <c r="B16" s="17"/>
      <c r="C16" s="16"/>
      <c r="D16" s="17"/>
      <c r="E16" s="16"/>
      <c r="F16" s="16"/>
      <c r="G16" s="16"/>
      <c r="H16" s="16"/>
      <c r="I16" s="16"/>
      <c r="J16" s="16"/>
      <c r="K16" s="16"/>
      <c r="L16" s="16"/>
      <c r="M16" s="16"/>
      <c r="N16" s="16"/>
      <c r="O16" s="16"/>
      <c r="P16" s="16"/>
      <c r="Q16" s="16"/>
      <c r="R16" s="16"/>
      <c r="S16" s="16"/>
      <c r="T16" s="17"/>
      <c r="U16" s="18"/>
      <c r="V16" s="18"/>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6"/>
      <c r="BW16" s="19"/>
      <c r="BX16" s="18"/>
      <c r="BY16" s="17"/>
      <c r="BZ16" s="20"/>
      <c r="CA16" s="20"/>
      <c r="CB16" s="16"/>
      <c r="CC16" s="16"/>
      <c r="CD16" s="16"/>
      <c r="CE16" s="16"/>
      <c r="CF16" s="16"/>
      <c r="CG16" s="16"/>
      <c r="CH16" s="16"/>
      <c r="CI16" s="17"/>
      <c r="CJ16" s="17"/>
      <c r="CK16" s="16"/>
      <c r="CL16" s="16"/>
      <c r="CM16" s="16"/>
      <c r="CN16" s="16"/>
      <c r="CO16" s="16"/>
      <c r="CP16" s="16"/>
      <c r="CQ16" s="16"/>
      <c r="CR16" s="16"/>
    </row>
    <row r="17" spans="1:96" ht="23.25" customHeight="1" x14ac:dyDescent="0.2">
      <c r="A17" s="16"/>
      <c r="B17" s="17"/>
      <c r="C17" s="16"/>
      <c r="D17" s="17"/>
      <c r="E17" s="16"/>
      <c r="F17" s="16"/>
      <c r="G17" s="16"/>
      <c r="H17" s="16"/>
      <c r="I17" s="16"/>
      <c r="J17" s="16"/>
      <c r="K17" s="16"/>
      <c r="L17" s="16"/>
      <c r="M17" s="16"/>
      <c r="N17" s="16"/>
      <c r="O17" s="16"/>
      <c r="P17" s="16"/>
      <c r="Q17" s="16"/>
      <c r="R17" s="16"/>
      <c r="S17" s="16"/>
      <c r="T17" s="17"/>
      <c r="U17" s="18"/>
      <c r="V17" s="18"/>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6"/>
      <c r="BW17" s="19"/>
      <c r="BX17" s="18"/>
      <c r="BY17" s="17"/>
      <c r="BZ17" s="20"/>
      <c r="CA17" s="20"/>
      <c r="CB17" s="16"/>
      <c r="CC17" s="16"/>
      <c r="CD17" s="16"/>
      <c r="CE17" s="16"/>
      <c r="CF17" s="16"/>
      <c r="CG17" s="16"/>
      <c r="CH17" s="16"/>
      <c r="CI17" s="17"/>
      <c r="CJ17" s="17"/>
      <c r="CK17" s="16"/>
      <c r="CL17" s="16"/>
      <c r="CM17" s="16"/>
      <c r="CN17" s="16"/>
      <c r="CO17" s="16"/>
      <c r="CP17" s="16"/>
      <c r="CQ17" s="16"/>
      <c r="CR17" s="16"/>
    </row>
    <row r="18" spans="1:96" ht="23.25" customHeight="1" x14ac:dyDescent="0.2">
      <c r="A18" s="16"/>
      <c r="B18" s="17"/>
      <c r="C18" s="16"/>
      <c r="D18" s="17"/>
      <c r="E18" s="16"/>
      <c r="F18" s="16"/>
      <c r="G18" s="16"/>
      <c r="H18" s="16"/>
      <c r="I18" s="16"/>
      <c r="J18" s="16"/>
      <c r="K18" s="16"/>
      <c r="L18" s="16"/>
      <c r="M18" s="16"/>
      <c r="N18" s="16"/>
      <c r="O18" s="16"/>
      <c r="P18" s="16"/>
      <c r="Q18" s="16"/>
      <c r="R18" s="16"/>
      <c r="S18" s="16"/>
      <c r="T18" s="17"/>
      <c r="U18" s="18"/>
      <c r="V18" s="18"/>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6"/>
      <c r="BW18" s="19"/>
      <c r="BX18" s="18"/>
      <c r="BY18" s="17"/>
      <c r="BZ18" s="20"/>
      <c r="CA18" s="20"/>
      <c r="CB18" s="16"/>
      <c r="CC18" s="16"/>
      <c r="CD18" s="16"/>
      <c r="CE18" s="16"/>
      <c r="CF18" s="16"/>
      <c r="CG18" s="16"/>
      <c r="CH18" s="16"/>
      <c r="CI18" s="17"/>
      <c r="CJ18" s="17"/>
      <c r="CK18" s="16"/>
      <c r="CL18" s="16"/>
      <c r="CM18" s="16"/>
      <c r="CN18" s="16"/>
      <c r="CO18" s="16"/>
      <c r="CP18" s="16"/>
      <c r="CQ18" s="16"/>
      <c r="CR18" s="16"/>
    </row>
    <row r="19" spans="1:96" ht="23.25" customHeight="1" x14ac:dyDescent="0.2">
      <c r="A19" s="16"/>
      <c r="B19" s="17"/>
      <c r="C19" s="16"/>
      <c r="D19" s="17"/>
      <c r="E19" s="16"/>
      <c r="F19" s="16"/>
      <c r="G19" s="16"/>
      <c r="H19" s="16"/>
      <c r="I19" s="16"/>
      <c r="J19" s="16"/>
      <c r="K19" s="16"/>
      <c r="L19" s="16"/>
      <c r="M19" s="16"/>
      <c r="N19" s="16"/>
      <c r="O19" s="16"/>
      <c r="P19" s="16"/>
      <c r="Q19" s="16"/>
      <c r="R19" s="16"/>
      <c r="S19" s="16"/>
      <c r="T19" s="17"/>
      <c r="U19" s="18"/>
      <c r="V19" s="18"/>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6"/>
      <c r="BW19" s="19"/>
      <c r="BX19" s="18"/>
      <c r="BY19" s="17"/>
      <c r="BZ19" s="20"/>
      <c r="CA19" s="20"/>
      <c r="CB19" s="16"/>
      <c r="CC19" s="16"/>
      <c r="CD19" s="16"/>
      <c r="CE19" s="16"/>
      <c r="CF19" s="16"/>
      <c r="CG19" s="16"/>
      <c r="CH19" s="16"/>
      <c r="CI19" s="17"/>
      <c r="CJ19" s="17"/>
      <c r="CK19" s="16"/>
      <c r="CL19" s="16"/>
      <c r="CM19" s="16"/>
      <c r="CN19" s="16"/>
      <c r="CO19" s="16"/>
      <c r="CP19" s="16"/>
      <c r="CQ19" s="16"/>
      <c r="CR19" s="16"/>
    </row>
    <row r="20" spans="1:96" ht="23.25" customHeight="1" x14ac:dyDescent="0.2">
      <c r="A20" s="16"/>
      <c r="B20" s="17"/>
      <c r="C20" s="16"/>
      <c r="D20" s="17"/>
      <c r="E20" s="16"/>
      <c r="F20" s="16"/>
      <c r="G20" s="16"/>
      <c r="H20" s="16"/>
      <c r="I20" s="16"/>
      <c r="J20" s="16"/>
      <c r="K20" s="16"/>
      <c r="L20" s="16"/>
      <c r="M20" s="16"/>
      <c r="N20" s="16"/>
      <c r="O20" s="16"/>
      <c r="P20" s="16"/>
      <c r="Q20" s="16"/>
      <c r="R20" s="16"/>
      <c r="S20" s="16"/>
      <c r="T20" s="17"/>
      <c r="U20" s="18"/>
      <c r="V20" s="18"/>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6"/>
      <c r="BW20" s="19"/>
      <c r="BX20" s="18"/>
      <c r="BY20" s="17"/>
      <c r="BZ20" s="20"/>
      <c r="CA20" s="20"/>
      <c r="CB20" s="16"/>
      <c r="CC20" s="16"/>
      <c r="CD20" s="16"/>
      <c r="CE20" s="16"/>
      <c r="CF20" s="16"/>
      <c r="CG20" s="16"/>
      <c r="CH20" s="16"/>
      <c r="CI20" s="17"/>
      <c r="CJ20" s="17"/>
      <c r="CK20" s="16"/>
      <c r="CL20" s="16"/>
      <c r="CM20" s="16"/>
      <c r="CN20" s="16"/>
      <c r="CO20" s="16"/>
      <c r="CP20" s="16"/>
      <c r="CQ20" s="16"/>
      <c r="CR20" s="16"/>
    </row>
    <row r="21" spans="1:96" ht="23.25" customHeight="1" x14ac:dyDescent="0.2">
      <c r="A21" s="16"/>
      <c r="B21" s="17"/>
      <c r="C21" s="16"/>
      <c r="D21" s="17"/>
      <c r="E21" s="16"/>
      <c r="F21" s="16"/>
      <c r="G21" s="16"/>
      <c r="H21" s="16"/>
      <c r="I21" s="16"/>
      <c r="J21" s="16"/>
      <c r="K21" s="16"/>
      <c r="L21" s="16"/>
      <c r="M21" s="16"/>
      <c r="N21" s="16"/>
      <c r="O21" s="16"/>
      <c r="P21" s="16"/>
      <c r="Q21" s="16"/>
      <c r="R21" s="16"/>
      <c r="S21" s="16"/>
      <c r="T21" s="17"/>
      <c r="U21" s="18"/>
      <c r="V21" s="18"/>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6"/>
      <c r="BW21" s="19"/>
      <c r="BX21" s="18"/>
      <c r="BY21" s="17"/>
      <c r="BZ21" s="20"/>
      <c r="CA21" s="20"/>
      <c r="CB21" s="16"/>
      <c r="CC21" s="16"/>
      <c r="CD21" s="16"/>
      <c r="CE21" s="16"/>
      <c r="CF21" s="16"/>
      <c r="CG21" s="16"/>
      <c r="CH21" s="16"/>
      <c r="CI21" s="17"/>
      <c r="CJ21" s="17"/>
      <c r="CK21" s="16"/>
      <c r="CL21" s="16"/>
      <c r="CM21" s="16"/>
      <c r="CN21" s="16"/>
      <c r="CO21" s="16"/>
      <c r="CP21" s="16"/>
      <c r="CQ21" s="16"/>
      <c r="CR21" s="16"/>
    </row>
    <row r="22" spans="1:96" ht="23.25" customHeight="1" x14ac:dyDescent="0.2">
      <c r="A22" s="16"/>
      <c r="B22" s="17"/>
      <c r="C22" s="16"/>
      <c r="D22" s="17"/>
      <c r="E22" s="16"/>
      <c r="F22" s="16"/>
      <c r="G22" s="16"/>
      <c r="H22" s="16"/>
      <c r="I22" s="16"/>
      <c r="J22" s="16"/>
      <c r="K22" s="16"/>
      <c r="L22" s="16"/>
      <c r="M22" s="16"/>
      <c r="N22" s="16"/>
      <c r="O22" s="16"/>
      <c r="P22" s="16"/>
      <c r="Q22" s="16"/>
      <c r="R22" s="16"/>
      <c r="S22" s="16"/>
      <c r="T22" s="17"/>
      <c r="U22" s="18"/>
      <c r="V22" s="18"/>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6"/>
      <c r="BW22" s="19"/>
      <c r="BX22" s="18"/>
      <c r="BY22" s="17"/>
      <c r="BZ22" s="20"/>
      <c r="CA22" s="20"/>
      <c r="CB22" s="16"/>
      <c r="CC22" s="16"/>
      <c r="CD22" s="16"/>
      <c r="CE22" s="16"/>
      <c r="CF22" s="16"/>
      <c r="CG22" s="16"/>
      <c r="CH22" s="16"/>
      <c r="CI22" s="17"/>
      <c r="CJ22" s="17"/>
      <c r="CK22" s="16"/>
      <c r="CL22" s="16"/>
      <c r="CM22" s="16"/>
      <c r="CN22" s="16"/>
      <c r="CO22" s="16"/>
      <c r="CP22" s="16"/>
      <c r="CQ22" s="16"/>
      <c r="CR22" s="16"/>
    </row>
    <row r="23" spans="1:96" ht="23.25" customHeight="1" x14ac:dyDescent="0.2">
      <c r="A23" s="16"/>
      <c r="B23" s="17"/>
      <c r="C23" s="16"/>
      <c r="D23" s="17"/>
      <c r="E23" s="16"/>
      <c r="F23" s="16"/>
      <c r="G23" s="16"/>
      <c r="H23" s="16"/>
      <c r="I23" s="16"/>
      <c r="J23" s="16"/>
      <c r="K23" s="16"/>
      <c r="L23" s="16"/>
      <c r="M23" s="16"/>
      <c r="N23" s="16"/>
      <c r="O23" s="16"/>
      <c r="P23" s="16"/>
      <c r="Q23" s="16"/>
      <c r="R23" s="16"/>
      <c r="S23" s="16"/>
      <c r="T23" s="17"/>
      <c r="U23" s="18"/>
      <c r="V23" s="18"/>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6"/>
      <c r="BW23" s="19"/>
      <c r="BX23" s="18"/>
      <c r="BY23" s="17"/>
      <c r="BZ23" s="20"/>
      <c r="CA23" s="20"/>
      <c r="CB23" s="16"/>
      <c r="CC23" s="16"/>
      <c r="CD23" s="16"/>
      <c r="CE23" s="16"/>
      <c r="CF23" s="16"/>
      <c r="CG23" s="16"/>
      <c r="CH23" s="16"/>
      <c r="CI23" s="17"/>
      <c r="CJ23" s="17"/>
      <c r="CK23" s="16"/>
      <c r="CL23" s="16"/>
      <c r="CM23" s="16"/>
      <c r="CN23" s="16"/>
      <c r="CO23" s="16"/>
      <c r="CP23" s="16"/>
      <c r="CQ23" s="16"/>
      <c r="CR23" s="16"/>
    </row>
    <row r="24" spans="1:96" ht="23.25" customHeight="1" x14ac:dyDescent="0.2">
      <c r="A24" s="16"/>
      <c r="B24" s="17"/>
      <c r="C24" s="16"/>
      <c r="D24" s="17"/>
      <c r="E24" s="16"/>
      <c r="F24" s="16"/>
      <c r="G24" s="16"/>
      <c r="H24" s="16"/>
      <c r="I24" s="16"/>
      <c r="J24" s="16"/>
      <c r="K24" s="16"/>
      <c r="L24" s="16"/>
      <c r="M24" s="16"/>
      <c r="N24" s="16"/>
      <c r="O24" s="16"/>
      <c r="P24" s="16"/>
      <c r="Q24" s="16"/>
      <c r="R24" s="16"/>
      <c r="S24" s="16"/>
      <c r="T24" s="17"/>
      <c r="U24" s="18"/>
      <c r="V24" s="18"/>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6"/>
      <c r="BW24" s="19"/>
      <c r="BX24" s="18"/>
      <c r="BY24" s="17"/>
      <c r="BZ24" s="20"/>
      <c r="CA24" s="20"/>
      <c r="CB24" s="16"/>
      <c r="CC24" s="16"/>
      <c r="CD24" s="16"/>
      <c r="CE24" s="16"/>
      <c r="CF24" s="16"/>
      <c r="CG24" s="16"/>
      <c r="CH24" s="16"/>
      <c r="CI24" s="17"/>
      <c r="CJ24" s="17"/>
      <c r="CK24" s="16"/>
      <c r="CL24" s="16"/>
      <c r="CM24" s="16"/>
      <c r="CN24" s="16"/>
      <c r="CO24" s="16"/>
      <c r="CP24" s="16"/>
      <c r="CQ24" s="16"/>
      <c r="CR24" s="16"/>
    </row>
    <row r="25" spans="1:96" ht="23.25" customHeight="1" x14ac:dyDescent="0.2">
      <c r="A25" s="16"/>
      <c r="B25" s="17"/>
      <c r="C25" s="16"/>
      <c r="D25" s="17"/>
      <c r="E25" s="16"/>
      <c r="F25" s="16"/>
      <c r="G25" s="16"/>
      <c r="H25" s="16"/>
      <c r="I25" s="16"/>
      <c r="J25" s="16"/>
      <c r="K25" s="16"/>
      <c r="L25" s="16"/>
      <c r="M25" s="16"/>
      <c r="N25" s="16"/>
      <c r="O25" s="16"/>
      <c r="P25" s="16"/>
      <c r="Q25" s="16"/>
      <c r="R25" s="16"/>
      <c r="S25" s="16"/>
      <c r="T25" s="17"/>
      <c r="U25" s="18"/>
      <c r="V25" s="18"/>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6"/>
      <c r="BW25" s="19"/>
      <c r="BX25" s="18"/>
      <c r="BY25" s="17"/>
      <c r="BZ25" s="20"/>
      <c r="CA25" s="20"/>
      <c r="CB25" s="16"/>
      <c r="CC25" s="16"/>
      <c r="CD25" s="16"/>
      <c r="CE25" s="16"/>
      <c r="CF25" s="16"/>
      <c r="CG25" s="16"/>
      <c r="CH25" s="16"/>
      <c r="CI25" s="17"/>
      <c r="CJ25" s="17"/>
      <c r="CK25" s="16"/>
      <c r="CL25" s="16"/>
      <c r="CM25" s="16"/>
      <c r="CN25" s="16"/>
      <c r="CO25" s="16"/>
      <c r="CP25" s="16"/>
      <c r="CQ25" s="16"/>
      <c r="CR25" s="16"/>
    </row>
    <row r="26" spans="1:96" ht="23.25" customHeight="1" x14ac:dyDescent="0.2">
      <c r="A26" s="16"/>
      <c r="B26" s="17"/>
      <c r="C26" s="16"/>
      <c r="D26" s="17"/>
      <c r="E26" s="16"/>
      <c r="F26" s="16"/>
      <c r="G26" s="16"/>
      <c r="H26" s="16"/>
      <c r="I26" s="16"/>
      <c r="J26" s="16"/>
      <c r="K26" s="16"/>
      <c r="L26" s="16"/>
      <c r="M26" s="16"/>
      <c r="N26" s="16"/>
      <c r="O26" s="16"/>
      <c r="P26" s="16"/>
      <c r="Q26" s="16"/>
      <c r="R26" s="16"/>
      <c r="S26" s="16"/>
      <c r="T26" s="17"/>
      <c r="U26" s="18"/>
      <c r="V26" s="18"/>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6"/>
      <c r="BW26" s="19"/>
      <c r="BX26" s="18"/>
      <c r="BY26" s="17"/>
      <c r="BZ26" s="20"/>
      <c r="CA26" s="20"/>
      <c r="CB26" s="16"/>
      <c r="CC26" s="16"/>
      <c r="CD26" s="16"/>
      <c r="CE26" s="16"/>
      <c r="CF26" s="16"/>
      <c r="CG26" s="16"/>
      <c r="CH26" s="16"/>
      <c r="CI26" s="17"/>
      <c r="CJ26" s="17"/>
      <c r="CK26" s="16"/>
      <c r="CL26" s="16"/>
      <c r="CM26" s="16"/>
      <c r="CN26" s="16"/>
      <c r="CO26" s="16"/>
      <c r="CP26" s="16"/>
      <c r="CQ26" s="16"/>
      <c r="CR26" s="16"/>
    </row>
    <row r="27" spans="1:96" ht="23.25" customHeight="1" x14ac:dyDescent="0.2">
      <c r="A27" s="16"/>
      <c r="B27" s="17"/>
      <c r="C27" s="16"/>
      <c r="D27" s="17"/>
      <c r="E27" s="16"/>
      <c r="F27" s="16"/>
      <c r="G27" s="16"/>
      <c r="H27" s="16"/>
      <c r="I27" s="16"/>
      <c r="J27" s="16"/>
      <c r="K27" s="16"/>
      <c r="L27" s="16"/>
      <c r="M27" s="16"/>
      <c r="N27" s="16"/>
      <c r="O27" s="16"/>
      <c r="P27" s="16"/>
      <c r="Q27" s="16"/>
      <c r="R27" s="16"/>
      <c r="S27" s="16"/>
      <c r="T27" s="17"/>
      <c r="U27" s="18"/>
      <c r="V27" s="18"/>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6"/>
      <c r="BW27" s="19"/>
      <c r="BX27" s="18"/>
      <c r="BY27" s="17"/>
      <c r="BZ27" s="20"/>
      <c r="CA27" s="20"/>
      <c r="CB27" s="16"/>
      <c r="CC27" s="16"/>
      <c r="CD27" s="16"/>
      <c r="CE27" s="16"/>
      <c r="CF27" s="16"/>
      <c r="CG27" s="16"/>
      <c r="CH27" s="16"/>
      <c r="CI27" s="17"/>
      <c r="CJ27" s="17"/>
      <c r="CK27" s="16"/>
      <c r="CL27" s="16"/>
      <c r="CM27" s="16"/>
      <c r="CN27" s="16"/>
      <c r="CO27" s="16"/>
      <c r="CP27" s="16"/>
      <c r="CQ27" s="16"/>
      <c r="CR27" s="16"/>
    </row>
    <row r="28" spans="1:96" ht="23.25" customHeight="1" x14ac:dyDescent="0.2">
      <c r="A28" s="16"/>
      <c r="B28" s="17"/>
      <c r="C28" s="16"/>
      <c r="D28" s="17"/>
      <c r="E28" s="16"/>
      <c r="F28" s="16"/>
      <c r="G28" s="16"/>
      <c r="H28" s="16"/>
      <c r="I28" s="16"/>
      <c r="J28" s="16"/>
      <c r="K28" s="16"/>
      <c r="L28" s="16"/>
      <c r="M28" s="16"/>
      <c r="N28" s="16"/>
      <c r="O28" s="16"/>
      <c r="P28" s="16"/>
      <c r="Q28" s="16"/>
      <c r="R28" s="16"/>
      <c r="S28" s="16"/>
      <c r="T28" s="17"/>
      <c r="U28" s="18"/>
      <c r="V28" s="18"/>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6"/>
      <c r="BW28" s="19"/>
      <c r="BX28" s="18"/>
      <c r="BY28" s="17"/>
      <c r="BZ28" s="20"/>
      <c r="CA28" s="20"/>
      <c r="CB28" s="16"/>
      <c r="CC28" s="16"/>
      <c r="CD28" s="16"/>
      <c r="CE28" s="16"/>
      <c r="CF28" s="16"/>
      <c r="CG28" s="16"/>
      <c r="CH28" s="16"/>
      <c r="CI28" s="17"/>
      <c r="CJ28" s="17"/>
      <c r="CK28" s="16"/>
      <c r="CL28" s="16"/>
      <c r="CM28" s="16"/>
      <c r="CN28" s="16"/>
      <c r="CO28" s="16"/>
      <c r="CP28" s="16"/>
      <c r="CQ28" s="16"/>
      <c r="CR28" s="16"/>
    </row>
    <row r="29" spans="1:96" ht="23.25" customHeight="1" x14ac:dyDescent="0.2">
      <c r="A29" s="16"/>
      <c r="B29" s="17"/>
      <c r="C29" s="16"/>
      <c r="D29" s="17"/>
      <c r="E29" s="16"/>
      <c r="F29" s="16"/>
      <c r="G29" s="16"/>
      <c r="H29" s="16"/>
      <c r="I29" s="16"/>
      <c r="J29" s="16"/>
      <c r="K29" s="16"/>
      <c r="L29" s="16"/>
      <c r="M29" s="16"/>
      <c r="N29" s="16"/>
      <c r="O29" s="16"/>
      <c r="P29" s="16"/>
      <c r="Q29" s="16"/>
      <c r="R29" s="16"/>
      <c r="S29" s="16"/>
      <c r="T29" s="17"/>
      <c r="U29" s="18"/>
      <c r="V29" s="18"/>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6"/>
      <c r="BW29" s="19"/>
      <c r="BX29" s="18"/>
      <c r="BY29" s="17"/>
      <c r="BZ29" s="20"/>
      <c r="CA29" s="20"/>
      <c r="CB29" s="16"/>
      <c r="CC29" s="16"/>
      <c r="CD29" s="16"/>
      <c r="CE29" s="16"/>
      <c r="CF29" s="16"/>
      <c r="CG29" s="16"/>
      <c r="CH29" s="16"/>
      <c r="CI29" s="17"/>
      <c r="CJ29" s="17"/>
      <c r="CK29" s="16"/>
      <c r="CL29" s="16"/>
      <c r="CM29" s="16"/>
      <c r="CN29" s="16"/>
      <c r="CO29" s="16"/>
      <c r="CP29" s="16"/>
      <c r="CQ29" s="16"/>
      <c r="CR29" s="16"/>
    </row>
    <row r="30" spans="1:96" ht="23.25" customHeight="1" x14ac:dyDescent="0.2">
      <c r="A30" s="16"/>
      <c r="B30" s="17"/>
      <c r="C30" s="16"/>
      <c r="D30" s="17"/>
      <c r="E30" s="16"/>
      <c r="F30" s="16"/>
      <c r="G30" s="16"/>
      <c r="H30" s="16"/>
      <c r="I30" s="16"/>
      <c r="J30" s="16"/>
      <c r="K30" s="16"/>
      <c r="L30" s="16"/>
      <c r="M30" s="16"/>
      <c r="N30" s="16"/>
      <c r="O30" s="16"/>
      <c r="P30" s="16"/>
      <c r="Q30" s="16"/>
      <c r="R30" s="16"/>
      <c r="S30" s="16"/>
      <c r="T30" s="17"/>
      <c r="U30" s="18"/>
      <c r="V30" s="18"/>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6"/>
      <c r="BW30" s="19"/>
      <c r="BX30" s="18"/>
      <c r="BY30" s="17"/>
      <c r="BZ30" s="20"/>
      <c r="CA30" s="20"/>
      <c r="CB30" s="16"/>
      <c r="CC30" s="16"/>
      <c r="CD30" s="16"/>
      <c r="CE30" s="16"/>
      <c r="CF30" s="16"/>
      <c r="CG30" s="16"/>
      <c r="CH30" s="16"/>
      <c r="CI30" s="17"/>
      <c r="CJ30" s="17"/>
      <c r="CK30" s="16"/>
      <c r="CL30" s="16"/>
      <c r="CM30" s="16"/>
      <c r="CN30" s="16"/>
      <c r="CO30" s="16"/>
      <c r="CP30" s="16"/>
      <c r="CQ30" s="16"/>
      <c r="CR30" s="16"/>
    </row>
    <row r="31" spans="1:96" ht="23.25" customHeight="1" x14ac:dyDescent="0.2">
      <c r="A31" s="16"/>
      <c r="B31" s="17"/>
      <c r="C31" s="16"/>
      <c r="D31" s="17"/>
      <c r="E31" s="16"/>
      <c r="F31" s="16"/>
      <c r="G31" s="16"/>
      <c r="H31" s="16"/>
      <c r="I31" s="16"/>
      <c r="J31" s="16"/>
      <c r="K31" s="16"/>
      <c r="L31" s="16"/>
      <c r="M31" s="16"/>
      <c r="N31" s="16"/>
      <c r="O31" s="16"/>
      <c r="P31" s="16"/>
      <c r="Q31" s="16"/>
      <c r="R31" s="16"/>
      <c r="S31" s="16"/>
      <c r="T31" s="17"/>
      <c r="U31" s="18"/>
      <c r="V31" s="18"/>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6"/>
      <c r="BW31" s="19"/>
      <c r="BX31" s="18"/>
      <c r="BY31" s="17"/>
      <c r="BZ31" s="20"/>
      <c r="CA31" s="20"/>
      <c r="CB31" s="16"/>
      <c r="CC31" s="16"/>
      <c r="CD31" s="16"/>
      <c r="CE31" s="16"/>
      <c r="CF31" s="16"/>
      <c r="CG31" s="16"/>
      <c r="CH31" s="16"/>
      <c r="CI31" s="17"/>
      <c r="CJ31" s="17"/>
      <c r="CK31" s="16"/>
      <c r="CL31" s="16"/>
      <c r="CM31" s="16"/>
      <c r="CN31" s="16"/>
      <c r="CO31" s="16"/>
      <c r="CP31" s="16"/>
      <c r="CQ31" s="16"/>
      <c r="CR31" s="16"/>
    </row>
    <row r="32" spans="1:96" ht="23.25" customHeight="1" x14ac:dyDescent="0.2">
      <c r="A32" s="16"/>
      <c r="B32" s="17"/>
      <c r="C32" s="16"/>
      <c r="D32" s="17"/>
      <c r="E32" s="16"/>
      <c r="F32" s="16"/>
      <c r="G32" s="16"/>
      <c r="H32" s="16"/>
      <c r="I32" s="16"/>
      <c r="J32" s="16"/>
      <c r="K32" s="16"/>
      <c r="L32" s="16"/>
      <c r="M32" s="16"/>
      <c r="N32" s="16"/>
      <c r="O32" s="16"/>
      <c r="P32" s="16"/>
      <c r="Q32" s="16"/>
      <c r="R32" s="16"/>
      <c r="S32" s="16"/>
      <c r="T32" s="17"/>
      <c r="U32" s="18"/>
      <c r="V32" s="18"/>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6"/>
      <c r="BW32" s="19"/>
      <c r="BX32" s="18"/>
      <c r="BY32" s="17"/>
      <c r="BZ32" s="20"/>
      <c r="CA32" s="20"/>
      <c r="CB32" s="16"/>
      <c r="CC32" s="16"/>
      <c r="CD32" s="16"/>
      <c r="CE32" s="16"/>
      <c r="CF32" s="16"/>
      <c r="CG32" s="16"/>
      <c r="CH32" s="16"/>
      <c r="CI32" s="17"/>
      <c r="CJ32" s="17"/>
      <c r="CK32" s="16"/>
      <c r="CL32" s="16"/>
      <c r="CM32" s="16"/>
      <c r="CN32" s="16"/>
      <c r="CO32" s="16"/>
      <c r="CP32" s="16"/>
      <c r="CQ32" s="16"/>
      <c r="CR32" s="16"/>
    </row>
    <row r="33" spans="1:96" ht="23.25" customHeight="1" x14ac:dyDescent="0.2">
      <c r="A33" s="16"/>
      <c r="B33" s="17"/>
      <c r="C33" s="16"/>
      <c r="D33" s="17"/>
      <c r="E33" s="16"/>
      <c r="F33" s="16"/>
      <c r="G33" s="16"/>
      <c r="H33" s="16"/>
      <c r="I33" s="16"/>
      <c r="J33" s="16"/>
      <c r="K33" s="16"/>
      <c r="L33" s="16"/>
      <c r="M33" s="16"/>
      <c r="N33" s="16"/>
      <c r="O33" s="16"/>
      <c r="P33" s="16"/>
      <c r="Q33" s="16"/>
      <c r="R33" s="16"/>
      <c r="S33" s="16"/>
      <c r="T33" s="17"/>
      <c r="U33" s="18"/>
      <c r="V33" s="18"/>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6"/>
      <c r="BW33" s="19"/>
      <c r="BX33" s="18"/>
      <c r="BY33" s="17"/>
      <c r="BZ33" s="20"/>
      <c r="CA33" s="20"/>
      <c r="CB33" s="16"/>
      <c r="CC33" s="16"/>
      <c r="CD33" s="16"/>
      <c r="CE33" s="16"/>
      <c r="CF33" s="16"/>
      <c r="CG33" s="16"/>
      <c r="CH33" s="16"/>
      <c r="CI33" s="17"/>
      <c r="CJ33" s="17"/>
      <c r="CK33" s="16"/>
      <c r="CL33" s="16"/>
      <c r="CM33" s="16"/>
      <c r="CN33" s="16"/>
      <c r="CO33" s="16"/>
      <c r="CP33" s="16"/>
      <c r="CQ33" s="16"/>
      <c r="CR33" s="16"/>
    </row>
    <row r="34" spans="1:96" ht="23.25" customHeight="1" x14ac:dyDescent="0.2">
      <c r="A34" s="16"/>
      <c r="B34" s="17"/>
      <c r="C34" s="16"/>
      <c r="D34" s="17"/>
      <c r="E34" s="16"/>
      <c r="F34" s="16"/>
      <c r="G34" s="16"/>
      <c r="H34" s="16"/>
      <c r="I34" s="16"/>
      <c r="J34" s="16"/>
      <c r="K34" s="16"/>
      <c r="L34" s="16"/>
      <c r="M34" s="16"/>
      <c r="N34" s="16"/>
      <c r="O34" s="16"/>
      <c r="P34" s="16"/>
      <c r="Q34" s="16"/>
      <c r="R34" s="16"/>
      <c r="S34" s="16"/>
      <c r="T34" s="17"/>
      <c r="U34" s="18"/>
      <c r="V34" s="18"/>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6"/>
      <c r="BW34" s="19"/>
      <c r="BX34" s="18"/>
      <c r="BY34" s="17"/>
      <c r="BZ34" s="20"/>
      <c r="CA34" s="20"/>
      <c r="CB34" s="16"/>
      <c r="CC34" s="16"/>
      <c r="CD34" s="16"/>
      <c r="CE34" s="16"/>
      <c r="CF34" s="16"/>
      <c r="CG34" s="16"/>
      <c r="CH34" s="16"/>
      <c r="CI34" s="17"/>
      <c r="CJ34" s="17"/>
      <c r="CK34" s="16"/>
      <c r="CL34" s="16"/>
      <c r="CM34" s="16"/>
      <c r="CN34" s="16"/>
      <c r="CO34" s="16"/>
      <c r="CP34" s="16"/>
      <c r="CQ34" s="16"/>
      <c r="CR34" s="16"/>
    </row>
    <row r="35" spans="1:96" ht="23.25" customHeight="1" x14ac:dyDescent="0.2">
      <c r="A35" s="16"/>
      <c r="B35" s="17"/>
      <c r="C35" s="16"/>
      <c r="D35" s="17"/>
      <c r="E35" s="16"/>
      <c r="F35" s="16"/>
      <c r="G35" s="16"/>
      <c r="H35" s="16"/>
      <c r="I35" s="16"/>
      <c r="J35" s="16"/>
      <c r="K35" s="16"/>
      <c r="L35" s="16"/>
      <c r="M35" s="16"/>
      <c r="N35" s="16"/>
      <c r="O35" s="16"/>
      <c r="P35" s="16"/>
      <c r="Q35" s="16"/>
      <c r="R35" s="16"/>
      <c r="S35" s="16"/>
      <c r="T35" s="17"/>
      <c r="U35" s="18"/>
      <c r="V35" s="18"/>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6"/>
      <c r="BW35" s="19"/>
      <c r="BX35" s="18"/>
      <c r="BY35" s="17"/>
      <c r="BZ35" s="20"/>
      <c r="CA35" s="20"/>
      <c r="CB35" s="16"/>
      <c r="CC35" s="16"/>
      <c r="CD35" s="16"/>
      <c r="CE35" s="16"/>
      <c r="CF35" s="16"/>
      <c r="CG35" s="16"/>
      <c r="CH35" s="16"/>
      <c r="CI35" s="17"/>
      <c r="CJ35" s="17"/>
      <c r="CK35" s="16"/>
      <c r="CL35" s="16"/>
      <c r="CM35" s="16"/>
      <c r="CN35" s="16"/>
      <c r="CO35" s="16"/>
      <c r="CP35" s="16"/>
      <c r="CQ35" s="16"/>
      <c r="CR35" s="16"/>
    </row>
    <row r="36" spans="1:96" ht="23.25" customHeight="1" x14ac:dyDescent="0.2">
      <c r="A36" s="16"/>
      <c r="B36" s="17"/>
      <c r="C36" s="16"/>
      <c r="D36" s="17"/>
      <c r="E36" s="16"/>
      <c r="F36" s="16"/>
      <c r="G36" s="16"/>
      <c r="H36" s="16"/>
      <c r="I36" s="16"/>
      <c r="J36" s="16"/>
      <c r="K36" s="16"/>
      <c r="L36" s="16"/>
      <c r="M36" s="16"/>
      <c r="N36" s="16"/>
      <c r="O36" s="16"/>
      <c r="P36" s="16"/>
      <c r="Q36" s="16"/>
      <c r="R36" s="16"/>
      <c r="S36" s="16"/>
      <c r="T36" s="17"/>
      <c r="U36" s="18"/>
      <c r="V36" s="18"/>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6"/>
      <c r="BW36" s="19"/>
      <c r="BX36" s="18"/>
      <c r="BY36" s="17"/>
      <c r="BZ36" s="20"/>
      <c r="CA36" s="20"/>
      <c r="CB36" s="16"/>
      <c r="CC36" s="16"/>
      <c r="CD36" s="16"/>
      <c r="CE36" s="16"/>
      <c r="CF36" s="16"/>
      <c r="CG36" s="16"/>
      <c r="CH36" s="16"/>
      <c r="CI36" s="17"/>
      <c r="CJ36" s="17"/>
      <c r="CK36" s="16"/>
      <c r="CL36" s="16"/>
      <c r="CM36" s="16"/>
      <c r="CN36" s="16"/>
      <c r="CO36" s="16"/>
      <c r="CP36" s="16"/>
      <c r="CQ36" s="16"/>
      <c r="CR36" s="16"/>
    </row>
    <row r="37" spans="1:96" ht="23.25" customHeight="1" x14ac:dyDescent="0.2">
      <c r="A37" s="16"/>
      <c r="B37" s="17"/>
      <c r="C37" s="16"/>
      <c r="D37" s="17"/>
      <c r="E37" s="16"/>
      <c r="F37" s="16"/>
      <c r="G37" s="16"/>
      <c r="H37" s="16"/>
      <c r="I37" s="16"/>
      <c r="J37" s="16"/>
      <c r="K37" s="16"/>
      <c r="L37" s="16"/>
      <c r="M37" s="16"/>
      <c r="N37" s="16"/>
      <c r="O37" s="16"/>
      <c r="P37" s="16"/>
      <c r="Q37" s="16"/>
      <c r="R37" s="16"/>
      <c r="S37" s="16"/>
      <c r="T37" s="17"/>
      <c r="U37" s="18"/>
      <c r="V37" s="18"/>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6"/>
      <c r="BW37" s="19"/>
      <c r="BX37" s="18"/>
      <c r="BY37" s="17"/>
      <c r="BZ37" s="20"/>
      <c r="CA37" s="20"/>
      <c r="CB37" s="16"/>
      <c r="CC37" s="16"/>
      <c r="CD37" s="16"/>
      <c r="CE37" s="16"/>
      <c r="CF37" s="16"/>
      <c r="CG37" s="16"/>
      <c r="CH37" s="16"/>
      <c r="CI37" s="17"/>
      <c r="CJ37" s="17"/>
      <c r="CK37" s="16"/>
      <c r="CL37" s="16"/>
      <c r="CM37" s="16"/>
      <c r="CN37" s="16"/>
      <c r="CO37" s="16"/>
      <c r="CP37" s="16"/>
      <c r="CQ37" s="16"/>
      <c r="CR37" s="16"/>
    </row>
    <row r="38" spans="1:96" ht="23.25" customHeight="1" x14ac:dyDescent="0.2">
      <c r="A38" s="16"/>
      <c r="B38" s="17"/>
      <c r="C38" s="16"/>
      <c r="D38" s="17"/>
      <c r="E38" s="16"/>
      <c r="F38" s="16"/>
      <c r="G38" s="16"/>
      <c r="H38" s="16"/>
      <c r="I38" s="16"/>
      <c r="J38" s="16"/>
      <c r="K38" s="16"/>
      <c r="L38" s="16"/>
      <c r="M38" s="16"/>
      <c r="N38" s="16"/>
      <c r="O38" s="16"/>
      <c r="P38" s="16"/>
      <c r="Q38" s="16"/>
      <c r="R38" s="16"/>
      <c r="S38" s="16"/>
      <c r="T38" s="17"/>
      <c r="U38" s="18"/>
      <c r="V38" s="18"/>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6"/>
      <c r="BW38" s="19"/>
      <c r="BX38" s="18"/>
      <c r="BY38" s="17"/>
      <c r="BZ38" s="20"/>
      <c r="CA38" s="20"/>
      <c r="CB38" s="16"/>
      <c r="CC38" s="16"/>
      <c r="CD38" s="16"/>
      <c r="CE38" s="16"/>
      <c r="CF38" s="16"/>
      <c r="CG38" s="16"/>
      <c r="CH38" s="16"/>
      <c r="CI38" s="17"/>
      <c r="CJ38" s="17"/>
      <c r="CK38" s="16"/>
      <c r="CL38" s="16"/>
      <c r="CM38" s="16"/>
      <c r="CN38" s="16"/>
      <c r="CO38" s="16"/>
      <c r="CP38" s="16"/>
      <c r="CQ38" s="16"/>
      <c r="CR38" s="16"/>
    </row>
    <row r="39" spans="1:96" ht="23.25" customHeight="1" x14ac:dyDescent="0.2">
      <c r="A39" s="16"/>
      <c r="B39" s="17"/>
      <c r="C39" s="16"/>
      <c r="D39" s="17"/>
      <c r="E39" s="16"/>
      <c r="F39" s="16"/>
      <c r="G39" s="16"/>
      <c r="H39" s="16"/>
      <c r="I39" s="16"/>
      <c r="J39" s="16"/>
      <c r="K39" s="16"/>
      <c r="L39" s="16"/>
      <c r="M39" s="16"/>
      <c r="N39" s="16"/>
      <c r="O39" s="16"/>
      <c r="P39" s="16"/>
      <c r="Q39" s="16"/>
      <c r="R39" s="16"/>
      <c r="S39" s="16"/>
      <c r="T39" s="17"/>
      <c r="U39" s="18"/>
      <c r="V39" s="18"/>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6"/>
      <c r="BW39" s="19"/>
      <c r="BX39" s="18"/>
      <c r="BY39" s="17"/>
      <c r="BZ39" s="20"/>
      <c r="CA39" s="20"/>
      <c r="CB39" s="16"/>
      <c r="CC39" s="16"/>
      <c r="CD39" s="16"/>
      <c r="CE39" s="16"/>
      <c r="CF39" s="16"/>
      <c r="CG39" s="16"/>
      <c r="CH39" s="16"/>
      <c r="CI39" s="17"/>
      <c r="CJ39" s="17"/>
      <c r="CK39" s="16"/>
      <c r="CL39" s="16"/>
      <c r="CM39" s="16"/>
      <c r="CN39" s="16"/>
      <c r="CO39" s="16"/>
      <c r="CP39" s="16"/>
      <c r="CQ39" s="16"/>
      <c r="CR39" s="16"/>
    </row>
    <row r="40" spans="1:96" ht="23.25" customHeight="1" x14ac:dyDescent="0.2">
      <c r="A40" s="16"/>
      <c r="B40" s="17"/>
      <c r="C40" s="16"/>
      <c r="D40" s="17"/>
      <c r="E40" s="16"/>
      <c r="F40" s="16"/>
      <c r="G40" s="16"/>
      <c r="H40" s="16"/>
      <c r="I40" s="16"/>
      <c r="J40" s="16"/>
      <c r="K40" s="16"/>
      <c r="L40" s="16"/>
      <c r="M40" s="16"/>
      <c r="N40" s="16"/>
      <c r="O40" s="16"/>
      <c r="P40" s="16"/>
      <c r="Q40" s="16"/>
      <c r="R40" s="16"/>
      <c r="S40" s="16"/>
      <c r="T40" s="17"/>
      <c r="U40" s="18"/>
      <c r="V40" s="18"/>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6"/>
      <c r="BW40" s="19"/>
      <c r="BX40" s="18"/>
      <c r="BY40" s="17"/>
      <c r="BZ40" s="20"/>
      <c r="CA40" s="20"/>
      <c r="CB40" s="16"/>
      <c r="CC40" s="16"/>
      <c r="CD40" s="16"/>
      <c r="CE40" s="16"/>
      <c r="CF40" s="16"/>
      <c r="CG40" s="16"/>
      <c r="CH40" s="16"/>
      <c r="CI40" s="17"/>
      <c r="CJ40" s="17"/>
      <c r="CK40" s="16"/>
      <c r="CL40" s="16"/>
      <c r="CM40" s="16"/>
      <c r="CN40" s="16"/>
      <c r="CO40" s="16"/>
      <c r="CP40" s="16"/>
      <c r="CQ40" s="16"/>
      <c r="CR40" s="16"/>
    </row>
    <row r="41" spans="1:96" ht="23.25" customHeight="1" x14ac:dyDescent="0.2">
      <c r="A41" s="16"/>
      <c r="B41" s="17"/>
      <c r="C41" s="16"/>
      <c r="D41" s="17"/>
      <c r="E41" s="16"/>
      <c r="F41" s="16"/>
      <c r="G41" s="16"/>
      <c r="H41" s="16"/>
      <c r="I41" s="16"/>
      <c r="J41" s="16"/>
      <c r="K41" s="16"/>
      <c r="L41" s="16"/>
      <c r="M41" s="16"/>
      <c r="N41" s="16"/>
      <c r="O41" s="16"/>
      <c r="P41" s="16"/>
      <c r="Q41" s="16"/>
      <c r="R41" s="16"/>
      <c r="S41" s="16"/>
      <c r="T41" s="17"/>
      <c r="U41" s="18"/>
      <c r="V41" s="18"/>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6"/>
      <c r="BW41" s="19"/>
      <c r="BX41" s="18"/>
      <c r="BY41" s="17"/>
      <c r="BZ41" s="20"/>
      <c r="CA41" s="20"/>
      <c r="CB41" s="16"/>
      <c r="CC41" s="16"/>
      <c r="CD41" s="16"/>
      <c r="CE41" s="16"/>
      <c r="CF41" s="16"/>
      <c r="CG41" s="16"/>
      <c r="CH41" s="16"/>
      <c r="CI41" s="17"/>
      <c r="CJ41" s="17"/>
      <c r="CK41" s="16"/>
      <c r="CL41" s="16"/>
      <c r="CM41" s="16"/>
      <c r="CN41" s="16"/>
      <c r="CO41" s="16"/>
      <c r="CP41" s="16"/>
      <c r="CQ41" s="16"/>
      <c r="CR41" s="16"/>
    </row>
    <row r="42" spans="1:96" ht="23.25" customHeight="1" x14ac:dyDescent="0.2">
      <c r="A42" s="16"/>
      <c r="B42" s="17"/>
      <c r="C42" s="16"/>
      <c r="D42" s="17"/>
      <c r="E42" s="16"/>
      <c r="F42" s="16"/>
      <c r="G42" s="16"/>
      <c r="H42" s="16"/>
      <c r="I42" s="16"/>
      <c r="J42" s="16"/>
      <c r="K42" s="16"/>
      <c r="L42" s="16"/>
      <c r="M42" s="16"/>
      <c r="N42" s="16"/>
      <c r="O42" s="16"/>
      <c r="P42" s="16"/>
      <c r="Q42" s="16"/>
      <c r="R42" s="16"/>
      <c r="S42" s="16"/>
      <c r="T42" s="17"/>
      <c r="U42" s="18"/>
      <c r="V42" s="18"/>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6"/>
      <c r="BW42" s="19"/>
      <c r="BX42" s="18"/>
      <c r="BY42" s="17"/>
      <c r="BZ42" s="20"/>
      <c r="CA42" s="20"/>
      <c r="CB42" s="16"/>
      <c r="CC42" s="16"/>
      <c r="CD42" s="16"/>
      <c r="CE42" s="16"/>
      <c r="CF42" s="16"/>
      <c r="CG42" s="16"/>
      <c r="CH42" s="16"/>
      <c r="CI42" s="17"/>
      <c r="CJ42" s="17"/>
      <c r="CK42" s="16"/>
      <c r="CL42" s="16"/>
      <c r="CM42" s="16"/>
      <c r="CN42" s="16"/>
      <c r="CO42" s="16"/>
      <c r="CP42" s="16"/>
      <c r="CQ42" s="16"/>
      <c r="CR42" s="16"/>
    </row>
    <row r="43" spans="1:96" ht="23.25" customHeight="1" x14ac:dyDescent="0.2">
      <c r="A43" s="16"/>
      <c r="B43" s="17"/>
      <c r="C43" s="16"/>
      <c r="D43" s="17"/>
      <c r="E43" s="16"/>
      <c r="F43" s="16"/>
      <c r="G43" s="16"/>
      <c r="H43" s="16"/>
      <c r="I43" s="16"/>
      <c r="J43" s="16"/>
      <c r="K43" s="16"/>
      <c r="L43" s="16"/>
      <c r="M43" s="16"/>
      <c r="N43" s="16"/>
      <c r="O43" s="16"/>
      <c r="P43" s="16"/>
      <c r="Q43" s="16"/>
      <c r="R43" s="16"/>
      <c r="S43" s="16"/>
      <c r="T43" s="17"/>
      <c r="U43" s="18"/>
      <c r="V43" s="18"/>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6"/>
      <c r="BW43" s="19"/>
      <c r="BX43" s="18"/>
      <c r="BY43" s="17"/>
      <c r="BZ43" s="20"/>
      <c r="CA43" s="20"/>
      <c r="CB43" s="16"/>
      <c r="CC43" s="16"/>
      <c r="CD43" s="16"/>
      <c r="CE43" s="16"/>
      <c r="CF43" s="16"/>
      <c r="CG43" s="16"/>
      <c r="CH43" s="16"/>
      <c r="CI43" s="17"/>
      <c r="CJ43" s="17"/>
      <c r="CK43" s="16"/>
      <c r="CL43" s="16"/>
      <c r="CM43" s="16"/>
      <c r="CN43" s="16"/>
      <c r="CO43" s="16"/>
      <c r="CP43" s="16"/>
      <c r="CQ43" s="16"/>
      <c r="CR43" s="16"/>
    </row>
    <row r="44" spans="1:96" ht="23.25" customHeight="1" x14ac:dyDescent="0.2">
      <c r="A44" s="16"/>
      <c r="B44" s="17"/>
      <c r="C44" s="16"/>
      <c r="D44" s="17"/>
      <c r="E44" s="16"/>
      <c r="F44" s="16"/>
      <c r="G44" s="16"/>
      <c r="H44" s="16"/>
      <c r="I44" s="16"/>
      <c r="J44" s="16"/>
      <c r="K44" s="16"/>
      <c r="L44" s="16"/>
      <c r="M44" s="16"/>
      <c r="N44" s="16"/>
      <c r="O44" s="16"/>
      <c r="P44" s="16"/>
      <c r="Q44" s="16"/>
      <c r="R44" s="16"/>
      <c r="S44" s="16"/>
      <c r="T44" s="17"/>
      <c r="U44" s="18"/>
      <c r="V44" s="18"/>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6"/>
      <c r="BW44" s="19"/>
      <c r="BX44" s="18"/>
      <c r="BY44" s="17"/>
      <c r="BZ44" s="20"/>
      <c r="CA44" s="20"/>
      <c r="CB44" s="16"/>
      <c r="CC44" s="16"/>
      <c r="CD44" s="16"/>
      <c r="CE44" s="16"/>
      <c r="CF44" s="16"/>
      <c r="CG44" s="16"/>
      <c r="CH44" s="16"/>
      <c r="CI44" s="17"/>
      <c r="CJ44" s="17"/>
      <c r="CK44" s="16"/>
      <c r="CL44" s="16"/>
      <c r="CM44" s="16"/>
      <c r="CN44" s="16"/>
      <c r="CO44" s="16"/>
      <c r="CP44" s="16"/>
      <c r="CQ44" s="16"/>
      <c r="CR44" s="16"/>
    </row>
    <row r="45" spans="1:96" ht="23.25" customHeight="1" x14ac:dyDescent="0.2">
      <c r="A45" s="16"/>
      <c r="B45" s="17"/>
      <c r="C45" s="16"/>
      <c r="D45" s="17"/>
      <c r="E45" s="16"/>
      <c r="F45" s="16"/>
      <c r="G45" s="16"/>
      <c r="H45" s="16"/>
      <c r="I45" s="16"/>
      <c r="J45" s="16"/>
      <c r="K45" s="16"/>
      <c r="L45" s="16"/>
      <c r="M45" s="16"/>
      <c r="N45" s="16"/>
      <c r="O45" s="16"/>
      <c r="P45" s="16"/>
      <c r="Q45" s="16"/>
      <c r="R45" s="16"/>
      <c r="S45" s="16"/>
      <c r="T45" s="17"/>
      <c r="U45" s="18"/>
      <c r="V45" s="18"/>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6"/>
      <c r="BW45" s="19"/>
      <c r="BX45" s="18"/>
      <c r="BY45" s="17"/>
      <c r="BZ45" s="20"/>
      <c r="CA45" s="20"/>
      <c r="CB45" s="16"/>
      <c r="CC45" s="16"/>
      <c r="CD45" s="16"/>
      <c r="CE45" s="16"/>
      <c r="CF45" s="16"/>
      <c r="CG45" s="16"/>
      <c r="CH45" s="16"/>
      <c r="CI45" s="17"/>
      <c r="CJ45" s="17"/>
      <c r="CK45" s="16"/>
      <c r="CL45" s="16"/>
      <c r="CM45" s="16"/>
      <c r="CN45" s="16"/>
      <c r="CO45" s="16"/>
      <c r="CP45" s="16"/>
      <c r="CQ45" s="16"/>
      <c r="CR45" s="16"/>
    </row>
    <row r="46" spans="1:96" ht="23.25" customHeight="1" x14ac:dyDescent="0.2">
      <c r="A46" s="16"/>
      <c r="B46" s="17"/>
      <c r="C46" s="16"/>
      <c r="D46" s="17"/>
      <c r="E46" s="16"/>
      <c r="F46" s="16"/>
      <c r="G46" s="16"/>
      <c r="H46" s="16"/>
      <c r="I46" s="16"/>
      <c r="J46" s="16"/>
      <c r="K46" s="16"/>
      <c r="L46" s="16"/>
      <c r="M46" s="16"/>
      <c r="N46" s="16"/>
      <c r="O46" s="16"/>
      <c r="P46" s="16"/>
      <c r="Q46" s="16"/>
      <c r="R46" s="16"/>
      <c r="S46" s="16"/>
      <c r="T46" s="17"/>
      <c r="U46" s="18"/>
      <c r="V46" s="18"/>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6"/>
      <c r="BW46" s="19"/>
      <c r="BX46" s="18"/>
      <c r="BY46" s="17"/>
      <c r="BZ46" s="20"/>
      <c r="CA46" s="20"/>
      <c r="CB46" s="16"/>
      <c r="CC46" s="16"/>
      <c r="CD46" s="16"/>
      <c r="CE46" s="16"/>
      <c r="CF46" s="16"/>
      <c r="CG46" s="16"/>
      <c r="CH46" s="16"/>
      <c r="CI46" s="17"/>
      <c r="CJ46" s="17"/>
      <c r="CK46" s="16"/>
      <c r="CL46" s="16"/>
      <c r="CM46" s="16"/>
      <c r="CN46" s="16"/>
      <c r="CO46" s="16"/>
      <c r="CP46" s="16"/>
      <c r="CQ46" s="16"/>
      <c r="CR46" s="16"/>
    </row>
    <row r="47" spans="1:96" ht="23.25" customHeight="1" x14ac:dyDescent="0.2">
      <c r="A47" s="16"/>
      <c r="B47" s="17"/>
      <c r="C47" s="16"/>
      <c r="D47" s="17"/>
      <c r="E47" s="16"/>
      <c r="F47" s="16"/>
      <c r="G47" s="16"/>
      <c r="H47" s="16"/>
      <c r="I47" s="16"/>
      <c r="J47" s="16"/>
      <c r="K47" s="16"/>
      <c r="L47" s="16"/>
      <c r="M47" s="16"/>
      <c r="N47" s="16"/>
      <c r="O47" s="16"/>
      <c r="P47" s="16"/>
      <c r="Q47" s="16"/>
      <c r="R47" s="16"/>
      <c r="S47" s="16"/>
      <c r="T47" s="17"/>
      <c r="U47" s="18"/>
      <c r="V47" s="18"/>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6"/>
      <c r="BW47" s="19"/>
      <c r="BX47" s="18"/>
      <c r="BY47" s="17"/>
      <c r="BZ47" s="20"/>
      <c r="CA47" s="20"/>
      <c r="CB47" s="16"/>
      <c r="CC47" s="16"/>
      <c r="CD47" s="16"/>
      <c r="CE47" s="16"/>
      <c r="CF47" s="16"/>
      <c r="CG47" s="16"/>
      <c r="CH47" s="16"/>
      <c r="CI47" s="17"/>
      <c r="CJ47" s="17"/>
      <c r="CK47" s="16"/>
      <c r="CL47" s="16"/>
      <c r="CM47" s="16"/>
      <c r="CN47" s="16"/>
      <c r="CO47" s="16"/>
      <c r="CP47" s="16"/>
      <c r="CQ47" s="16"/>
      <c r="CR47" s="16"/>
    </row>
    <row r="48" spans="1:96" ht="23.25" customHeight="1" x14ac:dyDescent="0.2">
      <c r="A48" s="16"/>
      <c r="B48" s="17"/>
      <c r="C48" s="16"/>
      <c r="D48" s="17"/>
      <c r="E48" s="16"/>
      <c r="F48" s="16"/>
      <c r="G48" s="16"/>
      <c r="H48" s="16"/>
      <c r="I48" s="16"/>
      <c r="J48" s="16"/>
      <c r="K48" s="16"/>
      <c r="L48" s="16"/>
      <c r="M48" s="16"/>
      <c r="N48" s="16"/>
      <c r="O48" s="16"/>
      <c r="P48" s="16"/>
      <c r="Q48" s="16"/>
      <c r="R48" s="16"/>
      <c r="S48" s="16"/>
      <c r="T48" s="17"/>
      <c r="U48" s="18"/>
      <c r="V48" s="18"/>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6"/>
      <c r="BW48" s="19"/>
      <c r="BX48" s="18"/>
      <c r="BY48" s="17"/>
      <c r="BZ48" s="20"/>
      <c r="CA48" s="20"/>
      <c r="CB48" s="16"/>
      <c r="CC48" s="16"/>
      <c r="CD48" s="16"/>
      <c r="CE48" s="16"/>
      <c r="CF48" s="16"/>
      <c r="CG48" s="16"/>
      <c r="CH48" s="16"/>
      <c r="CI48" s="17"/>
      <c r="CJ48" s="17"/>
      <c r="CK48" s="16"/>
      <c r="CL48" s="16"/>
      <c r="CM48" s="16"/>
      <c r="CN48" s="16"/>
      <c r="CO48" s="16"/>
      <c r="CP48" s="16"/>
      <c r="CQ48" s="16"/>
      <c r="CR48" s="16"/>
    </row>
    <row r="49" spans="1:96" ht="23.25" customHeight="1" x14ac:dyDescent="0.2">
      <c r="A49" s="16"/>
      <c r="B49" s="17"/>
      <c r="C49" s="16"/>
      <c r="D49" s="17"/>
      <c r="E49" s="16"/>
      <c r="F49" s="16"/>
      <c r="G49" s="16"/>
      <c r="H49" s="16"/>
      <c r="I49" s="16"/>
      <c r="J49" s="16"/>
      <c r="K49" s="16"/>
      <c r="L49" s="16"/>
      <c r="M49" s="16"/>
      <c r="N49" s="16"/>
      <c r="O49" s="16"/>
      <c r="P49" s="16"/>
      <c r="Q49" s="16"/>
      <c r="R49" s="16"/>
      <c r="S49" s="16"/>
      <c r="T49" s="17"/>
      <c r="U49" s="18"/>
      <c r="V49" s="18"/>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6"/>
      <c r="BW49" s="19"/>
      <c r="BX49" s="18"/>
      <c r="BY49" s="17"/>
      <c r="BZ49" s="20"/>
      <c r="CA49" s="20"/>
      <c r="CB49" s="16"/>
      <c r="CC49" s="16"/>
      <c r="CD49" s="16"/>
      <c r="CE49" s="16"/>
      <c r="CF49" s="16"/>
      <c r="CG49" s="16"/>
      <c r="CH49" s="16"/>
      <c r="CI49" s="17"/>
      <c r="CJ49" s="17"/>
      <c r="CK49" s="16"/>
      <c r="CL49" s="16"/>
      <c r="CM49" s="16"/>
      <c r="CN49" s="16"/>
      <c r="CO49" s="16"/>
      <c r="CP49" s="16"/>
      <c r="CQ49" s="16"/>
      <c r="CR49" s="16"/>
    </row>
    <row r="50" spans="1:96" ht="23.25" customHeight="1" x14ac:dyDescent="0.2">
      <c r="A50" s="16"/>
      <c r="B50" s="17"/>
      <c r="C50" s="16"/>
      <c r="D50" s="17"/>
      <c r="E50" s="16"/>
      <c r="F50" s="16"/>
      <c r="G50" s="16"/>
      <c r="H50" s="16"/>
      <c r="I50" s="16"/>
      <c r="J50" s="16"/>
      <c r="K50" s="16"/>
      <c r="L50" s="16"/>
      <c r="M50" s="16"/>
      <c r="N50" s="16"/>
      <c r="O50" s="16"/>
      <c r="P50" s="16"/>
      <c r="Q50" s="16"/>
      <c r="R50" s="16"/>
      <c r="S50" s="16"/>
      <c r="T50" s="17"/>
      <c r="U50" s="18"/>
      <c r="V50" s="18"/>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6"/>
      <c r="BW50" s="19"/>
      <c r="BX50" s="18"/>
      <c r="BY50" s="17"/>
      <c r="BZ50" s="20"/>
      <c r="CA50" s="20"/>
      <c r="CB50" s="16"/>
      <c r="CC50" s="16"/>
      <c r="CD50" s="16"/>
      <c r="CE50" s="16"/>
      <c r="CF50" s="16"/>
      <c r="CG50" s="16"/>
      <c r="CH50" s="16"/>
      <c r="CI50" s="17"/>
      <c r="CJ50" s="17"/>
      <c r="CK50" s="16"/>
      <c r="CL50" s="16"/>
      <c r="CM50" s="16"/>
      <c r="CN50" s="16"/>
      <c r="CO50" s="16"/>
      <c r="CP50" s="16"/>
      <c r="CQ50" s="16"/>
      <c r="CR50" s="16"/>
    </row>
    <row r="51" spans="1:96" ht="23.25" customHeight="1" x14ac:dyDescent="0.2">
      <c r="A51" s="16"/>
      <c r="B51" s="17"/>
      <c r="C51" s="16"/>
      <c r="D51" s="17"/>
      <c r="E51" s="16"/>
      <c r="F51" s="16"/>
      <c r="G51" s="16"/>
      <c r="H51" s="16"/>
      <c r="I51" s="16"/>
      <c r="J51" s="16"/>
      <c r="K51" s="16"/>
      <c r="L51" s="16"/>
      <c r="M51" s="16"/>
      <c r="N51" s="16"/>
      <c r="O51" s="16"/>
      <c r="P51" s="16"/>
      <c r="Q51" s="16"/>
      <c r="R51" s="16"/>
      <c r="S51" s="16"/>
      <c r="T51" s="17"/>
      <c r="U51" s="18"/>
      <c r="V51" s="18"/>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6"/>
      <c r="BW51" s="19"/>
      <c r="BX51" s="18"/>
      <c r="BY51" s="17"/>
      <c r="BZ51" s="20"/>
      <c r="CA51" s="20"/>
      <c r="CB51" s="16"/>
      <c r="CC51" s="16"/>
      <c r="CD51" s="16"/>
      <c r="CE51" s="16"/>
      <c r="CF51" s="16"/>
      <c r="CG51" s="16"/>
      <c r="CH51" s="16"/>
      <c r="CI51" s="17"/>
      <c r="CJ51" s="17"/>
      <c r="CK51" s="16"/>
      <c r="CL51" s="16"/>
      <c r="CM51" s="16"/>
      <c r="CN51" s="16"/>
      <c r="CO51" s="16"/>
      <c r="CP51" s="16"/>
      <c r="CQ51" s="16"/>
      <c r="CR51" s="16"/>
    </row>
    <row r="52" spans="1:96" ht="23.25" customHeight="1" x14ac:dyDescent="0.2">
      <c r="A52" s="16"/>
      <c r="B52" s="17"/>
      <c r="C52" s="16"/>
      <c r="D52" s="17"/>
      <c r="E52" s="16"/>
      <c r="F52" s="16"/>
      <c r="G52" s="16"/>
      <c r="H52" s="16"/>
      <c r="I52" s="16"/>
      <c r="J52" s="16"/>
      <c r="K52" s="16"/>
      <c r="L52" s="16"/>
      <c r="M52" s="16"/>
      <c r="N52" s="16"/>
      <c r="O52" s="16"/>
      <c r="P52" s="16"/>
      <c r="Q52" s="16"/>
      <c r="R52" s="16"/>
      <c r="S52" s="16"/>
      <c r="T52" s="17"/>
      <c r="U52" s="18"/>
      <c r="V52" s="18"/>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6"/>
      <c r="BW52" s="19"/>
      <c r="BX52" s="18"/>
      <c r="BY52" s="17"/>
      <c r="BZ52" s="20"/>
      <c r="CA52" s="20"/>
      <c r="CB52" s="16"/>
      <c r="CC52" s="16"/>
      <c r="CD52" s="16"/>
      <c r="CE52" s="16"/>
      <c r="CF52" s="16"/>
      <c r="CG52" s="16"/>
      <c r="CH52" s="16"/>
      <c r="CI52" s="17"/>
      <c r="CJ52" s="17"/>
      <c r="CK52" s="16"/>
      <c r="CL52" s="16"/>
      <c r="CM52" s="16"/>
      <c r="CN52" s="16"/>
      <c r="CO52" s="16"/>
      <c r="CP52" s="16"/>
      <c r="CQ52" s="16"/>
      <c r="CR52" s="16"/>
    </row>
    <row r="53" spans="1:96" ht="23.25" customHeight="1" x14ac:dyDescent="0.2">
      <c r="A53" s="16"/>
      <c r="B53" s="17"/>
      <c r="C53" s="16"/>
      <c r="D53" s="17"/>
      <c r="E53" s="16"/>
      <c r="F53" s="16"/>
      <c r="G53" s="16"/>
      <c r="H53" s="16"/>
      <c r="I53" s="16"/>
      <c r="J53" s="16"/>
      <c r="K53" s="16"/>
      <c r="L53" s="16"/>
      <c r="M53" s="16"/>
      <c r="N53" s="16"/>
      <c r="O53" s="16"/>
      <c r="P53" s="16"/>
      <c r="Q53" s="16"/>
      <c r="R53" s="16"/>
      <c r="S53" s="16"/>
      <c r="T53" s="17"/>
      <c r="U53" s="18"/>
      <c r="V53" s="18"/>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6"/>
      <c r="BW53" s="19"/>
      <c r="BX53" s="18"/>
      <c r="BY53" s="17"/>
      <c r="BZ53" s="20"/>
      <c r="CA53" s="20"/>
      <c r="CB53" s="16"/>
      <c r="CC53" s="16"/>
      <c r="CD53" s="16"/>
      <c r="CE53" s="16"/>
      <c r="CF53" s="16"/>
      <c r="CG53" s="16"/>
      <c r="CH53" s="16"/>
      <c r="CI53" s="17"/>
      <c r="CJ53" s="17"/>
      <c r="CK53" s="16"/>
      <c r="CL53" s="16"/>
      <c r="CM53" s="16"/>
      <c r="CN53" s="16"/>
      <c r="CO53" s="16"/>
      <c r="CP53" s="16"/>
      <c r="CQ53" s="16"/>
      <c r="CR53" s="16"/>
    </row>
    <row r="54" spans="1:96" ht="23.25" customHeight="1" x14ac:dyDescent="0.2">
      <c r="A54" s="16"/>
      <c r="B54" s="17"/>
      <c r="C54" s="16"/>
      <c r="D54" s="17"/>
      <c r="E54" s="16"/>
      <c r="F54" s="16"/>
      <c r="G54" s="16"/>
      <c r="H54" s="16"/>
      <c r="I54" s="16"/>
      <c r="J54" s="16"/>
      <c r="K54" s="16"/>
      <c r="L54" s="16"/>
      <c r="M54" s="16"/>
      <c r="N54" s="16"/>
      <c r="O54" s="16"/>
      <c r="P54" s="16"/>
      <c r="Q54" s="16"/>
      <c r="R54" s="16"/>
      <c r="S54" s="16"/>
      <c r="T54" s="17"/>
      <c r="U54" s="18"/>
      <c r="V54" s="18"/>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6"/>
      <c r="BW54" s="19"/>
      <c r="BX54" s="18"/>
      <c r="BY54" s="17"/>
      <c r="BZ54" s="20"/>
      <c r="CA54" s="20"/>
      <c r="CB54" s="16"/>
      <c r="CC54" s="16"/>
      <c r="CD54" s="16"/>
      <c r="CE54" s="16"/>
      <c r="CF54" s="16"/>
      <c r="CG54" s="16"/>
      <c r="CH54" s="16"/>
      <c r="CI54" s="17"/>
      <c r="CJ54" s="17"/>
      <c r="CK54" s="16"/>
      <c r="CL54" s="16"/>
      <c r="CM54" s="16"/>
      <c r="CN54" s="16"/>
      <c r="CO54" s="16"/>
      <c r="CP54" s="16"/>
      <c r="CQ54" s="16"/>
      <c r="CR54" s="16"/>
    </row>
    <row r="55" spans="1:96" ht="23.25" customHeight="1" x14ac:dyDescent="0.2">
      <c r="A55" s="16"/>
      <c r="B55" s="17"/>
      <c r="C55" s="16"/>
      <c r="D55" s="17"/>
      <c r="E55" s="16"/>
      <c r="F55" s="16"/>
      <c r="G55" s="16"/>
      <c r="H55" s="16"/>
      <c r="I55" s="16"/>
      <c r="J55" s="16"/>
      <c r="K55" s="16"/>
      <c r="L55" s="16"/>
      <c r="M55" s="16"/>
      <c r="N55" s="16"/>
      <c r="O55" s="16"/>
      <c r="P55" s="16"/>
      <c r="Q55" s="16"/>
      <c r="R55" s="16"/>
      <c r="S55" s="16"/>
      <c r="T55" s="17"/>
      <c r="U55" s="18"/>
      <c r="V55" s="18"/>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6"/>
      <c r="BW55" s="19"/>
      <c r="BX55" s="18"/>
      <c r="BY55" s="17"/>
      <c r="BZ55" s="20"/>
      <c r="CA55" s="20"/>
      <c r="CB55" s="16"/>
      <c r="CC55" s="16"/>
      <c r="CD55" s="16"/>
      <c r="CE55" s="16"/>
      <c r="CF55" s="16"/>
      <c r="CG55" s="16"/>
      <c r="CH55" s="16"/>
      <c r="CI55" s="17"/>
      <c r="CJ55" s="17"/>
      <c r="CK55" s="16"/>
      <c r="CL55" s="16"/>
      <c r="CM55" s="16"/>
      <c r="CN55" s="16"/>
      <c r="CO55" s="16"/>
      <c r="CP55" s="16"/>
      <c r="CQ55" s="16"/>
      <c r="CR55" s="16"/>
    </row>
    <row r="56" spans="1:96" ht="23.25" customHeight="1" x14ac:dyDescent="0.2">
      <c r="A56" s="16"/>
      <c r="B56" s="17"/>
      <c r="C56" s="16"/>
      <c r="D56" s="17"/>
      <c r="E56" s="16"/>
      <c r="F56" s="16"/>
      <c r="G56" s="16"/>
      <c r="H56" s="16"/>
      <c r="I56" s="16"/>
      <c r="J56" s="16"/>
      <c r="K56" s="16"/>
      <c r="L56" s="16"/>
      <c r="M56" s="16"/>
      <c r="N56" s="16"/>
      <c r="O56" s="16"/>
      <c r="P56" s="16"/>
      <c r="Q56" s="16"/>
      <c r="R56" s="16"/>
      <c r="S56" s="16"/>
      <c r="T56" s="17"/>
      <c r="U56" s="18"/>
      <c r="V56" s="18"/>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6"/>
      <c r="BW56" s="19"/>
      <c r="BX56" s="18"/>
      <c r="BY56" s="17"/>
      <c r="BZ56" s="20"/>
      <c r="CA56" s="20"/>
      <c r="CB56" s="16"/>
      <c r="CC56" s="16"/>
      <c r="CD56" s="16"/>
      <c r="CE56" s="16"/>
      <c r="CF56" s="16"/>
      <c r="CG56" s="16"/>
      <c r="CH56" s="16"/>
      <c r="CI56" s="17"/>
      <c r="CJ56" s="17"/>
      <c r="CK56" s="16"/>
      <c r="CL56" s="16"/>
      <c r="CM56" s="16"/>
      <c r="CN56" s="16"/>
      <c r="CO56" s="16"/>
      <c r="CP56" s="16"/>
      <c r="CQ56" s="16"/>
      <c r="CR56" s="16"/>
    </row>
    <row r="57" spans="1:96" ht="23.25" customHeight="1" x14ac:dyDescent="0.2">
      <c r="A57" s="16"/>
      <c r="B57" s="17"/>
      <c r="C57" s="16"/>
      <c r="D57" s="17"/>
      <c r="E57" s="16"/>
      <c r="F57" s="16"/>
      <c r="G57" s="16"/>
      <c r="H57" s="16"/>
      <c r="I57" s="16"/>
      <c r="J57" s="16"/>
      <c r="K57" s="16"/>
      <c r="L57" s="16"/>
      <c r="M57" s="16"/>
      <c r="N57" s="16"/>
      <c r="O57" s="16"/>
      <c r="P57" s="16"/>
      <c r="Q57" s="16"/>
      <c r="R57" s="16"/>
      <c r="S57" s="16"/>
      <c r="T57" s="17"/>
      <c r="U57" s="18"/>
      <c r="V57" s="18"/>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6"/>
      <c r="BW57" s="19"/>
      <c r="BX57" s="18"/>
      <c r="BY57" s="17"/>
      <c r="BZ57" s="20"/>
      <c r="CA57" s="20"/>
      <c r="CB57" s="16"/>
      <c r="CC57" s="16"/>
      <c r="CD57" s="16"/>
      <c r="CE57" s="16"/>
      <c r="CF57" s="16"/>
      <c r="CG57" s="16"/>
      <c r="CH57" s="16"/>
      <c r="CI57" s="17"/>
      <c r="CJ57" s="17"/>
      <c r="CK57" s="16"/>
      <c r="CL57" s="16"/>
      <c r="CM57" s="16"/>
      <c r="CN57" s="16"/>
      <c r="CO57" s="16"/>
      <c r="CP57" s="16"/>
      <c r="CQ57" s="16"/>
      <c r="CR57" s="16"/>
    </row>
    <row r="58" spans="1:96" ht="23.25" customHeight="1" x14ac:dyDescent="0.2">
      <c r="A58" s="16"/>
      <c r="B58" s="17"/>
      <c r="C58" s="16"/>
      <c r="D58" s="17"/>
      <c r="E58" s="16"/>
      <c r="F58" s="16"/>
      <c r="G58" s="16"/>
      <c r="H58" s="16"/>
      <c r="I58" s="16"/>
      <c r="J58" s="16"/>
      <c r="K58" s="16"/>
      <c r="L58" s="16"/>
      <c r="M58" s="16"/>
      <c r="N58" s="16"/>
      <c r="O58" s="16"/>
      <c r="P58" s="16"/>
      <c r="Q58" s="16"/>
      <c r="R58" s="16"/>
      <c r="S58" s="16"/>
      <c r="T58" s="17"/>
      <c r="U58" s="18"/>
      <c r="V58" s="18"/>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6"/>
      <c r="BW58" s="19"/>
      <c r="BX58" s="18"/>
      <c r="BY58" s="17"/>
      <c r="BZ58" s="20"/>
      <c r="CA58" s="20"/>
      <c r="CB58" s="16"/>
      <c r="CC58" s="16"/>
      <c r="CD58" s="16"/>
      <c r="CE58" s="16"/>
      <c r="CF58" s="16"/>
      <c r="CG58" s="16"/>
      <c r="CH58" s="16"/>
      <c r="CI58" s="17"/>
      <c r="CJ58" s="17"/>
      <c r="CK58" s="16"/>
      <c r="CL58" s="16"/>
      <c r="CM58" s="16"/>
      <c r="CN58" s="16"/>
      <c r="CO58" s="16"/>
      <c r="CP58" s="16"/>
      <c r="CQ58" s="16"/>
      <c r="CR58" s="16"/>
    </row>
    <row r="59" spans="1:96" ht="23.25" customHeight="1" x14ac:dyDescent="0.2">
      <c r="A59" s="16"/>
      <c r="B59" s="17"/>
      <c r="C59" s="16"/>
      <c r="D59" s="17"/>
      <c r="E59" s="16"/>
      <c r="F59" s="16"/>
      <c r="G59" s="16"/>
      <c r="H59" s="16"/>
      <c r="I59" s="16"/>
      <c r="J59" s="16"/>
      <c r="K59" s="16"/>
      <c r="L59" s="16"/>
      <c r="M59" s="16"/>
      <c r="N59" s="16"/>
      <c r="O59" s="16"/>
      <c r="P59" s="16"/>
      <c r="Q59" s="16"/>
      <c r="R59" s="16"/>
      <c r="S59" s="16"/>
      <c r="T59" s="17"/>
      <c r="U59" s="18"/>
      <c r="V59" s="18"/>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6"/>
      <c r="BW59" s="19"/>
      <c r="BX59" s="18"/>
      <c r="BY59" s="17"/>
      <c r="BZ59" s="20"/>
      <c r="CA59" s="20"/>
      <c r="CB59" s="16"/>
      <c r="CC59" s="16"/>
      <c r="CD59" s="16"/>
      <c r="CE59" s="16"/>
      <c r="CF59" s="16"/>
      <c r="CG59" s="16"/>
      <c r="CH59" s="16"/>
      <c r="CI59" s="17"/>
      <c r="CJ59" s="17"/>
      <c r="CK59" s="16"/>
      <c r="CL59" s="16"/>
      <c r="CM59" s="16"/>
      <c r="CN59" s="16"/>
      <c r="CO59" s="16"/>
      <c r="CP59" s="16"/>
      <c r="CQ59" s="16"/>
      <c r="CR59" s="16"/>
    </row>
    <row r="60" spans="1:96" ht="23.25" customHeight="1" x14ac:dyDescent="0.2">
      <c r="A60" s="16"/>
      <c r="B60" s="17"/>
      <c r="C60" s="16"/>
      <c r="D60" s="17"/>
      <c r="E60" s="16"/>
      <c r="F60" s="16"/>
      <c r="G60" s="16"/>
      <c r="H60" s="16"/>
      <c r="I60" s="16"/>
      <c r="J60" s="16"/>
      <c r="K60" s="16"/>
      <c r="L60" s="16"/>
      <c r="M60" s="16"/>
      <c r="N60" s="16"/>
      <c r="O60" s="16"/>
      <c r="P60" s="16"/>
      <c r="Q60" s="16"/>
      <c r="R60" s="16"/>
      <c r="S60" s="16"/>
      <c r="T60" s="17"/>
      <c r="U60" s="18"/>
      <c r="V60" s="18"/>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6"/>
      <c r="BW60" s="19"/>
      <c r="BX60" s="18"/>
      <c r="BY60" s="17"/>
      <c r="BZ60" s="20"/>
      <c r="CA60" s="20"/>
      <c r="CB60" s="16"/>
      <c r="CC60" s="16"/>
      <c r="CD60" s="16"/>
      <c r="CE60" s="16"/>
      <c r="CF60" s="16"/>
      <c r="CG60" s="16"/>
      <c r="CH60" s="16"/>
      <c r="CI60" s="17"/>
      <c r="CJ60" s="17"/>
      <c r="CK60" s="16"/>
      <c r="CL60" s="16"/>
      <c r="CM60" s="16"/>
      <c r="CN60" s="16"/>
      <c r="CO60" s="16"/>
      <c r="CP60" s="16"/>
      <c r="CQ60" s="16"/>
      <c r="CR60" s="16"/>
    </row>
    <row r="61" spans="1:96" ht="23.25" customHeight="1" x14ac:dyDescent="0.2">
      <c r="A61" s="16"/>
      <c r="B61" s="17"/>
      <c r="C61" s="16"/>
      <c r="D61" s="17"/>
      <c r="E61" s="16"/>
      <c r="F61" s="16"/>
      <c r="G61" s="16"/>
      <c r="H61" s="16"/>
      <c r="I61" s="16"/>
      <c r="J61" s="16"/>
      <c r="K61" s="16"/>
      <c r="L61" s="16"/>
      <c r="M61" s="16"/>
      <c r="N61" s="16"/>
      <c r="O61" s="16"/>
      <c r="P61" s="16"/>
      <c r="Q61" s="16"/>
      <c r="R61" s="16"/>
      <c r="S61" s="16"/>
      <c r="T61" s="17"/>
      <c r="U61" s="18"/>
      <c r="V61" s="18"/>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6"/>
      <c r="BW61" s="19"/>
      <c r="BX61" s="18"/>
      <c r="BY61" s="17"/>
      <c r="BZ61" s="20"/>
      <c r="CA61" s="20"/>
      <c r="CB61" s="16"/>
      <c r="CC61" s="16"/>
      <c r="CD61" s="16"/>
      <c r="CE61" s="16"/>
      <c r="CF61" s="16"/>
      <c r="CG61" s="16"/>
      <c r="CH61" s="16"/>
      <c r="CI61" s="17"/>
      <c r="CJ61" s="17"/>
      <c r="CK61" s="16"/>
      <c r="CL61" s="16"/>
      <c r="CM61" s="16"/>
      <c r="CN61" s="16"/>
      <c r="CO61" s="16"/>
      <c r="CP61" s="16"/>
      <c r="CQ61" s="16"/>
      <c r="CR61" s="16"/>
    </row>
    <row r="62" spans="1:96" ht="23.25" customHeight="1" x14ac:dyDescent="0.2">
      <c r="A62" s="16"/>
      <c r="B62" s="17"/>
      <c r="C62" s="16"/>
      <c r="D62" s="17"/>
      <c r="E62" s="16"/>
      <c r="F62" s="16"/>
      <c r="G62" s="16"/>
      <c r="H62" s="16"/>
      <c r="I62" s="16"/>
      <c r="J62" s="16"/>
      <c r="K62" s="16"/>
      <c r="L62" s="16"/>
      <c r="M62" s="16"/>
      <c r="N62" s="16"/>
      <c r="O62" s="16"/>
      <c r="P62" s="16"/>
      <c r="Q62" s="16"/>
      <c r="R62" s="16"/>
      <c r="S62" s="16"/>
      <c r="T62" s="17"/>
      <c r="U62" s="18"/>
      <c r="V62" s="18"/>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6"/>
      <c r="BW62" s="19"/>
      <c r="BX62" s="18"/>
      <c r="BY62" s="17"/>
      <c r="BZ62" s="20"/>
      <c r="CA62" s="20"/>
      <c r="CB62" s="16"/>
      <c r="CC62" s="16"/>
      <c r="CD62" s="16"/>
      <c r="CE62" s="16"/>
      <c r="CF62" s="16"/>
      <c r="CG62" s="16"/>
      <c r="CH62" s="16"/>
      <c r="CI62" s="17"/>
      <c r="CJ62" s="17"/>
      <c r="CK62" s="16"/>
      <c r="CL62" s="16"/>
      <c r="CM62" s="16"/>
      <c r="CN62" s="16"/>
      <c r="CO62" s="16"/>
      <c r="CP62" s="16"/>
      <c r="CQ62" s="16"/>
      <c r="CR62" s="16"/>
    </row>
    <row r="63" spans="1:96" ht="23.25" customHeight="1" x14ac:dyDescent="0.2">
      <c r="A63" s="16"/>
      <c r="B63" s="17"/>
      <c r="C63" s="16"/>
      <c r="D63" s="17"/>
      <c r="E63" s="16"/>
      <c r="F63" s="16"/>
      <c r="G63" s="16"/>
      <c r="H63" s="16"/>
      <c r="I63" s="16"/>
      <c r="J63" s="16"/>
      <c r="K63" s="16"/>
      <c r="L63" s="16"/>
      <c r="M63" s="16"/>
      <c r="N63" s="16"/>
      <c r="O63" s="16"/>
      <c r="P63" s="16"/>
      <c r="Q63" s="16"/>
      <c r="R63" s="16"/>
      <c r="S63" s="16"/>
      <c r="T63" s="17"/>
      <c r="U63" s="18"/>
      <c r="V63" s="18"/>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6"/>
      <c r="BW63" s="19"/>
      <c r="BX63" s="18"/>
      <c r="BY63" s="17"/>
      <c r="BZ63" s="20"/>
      <c r="CA63" s="20"/>
      <c r="CB63" s="16"/>
      <c r="CC63" s="16"/>
      <c r="CD63" s="16"/>
      <c r="CE63" s="16"/>
      <c r="CF63" s="16"/>
      <c r="CG63" s="16"/>
      <c r="CH63" s="16"/>
      <c r="CI63" s="17"/>
      <c r="CJ63" s="17"/>
      <c r="CK63" s="16"/>
      <c r="CL63" s="16"/>
      <c r="CM63" s="16"/>
      <c r="CN63" s="16"/>
      <c r="CO63" s="16"/>
      <c r="CP63" s="16"/>
      <c r="CQ63" s="16"/>
      <c r="CR63" s="16"/>
    </row>
    <row r="64" spans="1:96" ht="23.25" customHeight="1" x14ac:dyDescent="0.2">
      <c r="A64" s="16"/>
      <c r="B64" s="17"/>
      <c r="C64" s="16"/>
      <c r="D64" s="17"/>
      <c r="E64" s="16"/>
      <c r="F64" s="16"/>
      <c r="G64" s="16"/>
      <c r="H64" s="16"/>
      <c r="I64" s="16"/>
      <c r="J64" s="16"/>
      <c r="K64" s="16"/>
      <c r="L64" s="16"/>
      <c r="M64" s="16"/>
      <c r="N64" s="16"/>
      <c r="O64" s="16"/>
      <c r="P64" s="16"/>
      <c r="Q64" s="16"/>
      <c r="R64" s="16"/>
      <c r="S64" s="16"/>
      <c r="T64" s="17"/>
      <c r="U64" s="18"/>
      <c r="V64" s="18"/>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6"/>
      <c r="BW64" s="19"/>
      <c r="BX64" s="18"/>
      <c r="BY64" s="17"/>
      <c r="BZ64" s="20"/>
      <c r="CA64" s="20"/>
      <c r="CB64" s="16"/>
      <c r="CC64" s="16"/>
      <c r="CD64" s="16"/>
      <c r="CE64" s="16"/>
      <c r="CF64" s="16"/>
      <c r="CG64" s="16"/>
      <c r="CH64" s="16"/>
      <c r="CI64" s="17"/>
      <c r="CJ64" s="17"/>
      <c r="CK64" s="16"/>
      <c r="CL64" s="16"/>
      <c r="CM64" s="16"/>
      <c r="CN64" s="16"/>
      <c r="CO64" s="16"/>
      <c r="CP64" s="16"/>
      <c r="CQ64" s="16"/>
      <c r="CR64" s="16"/>
    </row>
    <row r="65" spans="1:96" ht="23.25" customHeight="1" x14ac:dyDescent="0.2">
      <c r="A65" s="16"/>
      <c r="B65" s="17"/>
      <c r="C65" s="16"/>
      <c r="D65" s="17"/>
      <c r="E65" s="16"/>
      <c r="F65" s="16"/>
      <c r="G65" s="16"/>
      <c r="H65" s="16"/>
      <c r="I65" s="16"/>
      <c r="J65" s="16"/>
      <c r="K65" s="16"/>
      <c r="L65" s="16"/>
      <c r="M65" s="16"/>
      <c r="N65" s="16"/>
      <c r="O65" s="16"/>
      <c r="P65" s="16"/>
      <c r="Q65" s="16"/>
      <c r="R65" s="16"/>
      <c r="S65" s="16"/>
      <c r="T65" s="17"/>
      <c r="U65" s="18"/>
      <c r="V65" s="18"/>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6"/>
      <c r="BW65" s="19"/>
      <c r="BX65" s="18"/>
      <c r="BY65" s="17"/>
      <c r="BZ65" s="20"/>
      <c r="CA65" s="20"/>
      <c r="CB65" s="16"/>
      <c r="CC65" s="16"/>
      <c r="CD65" s="16"/>
      <c r="CE65" s="16"/>
      <c r="CF65" s="16"/>
      <c r="CG65" s="16"/>
      <c r="CH65" s="16"/>
      <c r="CI65" s="17"/>
      <c r="CJ65" s="17"/>
      <c r="CK65" s="16"/>
      <c r="CL65" s="16"/>
      <c r="CM65" s="16"/>
      <c r="CN65" s="16"/>
      <c r="CO65" s="16"/>
      <c r="CP65" s="16"/>
      <c r="CQ65" s="16"/>
      <c r="CR65" s="16"/>
    </row>
    <row r="66" spans="1:96" ht="23.25" customHeight="1" x14ac:dyDescent="0.2">
      <c r="A66" s="16"/>
      <c r="B66" s="17"/>
      <c r="C66" s="16"/>
      <c r="D66" s="17"/>
      <c r="E66" s="16"/>
      <c r="F66" s="16"/>
      <c r="G66" s="16"/>
      <c r="H66" s="16"/>
      <c r="I66" s="16"/>
      <c r="J66" s="16"/>
      <c r="K66" s="16"/>
      <c r="L66" s="16"/>
      <c r="M66" s="16"/>
      <c r="N66" s="16"/>
      <c r="O66" s="16"/>
      <c r="P66" s="16"/>
      <c r="Q66" s="16"/>
      <c r="R66" s="16"/>
      <c r="S66" s="16"/>
      <c r="T66" s="17"/>
      <c r="U66" s="18"/>
      <c r="V66" s="18"/>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6"/>
      <c r="BW66" s="19"/>
      <c r="BX66" s="18"/>
      <c r="BY66" s="17"/>
      <c r="BZ66" s="20"/>
      <c r="CA66" s="20"/>
      <c r="CB66" s="16"/>
      <c r="CC66" s="16"/>
      <c r="CD66" s="16"/>
      <c r="CE66" s="16"/>
      <c r="CF66" s="16"/>
      <c r="CG66" s="16"/>
      <c r="CH66" s="16"/>
      <c r="CI66" s="17"/>
      <c r="CJ66" s="17"/>
      <c r="CK66" s="16"/>
      <c r="CL66" s="16"/>
      <c r="CM66" s="16"/>
      <c r="CN66" s="16"/>
      <c r="CO66" s="16"/>
      <c r="CP66" s="16"/>
      <c r="CQ66" s="16"/>
      <c r="CR66" s="16"/>
    </row>
    <row r="67" spans="1:96" ht="23.25" customHeight="1" x14ac:dyDescent="0.2">
      <c r="A67" s="16"/>
      <c r="B67" s="17"/>
      <c r="C67" s="16"/>
      <c r="D67" s="17"/>
      <c r="E67" s="16"/>
      <c r="F67" s="16"/>
      <c r="G67" s="16"/>
      <c r="H67" s="16"/>
      <c r="I67" s="16"/>
      <c r="J67" s="16"/>
      <c r="K67" s="16"/>
      <c r="L67" s="16"/>
      <c r="M67" s="16"/>
      <c r="N67" s="16"/>
      <c r="O67" s="16"/>
      <c r="P67" s="16"/>
      <c r="Q67" s="16"/>
      <c r="R67" s="16"/>
      <c r="S67" s="16"/>
      <c r="T67" s="17"/>
      <c r="U67" s="18"/>
      <c r="V67" s="18"/>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6"/>
      <c r="BW67" s="19"/>
      <c r="BX67" s="18"/>
      <c r="BY67" s="17"/>
      <c r="BZ67" s="20"/>
      <c r="CA67" s="20"/>
      <c r="CB67" s="16"/>
      <c r="CC67" s="16"/>
      <c r="CD67" s="16"/>
      <c r="CE67" s="16"/>
      <c r="CF67" s="16"/>
      <c r="CG67" s="16"/>
      <c r="CH67" s="16"/>
      <c r="CI67" s="17"/>
      <c r="CJ67" s="17"/>
      <c r="CK67" s="16"/>
      <c r="CL67" s="16"/>
      <c r="CM67" s="16"/>
      <c r="CN67" s="16"/>
      <c r="CO67" s="16"/>
      <c r="CP67" s="16"/>
      <c r="CQ67" s="16"/>
      <c r="CR67" s="16"/>
    </row>
    <row r="68" spans="1:96" ht="23.25" customHeight="1" x14ac:dyDescent="0.2">
      <c r="A68" s="16"/>
      <c r="B68" s="17"/>
      <c r="C68" s="16"/>
      <c r="D68" s="17"/>
      <c r="E68" s="16"/>
      <c r="F68" s="16"/>
      <c r="G68" s="16"/>
      <c r="H68" s="16"/>
      <c r="I68" s="16"/>
      <c r="J68" s="16"/>
      <c r="K68" s="16"/>
      <c r="L68" s="16"/>
      <c r="M68" s="16"/>
      <c r="N68" s="16"/>
      <c r="O68" s="16"/>
      <c r="P68" s="16"/>
      <c r="Q68" s="16"/>
      <c r="R68" s="16"/>
      <c r="S68" s="16"/>
      <c r="T68" s="17"/>
      <c r="U68" s="18"/>
      <c r="V68" s="18"/>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6"/>
      <c r="BW68" s="19"/>
      <c r="BX68" s="18"/>
      <c r="BY68" s="17"/>
      <c r="BZ68" s="20"/>
      <c r="CA68" s="20"/>
      <c r="CB68" s="16"/>
      <c r="CC68" s="16"/>
      <c r="CD68" s="16"/>
      <c r="CE68" s="16"/>
      <c r="CF68" s="16"/>
      <c r="CG68" s="16"/>
      <c r="CH68" s="16"/>
      <c r="CI68" s="17"/>
      <c r="CJ68" s="17"/>
      <c r="CK68" s="16"/>
      <c r="CL68" s="16"/>
      <c r="CM68" s="16"/>
      <c r="CN68" s="16"/>
      <c r="CO68" s="16"/>
      <c r="CP68" s="16"/>
      <c r="CQ68" s="16"/>
      <c r="CR68" s="16"/>
    </row>
    <row r="69" spans="1:96" ht="23.25" customHeight="1" x14ac:dyDescent="0.2">
      <c r="A69" s="16"/>
      <c r="B69" s="17"/>
      <c r="C69" s="16"/>
      <c r="D69" s="17"/>
      <c r="E69" s="16"/>
      <c r="F69" s="16"/>
      <c r="G69" s="16"/>
      <c r="H69" s="16"/>
      <c r="I69" s="16"/>
      <c r="J69" s="16"/>
      <c r="K69" s="16"/>
      <c r="L69" s="16"/>
      <c r="M69" s="16"/>
      <c r="N69" s="16"/>
      <c r="O69" s="16"/>
      <c r="P69" s="16"/>
      <c r="Q69" s="16"/>
      <c r="R69" s="16"/>
      <c r="S69" s="16"/>
      <c r="T69" s="17"/>
      <c r="U69" s="18"/>
      <c r="V69" s="18"/>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6"/>
      <c r="BW69" s="19"/>
      <c r="BX69" s="18"/>
      <c r="BY69" s="17"/>
      <c r="BZ69" s="20"/>
      <c r="CA69" s="20"/>
      <c r="CB69" s="16"/>
      <c r="CC69" s="16"/>
      <c r="CD69" s="16"/>
      <c r="CE69" s="16"/>
      <c r="CF69" s="16"/>
      <c r="CG69" s="16"/>
      <c r="CH69" s="16"/>
      <c r="CI69" s="17"/>
      <c r="CJ69" s="17"/>
      <c r="CK69" s="16"/>
      <c r="CL69" s="16"/>
      <c r="CM69" s="16"/>
      <c r="CN69" s="16"/>
      <c r="CO69" s="16"/>
      <c r="CP69" s="16"/>
      <c r="CQ69" s="16"/>
      <c r="CR69" s="16"/>
    </row>
    <row r="70" spans="1:96" ht="23.25" customHeight="1" x14ac:dyDescent="0.2">
      <c r="A70" s="16"/>
      <c r="B70" s="17"/>
      <c r="C70" s="16"/>
      <c r="D70" s="17"/>
      <c r="E70" s="16"/>
      <c r="F70" s="16"/>
      <c r="G70" s="16"/>
      <c r="H70" s="16"/>
      <c r="I70" s="16"/>
      <c r="J70" s="16"/>
      <c r="K70" s="16"/>
      <c r="L70" s="16"/>
      <c r="M70" s="16"/>
      <c r="N70" s="16"/>
      <c r="O70" s="16"/>
      <c r="P70" s="16"/>
      <c r="Q70" s="16"/>
      <c r="R70" s="16"/>
      <c r="S70" s="16"/>
      <c r="T70" s="17"/>
      <c r="U70" s="18"/>
      <c r="V70" s="18"/>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6"/>
      <c r="BW70" s="19"/>
      <c r="BX70" s="18"/>
      <c r="BY70" s="17"/>
      <c r="BZ70" s="20"/>
      <c r="CA70" s="20"/>
      <c r="CB70" s="16"/>
      <c r="CC70" s="16"/>
      <c r="CD70" s="16"/>
      <c r="CE70" s="16"/>
      <c r="CF70" s="16"/>
      <c r="CG70" s="16"/>
      <c r="CH70" s="16"/>
      <c r="CI70" s="17"/>
      <c r="CJ70" s="17"/>
      <c r="CK70" s="16"/>
      <c r="CL70" s="16"/>
      <c r="CM70" s="16"/>
      <c r="CN70" s="16"/>
      <c r="CO70" s="16"/>
      <c r="CP70" s="16"/>
      <c r="CQ70" s="16"/>
      <c r="CR70" s="16"/>
    </row>
    <row r="71" spans="1:96" ht="23.25" customHeight="1" x14ac:dyDescent="0.2">
      <c r="A71" s="16"/>
      <c r="B71" s="17"/>
      <c r="C71" s="16"/>
      <c r="D71" s="17"/>
      <c r="E71" s="16"/>
      <c r="F71" s="16"/>
      <c r="G71" s="16"/>
      <c r="H71" s="16"/>
      <c r="I71" s="16"/>
      <c r="J71" s="16"/>
      <c r="K71" s="16"/>
      <c r="L71" s="16"/>
      <c r="M71" s="16"/>
      <c r="N71" s="16"/>
      <c r="O71" s="16"/>
      <c r="P71" s="16"/>
      <c r="Q71" s="16"/>
      <c r="R71" s="16"/>
      <c r="S71" s="16"/>
      <c r="T71" s="17"/>
      <c r="U71" s="18"/>
      <c r="V71" s="18"/>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6"/>
      <c r="BW71" s="19"/>
      <c r="BX71" s="18"/>
      <c r="BY71" s="17"/>
      <c r="BZ71" s="20"/>
      <c r="CA71" s="20"/>
      <c r="CB71" s="16"/>
      <c r="CC71" s="16"/>
      <c r="CD71" s="16"/>
      <c r="CE71" s="16"/>
      <c r="CF71" s="16"/>
      <c r="CG71" s="16"/>
      <c r="CH71" s="16"/>
      <c r="CI71" s="17"/>
      <c r="CJ71" s="17"/>
      <c r="CK71" s="16"/>
      <c r="CL71" s="16"/>
      <c r="CM71" s="16"/>
      <c r="CN71" s="16"/>
      <c r="CO71" s="16"/>
      <c r="CP71" s="16"/>
      <c r="CQ71" s="16"/>
      <c r="CR71" s="16"/>
    </row>
    <row r="72" spans="1:96" ht="23.25" customHeight="1" x14ac:dyDescent="0.2">
      <c r="A72" s="16"/>
      <c r="B72" s="17"/>
      <c r="C72" s="16"/>
      <c r="D72" s="17"/>
      <c r="E72" s="16"/>
      <c r="F72" s="16"/>
      <c r="G72" s="16"/>
      <c r="H72" s="16"/>
      <c r="I72" s="16"/>
      <c r="J72" s="16"/>
      <c r="K72" s="16"/>
      <c r="L72" s="16"/>
      <c r="M72" s="16"/>
      <c r="N72" s="16"/>
      <c r="O72" s="16"/>
      <c r="P72" s="16"/>
      <c r="Q72" s="16"/>
      <c r="R72" s="16"/>
      <c r="S72" s="16"/>
      <c r="T72" s="17"/>
      <c r="U72" s="18"/>
      <c r="V72" s="18"/>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6"/>
      <c r="BW72" s="19"/>
      <c r="BX72" s="18"/>
      <c r="BY72" s="17"/>
      <c r="BZ72" s="20"/>
      <c r="CA72" s="20"/>
      <c r="CB72" s="16"/>
      <c r="CC72" s="16"/>
      <c r="CD72" s="16"/>
      <c r="CE72" s="16"/>
      <c r="CF72" s="16"/>
      <c r="CG72" s="16"/>
      <c r="CH72" s="16"/>
      <c r="CI72" s="17"/>
      <c r="CJ72" s="17"/>
      <c r="CK72" s="16"/>
      <c r="CL72" s="16"/>
      <c r="CM72" s="16"/>
      <c r="CN72" s="16"/>
      <c r="CO72" s="16"/>
      <c r="CP72" s="16"/>
      <c r="CQ72" s="16"/>
      <c r="CR72" s="16"/>
    </row>
    <row r="73" spans="1:96" ht="23.25" customHeight="1" x14ac:dyDescent="0.2">
      <c r="A73" s="16"/>
      <c r="B73" s="17"/>
      <c r="C73" s="16"/>
      <c r="D73" s="17"/>
      <c r="E73" s="16"/>
      <c r="F73" s="16"/>
      <c r="G73" s="16"/>
      <c r="H73" s="16"/>
      <c r="I73" s="16"/>
      <c r="J73" s="16"/>
      <c r="K73" s="16"/>
      <c r="L73" s="16"/>
      <c r="M73" s="16"/>
      <c r="N73" s="16"/>
      <c r="O73" s="16"/>
      <c r="P73" s="16"/>
      <c r="Q73" s="16"/>
      <c r="R73" s="16"/>
      <c r="S73" s="16"/>
      <c r="T73" s="17"/>
      <c r="U73" s="18"/>
      <c r="V73" s="18"/>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6"/>
      <c r="BW73" s="19"/>
      <c r="BX73" s="18"/>
      <c r="BY73" s="17"/>
      <c r="BZ73" s="20"/>
      <c r="CA73" s="20"/>
      <c r="CB73" s="16"/>
      <c r="CC73" s="16"/>
      <c r="CD73" s="16"/>
      <c r="CE73" s="16"/>
      <c r="CF73" s="16"/>
      <c r="CG73" s="16"/>
      <c r="CH73" s="16"/>
      <c r="CI73" s="17"/>
      <c r="CJ73" s="17"/>
      <c r="CK73" s="16"/>
      <c r="CL73" s="16"/>
      <c r="CM73" s="16"/>
      <c r="CN73" s="16"/>
      <c r="CO73" s="16"/>
      <c r="CP73" s="16"/>
      <c r="CQ73" s="16"/>
      <c r="CR73" s="16"/>
    </row>
    <row r="74" spans="1:96" ht="23.25" customHeight="1" x14ac:dyDescent="0.2">
      <c r="A74" s="16"/>
      <c r="B74" s="17"/>
      <c r="C74" s="16"/>
      <c r="D74" s="17"/>
      <c r="E74" s="16"/>
      <c r="F74" s="16"/>
      <c r="G74" s="16"/>
      <c r="H74" s="16"/>
      <c r="I74" s="16"/>
      <c r="J74" s="16"/>
      <c r="K74" s="16"/>
      <c r="L74" s="16"/>
      <c r="M74" s="16"/>
      <c r="N74" s="16"/>
      <c r="O74" s="16"/>
      <c r="P74" s="16"/>
      <c r="Q74" s="16"/>
      <c r="R74" s="16"/>
      <c r="S74" s="16"/>
      <c r="T74" s="17"/>
      <c r="U74" s="18"/>
      <c r="V74" s="18"/>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6"/>
      <c r="BW74" s="19"/>
      <c r="BX74" s="18"/>
      <c r="BY74" s="17"/>
      <c r="BZ74" s="20"/>
      <c r="CA74" s="20"/>
      <c r="CB74" s="16"/>
      <c r="CC74" s="16"/>
      <c r="CD74" s="16"/>
      <c r="CE74" s="16"/>
      <c r="CF74" s="16"/>
      <c r="CG74" s="16"/>
      <c r="CH74" s="16"/>
      <c r="CI74" s="17"/>
      <c r="CJ74" s="17"/>
      <c r="CK74" s="16"/>
      <c r="CL74" s="16"/>
      <c r="CM74" s="16"/>
      <c r="CN74" s="16"/>
      <c r="CO74" s="16"/>
      <c r="CP74" s="16"/>
      <c r="CQ74" s="16"/>
      <c r="CR74" s="16"/>
    </row>
    <row r="75" spans="1:96" ht="23.25" customHeight="1" x14ac:dyDescent="0.2">
      <c r="A75" s="16"/>
      <c r="B75" s="17"/>
      <c r="C75" s="16"/>
      <c r="D75" s="17"/>
      <c r="E75" s="16"/>
      <c r="F75" s="16"/>
      <c r="G75" s="16"/>
      <c r="H75" s="16"/>
      <c r="I75" s="16"/>
      <c r="J75" s="16"/>
      <c r="K75" s="16"/>
      <c r="L75" s="16"/>
      <c r="M75" s="16"/>
      <c r="N75" s="16"/>
      <c r="O75" s="16"/>
      <c r="P75" s="16"/>
      <c r="Q75" s="16"/>
      <c r="R75" s="16"/>
      <c r="S75" s="16"/>
      <c r="T75" s="17"/>
      <c r="U75" s="18"/>
      <c r="V75" s="18"/>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6"/>
      <c r="BW75" s="19"/>
      <c r="BX75" s="18"/>
      <c r="BY75" s="17"/>
      <c r="BZ75" s="20"/>
      <c r="CA75" s="20"/>
      <c r="CB75" s="16"/>
      <c r="CC75" s="16"/>
      <c r="CD75" s="16"/>
      <c r="CE75" s="16"/>
      <c r="CF75" s="16"/>
      <c r="CG75" s="16"/>
      <c r="CH75" s="16"/>
      <c r="CI75" s="17"/>
      <c r="CJ75" s="17"/>
      <c r="CK75" s="16"/>
      <c r="CL75" s="16"/>
      <c r="CM75" s="16"/>
      <c r="CN75" s="16"/>
      <c r="CO75" s="16"/>
      <c r="CP75" s="16"/>
      <c r="CQ75" s="16"/>
      <c r="CR75" s="16"/>
    </row>
    <row r="76" spans="1:96" ht="23.25" customHeight="1" x14ac:dyDescent="0.2">
      <c r="A76" s="16"/>
      <c r="B76" s="17"/>
      <c r="C76" s="16"/>
      <c r="D76" s="17"/>
      <c r="E76" s="16"/>
      <c r="F76" s="16"/>
      <c r="G76" s="16"/>
      <c r="H76" s="16"/>
      <c r="I76" s="16"/>
      <c r="J76" s="16"/>
      <c r="K76" s="16"/>
      <c r="L76" s="16"/>
      <c r="M76" s="16"/>
      <c r="N76" s="16"/>
      <c r="O76" s="16"/>
      <c r="P76" s="16"/>
      <c r="Q76" s="16"/>
      <c r="R76" s="16"/>
      <c r="S76" s="16"/>
      <c r="T76" s="17"/>
      <c r="U76" s="18"/>
      <c r="V76" s="18"/>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6"/>
      <c r="BW76" s="19"/>
      <c r="BX76" s="18"/>
      <c r="BY76" s="17"/>
      <c r="BZ76" s="20"/>
      <c r="CA76" s="20"/>
      <c r="CB76" s="16"/>
      <c r="CC76" s="16"/>
      <c r="CD76" s="16"/>
      <c r="CE76" s="16"/>
      <c r="CF76" s="16"/>
      <c r="CG76" s="16"/>
      <c r="CH76" s="16"/>
      <c r="CI76" s="17"/>
      <c r="CJ76" s="17"/>
      <c r="CK76" s="16"/>
      <c r="CL76" s="16"/>
      <c r="CM76" s="16"/>
      <c r="CN76" s="16"/>
      <c r="CO76" s="16"/>
      <c r="CP76" s="16"/>
      <c r="CQ76" s="16"/>
      <c r="CR76" s="16"/>
    </row>
    <row r="77" spans="1:96" ht="23.25" customHeight="1" x14ac:dyDescent="0.2">
      <c r="A77" s="16"/>
      <c r="B77" s="17"/>
      <c r="C77" s="16"/>
      <c r="D77" s="17"/>
      <c r="E77" s="16"/>
      <c r="F77" s="16"/>
      <c r="G77" s="16"/>
      <c r="H77" s="16"/>
      <c r="I77" s="16"/>
      <c r="J77" s="16"/>
      <c r="K77" s="16"/>
      <c r="L77" s="16"/>
      <c r="M77" s="16"/>
      <c r="N77" s="16"/>
      <c r="O77" s="16"/>
      <c r="P77" s="16"/>
      <c r="Q77" s="16"/>
      <c r="R77" s="16"/>
      <c r="S77" s="16"/>
      <c r="T77" s="17"/>
      <c r="U77" s="18"/>
      <c r="V77" s="18"/>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6"/>
      <c r="BW77" s="19"/>
      <c r="BX77" s="18"/>
      <c r="BY77" s="17"/>
      <c r="BZ77" s="20"/>
      <c r="CA77" s="20"/>
      <c r="CB77" s="16"/>
      <c r="CC77" s="16"/>
      <c r="CD77" s="16"/>
      <c r="CE77" s="16"/>
      <c r="CF77" s="16"/>
      <c r="CG77" s="16"/>
      <c r="CH77" s="16"/>
      <c r="CI77" s="17"/>
      <c r="CJ77" s="17"/>
      <c r="CK77" s="16"/>
      <c r="CL77" s="16"/>
      <c r="CM77" s="16"/>
      <c r="CN77" s="16"/>
      <c r="CO77" s="16"/>
      <c r="CP77" s="16"/>
      <c r="CQ77" s="16"/>
      <c r="CR77" s="16"/>
    </row>
    <row r="78" spans="1:96" ht="23.25" customHeight="1" x14ac:dyDescent="0.2">
      <c r="A78" s="16"/>
      <c r="B78" s="17"/>
      <c r="C78" s="16"/>
      <c r="D78" s="17"/>
      <c r="E78" s="16"/>
      <c r="F78" s="16"/>
      <c r="G78" s="16"/>
      <c r="H78" s="16"/>
      <c r="I78" s="16"/>
      <c r="J78" s="16"/>
      <c r="K78" s="16"/>
      <c r="L78" s="16"/>
      <c r="M78" s="16"/>
      <c r="N78" s="16"/>
      <c r="O78" s="16"/>
      <c r="P78" s="16"/>
      <c r="Q78" s="16"/>
      <c r="R78" s="16"/>
      <c r="S78" s="16"/>
      <c r="T78" s="17"/>
      <c r="U78" s="18"/>
      <c r="V78" s="18"/>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6"/>
      <c r="BW78" s="19"/>
      <c r="BX78" s="18"/>
      <c r="BY78" s="17"/>
      <c r="BZ78" s="20"/>
      <c r="CA78" s="20"/>
      <c r="CB78" s="16"/>
      <c r="CC78" s="16"/>
      <c r="CD78" s="16"/>
      <c r="CE78" s="16"/>
      <c r="CF78" s="16"/>
      <c r="CG78" s="16"/>
      <c r="CH78" s="16"/>
      <c r="CI78" s="17"/>
      <c r="CJ78" s="17"/>
      <c r="CK78" s="16"/>
      <c r="CL78" s="16"/>
      <c r="CM78" s="16"/>
      <c r="CN78" s="16"/>
      <c r="CO78" s="16"/>
      <c r="CP78" s="16"/>
      <c r="CQ78" s="16"/>
      <c r="CR78" s="16"/>
    </row>
    <row r="79" spans="1:96" ht="23.25" customHeight="1" x14ac:dyDescent="0.2">
      <c r="A79" s="16"/>
      <c r="B79" s="17"/>
      <c r="C79" s="16"/>
      <c r="D79" s="17"/>
      <c r="E79" s="16"/>
      <c r="F79" s="16"/>
      <c r="G79" s="16"/>
      <c r="H79" s="16"/>
      <c r="I79" s="16"/>
      <c r="J79" s="16"/>
      <c r="K79" s="16"/>
      <c r="L79" s="16"/>
      <c r="M79" s="16"/>
      <c r="N79" s="16"/>
      <c r="O79" s="16"/>
      <c r="P79" s="16"/>
      <c r="Q79" s="16"/>
      <c r="R79" s="16"/>
      <c r="S79" s="16"/>
      <c r="T79" s="17"/>
      <c r="U79" s="18"/>
      <c r="V79" s="18"/>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6"/>
      <c r="BW79" s="19"/>
      <c r="BX79" s="18"/>
      <c r="BY79" s="17"/>
      <c r="BZ79" s="20"/>
      <c r="CA79" s="20"/>
      <c r="CB79" s="16"/>
      <c r="CC79" s="16"/>
      <c r="CD79" s="16"/>
      <c r="CE79" s="16"/>
      <c r="CF79" s="16"/>
      <c r="CG79" s="16"/>
      <c r="CH79" s="16"/>
      <c r="CI79" s="17"/>
      <c r="CJ79" s="17"/>
      <c r="CK79" s="16"/>
      <c r="CL79" s="16"/>
      <c r="CM79" s="16"/>
      <c r="CN79" s="16"/>
      <c r="CO79" s="16"/>
      <c r="CP79" s="16"/>
      <c r="CQ79" s="16"/>
      <c r="CR79" s="16"/>
    </row>
    <row r="80" spans="1:96" ht="23.25" customHeight="1" x14ac:dyDescent="0.2">
      <c r="A80" s="16"/>
      <c r="B80" s="17"/>
      <c r="C80" s="16"/>
      <c r="D80" s="17"/>
      <c r="E80" s="16"/>
      <c r="F80" s="16"/>
      <c r="G80" s="16"/>
      <c r="H80" s="16"/>
      <c r="I80" s="16"/>
      <c r="J80" s="16"/>
      <c r="K80" s="16"/>
      <c r="L80" s="16"/>
      <c r="M80" s="16"/>
      <c r="N80" s="16"/>
      <c r="O80" s="16"/>
      <c r="P80" s="16"/>
      <c r="Q80" s="16"/>
      <c r="R80" s="16"/>
      <c r="S80" s="16"/>
      <c r="T80" s="17"/>
      <c r="U80" s="18"/>
      <c r="V80" s="18"/>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6"/>
      <c r="BW80" s="19"/>
      <c r="BX80" s="18"/>
      <c r="BY80" s="17"/>
      <c r="BZ80" s="20"/>
      <c r="CA80" s="20"/>
      <c r="CB80" s="16"/>
      <c r="CC80" s="16"/>
      <c r="CD80" s="16"/>
      <c r="CE80" s="16"/>
      <c r="CF80" s="16"/>
      <c r="CG80" s="16"/>
      <c r="CH80" s="16"/>
      <c r="CI80" s="17"/>
      <c r="CJ80" s="17"/>
      <c r="CK80" s="16"/>
      <c r="CL80" s="16"/>
      <c r="CM80" s="16"/>
      <c r="CN80" s="16"/>
      <c r="CO80" s="16"/>
      <c r="CP80" s="16"/>
      <c r="CQ80" s="16"/>
      <c r="CR80" s="16"/>
    </row>
    <row r="81" spans="1:96" ht="23.25" customHeight="1" x14ac:dyDescent="0.2">
      <c r="A81" s="16"/>
      <c r="B81" s="17"/>
      <c r="C81" s="16"/>
      <c r="D81" s="17"/>
      <c r="E81" s="16"/>
      <c r="F81" s="16"/>
      <c r="G81" s="16"/>
      <c r="H81" s="16"/>
      <c r="I81" s="16"/>
      <c r="J81" s="16"/>
      <c r="K81" s="16"/>
      <c r="L81" s="16"/>
      <c r="M81" s="16"/>
      <c r="N81" s="16"/>
      <c r="O81" s="16"/>
      <c r="P81" s="16"/>
      <c r="Q81" s="16"/>
      <c r="R81" s="16"/>
      <c r="S81" s="16"/>
      <c r="T81" s="17"/>
      <c r="U81" s="18"/>
      <c r="V81" s="18"/>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6"/>
      <c r="BW81" s="19"/>
      <c r="BX81" s="18"/>
      <c r="BY81" s="17"/>
      <c r="BZ81" s="20"/>
      <c r="CA81" s="20"/>
      <c r="CB81" s="16"/>
      <c r="CC81" s="16"/>
      <c r="CD81" s="16"/>
      <c r="CE81" s="16"/>
      <c r="CF81" s="16"/>
      <c r="CG81" s="16"/>
      <c r="CH81" s="16"/>
      <c r="CI81" s="17"/>
      <c r="CJ81" s="17"/>
      <c r="CK81" s="16"/>
      <c r="CL81" s="16"/>
      <c r="CM81" s="16"/>
      <c r="CN81" s="16"/>
      <c r="CO81" s="16"/>
      <c r="CP81" s="16"/>
      <c r="CQ81" s="16"/>
      <c r="CR81" s="16"/>
    </row>
    <row r="82" spans="1:96" ht="23.25" customHeight="1" x14ac:dyDescent="0.2">
      <c r="A82" s="16"/>
      <c r="B82" s="17"/>
      <c r="C82" s="16"/>
      <c r="D82" s="17"/>
      <c r="E82" s="16"/>
      <c r="F82" s="16"/>
      <c r="G82" s="16"/>
      <c r="H82" s="16"/>
      <c r="I82" s="16"/>
      <c r="J82" s="16"/>
      <c r="K82" s="16"/>
      <c r="L82" s="16"/>
      <c r="M82" s="16"/>
      <c r="N82" s="16"/>
      <c r="O82" s="16"/>
      <c r="P82" s="16"/>
      <c r="Q82" s="16"/>
      <c r="R82" s="16"/>
      <c r="S82" s="16"/>
      <c r="T82" s="17"/>
      <c r="U82" s="18"/>
      <c r="V82" s="18"/>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6"/>
      <c r="BW82" s="19"/>
      <c r="BX82" s="18"/>
      <c r="BY82" s="17"/>
      <c r="BZ82" s="20"/>
      <c r="CA82" s="20"/>
      <c r="CB82" s="16"/>
      <c r="CC82" s="16"/>
      <c r="CD82" s="16"/>
      <c r="CE82" s="16"/>
      <c r="CF82" s="16"/>
      <c r="CG82" s="16"/>
      <c r="CH82" s="16"/>
      <c r="CI82" s="17"/>
      <c r="CJ82" s="17"/>
      <c r="CK82" s="16"/>
      <c r="CL82" s="16"/>
      <c r="CM82" s="16"/>
      <c r="CN82" s="16"/>
      <c r="CO82" s="16"/>
      <c r="CP82" s="16"/>
      <c r="CQ82" s="16"/>
      <c r="CR82" s="16"/>
    </row>
    <row r="83" spans="1:96" ht="23.25" customHeight="1" x14ac:dyDescent="0.2">
      <c r="A83" s="16"/>
      <c r="B83" s="17"/>
      <c r="C83" s="16"/>
      <c r="D83" s="17"/>
      <c r="E83" s="16"/>
      <c r="F83" s="16"/>
      <c r="G83" s="16"/>
      <c r="H83" s="16"/>
      <c r="I83" s="16"/>
      <c r="J83" s="16"/>
      <c r="K83" s="16"/>
      <c r="L83" s="16"/>
      <c r="M83" s="16"/>
      <c r="N83" s="16"/>
      <c r="O83" s="16"/>
      <c r="P83" s="16"/>
      <c r="Q83" s="16"/>
      <c r="R83" s="16"/>
      <c r="S83" s="16"/>
      <c r="T83" s="17"/>
      <c r="U83" s="18"/>
      <c r="V83" s="18"/>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6"/>
      <c r="BW83" s="19"/>
      <c r="BX83" s="18"/>
      <c r="BY83" s="17"/>
      <c r="BZ83" s="20"/>
      <c r="CA83" s="20"/>
      <c r="CB83" s="16"/>
      <c r="CC83" s="16"/>
      <c r="CD83" s="16"/>
      <c r="CE83" s="16"/>
      <c r="CF83" s="16"/>
      <c r="CG83" s="16"/>
      <c r="CH83" s="16"/>
      <c r="CI83" s="17"/>
      <c r="CJ83" s="17"/>
      <c r="CK83" s="16"/>
      <c r="CL83" s="16"/>
      <c r="CM83" s="16"/>
      <c r="CN83" s="16"/>
      <c r="CO83" s="16"/>
      <c r="CP83" s="16"/>
      <c r="CQ83" s="16"/>
      <c r="CR83" s="16"/>
    </row>
    <row r="84" spans="1:96" ht="23.25" customHeight="1" x14ac:dyDescent="0.2">
      <c r="A84" s="16"/>
      <c r="B84" s="17"/>
      <c r="C84" s="16"/>
      <c r="D84" s="17"/>
      <c r="E84" s="16"/>
      <c r="F84" s="16"/>
      <c r="G84" s="16"/>
      <c r="H84" s="16"/>
      <c r="I84" s="16"/>
      <c r="J84" s="16"/>
      <c r="K84" s="16"/>
      <c r="L84" s="16"/>
      <c r="M84" s="16"/>
      <c r="N84" s="16"/>
      <c r="O84" s="16"/>
      <c r="P84" s="16"/>
      <c r="Q84" s="16"/>
      <c r="R84" s="16"/>
      <c r="S84" s="16"/>
      <c r="T84" s="17"/>
      <c r="U84" s="18"/>
      <c r="V84" s="18"/>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6"/>
      <c r="BW84" s="19"/>
      <c r="BX84" s="18"/>
      <c r="BY84" s="17"/>
      <c r="BZ84" s="20"/>
      <c r="CA84" s="20"/>
      <c r="CB84" s="16"/>
      <c r="CC84" s="16"/>
      <c r="CD84" s="16"/>
      <c r="CE84" s="16"/>
      <c r="CF84" s="16"/>
      <c r="CG84" s="16"/>
      <c r="CH84" s="16"/>
      <c r="CI84" s="17"/>
      <c r="CJ84" s="17"/>
      <c r="CK84" s="16"/>
      <c r="CL84" s="16"/>
      <c r="CM84" s="16"/>
      <c r="CN84" s="16"/>
      <c r="CO84" s="16"/>
      <c r="CP84" s="16"/>
      <c r="CQ84" s="16"/>
      <c r="CR84" s="16"/>
    </row>
    <row r="85" spans="1:96" ht="23.25" customHeight="1" x14ac:dyDescent="0.2">
      <c r="A85" s="16"/>
      <c r="B85" s="17"/>
      <c r="C85" s="16"/>
      <c r="D85" s="17"/>
      <c r="E85" s="16"/>
      <c r="F85" s="16"/>
      <c r="G85" s="16"/>
      <c r="H85" s="16"/>
      <c r="I85" s="16"/>
      <c r="J85" s="16"/>
      <c r="K85" s="16"/>
      <c r="L85" s="16"/>
      <c r="M85" s="16"/>
      <c r="N85" s="16"/>
      <c r="O85" s="16"/>
      <c r="P85" s="16"/>
      <c r="Q85" s="16"/>
      <c r="R85" s="16"/>
      <c r="S85" s="16"/>
      <c r="T85" s="17"/>
      <c r="U85" s="18"/>
      <c r="V85" s="18"/>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6"/>
      <c r="BW85" s="19"/>
      <c r="BX85" s="18"/>
      <c r="BY85" s="17"/>
      <c r="BZ85" s="20"/>
      <c r="CA85" s="20"/>
      <c r="CB85" s="16"/>
      <c r="CC85" s="16"/>
      <c r="CD85" s="16"/>
      <c r="CE85" s="16"/>
      <c r="CF85" s="16"/>
      <c r="CG85" s="16"/>
      <c r="CH85" s="16"/>
      <c r="CI85" s="17"/>
      <c r="CJ85" s="17"/>
      <c r="CK85" s="16"/>
      <c r="CL85" s="16"/>
      <c r="CM85" s="16"/>
      <c r="CN85" s="16"/>
      <c r="CO85" s="16"/>
      <c r="CP85" s="16"/>
      <c r="CQ85" s="16"/>
      <c r="CR85" s="16"/>
    </row>
    <row r="86" spans="1:96" ht="23.25" customHeight="1" x14ac:dyDescent="0.2">
      <c r="A86" s="16"/>
      <c r="B86" s="17"/>
      <c r="C86" s="16"/>
      <c r="D86" s="17"/>
      <c r="E86" s="16"/>
      <c r="F86" s="16"/>
      <c r="G86" s="16"/>
      <c r="H86" s="16"/>
      <c r="I86" s="16"/>
      <c r="J86" s="16"/>
      <c r="K86" s="16"/>
      <c r="L86" s="16"/>
      <c r="M86" s="16"/>
      <c r="N86" s="16"/>
      <c r="O86" s="16"/>
      <c r="P86" s="16"/>
      <c r="Q86" s="16"/>
      <c r="R86" s="16"/>
      <c r="S86" s="16"/>
      <c r="T86" s="17"/>
      <c r="U86" s="18"/>
      <c r="V86" s="18"/>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6"/>
      <c r="BW86" s="19"/>
      <c r="BX86" s="18"/>
      <c r="BY86" s="17"/>
      <c r="BZ86" s="20"/>
      <c r="CA86" s="20"/>
      <c r="CB86" s="16"/>
      <c r="CC86" s="16"/>
      <c r="CD86" s="16"/>
      <c r="CE86" s="16"/>
      <c r="CF86" s="16"/>
      <c r="CG86" s="16"/>
      <c r="CH86" s="16"/>
      <c r="CI86" s="17"/>
      <c r="CJ86" s="17"/>
      <c r="CK86" s="16"/>
      <c r="CL86" s="16"/>
      <c r="CM86" s="16"/>
      <c r="CN86" s="16"/>
      <c r="CO86" s="16"/>
      <c r="CP86" s="16"/>
      <c r="CQ86" s="16"/>
      <c r="CR86" s="16"/>
    </row>
    <row r="87" spans="1:96" ht="23.25" customHeight="1" x14ac:dyDescent="0.2">
      <c r="A87" s="16"/>
      <c r="B87" s="17"/>
      <c r="C87" s="16"/>
      <c r="D87" s="17"/>
      <c r="E87" s="16"/>
      <c r="F87" s="16"/>
      <c r="G87" s="16"/>
      <c r="H87" s="16"/>
      <c r="I87" s="16"/>
      <c r="J87" s="16"/>
      <c r="K87" s="16"/>
      <c r="L87" s="16"/>
      <c r="M87" s="16"/>
      <c r="N87" s="16"/>
      <c r="O87" s="16"/>
      <c r="P87" s="16"/>
      <c r="Q87" s="16"/>
      <c r="R87" s="16"/>
      <c r="S87" s="16"/>
      <c r="T87" s="17"/>
      <c r="U87" s="18"/>
      <c r="V87" s="18"/>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6"/>
      <c r="BW87" s="19"/>
      <c r="BX87" s="18"/>
      <c r="BY87" s="17"/>
      <c r="BZ87" s="20"/>
      <c r="CA87" s="20"/>
      <c r="CB87" s="16"/>
      <c r="CC87" s="16"/>
      <c r="CD87" s="16"/>
      <c r="CE87" s="16"/>
      <c r="CF87" s="16"/>
      <c r="CG87" s="16"/>
      <c r="CH87" s="16"/>
      <c r="CI87" s="17"/>
      <c r="CJ87" s="17"/>
      <c r="CK87" s="16"/>
      <c r="CL87" s="16"/>
      <c r="CM87" s="16"/>
      <c r="CN87" s="16"/>
      <c r="CO87" s="16"/>
      <c r="CP87" s="16"/>
      <c r="CQ87" s="16"/>
      <c r="CR87" s="16"/>
    </row>
    <row r="88" spans="1:96" ht="23.25" customHeight="1" x14ac:dyDescent="0.2">
      <c r="A88" s="16"/>
      <c r="B88" s="17"/>
      <c r="C88" s="16"/>
      <c r="D88" s="17"/>
      <c r="E88" s="16"/>
      <c r="F88" s="16"/>
      <c r="G88" s="16"/>
      <c r="H88" s="16"/>
      <c r="I88" s="16"/>
      <c r="J88" s="16"/>
      <c r="K88" s="16"/>
      <c r="L88" s="16"/>
      <c r="M88" s="16"/>
      <c r="N88" s="16"/>
      <c r="O88" s="16"/>
      <c r="P88" s="16"/>
      <c r="Q88" s="16"/>
      <c r="R88" s="16"/>
      <c r="S88" s="16"/>
      <c r="T88" s="17"/>
      <c r="U88" s="18"/>
      <c r="V88" s="18"/>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6"/>
      <c r="BW88" s="19"/>
      <c r="BX88" s="18"/>
      <c r="BY88" s="17"/>
      <c r="BZ88" s="20"/>
      <c r="CA88" s="20"/>
      <c r="CB88" s="16"/>
      <c r="CC88" s="16"/>
      <c r="CD88" s="16"/>
      <c r="CE88" s="16"/>
      <c r="CF88" s="16"/>
      <c r="CG88" s="16"/>
      <c r="CH88" s="16"/>
      <c r="CI88" s="17"/>
      <c r="CJ88" s="17"/>
      <c r="CK88" s="16"/>
      <c r="CL88" s="16"/>
      <c r="CM88" s="16"/>
      <c r="CN88" s="16"/>
      <c r="CO88" s="16"/>
      <c r="CP88" s="16"/>
      <c r="CQ88" s="16"/>
      <c r="CR88" s="16"/>
    </row>
    <row r="89" spans="1:96" ht="23.25" customHeight="1" x14ac:dyDescent="0.2">
      <c r="A89" s="16"/>
      <c r="B89" s="17"/>
      <c r="C89" s="16"/>
      <c r="D89" s="17"/>
      <c r="E89" s="16"/>
      <c r="F89" s="16"/>
      <c r="G89" s="16"/>
      <c r="H89" s="16"/>
      <c r="I89" s="16"/>
      <c r="J89" s="16"/>
      <c r="K89" s="16"/>
      <c r="L89" s="16"/>
      <c r="M89" s="16"/>
      <c r="N89" s="16"/>
      <c r="O89" s="16"/>
      <c r="P89" s="16"/>
      <c r="Q89" s="16"/>
      <c r="R89" s="16"/>
      <c r="S89" s="16"/>
      <c r="T89" s="17"/>
      <c r="U89" s="18"/>
      <c r="V89" s="18"/>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6"/>
      <c r="BW89" s="19"/>
      <c r="BX89" s="18"/>
      <c r="BY89" s="17"/>
      <c r="BZ89" s="20"/>
      <c r="CA89" s="20"/>
      <c r="CB89" s="16"/>
      <c r="CC89" s="16"/>
      <c r="CD89" s="16"/>
      <c r="CE89" s="16"/>
      <c r="CF89" s="16"/>
      <c r="CG89" s="16"/>
      <c r="CH89" s="16"/>
      <c r="CI89" s="17"/>
      <c r="CJ89" s="17"/>
      <c r="CK89" s="16"/>
      <c r="CL89" s="16"/>
      <c r="CM89" s="16"/>
      <c r="CN89" s="16"/>
      <c r="CO89" s="16"/>
      <c r="CP89" s="16"/>
      <c r="CQ89" s="16"/>
      <c r="CR89" s="16"/>
    </row>
    <row r="90" spans="1:96" ht="23.25" customHeight="1" x14ac:dyDescent="0.2">
      <c r="A90" s="16"/>
      <c r="B90" s="17"/>
      <c r="C90" s="16"/>
      <c r="D90" s="17"/>
      <c r="E90" s="16"/>
      <c r="F90" s="16"/>
      <c r="G90" s="16"/>
      <c r="H90" s="16"/>
      <c r="I90" s="16"/>
      <c r="J90" s="16"/>
      <c r="K90" s="16"/>
      <c r="L90" s="16"/>
      <c r="M90" s="16"/>
      <c r="N90" s="16"/>
      <c r="O90" s="16"/>
      <c r="P90" s="16"/>
      <c r="Q90" s="16"/>
      <c r="R90" s="16"/>
      <c r="S90" s="16"/>
      <c r="T90" s="17"/>
      <c r="U90" s="18"/>
      <c r="V90" s="18"/>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6"/>
      <c r="BW90" s="19"/>
      <c r="BX90" s="18"/>
      <c r="BY90" s="17"/>
      <c r="BZ90" s="20"/>
      <c r="CA90" s="20"/>
      <c r="CB90" s="16"/>
      <c r="CC90" s="16"/>
      <c r="CD90" s="16"/>
      <c r="CE90" s="16"/>
      <c r="CF90" s="16"/>
      <c r="CG90" s="16"/>
      <c r="CH90" s="16"/>
      <c r="CI90" s="17"/>
      <c r="CJ90" s="17"/>
      <c r="CK90" s="16"/>
      <c r="CL90" s="16"/>
      <c r="CM90" s="16"/>
      <c r="CN90" s="16"/>
      <c r="CO90" s="16"/>
      <c r="CP90" s="16"/>
      <c r="CQ90" s="16"/>
      <c r="CR90" s="16"/>
    </row>
    <row r="91" spans="1:96" ht="23.25" customHeight="1" x14ac:dyDescent="0.2">
      <c r="A91" s="16"/>
      <c r="B91" s="17"/>
      <c r="C91" s="16"/>
      <c r="D91" s="17"/>
      <c r="E91" s="16"/>
      <c r="F91" s="16"/>
      <c r="G91" s="16"/>
      <c r="H91" s="16"/>
      <c r="I91" s="16"/>
      <c r="J91" s="16"/>
      <c r="K91" s="16"/>
      <c r="L91" s="16"/>
      <c r="M91" s="16"/>
      <c r="N91" s="16"/>
      <c r="O91" s="16"/>
      <c r="P91" s="16"/>
      <c r="Q91" s="16"/>
      <c r="R91" s="16"/>
      <c r="S91" s="16"/>
      <c r="T91" s="17"/>
      <c r="U91" s="18"/>
      <c r="V91" s="18"/>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6"/>
      <c r="BW91" s="19"/>
      <c r="BX91" s="18"/>
      <c r="BY91" s="17"/>
      <c r="BZ91" s="20"/>
      <c r="CA91" s="20"/>
      <c r="CB91" s="16"/>
      <c r="CC91" s="16"/>
      <c r="CD91" s="16"/>
      <c r="CE91" s="16"/>
      <c r="CF91" s="16"/>
      <c r="CG91" s="16"/>
      <c r="CH91" s="16"/>
      <c r="CI91" s="17"/>
      <c r="CJ91" s="17"/>
      <c r="CK91" s="16"/>
      <c r="CL91" s="16"/>
      <c r="CM91" s="16"/>
      <c r="CN91" s="16"/>
      <c r="CO91" s="16"/>
      <c r="CP91" s="16"/>
      <c r="CQ91" s="16"/>
      <c r="CR91" s="16"/>
    </row>
    <row r="92" spans="1:96" ht="23.25" customHeight="1" x14ac:dyDescent="0.2">
      <c r="A92" s="16"/>
      <c r="B92" s="17"/>
      <c r="C92" s="16"/>
      <c r="D92" s="17"/>
      <c r="E92" s="16"/>
      <c r="F92" s="16"/>
      <c r="G92" s="16"/>
      <c r="H92" s="16"/>
      <c r="I92" s="16"/>
      <c r="J92" s="16"/>
      <c r="K92" s="16"/>
      <c r="L92" s="16"/>
      <c r="M92" s="16"/>
      <c r="N92" s="16"/>
      <c r="O92" s="16"/>
      <c r="P92" s="16"/>
      <c r="Q92" s="16"/>
      <c r="R92" s="16"/>
      <c r="S92" s="16"/>
      <c r="T92" s="17"/>
      <c r="U92" s="18"/>
      <c r="V92" s="18"/>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6"/>
      <c r="BW92" s="19"/>
      <c r="BX92" s="18"/>
      <c r="BY92" s="17"/>
      <c r="BZ92" s="20"/>
      <c r="CA92" s="20"/>
      <c r="CB92" s="16"/>
      <c r="CC92" s="16"/>
      <c r="CD92" s="16"/>
      <c r="CE92" s="16"/>
      <c r="CF92" s="16"/>
      <c r="CG92" s="16"/>
      <c r="CH92" s="16"/>
      <c r="CI92" s="17"/>
      <c r="CJ92" s="17"/>
      <c r="CK92" s="16"/>
      <c r="CL92" s="16"/>
      <c r="CM92" s="16"/>
      <c r="CN92" s="16"/>
      <c r="CO92" s="16"/>
      <c r="CP92" s="16"/>
      <c r="CQ92" s="16"/>
      <c r="CR92" s="16"/>
    </row>
    <row r="93" spans="1:96" ht="23.25" customHeight="1" x14ac:dyDescent="0.2">
      <c r="A93" s="16"/>
      <c r="B93" s="17"/>
      <c r="C93" s="16"/>
      <c r="D93" s="17"/>
      <c r="E93" s="16"/>
      <c r="F93" s="16"/>
      <c r="G93" s="16"/>
      <c r="H93" s="16"/>
      <c r="I93" s="16"/>
      <c r="J93" s="16"/>
      <c r="K93" s="16"/>
      <c r="L93" s="16"/>
      <c r="M93" s="16"/>
      <c r="N93" s="16"/>
      <c r="O93" s="16"/>
      <c r="P93" s="16"/>
      <c r="Q93" s="16"/>
      <c r="R93" s="16"/>
      <c r="S93" s="16"/>
      <c r="T93" s="17"/>
      <c r="U93" s="18"/>
      <c r="V93" s="18"/>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6"/>
      <c r="BW93" s="19"/>
      <c r="BX93" s="18"/>
      <c r="BY93" s="17"/>
      <c r="BZ93" s="20"/>
      <c r="CA93" s="20"/>
      <c r="CB93" s="16"/>
      <c r="CC93" s="16"/>
      <c r="CD93" s="16"/>
      <c r="CE93" s="16"/>
      <c r="CF93" s="16"/>
      <c r="CG93" s="16"/>
      <c r="CH93" s="16"/>
      <c r="CI93" s="17"/>
      <c r="CJ93" s="17"/>
      <c r="CK93" s="16"/>
      <c r="CL93" s="16"/>
      <c r="CM93" s="16"/>
      <c r="CN93" s="16"/>
      <c r="CO93" s="16"/>
      <c r="CP93" s="16"/>
      <c r="CQ93" s="16"/>
      <c r="CR93" s="16"/>
    </row>
    <row r="94" spans="1:96" ht="23.25" customHeight="1" x14ac:dyDescent="0.2">
      <c r="A94" s="16"/>
      <c r="B94" s="17"/>
      <c r="C94" s="16"/>
      <c r="D94" s="17"/>
      <c r="E94" s="16"/>
      <c r="F94" s="16"/>
      <c r="G94" s="16"/>
      <c r="H94" s="16"/>
      <c r="I94" s="16"/>
      <c r="J94" s="16"/>
      <c r="K94" s="16"/>
      <c r="L94" s="16"/>
      <c r="M94" s="16"/>
      <c r="N94" s="16"/>
      <c r="O94" s="16"/>
      <c r="P94" s="16"/>
      <c r="Q94" s="16"/>
      <c r="R94" s="16"/>
      <c r="S94" s="16"/>
      <c r="T94" s="17"/>
      <c r="U94" s="18"/>
      <c r="V94" s="18"/>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6"/>
      <c r="BW94" s="19"/>
      <c r="BX94" s="18"/>
      <c r="BY94" s="17"/>
      <c r="BZ94" s="20"/>
      <c r="CA94" s="20"/>
      <c r="CB94" s="16"/>
      <c r="CC94" s="16"/>
      <c r="CD94" s="16"/>
      <c r="CE94" s="16"/>
      <c r="CF94" s="16"/>
      <c r="CG94" s="16"/>
      <c r="CH94" s="16"/>
      <c r="CI94" s="17"/>
      <c r="CJ94" s="17"/>
      <c r="CK94" s="16"/>
      <c r="CL94" s="16"/>
      <c r="CM94" s="16"/>
      <c r="CN94" s="16"/>
      <c r="CO94" s="16"/>
      <c r="CP94" s="16"/>
      <c r="CQ94" s="16"/>
      <c r="CR94" s="16"/>
    </row>
    <row r="95" spans="1:96" ht="23.25" customHeight="1" x14ac:dyDescent="0.2">
      <c r="A95" s="16"/>
      <c r="B95" s="17"/>
      <c r="C95" s="16"/>
      <c r="D95" s="17"/>
      <c r="E95" s="16"/>
      <c r="F95" s="16"/>
      <c r="G95" s="16"/>
      <c r="H95" s="16"/>
      <c r="I95" s="16"/>
      <c r="J95" s="16"/>
      <c r="K95" s="16"/>
      <c r="L95" s="16"/>
      <c r="M95" s="16"/>
      <c r="N95" s="16"/>
      <c r="O95" s="16"/>
      <c r="P95" s="16"/>
      <c r="Q95" s="16"/>
      <c r="R95" s="16"/>
      <c r="S95" s="16"/>
      <c r="T95" s="17"/>
      <c r="U95" s="18"/>
      <c r="V95" s="18"/>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6"/>
      <c r="BW95" s="19"/>
      <c r="BX95" s="18"/>
      <c r="BY95" s="17"/>
      <c r="BZ95" s="20"/>
      <c r="CA95" s="20"/>
      <c r="CB95" s="16"/>
      <c r="CC95" s="16"/>
      <c r="CD95" s="16"/>
      <c r="CE95" s="16"/>
      <c r="CF95" s="16"/>
      <c r="CG95" s="16"/>
      <c r="CH95" s="16"/>
      <c r="CI95" s="17"/>
      <c r="CJ95" s="17"/>
      <c r="CK95" s="16"/>
      <c r="CL95" s="16"/>
      <c r="CM95" s="16"/>
      <c r="CN95" s="16"/>
      <c r="CO95" s="16"/>
      <c r="CP95" s="16"/>
      <c r="CQ95" s="16"/>
      <c r="CR95" s="16"/>
    </row>
    <row r="96" spans="1:96" ht="23.25" customHeight="1" x14ac:dyDescent="0.2">
      <c r="A96" s="16"/>
      <c r="B96" s="17"/>
      <c r="C96" s="16"/>
      <c r="D96" s="17"/>
      <c r="E96" s="16"/>
      <c r="F96" s="16"/>
      <c r="G96" s="16"/>
      <c r="H96" s="16"/>
      <c r="I96" s="16"/>
      <c r="J96" s="16"/>
      <c r="K96" s="16"/>
      <c r="L96" s="16"/>
      <c r="M96" s="16"/>
      <c r="N96" s="16"/>
      <c r="O96" s="16"/>
      <c r="P96" s="16"/>
      <c r="Q96" s="16"/>
      <c r="R96" s="16"/>
      <c r="S96" s="16"/>
      <c r="T96" s="17"/>
      <c r="U96" s="18"/>
      <c r="V96" s="18"/>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6"/>
      <c r="BW96" s="19"/>
      <c r="BX96" s="18"/>
      <c r="BY96" s="17"/>
      <c r="BZ96" s="20"/>
      <c r="CA96" s="20"/>
      <c r="CB96" s="16"/>
      <c r="CC96" s="16"/>
      <c r="CD96" s="16"/>
      <c r="CE96" s="16"/>
      <c r="CF96" s="16"/>
      <c r="CG96" s="16"/>
      <c r="CH96" s="16"/>
      <c r="CI96" s="17"/>
      <c r="CJ96" s="17"/>
      <c r="CK96" s="16"/>
      <c r="CL96" s="16"/>
      <c r="CM96" s="16"/>
      <c r="CN96" s="16"/>
      <c r="CO96" s="16"/>
      <c r="CP96" s="16"/>
      <c r="CQ96" s="16"/>
      <c r="CR96" s="16"/>
    </row>
    <row r="97" spans="1:96" ht="23.25" customHeight="1" x14ac:dyDescent="0.2">
      <c r="A97" s="16"/>
      <c r="B97" s="17"/>
      <c r="C97" s="16"/>
      <c r="D97" s="17"/>
      <c r="E97" s="16"/>
      <c r="F97" s="16"/>
      <c r="G97" s="16"/>
      <c r="H97" s="16"/>
      <c r="I97" s="16"/>
      <c r="J97" s="16"/>
      <c r="K97" s="16"/>
      <c r="L97" s="16"/>
      <c r="M97" s="16"/>
      <c r="N97" s="16"/>
      <c r="O97" s="16"/>
      <c r="P97" s="16"/>
      <c r="Q97" s="16"/>
      <c r="R97" s="16"/>
      <c r="S97" s="16"/>
      <c r="T97" s="17"/>
      <c r="U97" s="18"/>
      <c r="V97" s="18"/>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6"/>
      <c r="BW97" s="19"/>
      <c r="BX97" s="18"/>
      <c r="BY97" s="17"/>
      <c r="BZ97" s="20"/>
      <c r="CA97" s="20"/>
      <c r="CB97" s="16"/>
      <c r="CC97" s="16"/>
      <c r="CD97" s="16"/>
      <c r="CE97" s="16"/>
      <c r="CF97" s="16"/>
      <c r="CG97" s="16"/>
      <c r="CH97" s="16"/>
      <c r="CI97" s="17"/>
      <c r="CJ97" s="17"/>
      <c r="CK97" s="16"/>
      <c r="CL97" s="16"/>
      <c r="CM97" s="16"/>
      <c r="CN97" s="16"/>
      <c r="CO97" s="16"/>
      <c r="CP97" s="16"/>
      <c r="CQ97" s="16"/>
      <c r="CR97" s="16"/>
    </row>
    <row r="98" spans="1:96" ht="23.25" customHeight="1" x14ac:dyDescent="0.2">
      <c r="A98" s="16"/>
      <c r="B98" s="17"/>
      <c r="C98" s="16"/>
      <c r="D98" s="17"/>
      <c r="E98" s="16"/>
      <c r="F98" s="16"/>
      <c r="G98" s="16"/>
      <c r="H98" s="16"/>
      <c r="I98" s="16"/>
      <c r="J98" s="16"/>
      <c r="K98" s="16"/>
      <c r="L98" s="16"/>
      <c r="M98" s="16"/>
      <c r="N98" s="16"/>
      <c r="O98" s="16"/>
      <c r="P98" s="16"/>
      <c r="Q98" s="16"/>
      <c r="R98" s="16"/>
      <c r="S98" s="16"/>
      <c r="T98" s="17"/>
      <c r="U98" s="18"/>
      <c r="V98" s="18"/>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6"/>
      <c r="BW98" s="19"/>
      <c r="BX98" s="18"/>
      <c r="BY98" s="17"/>
      <c r="BZ98" s="20"/>
      <c r="CA98" s="20"/>
      <c r="CB98" s="16"/>
      <c r="CC98" s="16"/>
      <c r="CD98" s="16"/>
      <c r="CE98" s="16"/>
      <c r="CF98" s="16"/>
      <c r="CG98" s="16"/>
      <c r="CH98" s="16"/>
      <c r="CI98" s="17"/>
      <c r="CJ98" s="17"/>
      <c r="CK98" s="16"/>
      <c r="CL98" s="16"/>
      <c r="CM98" s="16"/>
      <c r="CN98" s="16"/>
      <c r="CO98" s="16"/>
      <c r="CP98" s="16"/>
      <c r="CQ98" s="16"/>
      <c r="CR98" s="16"/>
    </row>
    <row r="99" spans="1:96" ht="23.25" customHeight="1" x14ac:dyDescent="0.2">
      <c r="A99" s="16"/>
      <c r="B99" s="17"/>
      <c r="C99" s="16"/>
      <c r="D99" s="17"/>
      <c r="E99" s="16"/>
      <c r="F99" s="16"/>
      <c r="G99" s="16"/>
      <c r="H99" s="16"/>
      <c r="I99" s="16"/>
      <c r="J99" s="16"/>
      <c r="K99" s="16"/>
      <c r="L99" s="16"/>
      <c r="M99" s="16"/>
      <c r="N99" s="16"/>
      <c r="O99" s="16"/>
      <c r="P99" s="16"/>
      <c r="Q99" s="16"/>
      <c r="R99" s="16"/>
      <c r="S99" s="16"/>
      <c r="T99" s="17"/>
      <c r="U99" s="18"/>
      <c r="V99" s="18"/>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6"/>
      <c r="BW99" s="19"/>
      <c r="BX99" s="18"/>
      <c r="BY99" s="17"/>
      <c r="BZ99" s="20"/>
      <c r="CA99" s="20"/>
      <c r="CB99" s="16"/>
      <c r="CC99" s="16"/>
      <c r="CD99" s="16"/>
      <c r="CE99" s="16"/>
      <c r="CF99" s="16"/>
      <c r="CG99" s="16"/>
      <c r="CH99" s="16"/>
      <c r="CI99" s="17"/>
      <c r="CJ99" s="17"/>
      <c r="CK99" s="16"/>
      <c r="CL99" s="16"/>
      <c r="CM99" s="16"/>
      <c r="CN99" s="16"/>
      <c r="CO99" s="16"/>
      <c r="CP99" s="16"/>
      <c r="CQ99" s="16"/>
      <c r="CR99" s="16"/>
    </row>
    <row r="100" spans="1:96" ht="23.25" customHeight="1" x14ac:dyDescent="0.2">
      <c r="A100" s="16"/>
      <c r="B100" s="17"/>
      <c r="C100" s="16"/>
      <c r="D100" s="17"/>
      <c r="E100" s="16"/>
      <c r="F100" s="16"/>
      <c r="G100" s="16"/>
      <c r="H100" s="16"/>
      <c r="I100" s="16"/>
      <c r="J100" s="16"/>
      <c r="K100" s="16"/>
      <c r="L100" s="16"/>
      <c r="M100" s="16"/>
      <c r="N100" s="16"/>
      <c r="O100" s="16"/>
      <c r="P100" s="16"/>
      <c r="Q100" s="16"/>
      <c r="R100" s="16"/>
      <c r="S100" s="16"/>
      <c r="T100" s="17"/>
      <c r="U100" s="18"/>
      <c r="V100" s="18"/>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6"/>
      <c r="BW100" s="19"/>
      <c r="BX100" s="18"/>
      <c r="BY100" s="17"/>
      <c r="BZ100" s="20"/>
      <c r="CA100" s="20"/>
      <c r="CB100" s="16"/>
      <c r="CC100" s="16"/>
      <c r="CD100" s="16"/>
      <c r="CE100" s="16"/>
      <c r="CF100" s="16"/>
      <c r="CG100" s="16"/>
      <c r="CH100" s="16"/>
      <c r="CI100" s="17"/>
      <c r="CJ100" s="17"/>
      <c r="CK100" s="16"/>
      <c r="CL100" s="16"/>
      <c r="CM100" s="16"/>
      <c r="CN100" s="16"/>
      <c r="CO100" s="16"/>
      <c r="CP100" s="16"/>
      <c r="CQ100" s="16"/>
      <c r="CR100" s="16"/>
    </row>
    <row r="101" spans="1:96" ht="23.25" customHeight="1" x14ac:dyDescent="0.2">
      <c r="A101" s="16"/>
      <c r="B101" s="17"/>
      <c r="C101" s="16"/>
      <c r="D101" s="17"/>
      <c r="E101" s="16"/>
      <c r="F101" s="16"/>
      <c r="G101" s="16"/>
      <c r="H101" s="16"/>
      <c r="I101" s="16"/>
      <c r="J101" s="16"/>
      <c r="K101" s="16"/>
      <c r="L101" s="16"/>
      <c r="M101" s="16"/>
      <c r="N101" s="16"/>
      <c r="O101" s="16"/>
      <c r="P101" s="16"/>
      <c r="Q101" s="16"/>
      <c r="R101" s="16"/>
      <c r="S101" s="16"/>
      <c r="T101" s="17"/>
      <c r="U101" s="18"/>
      <c r="V101" s="18"/>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6"/>
      <c r="BW101" s="19"/>
      <c r="BX101" s="18"/>
      <c r="BY101" s="17"/>
      <c r="BZ101" s="20"/>
      <c r="CA101" s="20"/>
      <c r="CB101" s="16"/>
      <c r="CC101" s="16"/>
      <c r="CD101" s="16"/>
      <c r="CE101" s="16"/>
      <c r="CF101" s="16"/>
      <c r="CG101" s="16"/>
      <c r="CH101" s="16"/>
      <c r="CI101" s="17"/>
      <c r="CJ101" s="17"/>
      <c r="CK101" s="16"/>
      <c r="CL101" s="16"/>
      <c r="CM101" s="16"/>
      <c r="CN101" s="16"/>
      <c r="CO101" s="16"/>
      <c r="CP101" s="16"/>
      <c r="CQ101" s="16"/>
      <c r="CR101" s="16"/>
    </row>
    <row r="102" spans="1:96" ht="23.25" customHeight="1" x14ac:dyDescent="0.2">
      <c r="A102" s="16"/>
      <c r="B102" s="17"/>
      <c r="C102" s="16"/>
      <c r="D102" s="17"/>
      <c r="E102" s="16"/>
      <c r="F102" s="16"/>
      <c r="G102" s="16"/>
      <c r="H102" s="16"/>
      <c r="I102" s="16"/>
      <c r="J102" s="16"/>
      <c r="K102" s="16"/>
      <c r="L102" s="16"/>
      <c r="M102" s="16"/>
      <c r="N102" s="16"/>
      <c r="O102" s="16"/>
      <c r="P102" s="16"/>
      <c r="Q102" s="16"/>
      <c r="R102" s="16"/>
      <c r="S102" s="16"/>
      <c r="T102" s="17"/>
      <c r="U102" s="18"/>
      <c r="V102" s="18"/>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6"/>
      <c r="BW102" s="19"/>
      <c r="BX102" s="18"/>
      <c r="BY102" s="17"/>
      <c r="BZ102" s="20"/>
      <c r="CA102" s="20"/>
      <c r="CB102" s="16"/>
      <c r="CC102" s="16"/>
      <c r="CD102" s="16"/>
      <c r="CE102" s="16"/>
      <c r="CF102" s="16"/>
      <c r="CG102" s="16"/>
      <c r="CH102" s="16"/>
      <c r="CI102" s="17"/>
      <c r="CJ102" s="17"/>
      <c r="CK102" s="16"/>
      <c r="CL102" s="16"/>
      <c r="CM102" s="16"/>
      <c r="CN102" s="16"/>
      <c r="CO102" s="16"/>
      <c r="CP102" s="16"/>
      <c r="CQ102" s="16"/>
      <c r="CR102" s="16"/>
    </row>
    <row r="103" spans="1:96" ht="23.25" customHeight="1" x14ac:dyDescent="0.2">
      <c r="A103" s="16"/>
      <c r="B103" s="17"/>
      <c r="C103" s="16"/>
      <c r="D103" s="17"/>
      <c r="E103" s="16"/>
      <c r="F103" s="16"/>
      <c r="G103" s="16"/>
      <c r="H103" s="16"/>
      <c r="I103" s="16"/>
      <c r="J103" s="16"/>
      <c r="K103" s="16"/>
      <c r="L103" s="16"/>
      <c r="M103" s="16"/>
      <c r="N103" s="16"/>
      <c r="O103" s="16"/>
      <c r="P103" s="16"/>
      <c r="Q103" s="16"/>
      <c r="R103" s="16"/>
      <c r="S103" s="16"/>
      <c r="T103" s="17"/>
      <c r="U103" s="18"/>
      <c r="V103" s="18"/>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6"/>
      <c r="BW103" s="19"/>
      <c r="BX103" s="18"/>
      <c r="BY103" s="17"/>
      <c r="BZ103" s="20"/>
      <c r="CA103" s="20"/>
      <c r="CB103" s="16"/>
      <c r="CC103" s="16"/>
      <c r="CD103" s="16"/>
      <c r="CE103" s="16"/>
      <c r="CF103" s="16"/>
      <c r="CG103" s="16"/>
      <c r="CH103" s="16"/>
      <c r="CI103" s="17"/>
      <c r="CJ103" s="17"/>
      <c r="CK103" s="16"/>
      <c r="CL103" s="16"/>
      <c r="CM103" s="16"/>
      <c r="CN103" s="16"/>
      <c r="CO103" s="16"/>
      <c r="CP103" s="16"/>
      <c r="CQ103" s="16"/>
      <c r="CR103" s="16"/>
    </row>
    <row r="104" spans="1:96" ht="23.25" customHeight="1" x14ac:dyDescent="0.2">
      <c r="A104" s="16"/>
      <c r="B104" s="17"/>
      <c r="C104" s="16"/>
      <c r="D104" s="17"/>
      <c r="E104" s="16"/>
      <c r="F104" s="16"/>
      <c r="G104" s="16"/>
      <c r="H104" s="16"/>
      <c r="I104" s="16"/>
      <c r="J104" s="16"/>
      <c r="K104" s="16"/>
      <c r="L104" s="16"/>
      <c r="M104" s="16"/>
      <c r="N104" s="16"/>
      <c r="O104" s="16"/>
      <c r="P104" s="16"/>
      <c r="Q104" s="16"/>
      <c r="R104" s="16"/>
      <c r="S104" s="16"/>
      <c r="T104" s="17"/>
      <c r="U104" s="18"/>
      <c r="V104" s="18"/>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6"/>
      <c r="BW104" s="19"/>
      <c r="BX104" s="18"/>
      <c r="BY104" s="17"/>
      <c r="BZ104" s="20"/>
      <c r="CA104" s="20"/>
      <c r="CB104" s="16"/>
      <c r="CC104" s="16"/>
      <c r="CD104" s="16"/>
      <c r="CE104" s="16"/>
      <c r="CF104" s="16"/>
      <c r="CG104" s="16"/>
      <c r="CH104" s="16"/>
      <c r="CI104" s="17"/>
      <c r="CJ104" s="17"/>
      <c r="CK104" s="16"/>
      <c r="CL104" s="16"/>
      <c r="CM104" s="16"/>
      <c r="CN104" s="16"/>
      <c r="CO104" s="16"/>
      <c r="CP104" s="16"/>
      <c r="CQ104" s="16"/>
      <c r="CR104" s="16"/>
    </row>
    <row r="105" spans="1:96" ht="23.25" customHeight="1" x14ac:dyDescent="0.2">
      <c r="A105" s="16"/>
      <c r="B105" s="17"/>
      <c r="C105" s="16"/>
      <c r="D105" s="17"/>
      <c r="E105" s="16"/>
      <c r="F105" s="16"/>
      <c r="G105" s="16"/>
      <c r="H105" s="16"/>
      <c r="I105" s="16"/>
      <c r="J105" s="16"/>
      <c r="K105" s="16"/>
      <c r="L105" s="16"/>
      <c r="M105" s="16"/>
      <c r="N105" s="16"/>
      <c r="O105" s="16"/>
      <c r="P105" s="16"/>
      <c r="Q105" s="16"/>
      <c r="R105" s="16"/>
      <c r="S105" s="16"/>
      <c r="T105" s="17"/>
      <c r="U105" s="18"/>
      <c r="V105" s="18"/>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6"/>
      <c r="BW105" s="19"/>
      <c r="BX105" s="18"/>
      <c r="BY105" s="17"/>
      <c r="BZ105" s="20"/>
      <c r="CA105" s="20"/>
      <c r="CB105" s="16"/>
      <c r="CC105" s="16"/>
      <c r="CD105" s="16"/>
      <c r="CE105" s="16"/>
      <c r="CF105" s="16"/>
      <c r="CG105" s="16"/>
      <c r="CH105" s="16"/>
      <c r="CI105" s="17"/>
      <c r="CJ105" s="17"/>
      <c r="CK105" s="16"/>
      <c r="CL105" s="16"/>
      <c r="CM105" s="16"/>
      <c r="CN105" s="16"/>
      <c r="CO105" s="16"/>
      <c r="CP105" s="16"/>
      <c r="CQ105" s="16"/>
      <c r="CR105" s="16"/>
    </row>
    <row r="106" spans="1:96" ht="23.25" customHeight="1" x14ac:dyDescent="0.2">
      <c r="A106" s="16"/>
      <c r="B106" s="17"/>
      <c r="C106" s="16"/>
      <c r="D106" s="17"/>
      <c r="E106" s="16"/>
      <c r="F106" s="16"/>
      <c r="G106" s="16"/>
      <c r="H106" s="16"/>
      <c r="I106" s="16"/>
      <c r="J106" s="16"/>
      <c r="K106" s="16"/>
      <c r="L106" s="16"/>
      <c r="M106" s="16"/>
      <c r="N106" s="16"/>
      <c r="O106" s="16"/>
      <c r="P106" s="16"/>
      <c r="Q106" s="16"/>
      <c r="R106" s="16"/>
      <c r="S106" s="16"/>
      <c r="T106" s="17"/>
      <c r="U106" s="18"/>
      <c r="V106" s="18"/>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6"/>
      <c r="BW106" s="19"/>
      <c r="BX106" s="18"/>
      <c r="BY106" s="17"/>
      <c r="BZ106" s="20"/>
      <c r="CA106" s="20"/>
      <c r="CB106" s="16"/>
      <c r="CC106" s="16"/>
      <c r="CD106" s="16"/>
      <c r="CE106" s="16"/>
      <c r="CF106" s="16"/>
      <c r="CG106" s="16"/>
      <c r="CH106" s="16"/>
      <c r="CI106" s="17"/>
      <c r="CJ106" s="17"/>
      <c r="CK106" s="16"/>
      <c r="CL106" s="16"/>
      <c r="CM106" s="16"/>
      <c r="CN106" s="16"/>
      <c r="CO106" s="16"/>
      <c r="CP106" s="16"/>
      <c r="CQ106" s="16"/>
      <c r="CR106" s="16"/>
    </row>
    <row r="107" spans="1:96" ht="23.25" customHeight="1" x14ac:dyDescent="0.2">
      <c r="A107" s="16"/>
      <c r="B107" s="17"/>
      <c r="C107" s="16"/>
      <c r="D107" s="17"/>
      <c r="E107" s="16"/>
      <c r="F107" s="16"/>
      <c r="G107" s="16"/>
      <c r="H107" s="16"/>
      <c r="I107" s="16"/>
      <c r="J107" s="16"/>
      <c r="K107" s="16"/>
      <c r="L107" s="16"/>
      <c r="M107" s="16"/>
      <c r="N107" s="16"/>
      <c r="O107" s="16"/>
      <c r="P107" s="16"/>
      <c r="Q107" s="16"/>
      <c r="R107" s="16"/>
      <c r="S107" s="16"/>
      <c r="T107" s="17"/>
      <c r="U107" s="18"/>
      <c r="V107" s="18"/>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6"/>
      <c r="BW107" s="19"/>
      <c r="BX107" s="18"/>
      <c r="BY107" s="17"/>
      <c r="BZ107" s="20"/>
      <c r="CA107" s="20"/>
      <c r="CB107" s="16"/>
      <c r="CC107" s="16"/>
      <c r="CD107" s="16"/>
      <c r="CE107" s="16"/>
      <c r="CF107" s="16"/>
      <c r="CG107" s="16"/>
      <c r="CH107" s="16"/>
      <c r="CI107" s="17"/>
      <c r="CJ107" s="17"/>
      <c r="CK107" s="16"/>
      <c r="CL107" s="16"/>
      <c r="CM107" s="16"/>
      <c r="CN107" s="16"/>
      <c r="CO107" s="16"/>
      <c r="CP107" s="16"/>
      <c r="CQ107" s="16"/>
      <c r="CR107" s="16"/>
    </row>
    <row r="108" spans="1:96" ht="23.25" customHeight="1" x14ac:dyDescent="0.2">
      <c r="A108" s="16"/>
      <c r="B108" s="17"/>
      <c r="C108" s="16"/>
      <c r="D108" s="17"/>
      <c r="E108" s="16"/>
      <c r="F108" s="16"/>
      <c r="G108" s="16"/>
      <c r="H108" s="16"/>
      <c r="I108" s="16"/>
      <c r="J108" s="16"/>
      <c r="K108" s="16"/>
      <c r="L108" s="16"/>
      <c r="M108" s="16"/>
      <c r="N108" s="16"/>
      <c r="O108" s="16"/>
      <c r="P108" s="16"/>
      <c r="Q108" s="16"/>
      <c r="R108" s="16"/>
      <c r="S108" s="16"/>
      <c r="T108" s="17"/>
      <c r="U108" s="18"/>
      <c r="V108" s="18"/>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6"/>
      <c r="BW108" s="19"/>
      <c r="BX108" s="18"/>
      <c r="BY108" s="17"/>
      <c r="BZ108" s="20"/>
      <c r="CA108" s="20"/>
      <c r="CB108" s="16"/>
      <c r="CC108" s="16"/>
      <c r="CD108" s="16"/>
      <c r="CE108" s="16"/>
      <c r="CF108" s="16"/>
      <c r="CG108" s="16"/>
      <c r="CH108" s="16"/>
      <c r="CI108" s="17"/>
      <c r="CJ108" s="17"/>
      <c r="CK108" s="16"/>
      <c r="CL108" s="16"/>
      <c r="CM108" s="16"/>
      <c r="CN108" s="16"/>
      <c r="CO108" s="16"/>
      <c r="CP108" s="16"/>
      <c r="CQ108" s="16"/>
      <c r="CR108" s="16"/>
    </row>
    <row r="109" spans="1:96" ht="23.25" customHeight="1" x14ac:dyDescent="0.2">
      <c r="A109" s="16"/>
      <c r="B109" s="17"/>
      <c r="C109" s="16"/>
      <c r="D109" s="17"/>
      <c r="E109" s="16"/>
      <c r="F109" s="16"/>
      <c r="G109" s="16"/>
      <c r="H109" s="16"/>
      <c r="I109" s="16"/>
      <c r="J109" s="16"/>
      <c r="K109" s="16"/>
      <c r="L109" s="16"/>
      <c r="M109" s="16"/>
      <c r="N109" s="16"/>
      <c r="O109" s="16"/>
      <c r="P109" s="16"/>
      <c r="Q109" s="16"/>
      <c r="R109" s="16"/>
      <c r="S109" s="16"/>
      <c r="T109" s="17"/>
      <c r="U109" s="18"/>
      <c r="V109" s="18"/>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6"/>
      <c r="BW109" s="19"/>
      <c r="BX109" s="18"/>
      <c r="BY109" s="17"/>
      <c r="BZ109" s="20"/>
      <c r="CA109" s="20"/>
      <c r="CB109" s="16"/>
      <c r="CC109" s="16"/>
      <c r="CD109" s="16"/>
      <c r="CE109" s="16"/>
      <c r="CF109" s="16"/>
      <c r="CG109" s="16"/>
      <c r="CH109" s="16"/>
      <c r="CI109" s="17"/>
      <c r="CJ109" s="17"/>
      <c r="CK109" s="16"/>
      <c r="CL109" s="16"/>
      <c r="CM109" s="16"/>
      <c r="CN109" s="16"/>
      <c r="CO109" s="16"/>
      <c r="CP109" s="16"/>
      <c r="CQ109" s="16"/>
      <c r="CR109" s="16"/>
    </row>
    <row r="110" spans="1:96" ht="23.25" customHeight="1" x14ac:dyDescent="0.2">
      <c r="A110" s="16"/>
      <c r="B110" s="17"/>
      <c r="C110" s="16"/>
      <c r="D110" s="17"/>
      <c r="E110" s="16"/>
      <c r="F110" s="16"/>
      <c r="G110" s="16"/>
      <c r="H110" s="16"/>
      <c r="I110" s="16"/>
      <c r="J110" s="16"/>
      <c r="K110" s="16"/>
      <c r="L110" s="16"/>
      <c r="M110" s="16"/>
      <c r="N110" s="16"/>
      <c r="O110" s="16"/>
      <c r="P110" s="16"/>
      <c r="Q110" s="16"/>
      <c r="R110" s="16"/>
      <c r="S110" s="16"/>
      <c r="T110" s="17"/>
      <c r="U110" s="18"/>
      <c r="V110" s="18"/>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6"/>
      <c r="BW110" s="19"/>
      <c r="BX110" s="18"/>
      <c r="BY110" s="17"/>
      <c r="BZ110" s="20"/>
      <c r="CA110" s="20"/>
      <c r="CB110" s="16"/>
      <c r="CC110" s="16"/>
      <c r="CD110" s="16"/>
      <c r="CE110" s="16"/>
      <c r="CF110" s="16"/>
      <c r="CG110" s="16"/>
      <c r="CH110" s="16"/>
      <c r="CI110" s="17"/>
      <c r="CJ110" s="17"/>
      <c r="CK110" s="16"/>
      <c r="CL110" s="16"/>
      <c r="CM110" s="16"/>
      <c r="CN110" s="16"/>
      <c r="CO110" s="16"/>
      <c r="CP110" s="16"/>
      <c r="CQ110" s="16"/>
      <c r="CR110" s="16"/>
    </row>
    <row r="111" spans="1:96" ht="23.25" customHeight="1" x14ac:dyDescent="0.2">
      <c r="A111" s="16"/>
      <c r="B111" s="17"/>
      <c r="C111" s="16"/>
      <c r="D111" s="17"/>
      <c r="E111" s="16"/>
      <c r="F111" s="16"/>
      <c r="G111" s="16"/>
      <c r="H111" s="16"/>
      <c r="I111" s="16"/>
      <c r="J111" s="16"/>
      <c r="K111" s="16"/>
      <c r="L111" s="16"/>
      <c r="M111" s="16"/>
      <c r="N111" s="16"/>
      <c r="O111" s="16"/>
      <c r="P111" s="16"/>
      <c r="Q111" s="16"/>
      <c r="R111" s="16"/>
      <c r="S111" s="16"/>
      <c r="T111" s="17"/>
      <c r="U111" s="18"/>
      <c r="V111" s="18"/>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6"/>
      <c r="BW111" s="19"/>
      <c r="BX111" s="18"/>
      <c r="BY111" s="17"/>
      <c r="BZ111" s="20"/>
      <c r="CA111" s="20"/>
      <c r="CB111" s="16"/>
      <c r="CC111" s="16"/>
      <c r="CD111" s="16"/>
      <c r="CE111" s="16"/>
      <c r="CF111" s="16"/>
      <c r="CG111" s="16"/>
      <c r="CH111" s="16"/>
      <c r="CI111" s="17"/>
      <c r="CJ111" s="17"/>
      <c r="CK111" s="16"/>
      <c r="CL111" s="16"/>
      <c r="CM111" s="16"/>
      <c r="CN111" s="16"/>
      <c r="CO111" s="16"/>
      <c r="CP111" s="16"/>
      <c r="CQ111" s="16"/>
      <c r="CR111" s="16"/>
    </row>
    <row r="112" spans="1:96" ht="23.25" customHeight="1" x14ac:dyDescent="0.2">
      <c r="A112" s="16"/>
      <c r="B112" s="17"/>
      <c r="C112" s="16"/>
      <c r="D112" s="17"/>
      <c r="E112" s="16"/>
      <c r="F112" s="16"/>
      <c r="G112" s="16"/>
      <c r="H112" s="16"/>
      <c r="I112" s="16"/>
      <c r="J112" s="16"/>
      <c r="K112" s="16"/>
      <c r="L112" s="16"/>
      <c r="M112" s="16"/>
      <c r="N112" s="16"/>
      <c r="O112" s="16"/>
      <c r="P112" s="16"/>
      <c r="Q112" s="16"/>
      <c r="R112" s="16"/>
      <c r="S112" s="16"/>
      <c r="T112" s="17"/>
      <c r="U112" s="18"/>
      <c r="V112" s="18"/>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6"/>
      <c r="BW112" s="19"/>
      <c r="BX112" s="18"/>
      <c r="BY112" s="17"/>
      <c r="BZ112" s="20"/>
      <c r="CA112" s="20"/>
      <c r="CB112" s="16"/>
      <c r="CC112" s="16"/>
      <c r="CD112" s="16"/>
      <c r="CE112" s="16"/>
      <c r="CF112" s="16"/>
      <c r="CG112" s="16"/>
      <c r="CH112" s="16"/>
      <c r="CI112" s="17"/>
      <c r="CJ112" s="17"/>
      <c r="CK112" s="16"/>
      <c r="CL112" s="16"/>
      <c r="CM112" s="16"/>
      <c r="CN112" s="16"/>
      <c r="CO112" s="16"/>
      <c r="CP112" s="16"/>
      <c r="CQ112" s="16"/>
      <c r="CR112" s="16"/>
    </row>
    <row r="113" spans="1:96" ht="23.25" customHeight="1" x14ac:dyDescent="0.2">
      <c r="A113" s="16"/>
      <c r="B113" s="17"/>
      <c r="C113" s="16"/>
      <c r="D113" s="17"/>
      <c r="E113" s="16"/>
      <c r="F113" s="16"/>
      <c r="G113" s="16"/>
      <c r="H113" s="16"/>
      <c r="I113" s="16"/>
      <c r="J113" s="16"/>
      <c r="K113" s="16"/>
      <c r="L113" s="16"/>
      <c r="M113" s="16"/>
      <c r="N113" s="16"/>
      <c r="O113" s="16"/>
      <c r="P113" s="16"/>
      <c r="Q113" s="16"/>
      <c r="R113" s="16"/>
      <c r="S113" s="16"/>
      <c r="T113" s="17"/>
      <c r="U113" s="18"/>
      <c r="V113" s="18"/>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6"/>
      <c r="BW113" s="19"/>
      <c r="BX113" s="18"/>
      <c r="BY113" s="17"/>
      <c r="BZ113" s="20"/>
      <c r="CA113" s="20"/>
      <c r="CB113" s="16"/>
      <c r="CC113" s="16"/>
      <c r="CD113" s="16"/>
      <c r="CE113" s="16"/>
      <c r="CF113" s="16"/>
      <c r="CG113" s="16"/>
      <c r="CH113" s="16"/>
      <c r="CI113" s="17"/>
      <c r="CJ113" s="17"/>
      <c r="CK113" s="16"/>
      <c r="CL113" s="16"/>
      <c r="CM113" s="16"/>
      <c r="CN113" s="16"/>
      <c r="CO113" s="16"/>
      <c r="CP113" s="16"/>
      <c r="CQ113" s="16"/>
      <c r="CR113" s="16"/>
    </row>
    <row r="114" spans="1:96" ht="23.25" customHeight="1" x14ac:dyDescent="0.2">
      <c r="A114" s="16"/>
      <c r="B114" s="17"/>
      <c r="C114" s="16"/>
      <c r="D114" s="17"/>
      <c r="E114" s="16"/>
      <c r="F114" s="16"/>
      <c r="G114" s="16"/>
      <c r="H114" s="16"/>
      <c r="I114" s="16"/>
      <c r="J114" s="16"/>
      <c r="K114" s="16"/>
      <c r="L114" s="16"/>
      <c r="M114" s="16"/>
      <c r="N114" s="16"/>
      <c r="O114" s="16"/>
      <c r="P114" s="16"/>
      <c r="Q114" s="16"/>
      <c r="R114" s="16"/>
      <c r="S114" s="16"/>
      <c r="T114" s="17"/>
      <c r="U114" s="18"/>
      <c r="V114" s="18"/>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6"/>
      <c r="BW114" s="19"/>
      <c r="BX114" s="18"/>
      <c r="BY114" s="17"/>
      <c r="BZ114" s="20"/>
      <c r="CA114" s="20"/>
      <c r="CB114" s="16"/>
      <c r="CC114" s="16"/>
      <c r="CD114" s="16"/>
      <c r="CE114" s="16"/>
      <c r="CF114" s="16"/>
      <c r="CG114" s="16"/>
      <c r="CH114" s="16"/>
      <c r="CI114" s="17"/>
      <c r="CJ114" s="17"/>
      <c r="CK114" s="16"/>
      <c r="CL114" s="16"/>
      <c r="CM114" s="16"/>
      <c r="CN114" s="16"/>
      <c r="CO114" s="16"/>
      <c r="CP114" s="16"/>
      <c r="CQ114" s="16"/>
      <c r="CR114" s="16"/>
    </row>
    <row r="115" spans="1:96" ht="23.25" customHeight="1" x14ac:dyDescent="0.2">
      <c r="A115" s="16"/>
      <c r="B115" s="17"/>
      <c r="C115" s="16"/>
      <c r="D115" s="17"/>
      <c r="E115" s="16"/>
      <c r="F115" s="16"/>
      <c r="G115" s="16"/>
      <c r="H115" s="16"/>
      <c r="I115" s="16"/>
      <c r="J115" s="16"/>
      <c r="K115" s="16"/>
      <c r="L115" s="16"/>
      <c r="M115" s="16"/>
      <c r="N115" s="16"/>
      <c r="O115" s="16"/>
      <c r="P115" s="16"/>
      <c r="Q115" s="16"/>
      <c r="R115" s="16"/>
      <c r="S115" s="16"/>
      <c r="T115" s="17"/>
      <c r="U115" s="18"/>
      <c r="V115" s="18"/>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6"/>
      <c r="BW115" s="19"/>
      <c r="BX115" s="18"/>
      <c r="BY115" s="17"/>
      <c r="BZ115" s="20"/>
      <c r="CA115" s="20"/>
      <c r="CB115" s="16"/>
      <c r="CC115" s="16"/>
      <c r="CD115" s="16"/>
      <c r="CE115" s="16"/>
      <c r="CF115" s="16"/>
      <c r="CG115" s="16"/>
      <c r="CH115" s="16"/>
      <c r="CI115" s="17"/>
      <c r="CJ115" s="17"/>
      <c r="CK115" s="16"/>
      <c r="CL115" s="16"/>
      <c r="CM115" s="16"/>
      <c r="CN115" s="16"/>
      <c r="CO115" s="16"/>
      <c r="CP115" s="16"/>
      <c r="CQ115" s="16"/>
      <c r="CR115" s="16"/>
    </row>
    <row r="116" spans="1:96" ht="23.25" customHeight="1" x14ac:dyDescent="0.2">
      <c r="A116" s="16"/>
      <c r="B116" s="17"/>
      <c r="C116" s="16"/>
      <c r="D116" s="17"/>
      <c r="E116" s="16"/>
      <c r="F116" s="16"/>
      <c r="G116" s="16"/>
      <c r="H116" s="16"/>
      <c r="I116" s="16"/>
      <c r="J116" s="16"/>
      <c r="K116" s="16"/>
      <c r="L116" s="16"/>
      <c r="M116" s="16"/>
      <c r="N116" s="16"/>
      <c r="O116" s="16"/>
      <c r="P116" s="16"/>
      <c r="Q116" s="16"/>
      <c r="R116" s="16"/>
      <c r="S116" s="16"/>
      <c r="T116" s="17"/>
      <c r="U116" s="18"/>
      <c r="V116" s="18"/>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6"/>
      <c r="BW116" s="19"/>
      <c r="BX116" s="18"/>
      <c r="BY116" s="17"/>
      <c r="BZ116" s="20"/>
      <c r="CA116" s="20"/>
      <c r="CB116" s="16"/>
      <c r="CC116" s="16"/>
      <c r="CD116" s="16"/>
      <c r="CE116" s="16"/>
      <c r="CF116" s="16"/>
      <c r="CG116" s="16"/>
      <c r="CH116" s="16"/>
      <c r="CI116" s="17"/>
      <c r="CJ116" s="17"/>
      <c r="CK116" s="16"/>
      <c r="CL116" s="16"/>
      <c r="CM116" s="16"/>
      <c r="CN116" s="16"/>
      <c r="CO116" s="16"/>
      <c r="CP116" s="16"/>
      <c r="CQ116" s="16"/>
      <c r="CR116" s="16"/>
    </row>
    <row r="117" spans="1:96" ht="23.25" customHeight="1" x14ac:dyDescent="0.2">
      <c r="A117" s="16"/>
      <c r="B117" s="17"/>
      <c r="C117" s="16"/>
      <c r="D117" s="17"/>
      <c r="E117" s="16"/>
      <c r="F117" s="16"/>
      <c r="G117" s="16"/>
      <c r="H117" s="16"/>
      <c r="I117" s="16"/>
      <c r="J117" s="16"/>
      <c r="K117" s="16"/>
      <c r="L117" s="16"/>
      <c r="M117" s="16"/>
      <c r="N117" s="16"/>
      <c r="O117" s="16"/>
      <c r="P117" s="16"/>
      <c r="Q117" s="16"/>
      <c r="R117" s="16"/>
      <c r="S117" s="16"/>
      <c r="T117" s="17"/>
      <c r="U117" s="18"/>
      <c r="V117" s="18"/>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6"/>
      <c r="BW117" s="19"/>
      <c r="BX117" s="18"/>
      <c r="BY117" s="17"/>
      <c r="BZ117" s="20"/>
      <c r="CA117" s="20"/>
      <c r="CB117" s="16"/>
      <c r="CC117" s="16"/>
      <c r="CD117" s="16"/>
      <c r="CE117" s="16"/>
      <c r="CF117" s="16"/>
      <c r="CG117" s="16"/>
      <c r="CH117" s="16"/>
      <c r="CI117" s="17"/>
      <c r="CJ117" s="17"/>
      <c r="CK117" s="16"/>
      <c r="CL117" s="16"/>
      <c r="CM117" s="16"/>
      <c r="CN117" s="16"/>
      <c r="CO117" s="16"/>
      <c r="CP117" s="16"/>
      <c r="CQ117" s="16"/>
      <c r="CR117" s="16"/>
    </row>
    <row r="118" spans="1:96" ht="23.25" customHeight="1" x14ac:dyDescent="0.2">
      <c r="A118" s="16"/>
      <c r="B118" s="17"/>
      <c r="C118" s="16"/>
      <c r="D118" s="17"/>
      <c r="E118" s="16"/>
      <c r="F118" s="16"/>
      <c r="G118" s="16"/>
      <c r="H118" s="16"/>
      <c r="I118" s="16"/>
      <c r="J118" s="16"/>
      <c r="K118" s="16"/>
      <c r="L118" s="16"/>
      <c r="M118" s="16"/>
      <c r="N118" s="16"/>
      <c r="O118" s="16"/>
      <c r="P118" s="16"/>
      <c r="Q118" s="16"/>
      <c r="R118" s="16"/>
      <c r="S118" s="16"/>
      <c r="T118" s="17"/>
      <c r="U118" s="18"/>
      <c r="V118" s="18"/>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6"/>
      <c r="BW118" s="19"/>
      <c r="BX118" s="18"/>
      <c r="BY118" s="17"/>
      <c r="BZ118" s="20"/>
      <c r="CA118" s="20"/>
      <c r="CB118" s="16"/>
      <c r="CC118" s="16"/>
      <c r="CD118" s="16"/>
      <c r="CE118" s="16"/>
      <c r="CF118" s="16"/>
      <c r="CG118" s="16"/>
      <c r="CH118" s="16"/>
      <c r="CI118" s="17"/>
      <c r="CJ118" s="17"/>
      <c r="CK118" s="16"/>
      <c r="CL118" s="16"/>
      <c r="CM118" s="16"/>
      <c r="CN118" s="16"/>
      <c r="CO118" s="16"/>
      <c r="CP118" s="16"/>
      <c r="CQ118" s="16"/>
      <c r="CR118" s="16"/>
    </row>
    <row r="119" spans="1:96" ht="23.25" customHeight="1" x14ac:dyDescent="0.2">
      <c r="A119" s="16"/>
      <c r="B119" s="17"/>
      <c r="C119" s="16"/>
      <c r="D119" s="17"/>
      <c r="E119" s="16"/>
      <c r="F119" s="16"/>
      <c r="G119" s="16"/>
      <c r="H119" s="16"/>
      <c r="I119" s="16"/>
      <c r="J119" s="16"/>
      <c r="K119" s="16"/>
      <c r="L119" s="16"/>
      <c r="M119" s="16"/>
      <c r="N119" s="16"/>
      <c r="O119" s="16"/>
      <c r="P119" s="16"/>
      <c r="Q119" s="16"/>
      <c r="R119" s="16"/>
      <c r="S119" s="16"/>
      <c r="T119" s="17"/>
      <c r="U119" s="18"/>
      <c r="V119" s="18"/>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6"/>
      <c r="BW119" s="19"/>
      <c r="BX119" s="18"/>
      <c r="BY119" s="17"/>
      <c r="BZ119" s="20"/>
      <c r="CA119" s="20"/>
      <c r="CB119" s="16"/>
      <c r="CC119" s="16"/>
      <c r="CD119" s="16"/>
      <c r="CE119" s="16"/>
      <c r="CF119" s="16"/>
      <c r="CG119" s="16"/>
      <c r="CH119" s="16"/>
      <c r="CI119" s="17"/>
      <c r="CJ119" s="17"/>
      <c r="CK119" s="16"/>
      <c r="CL119" s="16"/>
      <c r="CM119" s="16"/>
      <c r="CN119" s="16"/>
      <c r="CO119" s="16"/>
      <c r="CP119" s="16"/>
      <c r="CQ119" s="16"/>
      <c r="CR119" s="16"/>
    </row>
    <row r="120" spans="1:96" ht="23.25" customHeight="1" x14ac:dyDescent="0.2">
      <c r="A120" s="16"/>
      <c r="B120" s="17"/>
      <c r="C120" s="16"/>
      <c r="D120" s="17"/>
      <c r="E120" s="16"/>
      <c r="F120" s="16"/>
      <c r="G120" s="16"/>
      <c r="H120" s="16"/>
      <c r="I120" s="16"/>
      <c r="J120" s="16"/>
      <c r="K120" s="16"/>
      <c r="L120" s="16"/>
      <c r="M120" s="16"/>
      <c r="N120" s="16"/>
      <c r="O120" s="16"/>
      <c r="P120" s="16"/>
      <c r="Q120" s="16"/>
      <c r="R120" s="16"/>
      <c r="S120" s="16"/>
      <c r="T120" s="17"/>
      <c r="U120" s="18"/>
      <c r="V120" s="18"/>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6"/>
      <c r="BW120" s="19"/>
      <c r="BX120" s="18"/>
      <c r="BY120" s="17"/>
      <c r="BZ120" s="20"/>
      <c r="CA120" s="20"/>
      <c r="CB120" s="16"/>
      <c r="CC120" s="16"/>
      <c r="CD120" s="16"/>
      <c r="CE120" s="16"/>
      <c r="CF120" s="16"/>
      <c r="CG120" s="16"/>
      <c r="CH120" s="16"/>
      <c r="CI120" s="17"/>
      <c r="CJ120" s="17"/>
      <c r="CK120" s="16"/>
      <c r="CL120" s="16"/>
      <c r="CM120" s="16"/>
      <c r="CN120" s="16"/>
      <c r="CO120" s="16"/>
      <c r="CP120" s="16"/>
      <c r="CQ120" s="16"/>
      <c r="CR120" s="16"/>
    </row>
    <row r="121" spans="1:96" ht="23.25" customHeight="1" x14ac:dyDescent="0.2">
      <c r="A121" s="16"/>
      <c r="B121" s="17"/>
      <c r="C121" s="16"/>
      <c r="D121" s="17"/>
      <c r="E121" s="16"/>
      <c r="F121" s="16"/>
      <c r="G121" s="16"/>
      <c r="H121" s="16"/>
      <c r="I121" s="16"/>
      <c r="J121" s="16"/>
      <c r="K121" s="16"/>
      <c r="L121" s="16"/>
      <c r="M121" s="16"/>
      <c r="N121" s="16"/>
      <c r="O121" s="16"/>
      <c r="P121" s="16"/>
      <c r="Q121" s="16"/>
      <c r="R121" s="16"/>
      <c r="S121" s="16"/>
      <c r="T121" s="17"/>
      <c r="U121" s="18"/>
      <c r="V121" s="18"/>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6"/>
      <c r="BW121" s="19"/>
      <c r="BX121" s="18"/>
      <c r="BY121" s="17"/>
      <c r="BZ121" s="20"/>
      <c r="CA121" s="20"/>
      <c r="CB121" s="16"/>
      <c r="CC121" s="16"/>
      <c r="CD121" s="16"/>
      <c r="CE121" s="16"/>
      <c r="CF121" s="16"/>
      <c r="CG121" s="16"/>
      <c r="CH121" s="16"/>
      <c r="CI121" s="17"/>
      <c r="CJ121" s="17"/>
      <c r="CK121" s="16"/>
      <c r="CL121" s="16"/>
      <c r="CM121" s="16"/>
      <c r="CN121" s="16"/>
      <c r="CO121" s="16"/>
      <c r="CP121" s="16"/>
      <c r="CQ121" s="16"/>
      <c r="CR121" s="16"/>
    </row>
    <row r="122" spans="1:96" ht="23.25" customHeight="1" x14ac:dyDescent="0.2">
      <c r="A122" s="16"/>
      <c r="B122" s="17"/>
      <c r="C122" s="16"/>
      <c r="D122" s="17"/>
      <c r="E122" s="16"/>
      <c r="F122" s="16"/>
      <c r="G122" s="16"/>
      <c r="H122" s="16"/>
      <c r="I122" s="16"/>
      <c r="J122" s="16"/>
      <c r="K122" s="16"/>
      <c r="L122" s="16"/>
      <c r="M122" s="16"/>
      <c r="N122" s="16"/>
      <c r="O122" s="16"/>
      <c r="P122" s="16"/>
      <c r="Q122" s="16"/>
      <c r="R122" s="16"/>
      <c r="S122" s="16"/>
      <c r="T122" s="17"/>
      <c r="U122" s="18"/>
      <c r="V122" s="18"/>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6"/>
      <c r="BW122" s="19"/>
      <c r="BX122" s="18"/>
      <c r="BY122" s="17"/>
      <c r="BZ122" s="20"/>
      <c r="CA122" s="20"/>
      <c r="CB122" s="16"/>
      <c r="CC122" s="16"/>
      <c r="CD122" s="16"/>
      <c r="CE122" s="16"/>
      <c r="CF122" s="16"/>
      <c r="CG122" s="16"/>
      <c r="CH122" s="16"/>
      <c r="CI122" s="17"/>
      <c r="CJ122" s="17"/>
      <c r="CK122" s="16"/>
      <c r="CL122" s="16"/>
      <c r="CM122" s="16"/>
      <c r="CN122" s="16"/>
      <c r="CO122" s="16"/>
      <c r="CP122" s="16"/>
      <c r="CQ122" s="16"/>
      <c r="CR122" s="16"/>
    </row>
    <row r="123" spans="1:96" ht="23.25" customHeight="1" x14ac:dyDescent="0.2">
      <c r="A123" s="16"/>
      <c r="B123" s="17"/>
      <c r="C123" s="16"/>
      <c r="D123" s="17"/>
      <c r="E123" s="16"/>
      <c r="F123" s="16"/>
      <c r="G123" s="16"/>
      <c r="H123" s="16"/>
      <c r="I123" s="16"/>
      <c r="J123" s="16"/>
      <c r="K123" s="16"/>
      <c r="L123" s="16"/>
      <c r="M123" s="16"/>
      <c r="N123" s="16"/>
      <c r="O123" s="16"/>
      <c r="P123" s="16"/>
      <c r="Q123" s="16"/>
      <c r="R123" s="16"/>
      <c r="S123" s="16"/>
      <c r="T123" s="17"/>
      <c r="U123" s="18"/>
      <c r="V123" s="18"/>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6"/>
      <c r="BW123" s="19"/>
      <c r="BX123" s="18"/>
      <c r="BY123" s="17"/>
      <c r="BZ123" s="20"/>
      <c r="CA123" s="20"/>
      <c r="CB123" s="16"/>
      <c r="CC123" s="16"/>
      <c r="CD123" s="16"/>
      <c r="CE123" s="16"/>
      <c r="CF123" s="16"/>
      <c r="CG123" s="16"/>
      <c r="CH123" s="16"/>
      <c r="CI123" s="17"/>
      <c r="CJ123" s="17"/>
      <c r="CK123" s="16"/>
      <c r="CL123" s="16"/>
      <c r="CM123" s="16"/>
      <c r="CN123" s="16"/>
      <c r="CO123" s="16"/>
      <c r="CP123" s="16"/>
      <c r="CQ123" s="16"/>
      <c r="CR123" s="16"/>
    </row>
    <row r="124" spans="1:96" ht="23.25" customHeight="1" x14ac:dyDescent="0.2">
      <c r="A124" s="16"/>
      <c r="B124" s="17"/>
      <c r="C124" s="16"/>
      <c r="D124" s="17"/>
      <c r="E124" s="16"/>
      <c r="F124" s="16"/>
      <c r="G124" s="16"/>
      <c r="H124" s="16"/>
      <c r="I124" s="16"/>
      <c r="J124" s="16"/>
      <c r="K124" s="16"/>
      <c r="L124" s="16"/>
      <c r="M124" s="16"/>
      <c r="N124" s="16"/>
      <c r="O124" s="16"/>
      <c r="P124" s="16"/>
      <c r="Q124" s="16"/>
      <c r="R124" s="16"/>
      <c r="S124" s="16"/>
      <c r="T124" s="17"/>
      <c r="U124" s="18"/>
      <c r="V124" s="18"/>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6"/>
      <c r="BW124" s="19"/>
      <c r="BX124" s="18"/>
      <c r="BY124" s="17"/>
      <c r="BZ124" s="20"/>
      <c r="CA124" s="20"/>
      <c r="CB124" s="16"/>
      <c r="CC124" s="16"/>
      <c r="CD124" s="16"/>
      <c r="CE124" s="16"/>
      <c r="CF124" s="16"/>
      <c r="CG124" s="16"/>
      <c r="CH124" s="16"/>
      <c r="CI124" s="17"/>
      <c r="CJ124" s="17"/>
      <c r="CK124" s="16"/>
      <c r="CL124" s="16"/>
      <c r="CM124" s="16"/>
      <c r="CN124" s="16"/>
      <c r="CO124" s="16"/>
      <c r="CP124" s="16"/>
      <c r="CQ124" s="16"/>
      <c r="CR124" s="16"/>
    </row>
    <row r="125" spans="1:96" ht="23.25" customHeight="1" x14ac:dyDescent="0.2">
      <c r="A125" s="16"/>
      <c r="B125" s="17"/>
      <c r="C125" s="16"/>
      <c r="D125" s="17"/>
      <c r="E125" s="16"/>
      <c r="F125" s="16"/>
      <c r="G125" s="16"/>
      <c r="H125" s="16"/>
      <c r="I125" s="16"/>
      <c r="J125" s="16"/>
      <c r="K125" s="16"/>
      <c r="L125" s="16"/>
      <c r="M125" s="16"/>
      <c r="N125" s="16"/>
      <c r="O125" s="16"/>
      <c r="P125" s="16"/>
      <c r="Q125" s="16"/>
      <c r="R125" s="16"/>
      <c r="S125" s="16"/>
      <c r="T125" s="17"/>
      <c r="U125" s="18"/>
      <c r="V125" s="18"/>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6"/>
      <c r="BW125" s="19"/>
      <c r="BX125" s="18"/>
      <c r="BY125" s="17"/>
      <c r="BZ125" s="20"/>
      <c r="CA125" s="20"/>
      <c r="CB125" s="16"/>
      <c r="CC125" s="16"/>
      <c r="CD125" s="16"/>
      <c r="CE125" s="16"/>
      <c r="CF125" s="16"/>
      <c r="CG125" s="16"/>
      <c r="CH125" s="16"/>
      <c r="CI125" s="17"/>
      <c r="CJ125" s="17"/>
      <c r="CK125" s="16"/>
      <c r="CL125" s="16"/>
      <c r="CM125" s="16"/>
      <c r="CN125" s="16"/>
      <c r="CO125" s="16"/>
      <c r="CP125" s="16"/>
      <c r="CQ125" s="16"/>
      <c r="CR125" s="16"/>
    </row>
    <row r="126" spans="1:96" ht="23.25" customHeight="1" x14ac:dyDescent="0.2">
      <c r="A126" s="16"/>
      <c r="B126" s="17"/>
      <c r="C126" s="16"/>
      <c r="D126" s="17"/>
      <c r="E126" s="16"/>
      <c r="F126" s="16"/>
      <c r="G126" s="16"/>
      <c r="H126" s="16"/>
      <c r="I126" s="16"/>
      <c r="J126" s="16"/>
      <c r="K126" s="16"/>
      <c r="L126" s="16"/>
      <c r="M126" s="16"/>
      <c r="N126" s="16"/>
      <c r="O126" s="16"/>
      <c r="P126" s="16"/>
      <c r="Q126" s="16"/>
      <c r="R126" s="16"/>
      <c r="S126" s="16"/>
      <c r="T126" s="17"/>
      <c r="U126" s="18"/>
      <c r="V126" s="18"/>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6"/>
      <c r="BW126" s="19"/>
      <c r="BX126" s="18"/>
      <c r="BY126" s="17"/>
      <c r="BZ126" s="20"/>
      <c r="CA126" s="20"/>
      <c r="CB126" s="16"/>
      <c r="CC126" s="16"/>
      <c r="CD126" s="16"/>
      <c r="CE126" s="16"/>
      <c r="CF126" s="16"/>
      <c r="CG126" s="16"/>
      <c r="CH126" s="16"/>
      <c r="CI126" s="17"/>
      <c r="CJ126" s="17"/>
      <c r="CK126" s="16"/>
      <c r="CL126" s="16"/>
      <c r="CM126" s="16"/>
      <c r="CN126" s="16"/>
      <c r="CO126" s="16"/>
      <c r="CP126" s="16"/>
      <c r="CQ126" s="16"/>
      <c r="CR126" s="16"/>
    </row>
    <row r="127" spans="1:96" ht="23.25" customHeight="1" x14ac:dyDescent="0.2">
      <c r="A127" s="16"/>
      <c r="B127" s="17"/>
      <c r="C127" s="16"/>
      <c r="D127" s="17"/>
      <c r="E127" s="16"/>
      <c r="F127" s="16"/>
      <c r="G127" s="16"/>
      <c r="H127" s="16"/>
      <c r="I127" s="16"/>
      <c r="J127" s="16"/>
      <c r="K127" s="16"/>
      <c r="L127" s="16"/>
      <c r="M127" s="16"/>
      <c r="N127" s="16"/>
      <c r="O127" s="16"/>
      <c r="P127" s="16"/>
      <c r="Q127" s="16"/>
      <c r="R127" s="16"/>
      <c r="S127" s="16"/>
      <c r="T127" s="17"/>
      <c r="U127" s="18"/>
      <c r="V127" s="18"/>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6"/>
      <c r="BW127" s="19"/>
      <c r="BX127" s="18"/>
      <c r="BY127" s="17"/>
      <c r="BZ127" s="20"/>
      <c r="CA127" s="20"/>
      <c r="CB127" s="16"/>
      <c r="CC127" s="16"/>
      <c r="CD127" s="16"/>
      <c r="CE127" s="16"/>
      <c r="CF127" s="16"/>
      <c r="CG127" s="16"/>
      <c r="CH127" s="16"/>
      <c r="CI127" s="17"/>
      <c r="CJ127" s="17"/>
      <c r="CK127" s="16"/>
      <c r="CL127" s="16"/>
      <c r="CM127" s="16"/>
      <c r="CN127" s="16"/>
      <c r="CO127" s="16"/>
      <c r="CP127" s="16"/>
      <c r="CQ127" s="16"/>
      <c r="CR127" s="16"/>
    </row>
    <row r="128" spans="1:96" ht="23.25" customHeight="1" x14ac:dyDescent="0.2">
      <c r="A128" s="16"/>
      <c r="B128" s="17"/>
      <c r="C128" s="16"/>
      <c r="D128" s="17"/>
      <c r="E128" s="16"/>
      <c r="F128" s="16"/>
      <c r="G128" s="16"/>
      <c r="H128" s="16"/>
      <c r="I128" s="16"/>
      <c r="J128" s="16"/>
      <c r="K128" s="16"/>
      <c r="L128" s="16"/>
      <c r="M128" s="16"/>
      <c r="N128" s="16"/>
      <c r="O128" s="16"/>
      <c r="P128" s="16"/>
      <c r="Q128" s="16"/>
      <c r="R128" s="16"/>
      <c r="S128" s="16"/>
      <c r="T128" s="17"/>
      <c r="U128" s="18"/>
      <c r="V128" s="18"/>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6"/>
      <c r="BW128" s="19"/>
      <c r="BX128" s="18"/>
      <c r="BY128" s="17"/>
      <c r="BZ128" s="20"/>
      <c r="CA128" s="20"/>
      <c r="CB128" s="16"/>
      <c r="CC128" s="16"/>
      <c r="CD128" s="16"/>
      <c r="CE128" s="16"/>
      <c r="CF128" s="16"/>
      <c r="CG128" s="16"/>
      <c r="CH128" s="16"/>
      <c r="CI128" s="17"/>
      <c r="CJ128" s="17"/>
      <c r="CK128" s="16"/>
      <c r="CL128" s="16"/>
      <c r="CM128" s="16"/>
      <c r="CN128" s="16"/>
      <c r="CO128" s="16"/>
      <c r="CP128" s="16"/>
      <c r="CQ128" s="16"/>
      <c r="CR128" s="16"/>
    </row>
    <row r="129" spans="1:96" ht="23.25" customHeight="1" x14ac:dyDescent="0.2">
      <c r="A129" s="16"/>
      <c r="B129" s="17"/>
      <c r="C129" s="16"/>
      <c r="D129" s="17"/>
      <c r="E129" s="16"/>
      <c r="F129" s="16"/>
      <c r="G129" s="16"/>
      <c r="H129" s="16"/>
      <c r="I129" s="16"/>
      <c r="J129" s="16"/>
      <c r="K129" s="16"/>
      <c r="L129" s="16"/>
      <c r="M129" s="16"/>
      <c r="N129" s="16"/>
      <c r="O129" s="16"/>
      <c r="P129" s="16"/>
      <c r="Q129" s="16"/>
      <c r="R129" s="16"/>
      <c r="S129" s="16"/>
      <c r="T129" s="17"/>
      <c r="U129" s="18"/>
      <c r="V129" s="18"/>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6"/>
      <c r="BW129" s="19"/>
      <c r="BX129" s="18"/>
      <c r="BY129" s="17"/>
      <c r="BZ129" s="20"/>
      <c r="CA129" s="20"/>
      <c r="CB129" s="16"/>
      <c r="CC129" s="16"/>
      <c r="CD129" s="16"/>
      <c r="CE129" s="16"/>
      <c r="CF129" s="16"/>
      <c r="CG129" s="16"/>
      <c r="CH129" s="16"/>
      <c r="CI129" s="17"/>
      <c r="CJ129" s="17"/>
      <c r="CK129" s="16"/>
      <c r="CL129" s="16"/>
      <c r="CM129" s="16"/>
      <c r="CN129" s="16"/>
      <c r="CO129" s="16"/>
      <c r="CP129" s="16"/>
      <c r="CQ129" s="16"/>
      <c r="CR129" s="16"/>
    </row>
    <row r="130" spans="1:96" ht="23.25" customHeight="1" x14ac:dyDescent="0.2">
      <c r="A130" s="16"/>
      <c r="B130" s="17"/>
      <c r="C130" s="16"/>
      <c r="D130" s="17"/>
      <c r="E130" s="16"/>
      <c r="F130" s="16"/>
      <c r="G130" s="16"/>
      <c r="H130" s="16"/>
      <c r="I130" s="16"/>
      <c r="J130" s="16"/>
      <c r="K130" s="16"/>
      <c r="L130" s="16"/>
      <c r="M130" s="16"/>
      <c r="N130" s="16"/>
      <c r="O130" s="16"/>
      <c r="P130" s="16"/>
      <c r="Q130" s="16"/>
      <c r="R130" s="16"/>
      <c r="S130" s="16"/>
      <c r="T130" s="17"/>
      <c r="U130" s="18"/>
      <c r="V130" s="18"/>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6"/>
      <c r="BW130" s="19"/>
      <c r="BX130" s="18"/>
      <c r="BY130" s="17"/>
      <c r="BZ130" s="20"/>
      <c r="CA130" s="20"/>
      <c r="CB130" s="16"/>
      <c r="CC130" s="16"/>
      <c r="CD130" s="16"/>
      <c r="CE130" s="16"/>
      <c r="CF130" s="16"/>
      <c r="CG130" s="16"/>
      <c r="CH130" s="16"/>
      <c r="CI130" s="17"/>
      <c r="CJ130" s="17"/>
      <c r="CK130" s="16"/>
      <c r="CL130" s="16"/>
      <c r="CM130" s="16"/>
      <c r="CN130" s="16"/>
      <c r="CO130" s="16"/>
      <c r="CP130" s="16"/>
      <c r="CQ130" s="16"/>
      <c r="CR130" s="16"/>
    </row>
    <row r="131" spans="1:96" ht="23.25" customHeight="1" x14ac:dyDescent="0.2">
      <c r="A131" s="16"/>
      <c r="B131" s="17"/>
      <c r="C131" s="16"/>
      <c r="D131" s="17"/>
      <c r="E131" s="16"/>
      <c r="F131" s="16"/>
      <c r="G131" s="16"/>
      <c r="H131" s="16"/>
      <c r="I131" s="16"/>
      <c r="J131" s="16"/>
      <c r="K131" s="16"/>
      <c r="L131" s="16"/>
      <c r="M131" s="16"/>
      <c r="N131" s="16"/>
      <c r="O131" s="16"/>
      <c r="P131" s="16"/>
      <c r="Q131" s="16"/>
      <c r="R131" s="16"/>
      <c r="S131" s="16"/>
      <c r="T131" s="17"/>
      <c r="U131" s="18"/>
      <c r="V131" s="18"/>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6"/>
      <c r="BW131" s="19"/>
      <c r="BX131" s="18"/>
      <c r="BY131" s="17"/>
      <c r="BZ131" s="20"/>
      <c r="CA131" s="20"/>
      <c r="CB131" s="16"/>
      <c r="CC131" s="16"/>
      <c r="CD131" s="16"/>
      <c r="CE131" s="16"/>
      <c r="CF131" s="16"/>
      <c r="CG131" s="16"/>
      <c r="CH131" s="16"/>
      <c r="CI131" s="17"/>
      <c r="CJ131" s="17"/>
      <c r="CK131" s="16"/>
      <c r="CL131" s="16"/>
      <c r="CM131" s="16"/>
      <c r="CN131" s="16"/>
      <c r="CO131" s="16"/>
      <c r="CP131" s="16"/>
      <c r="CQ131" s="16"/>
      <c r="CR131" s="16"/>
    </row>
    <row r="132" spans="1:96" ht="23.25" customHeight="1" x14ac:dyDescent="0.2">
      <c r="A132" s="16"/>
      <c r="B132" s="17"/>
      <c r="C132" s="16"/>
      <c r="D132" s="17"/>
      <c r="E132" s="16"/>
      <c r="F132" s="16"/>
      <c r="G132" s="16"/>
      <c r="H132" s="16"/>
      <c r="I132" s="16"/>
      <c r="J132" s="16"/>
      <c r="K132" s="16"/>
      <c r="L132" s="16"/>
      <c r="M132" s="16"/>
      <c r="N132" s="16"/>
      <c r="O132" s="16"/>
      <c r="P132" s="16"/>
      <c r="Q132" s="16"/>
      <c r="R132" s="16"/>
      <c r="S132" s="16"/>
      <c r="T132" s="17"/>
      <c r="U132" s="18"/>
      <c r="V132" s="18"/>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6"/>
      <c r="BW132" s="19"/>
      <c r="BX132" s="18"/>
      <c r="BY132" s="17"/>
      <c r="BZ132" s="20"/>
      <c r="CA132" s="20"/>
      <c r="CB132" s="16"/>
      <c r="CC132" s="16"/>
      <c r="CD132" s="16"/>
      <c r="CE132" s="16"/>
      <c r="CF132" s="16"/>
      <c r="CG132" s="16"/>
      <c r="CH132" s="16"/>
      <c r="CI132" s="17"/>
      <c r="CJ132" s="17"/>
      <c r="CK132" s="16"/>
      <c r="CL132" s="16"/>
      <c r="CM132" s="16"/>
      <c r="CN132" s="16"/>
      <c r="CO132" s="16"/>
      <c r="CP132" s="16"/>
      <c r="CQ132" s="16"/>
      <c r="CR132" s="16"/>
    </row>
    <row r="133" spans="1:96" ht="23.25" customHeight="1" x14ac:dyDescent="0.2">
      <c r="A133" s="16"/>
      <c r="B133" s="17"/>
      <c r="C133" s="16"/>
      <c r="D133" s="17"/>
      <c r="E133" s="16"/>
      <c r="F133" s="16"/>
      <c r="G133" s="16"/>
      <c r="H133" s="16"/>
      <c r="I133" s="16"/>
      <c r="J133" s="16"/>
      <c r="K133" s="16"/>
      <c r="L133" s="16"/>
      <c r="M133" s="16"/>
      <c r="N133" s="16"/>
      <c r="O133" s="16"/>
      <c r="P133" s="16"/>
      <c r="Q133" s="16"/>
      <c r="R133" s="16"/>
      <c r="S133" s="16"/>
      <c r="T133" s="17"/>
      <c r="U133" s="18"/>
      <c r="V133" s="18"/>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6"/>
      <c r="BW133" s="19"/>
      <c r="BX133" s="18"/>
      <c r="BY133" s="17"/>
      <c r="BZ133" s="20"/>
      <c r="CA133" s="20"/>
      <c r="CB133" s="16"/>
      <c r="CC133" s="16"/>
      <c r="CD133" s="16"/>
      <c r="CE133" s="16"/>
      <c r="CF133" s="16"/>
      <c r="CG133" s="16"/>
      <c r="CH133" s="16"/>
      <c r="CI133" s="17"/>
      <c r="CJ133" s="17"/>
      <c r="CK133" s="16"/>
      <c r="CL133" s="16"/>
      <c r="CM133" s="16"/>
      <c r="CN133" s="16"/>
      <c r="CO133" s="16"/>
      <c r="CP133" s="16"/>
      <c r="CQ133" s="16"/>
      <c r="CR133" s="16"/>
    </row>
    <row r="134" spans="1:96" ht="23.25" customHeight="1" x14ac:dyDescent="0.2">
      <c r="A134" s="16"/>
      <c r="B134" s="17"/>
      <c r="C134" s="16"/>
      <c r="D134" s="17"/>
      <c r="E134" s="16"/>
      <c r="F134" s="16"/>
      <c r="G134" s="16"/>
      <c r="H134" s="16"/>
      <c r="I134" s="16"/>
      <c r="J134" s="16"/>
      <c r="K134" s="16"/>
      <c r="L134" s="16"/>
      <c r="M134" s="16"/>
      <c r="N134" s="16"/>
      <c r="O134" s="16"/>
      <c r="P134" s="16"/>
      <c r="Q134" s="16"/>
      <c r="R134" s="16"/>
      <c r="S134" s="16"/>
      <c r="T134" s="17"/>
      <c r="U134" s="18"/>
      <c r="V134" s="18"/>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6"/>
      <c r="BW134" s="19"/>
      <c r="BX134" s="18"/>
      <c r="BY134" s="17"/>
      <c r="BZ134" s="20"/>
      <c r="CA134" s="20"/>
      <c r="CB134" s="16"/>
      <c r="CC134" s="16"/>
      <c r="CD134" s="16"/>
      <c r="CE134" s="16"/>
      <c r="CF134" s="16"/>
      <c r="CG134" s="16"/>
      <c r="CH134" s="16"/>
      <c r="CI134" s="17"/>
      <c r="CJ134" s="17"/>
      <c r="CK134" s="16"/>
      <c r="CL134" s="16"/>
      <c r="CM134" s="16"/>
      <c r="CN134" s="16"/>
      <c r="CO134" s="16"/>
      <c r="CP134" s="16"/>
      <c r="CQ134" s="16"/>
      <c r="CR134" s="16"/>
    </row>
    <row r="135" spans="1:96" ht="23.25" customHeight="1" x14ac:dyDescent="0.2">
      <c r="A135" s="16"/>
      <c r="B135" s="17"/>
      <c r="C135" s="16"/>
      <c r="D135" s="17"/>
      <c r="E135" s="16"/>
      <c r="F135" s="16"/>
      <c r="G135" s="16"/>
      <c r="H135" s="16"/>
      <c r="I135" s="16"/>
      <c r="J135" s="16"/>
      <c r="K135" s="16"/>
      <c r="L135" s="16"/>
      <c r="M135" s="16"/>
      <c r="N135" s="16"/>
      <c r="O135" s="16"/>
      <c r="P135" s="16"/>
      <c r="Q135" s="16"/>
      <c r="R135" s="16"/>
      <c r="S135" s="16"/>
      <c r="T135" s="17"/>
      <c r="U135" s="18"/>
      <c r="V135" s="18"/>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6"/>
      <c r="BW135" s="19"/>
      <c r="BX135" s="18"/>
      <c r="BY135" s="17"/>
      <c r="BZ135" s="20"/>
      <c r="CA135" s="20"/>
      <c r="CB135" s="16"/>
      <c r="CC135" s="16"/>
      <c r="CD135" s="16"/>
      <c r="CE135" s="16"/>
      <c r="CF135" s="16"/>
      <c r="CG135" s="16"/>
      <c r="CH135" s="16"/>
      <c r="CI135" s="17"/>
      <c r="CJ135" s="17"/>
      <c r="CK135" s="16"/>
      <c r="CL135" s="16"/>
      <c r="CM135" s="16"/>
      <c r="CN135" s="16"/>
      <c r="CO135" s="16"/>
      <c r="CP135" s="16"/>
      <c r="CQ135" s="16"/>
      <c r="CR135" s="16"/>
    </row>
    <row r="136" spans="1:96" ht="23.25" customHeight="1" x14ac:dyDescent="0.2">
      <c r="A136" s="16"/>
      <c r="B136" s="17"/>
      <c r="C136" s="16"/>
      <c r="D136" s="17"/>
      <c r="E136" s="16"/>
      <c r="F136" s="16"/>
      <c r="G136" s="16"/>
      <c r="H136" s="16"/>
      <c r="I136" s="16"/>
      <c r="J136" s="16"/>
      <c r="K136" s="16"/>
      <c r="L136" s="16"/>
      <c r="M136" s="16"/>
      <c r="N136" s="16"/>
      <c r="O136" s="16"/>
      <c r="P136" s="16"/>
      <c r="Q136" s="16"/>
      <c r="R136" s="16"/>
      <c r="S136" s="16"/>
      <c r="T136" s="17"/>
      <c r="U136" s="18"/>
      <c r="V136" s="18"/>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6"/>
      <c r="BW136" s="19"/>
      <c r="BX136" s="18"/>
      <c r="BY136" s="17"/>
      <c r="BZ136" s="20"/>
      <c r="CA136" s="20"/>
      <c r="CB136" s="16"/>
      <c r="CC136" s="16"/>
      <c r="CD136" s="16"/>
      <c r="CE136" s="16"/>
      <c r="CF136" s="16"/>
      <c r="CG136" s="16"/>
      <c r="CH136" s="16"/>
      <c r="CI136" s="17"/>
      <c r="CJ136" s="17"/>
      <c r="CK136" s="16"/>
      <c r="CL136" s="16"/>
      <c r="CM136" s="16"/>
      <c r="CN136" s="16"/>
      <c r="CO136" s="16"/>
      <c r="CP136" s="16"/>
      <c r="CQ136" s="16"/>
      <c r="CR136" s="16"/>
    </row>
    <row r="137" spans="1:96" ht="23.25" customHeight="1" x14ac:dyDescent="0.2">
      <c r="A137" s="16"/>
      <c r="B137" s="17"/>
      <c r="C137" s="16"/>
      <c r="D137" s="17"/>
      <c r="E137" s="16"/>
      <c r="F137" s="16"/>
      <c r="G137" s="16"/>
      <c r="H137" s="16"/>
      <c r="I137" s="16"/>
      <c r="J137" s="16"/>
      <c r="K137" s="16"/>
      <c r="L137" s="16"/>
      <c r="M137" s="16"/>
      <c r="N137" s="16"/>
      <c r="O137" s="16"/>
      <c r="P137" s="16"/>
      <c r="Q137" s="16"/>
      <c r="R137" s="16"/>
      <c r="S137" s="16"/>
      <c r="T137" s="17"/>
      <c r="U137" s="18"/>
      <c r="V137" s="18"/>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6"/>
      <c r="BW137" s="19"/>
      <c r="BX137" s="18"/>
      <c r="BY137" s="17"/>
      <c r="BZ137" s="20"/>
      <c r="CA137" s="20"/>
      <c r="CB137" s="16"/>
      <c r="CC137" s="16"/>
      <c r="CD137" s="16"/>
      <c r="CE137" s="16"/>
      <c r="CF137" s="16"/>
      <c r="CG137" s="16"/>
      <c r="CH137" s="16"/>
      <c r="CI137" s="17"/>
      <c r="CJ137" s="17"/>
      <c r="CK137" s="16"/>
      <c r="CL137" s="16"/>
      <c r="CM137" s="16"/>
      <c r="CN137" s="16"/>
      <c r="CO137" s="16"/>
      <c r="CP137" s="16"/>
      <c r="CQ137" s="16"/>
      <c r="CR137" s="16"/>
    </row>
    <row r="138" spans="1:96" ht="23.25" customHeight="1" x14ac:dyDescent="0.2">
      <c r="A138" s="16"/>
      <c r="B138" s="17"/>
      <c r="C138" s="16"/>
      <c r="D138" s="17"/>
      <c r="E138" s="16"/>
      <c r="F138" s="16"/>
      <c r="G138" s="16"/>
      <c r="H138" s="16"/>
      <c r="I138" s="16"/>
      <c r="J138" s="16"/>
      <c r="K138" s="16"/>
      <c r="L138" s="16"/>
      <c r="M138" s="16"/>
      <c r="N138" s="16"/>
      <c r="O138" s="16"/>
      <c r="P138" s="16"/>
      <c r="Q138" s="16"/>
      <c r="R138" s="16"/>
      <c r="S138" s="16"/>
      <c r="T138" s="17"/>
      <c r="U138" s="18"/>
      <c r="V138" s="18"/>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6"/>
      <c r="BW138" s="19"/>
      <c r="BX138" s="18"/>
      <c r="BY138" s="17"/>
      <c r="BZ138" s="20"/>
      <c r="CA138" s="20"/>
      <c r="CB138" s="16"/>
      <c r="CC138" s="16"/>
      <c r="CD138" s="16"/>
      <c r="CE138" s="16"/>
      <c r="CF138" s="16"/>
      <c r="CG138" s="16"/>
      <c r="CH138" s="16"/>
      <c r="CI138" s="17"/>
      <c r="CJ138" s="17"/>
      <c r="CK138" s="16"/>
      <c r="CL138" s="16"/>
      <c r="CM138" s="16"/>
      <c r="CN138" s="16"/>
      <c r="CO138" s="16"/>
      <c r="CP138" s="16"/>
      <c r="CQ138" s="16"/>
      <c r="CR138" s="16"/>
    </row>
    <row r="139" spans="1:96" ht="23.25" customHeight="1" x14ac:dyDescent="0.2">
      <c r="A139" s="16"/>
      <c r="B139" s="17"/>
      <c r="C139" s="16"/>
      <c r="D139" s="17"/>
      <c r="E139" s="16"/>
      <c r="F139" s="16"/>
      <c r="G139" s="16"/>
      <c r="H139" s="16"/>
      <c r="I139" s="16"/>
      <c r="J139" s="16"/>
      <c r="K139" s="16"/>
      <c r="L139" s="16"/>
      <c r="M139" s="16"/>
      <c r="N139" s="16"/>
      <c r="O139" s="16"/>
      <c r="P139" s="16"/>
      <c r="Q139" s="16"/>
      <c r="R139" s="16"/>
      <c r="S139" s="16"/>
      <c r="T139" s="17"/>
      <c r="U139" s="18"/>
      <c r="V139" s="18"/>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6"/>
      <c r="BW139" s="19"/>
      <c r="BX139" s="18"/>
      <c r="BY139" s="17"/>
      <c r="BZ139" s="20"/>
      <c r="CA139" s="20"/>
      <c r="CB139" s="16"/>
      <c r="CC139" s="16"/>
      <c r="CD139" s="16"/>
      <c r="CE139" s="16"/>
      <c r="CF139" s="16"/>
      <c r="CG139" s="16"/>
      <c r="CH139" s="16"/>
      <c r="CI139" s="17"/>
      <c r="CJ139" s="17"/>
      <c r="CK139" s="16"/>
      <c r="CL139" s="16"/>
      <c r="CM139" s="16"/>
      <c r="CN139" s="16"/>
      <c r="CO139" s="16"/>
      <c r="CP139" s="16"/>
      <c r="CQ139" s="16"/>
      <c r="CR139" s="16"/>
    </row>
    <row r="140" spans="1:96" ht="23.25" customHeight="1" x14ac:dyDescent="0.2">
      <c r="A140" s="16"/>
      <c r="B140" s="17"/>
      <c r="C140" s="16"/>
      <c r="D140" s="17"/>
      <c r="E140" s="16"/>
      <c r="F140" s="16"/>
      <c r="G140" s="16"/>
      <c r="H140" s="16"/>
      <c r="I140" s="16"/>
      <c r="J140" s="16"/>
      <c r="K140" s="16"/>
      <c r="L140" s="16"/>
      <c r="M140" s="16"/>
      <c r="N140" s="16"/>
      <c r="O140" s="16"/>
      <c r="P140" s="16"/>
      <c r="Q140" s="16"/>
      <c r="R140" s="16"/>
      <c r="S140" s="16"/>
      <c r="T140" s="17"/>
      <c r="U140" s="18"/>
      <c r="V140" s="18"/>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6"/>
      <c r="BW140" s="19"/>
      <c r="BX140" s="18"/>
      <c r="BY140" s="17"/>
      <c r="BZ140" s="20"/>
      <c r="CA140" s="20"/>
      <c r="CB140" s="16"/>
      <c r="CC140" s="16"/>
      <c r="CD140" s="16"/>
      <c r="CE140" s="16"/>
      <c r="CF140" s="16"/>
      <c r="CG140" s="16"/>
      <c r="CH140" s="16"/>
      <c r="CI140" s="17"/>
      <c r="CJ140" s="17"/>
      <c r="CK140" s="16"/>
      <c r="CL140" s="16"/>
      <c r="CM140" s="16"/>
      <c r="CN140" s="16"/>
      <c r="CO140" s="16"/>
      <c r="CP140" s="16"/>
      <c r="CQ140" s="16"/>
      <c r="CR140" s="16"/>
    </row>
    <row r="141" spans="1:96" ht="23.25" customHeight="1" x14ac:dyDescent="0.2">
      <c r="A141" s="16"/>
      <c r="B141" s="17"/>
      <c r="C141" s="16"/>
      <c r="D141" s="17"/>
      <c r="E141" s="16"/>
      <c r="F141" s="16"/>
      <c r="G141" s="16"/>
      <c r="H141" s="16"/>
      <c r="I141" s="16"/>
      <c r="J141" s="16"/>
      <c r="K141" s="16"/>
      <c r="L141" s="16"/>
      <c r="M141" s="16"/>
      <c r="N141" s="16"/>
      <c r="O141" s="16"/>
      <c r="P141" s="16"/>
      <c r="Q141" s="16"/>
      <c r="R141" s="16"/>
      <c r="S141" s="16"/>
      <c r="T141" s="17"/>
      <c r="U141" s="18"/>
      <c r="V141" s="18"/>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6"/>
      <c r="BW141" s="19"/>
      <c r="BX141" s="18"/>
      <c r="BY141" s="17"/>
      <c r="BZ141" s="20"/>
      <c r="CA141" s="20"/>
      <c r="CB141" s="16"/>
      <c r="CC141" s="16"/>
      <c r="CD141" s="16"/>
      <c r="CE141" s="16"/>
      <c r="CF141" s="16"/>
      <c r="CG141" s="16"/>
      <c r="CH141" s="16"/>
      <c r="CI141" s="17"/>
      <c r="CJ141" s="17"/>
      <c r="CK141" s="16"/>
      <c r="CL141" s="16"/>
      <c r="CM141" s="16"/>
      <c r="CN141" s="16"/>
      <c r="CO141" s="16"/>
      <c r="CP141" s="16"/>
      <c r="CQ141" s="16"/>
      <c r="CR141" s="16"/>
    </row>
    <row r="142" spans="1:96" ht="23.25" customHeight="1" x14ac:dyDescent="0.2">
      <c r="A142" s="16"/>
      <c r="B142" s="17"/>
      <c r="C142" s="16"/>
      <c r="D142" s="17"/>
      <c r="E142" s="16"/>
      <c r="F142" s="16"/>
      <c r="G142" s="16"/>
      <c r="H142" s="16"/>
      <c r="I142" s="16"/>
      <c r="J142" s="16"/>
      <c r="K142" s="16"/>
      <c r="L142" s="16"/>
      <c r="M142" s="16"/>
      <c r="N142" s="16"/>
      <c r="O142" s="16"/>
      <c r="P142" s="16"/>
      <c r="Q142" s="16"/>
      <c r="R142" s="16"/>
      <c r="S142" s="16"/>
      <c r="T142" s="17"/>
      <c r="U142" s="18"/>
      <c r="V142" s="18"/>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6"/>
      <c r="BW142" s="19"/>
      <c r="BX142" s="18"/>
      <c r="BY142" s="17"/>
      <c r="BZ142" s="20"/>
      <c r="CA142" s="20"/>
      <c r="CB142" s="16"/>
      <c r="CC142" s="16"/>
      <c r="CD142" s="16"/>
      <c r="CE142" s="16"/>
      <c r="CF142" s="16"/>
      <c r="CG142" s="16"/>
      <c r="CH142" s="16"/>
      <c r="CI142" s="17"/>
      <c r="CJ142" s="17"/>
      <c r="CK142" s="16"/>
      <c r="CL142" s="16"/>
      <c r="CM142" s="16"/>
      <c r="CN142" s="16"/>
      <c r="CO142" s="16"/>
      <c r="CP142" s="16"/>
      <c r="CQ142" s="16"/>
      <c r="CR142" s="16"/>
    </row>
    <row r="143" spans="1:96" ht="23.25" customHeight="1" x14ac:dyDescent="0.2">
      <c r="A143" s="16"/>
      <c r="B143" s="17"/>
      <c r="C143" s="16"/>
      <c r="D143" s="17"/>
      <c r="E143" s="16"/>
      <c r="F143" s="16"/>
      <c r="G143" s="16"/>
      <c r="H143" s="16"/>
      <c r="I143" s="16"/>
      <c r="J143" s="16"/>
      <c r="K143" s="16"/>
      <c r="L143" s="16"/>
      <c r="M143" s="16"/>
      <c r="N143" s="16"/>
      <c r="O143" s="16"/>
      <c r="P143" s="16"/>
      <c r="Q143" s="16"/>
      <c r="R143" s="16"/>
      <c r="S143" s="16"/>
      <c r="T143" s="17"/>
      <c r="U143" s="18"/>
      <c r="V143" s="18"/>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6"/>
      <c r="BW143" s="19"/>
      <c r="BX143" s="18"/>
      <c r="BY143" s="17"/>
      <c r="BZ143" s="20"/>
      <c r="CA143" s="20"/>
      <c r="CB143" s="16"/>
      <c r="CC143" s="16"/>
      <c r="CD143" s="16"/>
      <c r="CE143" s="16"/>
      <c r="CF143" s="16"/>
      <c r="CG143" s="16"/>
      <c r="CH143" s="16"/>
      <c r="CI143" s="17"/>
      <c r="CJ143" s="17"/>
      <c r="CK143" s="16"/>
      <c r="CL143" s="16"/>
      <c r="CM143" s="16"/>
      <c r="CN143" s="16"/>
      <c r="CO143" s="16"/>
      <c r="CP143" s="16"/>
      <c r="CQ143" s="16"/>
      <c r="CR143" s="16"/>
    </row>
    <row r="144" spans="1:96" ht="23.25" customHeight="1" x14ac:dyDescent="0.2">
      <c r="A144" s="16"/>
      <c r="B144" s="17"/>
      <c r="C144" s="16"/>
      <c r="D144" s="17"/>
      <c r="E144" s="16"/>
      <c r="F144" s="16"/>
      <c r="G144" s="16"/>
      <c r="H144" s="16"/>
      <c r="I144" s="16"/>
      <c r="J144" s="16"/>
      <c r="K144" s="16"/>
      <c r="L144" s="16"/>
      <c r="M144" s="16"/>
      <c r="N144" s="16"/>
      <c r="O144" s="16"/>
      <c r="P144" s="16"/>
      <c r="Q144" s="16"/>
      <c r="R144" s="16"/>
      <c r="S144" s="16"/>
      <c r="T144" s="17"/>
      <c r="U144" s="18"/>
      <c r="V144" s="18"/>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6"/>
      <c r="BW144" s="19"/>
      <c r="BX144" s="18"/>
      <c r="BY144" s="17"/>
      <c r="BZ144" s="20"/>
      <c r="CA144" s="20"/>
      <c r="CB144" s="16"/>
      <c r="CC144" s="16"/>
      <c r="CD144" s="16"/>
      <c r="CE144" s="16"/>
      <c r="CF144" s="16"/>
      <c r="CG144" s="16"/>
      <c r="CH144" s="16"/>
      <c r="CI144" s="17"/>
      <c r="CJ144" s="17"/>
      <c r="CK144" s="16"/>
      <c r="CL144" s="16"/>
      <c r="CM144" s="16"/>
      <c r="CN144" s="16"/>
      <c r="CO144" s="16"/>
      <c r="CP144" s="16"/>
      <c r="CQ144" s="16"/>
      <c r="CR144" s="16"/>
    </row>
    <row r="145" spans="1:96" ht="23.25" customHeight="1" x14ac:dyDescent="0.2">
      <c r="A145" s="16"/>
      <c r="B145" s="17"/>
      <c r="C145" s="16"/>
      <c r="D145" s="17"/>
      <c r="E145" s="16"/>
      <c r="F145" s="16"/>
      <c r="G145" s="16"/>
      <c r="H145" s="16"/>
      <c r="I145" s="16"/>
      <c r="J145" s="16"/>
      <c r="K145" s="16"/>
      <c r="L145" s="16"/>
      <c r="M145" s="16"/>
      <c r="N145" s="16"/>
      <c r="O145" s="16"/>
      <c r="P145" s="16"/>
      <c r="Q145" s="16"/>
      <c r="R145" s="16"/>
      <c r="S145" s="16"/>
      <c r="T145" s="17"/>
      <c r="U145" s="18"/>
      <c r="V145" s="18"/>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6"/>
      <c r="BW145" s="19"/>
      <c r="BX145" s="18"/>
      <c r="BY145" s="17"/>
      <c r="BZ145" s="20"/>
      <c r="CA145" s="20"/>
      <c r="CB145" s="16"/>
      <c r="CC145" s="16"/>
      <c r="CD145" s="16"/>
      <c r="CE145" s="16"/>
      <c r="CF145" s="16"/>
      <c r="CG145" s="16"/>
      <c r="CH145" s="16"/>
      <c r="CI145" s="17"/>
      <c r="CJ145" s="17"/>
      <c r="CK145" s="16"/>
      <c r="CL145" s="16"/>
      <c r="CM145" s="16"/>
      <c r="CN145" s="16"/>
      <c r="CO145" s="16"/>
      <c r="CP145" s="16"/>
      <c r="CQ145" s="16"/>
      <c r="CR145" s="16"/>
    </row>
    <row r="146" spans="1:96" ht="23.25" customHeight="1" x14ac:dyDescent="0.2">
      <c r="A146" s="16"/>
      <c r="B146" s="17"/>
      <c r="C146" s="16"/>
      <c r="D146" s="17"/>
      <c r="E146" s="16"/>
      <c r="F146" s="16"/>
      <c r="G146" s="16"/>
      <c r="H146" s="16"/>
      <c r="I146" s="16"/>
      <c r="J146" s="16"/>
      <c r="K146" s="16"/>
      <c r="L146" s="16"/>
      <c r="M146" s="16"/>
      <c r="N146" s="16"/>
      <c r="O146" s="16"/>
      <c r="P146" s="16"/>
      <c r="Q146" s="16"/>
      <c r="R146" s="16"/>
      <c r="S146" s="16"/>
      <c r="T146" s="17"/>
      <c r="U146" s="18"/>
      <c r="V146" s="18"/>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6"/>
      <c r="BW146" s="19"/>
      <c r="BX146" s="18"/>
      <c r="BY146" s="17"/>
      <c r="BZ146" s="20"/>
      <c r="CA146" s="20"/>
      <c r="CB146" s="16"/>
      <c r="CC146" s="16"/>
      <c r="CD146" s="16"/>
      <c r="CE146" s="16"/>
      <c r="CF146" s="16"/>
      <c r="CG146" s="16"/>
      <c r="CH146" s="16"/>
      <c r="CI146" s="17"/>
      <c r="CJ146" s="17"/>
      <c r="CK146" s="16"/>
      <c r="CL146" s="16"/>
      <c r="CM146" s="16"/>
      <c r="CN146" s="16"/>
      <c r="CO146" s="16"/>
      <c r="CP146" s="16"/>
      <c r="CQ146" s="16"/>
      <c r="CR146" s="16"/>
    </row>
    <row r="147" spans="1:96" ht="23.25" customHeight="1" x14ac:dyDescent="0.2">
      <c r="A147" s="16"/>
      <c r="B147" s="17"/>
      <c r="C147" s="16"/>
      <c r="D147" s="17"/>
      <c r="E147" s="16"/>
      <c r="F147" s="16"/>
      <c r="G147" s="16"/>
      <c r="H147" s="16"/>
      <c r="I147" s="16"/>
      <c r="J147" s="16"/>
      <c r="K147" s="16"/>
      <c r="L147" s="16"/>
      <c r="M147" s="16"/>
      <c r="N147" s="16"/>
      <c r="O147" s="16"/>
      <c r="P147" s="16"/>
      <c r="Q147" s="16"/>
      <c r="R147" s="16"/>
      <c r="S147" s="16"/>
      <c r="T147" s="17"/>
      <c r="U147" s="18"/>
      <c r="V147" s="18"/>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6"/>
      <c r="BW147" s="19"/>
      <c r="BX147" s="18"/>
      <c r="BY147" s="17"/>
      <c r="BZ147" s="20"/>
      <c r="CA147" s="20"/>
      <c r="CB147" s="16"/>
      <c r="CC147" s="16"/>
      <c r="CD147" s="16"/>
      <c r="CE147" s="16"/>
      <c r="CF147" s="16"/>
      <c r="CG147" s="16"/>
      <c r="CH147" s="16"/>
      <c r="CI147" s="17"/>
      <c r="CJ147" s="17"/>
      <c r="CK147" s="16"/>
      <c r="CL147" s="16"/>
      <c r="CM147" s="16"/>
      <c r="CN147" s="16"/>
      <c r="CO147" s="16"/>
      <c r="CP147" s="16"/>
      <c r="CQ147" s="16"/>
      <c r="CR147" s="16"/>
    </row>
    <row r="148" spans="1:96" ht="23.25" customHeight="1" x14ac:dyDescent="0.2">
      <c r="A148" s="16"/>
      <c r="B148" s="17"/>
      <c r="C148" s="16"/>
      <c r="D148" s="17"/>
      <c r="E148" s="16"/>
      <c r="F148" s="16"/>
      <c r="G148" s="16"/>
      <c r="H148" s="16"/>
      <c r="I148" s="16"/>
      <c r="J148" s="16"/>
      <c r="K148" s="16"/>
      <c r="L148" s="16"/>
      <c r="M148" s="16"/>
      <c r="N148" s="16"/>
      <c r="O148" s="16"/>
      <c r="P148" s="16"/>
      <c r="Q148" s="16"/>
      <c r="R148" s="16"/>
      <c r="S148" s="16"/>
      <c r="T148" s="17"/>
      <c r="U148" s="18"/>
      <c r="V148" s="18"/>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6"/>
      <c r="BW148" s="19"/>
      <c r="BX148" s="18"/>
      <c r="BY148" s="17"/>
      <c r="BZ148" s="20"/>
      <c r="CA148" s="20"/>
      <c r="CB148" s="16"/>
      <c r="CC148" s="16"/>
      <c r="CD148" s="16"/>
      <c r="CE148" s="16"/>
      <c r="CF148" s="16"/>
      <c r="CG148" s="16"/>
      <c r="CH148" s="16"/>
      <c r="CI148" s="17"/>
      <c r="CJ148" s="17"/>
      <c r="CK148" s="16"/>
      <c r="CL148" s="16"/>
      <c r="CM148" s="16"/>
      <c r="CN148" s="16"/>
      <c r="CO148" s="16"/>
      <c r="CP148" s="16"/>
      <c r="CQ148" s="16"/>
      <c r="CR148" s="16"/>
    </row>
    <row r="149" spans="1:96" ht="23.25" customHeight="1" x14ac:dyDescent="0.2">
      <c r="A149" s="16"/>
      <c r="B149" s="17"/>
      <c r="C149" s="16"/>
      <c r="D149" s="17"/>
      <c r="E149" s="16"/>
      <c r="F149" s="16"/>
      <c r="G149" s="16"/>
      <c r="H149" s="16"/>
      <c r="I149" s="16"/>
      <c r="J149" s="16"/>
      <c r="K149" s="16"/>
      <c r="L149" s="16"/>
      <c r="M149" s="16"/>
      <c r="N149" s="16"/>
      <c r="O149" s="16"/>
      <c r="P149" s="16"/>
      <c r="Q149" s="16"/>
      <c r="R149" s="16"/>
      <c r="S149" s="16"/>
      <c r="T149" s="17"/>
      <c r="U149" s="18"/>
      <c r="V149" s="18"/>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6"/>
      <c r="BW149" s="19"/>
      <c r="BX149" s="18"/>
      <c r="BY149" s="17"/>
      <c r="BZ149" s="20"/>
      <c r="CA149" s="20"/>
      <c r="CB149" s="16"/>
      <c r="CC149" s="16"/>
      <c r="CD149" s="16"/>
      <c r="CE149" s="16"/>
      <c r="CF149" s="16"/>
      <c r="CG149" s="16"/>
      <c r="CH149" s="16"/>
      <c r="CI149" s="17"/>
      <c r="CJ149" s="17"/>
      <c r="CK149" s="16"/>
      <c r="CL149" s="16"/>
      <c r="CM149" s="16"/>
      <c r="CN149" s="16"/>
      <c r="CO149" s="16"/>
      <c r="CP149" s="16"/>
      <c r="CQ149" s="16"/>
      <c r="CR149" s="16"/>
    </row>
    <row r="150" spans="1:96" ht="23.25" customHeight="1" x14ac:dyDescent="0.2">
      <c r="A150" s="16"/>
      <c r="B150" s="17"/>
      <c r="C150" s="16"/>
      <c r="D150" s="17"/>
      <c r="E150" s="16"/>
      <c r="F150" s="16"/>
      <c r="G150" s="16"/>
      <c r="H150" s="16"/>
      <c r="I150" s="16"/>
      <c r="J150" s="16"/>
      <c r="K150" s="16"/>
      <c r="L150" s="16"/>
      <c r="M150" s="16"/>
      <c r="N150" s="16"/>
      <c r="O150" s="16"/>
      <c r="P150" s="16"/>
      <c r="Q150" s="16"/>
      <c r="R150" s="16"/>
      <c r="S150" s="16"/>
      <c r="T150" s="17"/>
      <c r="U150" s="18"/>
      <c r="V150" s="18"/>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6"/>
      <c r="BW150" s="19"/>
      <c r="BX150" s="18"/>
      <c r="BY150" s="17"/>
      <c r="BZ150" s="20"/>
      <c r="CA150" s="20"/>
      <c r="CB150" s="16"/>
      <c r="CC150" s="16"/>
      <c r="CD150" s="16"/>
      <c r="CE150" s="16"/>
      <c r="CF150" s="16"/>
      <c r="CG150" s="16"/>
      <c r="CH150" s="16"/>
      <c r="CI150" s="17"/>
      <c r="CJ150" s="17"/>
      <c r="CK150" s="16"/>
      <c r="CL150" s="16"/>
      <c r="CM150" s="16"/>
      <c r="CN150" s="16"/>
      <c r="CO150" s="16"/>
      <c r="CP150" s="16"/>
      <c r="CQ150" s="16"/>
      <c r="CR150" s="16"/>
    </row>
    <row r="151" spans="1:96" ht="23.25" customHeight="1" x14ac:dyDescent="0.2">
      <c r="A151" s="16"/>
      <c r="B151" s="17"/>
      <c r="C151" s="16"/>
      <c r="D151" s="17"/>
      <c r="E151" s="16"/>
      <c r="F151" s="16"/>
      <c r="G151" s="16"/>
      <c r="H151" s="16"/>
      <c r="I151" s="16"/>
      <c r="J151" s="16"/>
      <c r="K151" s="16"/>
      <c r="L151" s="16"/>
      <c r="M151" s="16"/>
      <c r="N151" s="16"/>
      <c r="O151" s="16"/>
      <c r="P151" s="16"/>
      <c r="Q151" s="16"/>
      <c r="R151" s="16"/>
      <c r="S151" s="16"/>
      <c r="T151" s="17"/>
      <c r="U151" s="18"/>
      <c r="V151" s="18"/>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6"/>
      <c r="BW151" s="19"/>
      <c r="BX151" s="18"/>
      <c r="BY151" s="17"/>
      <c r="BZ151" s="20"/>
      <c r="CA151" s="20"/>
      <c r="CB151" s="16"/>
      <c r="CC151" s="16"/>
      <c r="CD151" s="16"/>
      <c r="CE151" s="16"/>
      <c r="CF151" s="16"/>
      <c r="CG151" s="16"/>
      <c r="CH151" s="16"/>
      <c r="CI151" s="17"/>
      <c r="CJ151" s="17"/>
      <c r="CK151" s="16"/>
      <c r="CL151" s="16"/>
      <c r="CM151" s="16"/>
      <c r="CN151" s="16"/>
      <c r="CO151" s="16"/>
      <c r="CP151" s="16"/>
      <c r="CQ151" s="16"/>
      <c r="CR151" s="16"/>
    </row>
    <row r="152" spans="1:96" ht="23.25" customHeight="1" x14ac:dyDescent="0.2">
      <c r="A152" s="16"/>
      <c r="B152" s="17"/>
      <c r="C152" s="16"/>
      <c r="D152" s="17"/>
      <c r="E152" s="16"/>
      <c r="F152" s="16"/>
      <c r="G152" s="16"/>
      <c r="H152" s="16"/>
      <c r="I152" s="16"/>
      <c r="J152" s="16"/>
      <c r="K152" s="16"/>
      <c r="L152" s="16"/>
      <c r="M152" s="16"/>
      <c r="N152" s="16"/>
      <c r="O152" s="16"/>
      <c r="P152" s="16"/>
      <c r="Q152" s="16"/>
      <c r="R152" s="16"/>
      <c r="S152" s="16"/>
      <c r="T152" s="17"/>
      <c r="U152" s="18"/>
      <c r="V152" s="18"/>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6"/>
      <c r="BW152" s="19"/>
      <c r="BX152" s="18"/>
      <c r="BY152" s="17"/>
      <c r="BZ152" s="20"/>
      <c r="CA152" s="20"/>
      <c r="CB152" s="16"/>
      <c r="CC152" s="16"/>
      <c r="CD152" s="16"/>
      <c r="CE152" s="16"/>
      <c r="CF152" s="16"/>
      <c r="CG152" s="16"/>
      <c r="CH152" s="16"/>
      <c r="CI152" s="17"/>
      <c r="CJ152" s="17"/>
      <c r="CK152" s="16"/>
      <c r="CL152" s="16"/>
      <c r="CM152" s="16"/>
      <c r="CN152" s="16"/>
      <c r="CO152" s="16"/>
      <c r="CP152" s="16"/>
      <c r="CQ152" s="16"/>
      <c r="CR152" s="16"/>
    </row>
    <row r="153" spans="1:96" ht="23.25" customHeight="1" x14ac:dyDescent="0.2">
      <c r="A153" s="16"/>
      <c r="B153" s="17"/>
      <c r="C153" s="16"/>
      <c r="D153" s="17"/>
      <c r="E153" s="16"/>
      <c r="F153" s="16"/>
      <c r="G153" s="16"/>
      <c r="H153" s="16"/>
      <c r="I153" s="16"/>
      <c r="J153" s="16"/>
      <c r="K153" s="16"/>
      <c r="L153" s="16"/>
      <c r="M153" s="16"/>
      <c r="N153" s="16"/>
      <c r="O153" s="16"/>
      <c r="P153" s="16"/>
      <c r="Q153" s="16"/>
      <c r="R153" s="16"/>
      <c r="S153" s="16"/>
      <c r="T153" s="17"/>
      <c r="U153" s="18"/>
      <c r="V153" s="18"/>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6"/>
      <c r="BW153" s="19"/>
      <c r="BX153" s="18"/>
      <c r="BY153" s="17"/>
      <c r="BZ153" s="20"/>
      <c r="CA153" s="20"/>
      <c r="CB153" s="16"/>
      <c r="CC153" s="16"/>
      <c r="CD153" s="16"/>
      <c r="CE153" s="16"/>
      <c r="CF153" s="16"/>
      <c r="CG153" s="16"/>
      <c r="CH153" s="16"/>
      <c r="CI153" s="17"/>
      <c r="CJ153" s="17"/>
      <c r="CK153" s="16"/>
      <c r="CL153" s="16"/>
      <c r="CM153" s="16"/>
      <c r="CN153" s="16"/>
      <c r="CO153" s="16"/>
      <c r="CP153" s="16"/>
      <c r="CQ153" s="16"/>
      <c r="CR153" s="16"/>
    </row>
    <row r="154" spans="1:96" ht="23.25" customHeight="1" x14ac:dyDescent="0.2">
      <c r="A154" s="16"/>
      <c r="B154" s="17"/>
      <c r="C154" s="16"/>
      <c r="D154" s="17"/>
      <c r="E154" s="16"/>
      <c r="F154" s="16"/>
      <c r="G154" s="16"/>
      <c r="H154" s="16"/>
      <c r="I154" s="16"/>
      <c r="J154" s="16"/>
      <c r="K154" s="16"/>
      <c r="L154" s="16"/>
      <c r="M154" s="16"/>
      <c r="N154" s="16"/>
      <c r="O154" s="16"/>
      <c r="P154" s="16"/>
      <c r="Q154" s="16"/>
      <c r="R154" s="16"/>
      <c r="S154" s="16"/>
      <c r="T154" s="17"/>
      <c r="U154" s="18"/>
      <c r="V154" s="18"/>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c r="BR154" s="17"/>
      <c r="BS154" s="17"/>
      <c r="BT154" s="17"/>
      <c r="BU154" s="17"/>
      <c r="BV154" s="16"/>
      <c r="BW154" s="19"/>
      <c r="BX154" s="18"/>
      <c r="BY154" s="17"/>
      <c r="BZ154" s="20"/>
      <c r="CA154" s="20"/>
      <c r="CB154" s="16"/>
      <c r="CC154" s="16"/>
      <c r="CD154" s="16"/>
      <c r="CE154" s="16"/>
      <c r="CF154" s="16"/>
      <c r="CG154" s="16"/>
      <c r="CH154" s="16"/>
      <c r="CI154" s="17"/>
      <c r="CJ154" s="17"/>
      <c r="CK154" s="16"/>
      <c r="CL154" s="16"/>
      <c r="CM154" s="16"/>
      <c r="CN154" s="16"/>
      <c r="CO154" s="16"/>
      <c r="CP154" s="16"/>
      <c r="CQ154" s="16"/>
      <c r="CR154" s="16"/>
    </row>
    <row r="155" spans="1:96" ht="23.25" customHeight="1" x14ac:dyDescent="0.2">
      <c r="A155" s="16"/>
      <c r="B155" s="17"/>
      <c r="C155" s="16"/>
      <c r="D155" s="17"/>
      <c r="E155" s="16"/>
      <c r="F155" s="16"/>
      <c r="G155" s="16"/>
      <c r="H155" s="16"/>
      <c r="I155" s="16"/>
      <c r="J155" s="16"/>
      <c r="K155" s="16"/>
      <c r="L155" s="16"/>
      <c r="M155" s="16"/>
      <c r="N155" s="16"/>
      <c r="O155" s="16"/>
      <c r="P155" s="16"/>
      <c r="Q155" s="16"/>
      <c r="R155" s="16"/>
      <c r="S155" s="16"/>
      <c r="T155" s="17"/>
      <c r="U155" s="18"/>
      <c r="V155" s="18"/>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6"/>
      <c r="BW155" s="19"/>
      <c r="BX155" s="18"/>
      <c r="BY155" s="17"/>
      <c r="BZ155" s="20"/>
      <c r="CA155" s="20"/>
      <c r="CB155" s="16"/>
      <c r="CC155" s="16"/>
      <c r="CD155" s="16"/>
      <c r="CE155" s="16"/>
      <c r="CF155" s="16"/>
      <c r="CG155" s="16"/>
      <c r="CH155" s="16"/>
      <c r="CI155" s="17"/>
      <c r="CJ155" s="17"/>
      <c r="CK155" s="16"/>
      <c r="CL155" s="16"/>
      <c r="CM155" s="16"/>
      <c r="CN155" s="16"/>
      <c r="CO155" s="16"/>
      <c r="CP155" s="16"/>
      <c r="CQ155" s="16"/>
      <c r="CR155" s="16"/>
    </row>
    <row r="156" spans="1:96" ht="23.25" customHeight="1" x14ac:dyDescent="0.2">
      <c r="A156" s="16"/>
      <c r="B156" s="17"/>
      <c r="C156" s="16"/>
      <c r="D156" s="17"/>
      <c r="E156" s="16"/>
      <c r="F156" s="16"/>
      <c r="G156" s="16"/>
      <c r="H156" s="16"/>
      <c r="I156" s="16"/>
      <c r="J156" s="16"/>
      <c r="K156" s="16"/>
      <c r="L156" s="16"/>
      <c r="M156" s="16"/>
      <c r="N156" s="16"/>
      <c r="O156" s="16"/>
      <c r="P156" s="16"/>
      <c r="Q156" s="16"/>
      <c r="R156" s="16"/>
      <c r="S156" s="16"/>
      <c r="T156" s="17"/>
      <c r="U156" s="18"/>
      <c r="V156" s="18"/>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6"/>
      <c r="BW156" s="19"/>
      <c r="BX156" s="18"/>
      <c r="BY156" s="17"/>
      <c r="BZ156" s="20"/>
      <c r="CA156" s="20"/>
      <c r="CB156" s="16"/>
      <c r="CC156" s="16"/>
      <c r="CD156" s="16"/>
      <c r="CE156" s="16"/>
      <c r="CF156" s="16"/>
      <c r="CG156" s="16"/>
      <c r="CH156" s="16"/>
      <c r="CI156" s="17"/>
      <c r="CJ156" s="17"/>
      <c r="CK156" s="16"/>
      <c r="CL156" s="16"/>
      <c r="CM156" s="16"/>
      <c r="CN156" s="16"/>
      <c r="CO156" s="16"/>
      <c r="CP156" s="16"/>
      <c r="CQ156" s="16"/>
      <c r="CR156" s="16"/>
    </row>
    <row r="157" spans="1:96" ht="23.25" customHeight="1" x14ac:dyDescent="0.2">
      <c r="A157" s="16"/>
      <c r="B157" s="17"/>
      <c r="C157" s="16"/>
      <c r="D157" s="17"/>
      <c r="E157" s="16"/>
      <c r="F157" s="16"/>
      <c r="G157" s="16"/>
      <c r="H157" s="16"/>
      <c r="I157" s="16"/>
      <c r="J157" s="16"/>
      <c r="K157" s="16"/>
      <c r="L157" s="16"/>
      <c r="M157" s="16"/>
      <c r="N157" s="16"/>
      <c r="O157" s="16"/>
      <c r="P157" s="16"/>
      <c r="Q157" s="16"/>
      <c r="R157" s="16"/>
      <c r="S157" s="16"/>
      <c r="T157" s="17"/>
      <c r="U157" s="18"/>
      <c r="V157" s="18"/>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6"/>
      <c r="BW157" s="19"/>
      <c r="BX157" s="18"/>
      <c r="BY157" s="17"/>
      <c r="BZ157" s="20"/>
      <c r="CA157" s="20"/>
      <c r="CB157" s="16"/>
      <c r="CC157" s="16"/>
      <c r="CD157" s="16"/>
      <c r="CE157" s="16"/>
      <c r="CF157" s="16"/>
      <c r="CG157" s="16"/>
      <c r="CH157" s="16"/>
      <c r="CI157" s="17"/>
      <c r="CJ157" s="17"/>
      <c r="CK157" s="16"/>
      <c r="CL157" s="16"/>
      <c r="CM157" s="16"/>
      <c r="CN157" s="16"/>
      <c r="CO157" s="16"/>
      <c r="CP157" s="16"/>
      <c r="CQ157" s="16"/>
      <c r="CR157" s="16"/>
    </row>
    <row r="158" spans="1:96" ht="23.25" customHeight="1" x14ac:dyDescent="0.2">
      <c r="A158" s="16"/>
      <c r="B158" s="17"/>
      <c r="C158" s="16"/>
      <c r="D158" s="17"/>
      <c r="E158" s="16"/>
      <c r="F158" s="16"/>
      <c r="G158" s="16"/>
      <c r="H158" s="16"/>
      <c r="I158" s="16"/>
      <c r="J158" s="16"/>
      <c r="K158" s="16"/>
      <c r="L158" s="16"/>
      <c r="M158" s="16"/>
      <c r="N158" s="16"/>
      <c r="O158" s="16"/>
      <c r="P158" s="16"/>
      <c r="Q158" s="16"/>
      <c r="R158" s="16"/>
      <c r="S158" s="16"/>
      <c r="T158" s="17"/>
      <c r="U158" s="18"/>
      <c r="V158" s="18"/>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6"/>
      <c r="BW158" s="19"/>
      <c r="BX158" s="18"/>
      <c r="BY158" s="17"/>
      <c r="BZ158" s="20"/>
      <c r="CA158" s="20"/>
      <c r="CB158" s="16"/>
      <c r="CC158" s="16"/>
      <c r="CD158" s="16"/>
      <c r="CE158" s="16"/>
      <c r="CF158" s="16"/>
      <c r="CG158" s="16"/>
      <c r="CH158" s="16"/>
      <c r="CI158" s="17"/>
      <c r="CJ158" s="17"/>
      <c r="CK158" s="16"/>
      <c r="CL158" s="16"/>
      <c r="CM158" s="16"/>
      <c r="CN158" s="16"/>
      <c r="CO158" s="16"/>
      <c r="CP158" s="16"/>
      <c r="CQ158" s="16"/>
      <c r="CR158" s="16"/>
    </row>
    <row r="159" spans="1:96" ht="23.25" customHeight="1" x14ac:dyDescent="0.2">
      <c r="A159" s="16"/>
      <c r="B159" s="17"/>
      <c r="C159" s="16"/>
      <c r="D159" s="17"/>
      <c r="E159" s="16"/>
      <c r="F159" s="16"/>
      <c r="G159" s="16"/>
      <c r="H159" s="16"/>
      <c r="I159" s="16"/>
      <c r="J159" s="16"/>
      <c r="K159" s="16"/>
      <c r="L159" s="16"/>
      <c r="M159" s="16"/>
      <c r="N159" s="16"/>
      <c r="O159" s="16"/>
      <c r="P159" s="16"/>
      <c r="Q159" s="16"/>
      <c r="R159" s="16"/>
      <c r="S159" s="16"/>
      <c r="T159" s="17"/>
      <c r="U159" s="18"/>
      <c r="V159" s="18"/>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6"/>
      <c r="BW159" s="19"/>
      <c r="BX159" s="18"/>
      <c r="BY159" s="17"/>
      <c r="BZ159" s="20"/>
      <c r="CA159" s="20"/>
      <c r="CB159" s="16"/>
      <c r="CC159" s="16"/>
      <c r="CD159" s="16"/>
      <c r="CE159" s="16"/>
      <c r="CF159" s="16"/>
      <c r="CG159" s="16"/>
      <c r="CH159" s="16"/>
      <c r="CI159" s="17"/>
      <c r="CJ159" s="17"/>
      <c r="CK159" s="16"/>
      <c r="CL159" s="16"/>
      <c r="CM159" s="16"/>
      <c r="CN159" s="16"/>
      <c r="CO159" s="16"/>
      <c r="CP159" s="16"/>
      <c r="CQ159" s="16"/>
      <c r="CR159" s="16"/>
    </row>
    <row r="160" spans="1:96" ht="23.25" customHeight="1" x14ac:dyDescent="0.2">
      <c r="A160" s="16"/>
      <c r="B160" s="17"/>
      <c r="C160" s="16"/>
      <c r="D160" s="17"/>
      <c r="E160" s="16"/>
      <c r="F160" s="16"/>
      <c r="G160" s="16"/>
      <c r="H160" s="16"/>
      <c r="I160" s="16"/>
      <c r="J160" s="16"/>
      <c r="K160" s="16"/>
      <c r="L160" s="16"/>
      <c r="M160" s="16"/>
      <c r="N160" s="16"/>
      <c r="O160" s="16"/>
      <c r="P160" s="16"/>
      <c r="Q160" s="16"/>
      <c r="R160" s="16"/>
      <c r="S160" s="16"/>
      <c r="T160" s="17"/>
      <c r="U160" s="18"/>
      <c r="V160" s="18"/>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6"/>
      <c r="BW160" s="19"/>
      <c r="BX160" s="18"/>
      <c r="BY160" s="17"/>
      <c r="BZ160" s="20"/>
      <c r="CA160" s="20"/>
      <c r="CB160" s="16"/>
      <c r="CC160" s="16"/>
      <c r="CD160" s="16"/>
      <c r="CE160" s="16"/>
      <c r="CF160" s="16"/>
      <c r="CG160" s="16"/>
      <c r="CH160" s="16"/>
      <c r="CI160" s="17"/>
      <c r="CJ160" s="17"/>
      <c r="CK160" s="16"/>
      <c r="CL160" s="16"/>
      <c r="CM160" s="16"/>
      <c r="CN160" s="16"/>
      <c r="CO160" s="16"/>
      <c r="CP160" s="16"/>
      <c r="CQ160" s="16"/>
      <c r="CR160" s="16"/>
    </row>
    <row r="161" spans="1:96" ht="23.25" customHeight="1" x14ac:dyDescent="0.2">
      <c r="A161" s="16"/>
      <c r="B161" s="17"/>
      <c r="C161" s="16"/>
      <c r="D161" s="17"/>
      <c r="E161" s="16"/>
      <c r="F161" s="16"/>
      <c r="G161" s="16"/>
      <c r="H161" s="16"/>
      <c r="I161" s="16"/>
      <c r="J161" s="16"/>
      <c r="K161" s="16"/>
      <c r="L161" s="16"/>
      <c r="M161" s="16"/>
      <c r="N161" s="16"/>
      <c r="O161" s="16"/>
      <c r="P161" s="16"/>
      <c r="Q161" s="16"/>
      <c r="R161" s="16"/>
      <c r="S161" s="16"/>
      <c r="T161" s="17"/>
      <c r="U161" s="18"/>
      <c r="V161" s="18"/>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6"/>
      <c r="BW161" s="19"/>
      <c r="BX161" s="18"/>
      <c r="BY161" s="17"/>
      <c r="BZ161" s="20"/>
      <c r="CA161" s="20"/>
      <c r="CB161" s="16"/>
      <c r="CC161" s="16"/>
      <c r="CD161" s="16"/>
      <c r="CE161" s="16"/>
      <c r="CF161" s="16"/>
      <c r="CG161" s="16"/>
      <c r="CH161" s="16"/>
      <c r="CI161" s="17"/>
      <c r="CJ161" s="17"/>
      <c r="CK161" s="16"/>
      <c r="CL161" s="16"/>
      <c r="CM161" s="16"/>
      <c r="CN161" s="16"/>
      <c r="CO161" s="16"/>
      <c r="CP161" s="16"/>
      <c r="CQ161" s="16"/>
      <c r="CR161" s="16"/>
    </row>
    <row r="162" spans="1:96" ht="23.25" customHeight="1" x14ac:dyDescent="0.2">
      <c r="A162" s="16"/>
      <c r="B162" s="17"/>
      <c r="C162" s="16"/>
      <c r="D162" s="17"/>
      <c r="E162" s="16"/>
      <c r="F162" s="16"/>
      <c r="G162" s="16"/>
      <c r="H162" s="16"/>
      <c r="I162" s="16"/>
      <c r="J162" s="16"/>
      <c r="K162" s="16"/>
      <c r="L162" s="16"/>
      <c r="M162" s="16"/>
      <c r="N162" s="16"/>
      <c r="O162" s="16"/>
      <c r="P162" s="16"/>
      <c r="Q162" s="16"/>
      <c r="R162" s="16"/>
      <c r="S162" s="16"/>
      <c r="T162" s="17"/>
      <c r="U162" s="18"/>
      <c r="V162" s="18"/>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6"/>
      <c r="BW162" s="19"/>
      <c r="BX162" s="18"/>
      <c r="BY162" s="17"/>
      <c r="BZ162" s="20"/>
      <c r="CA162" s="20"/>
      <c r="CB162" s="16"/>
      <c r="CC162" s="16"/>
      <c r="CD162" s="16"/>
      <c r="CE162" s="16"/>
      <c r="CF162" s="16"/>
      <c r="CG162" s="16"/>
      <c r="CH162" s="16"/>
      <c r="CI162" s="17"/>
      <c r="CJ162" s="17"/>
      <c r="CK162" s="16"/>
      <c r="CL162" s="16"/>
      <c r="CM162" s="16"/>
      <c r="CN162" s="16"/>
      <c r="CO162" s="16"/>
      <c r="CP162" s="16"/>
      <c r="CQ162" s="16"/>
      <c r="CR162" s="16"/>
    </row>
    <row r="163" spans="1:96" ht="23.25" customHeight="1" x14ac:dyDescent="0.2">
      <c r="A163" s="16"/>
      <c r="B163" s="17"/>
      <c r="C163" s="16"/>
      <c r="D163" s="17"/>
      <c r="E163" s="16"/>
      <c r="F163" s="16"/>
      <c r="G163" s="16"/>
      <c r="H163" s="16"/>
      <c r="I163" s="16"/>
      <c r="J163" s="16"/>
      <c r="K163" s="16"/>
      <c r="L163" s="16"/>
      <c r="M163" s="16"/>
      <c r="N163" s="16"/>
      <c r="O163" s="16"/>
      <c r="P163" s="16"/>
      <c r="Q163" s="16"/>
      <c r="R163" s="16"/>
      <c r="S163" s="16"/>
      <c r="T163" s="17"/>
      <c r="U163" s="18"/>
      <c r="V163" s="18"/>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6"/>
      <c r="BW163" s="19"/>
      <c r="BX163" s="18"/>
      <c r="BY163" s="17"/>
      <c r="BZ163" s="20"/>
      <c r="CA163" s="20"/>
      <c r="CB163" s="16"/>
      <c r="CC163" s="16"/>
      <c r="CD163" s="16"/>
      <c r="CE163" s="16"/>
      <c r="CF163" s="16"/>
      <c r="CG163" s="16"/>
      <c r="CH163" s="16"/>
      <c r="CI163" s="17"/>
      <c r="CJ163" s="17"/>
      <c r="CK163" s="16"/>
      <c r="CL163" s="16"/>
      <c r="CM163" s="16"/>
      <c r="CN163" s="16"/>
      <c r="CO163" s="16"/>
      <c r="CP163" s="16"/>
      <c r="CQ163" s="16"/>
      <c r="CR163" s="16"/>
    </row>
    <row r="164" spans="1:96" ht="23.25" customHeight="1" x14ac:dyDescent="0.2">
      <c r="A164" s="16"/>
      <c r="B164" s="17"/>
      <c r="C164" s="16"/>
      <c r="D164" s="17"/>
      <c r="E164" s="16"/>
      <c r="F164" s="16"/>
      <c r="G164" s="16"/>
      <c r="H164" s="16"/>
      <c r="I164" s="16"/>
      <c r="J164" s="16"/>
      <c r="K164" s="16"/>
      <c r="L164" s="16"/>
      <c r="M164" s="16"/>
      <c r="N164" s="16"/>
      <c r="O164" s="16"/>
      <c r="P164" s="16"/>
      <c r="Q164" s="16"/>
      <c r="R164" s="16"/>
      <c r="S164" s="16"/>
      <c r="T164" s="17"/>
      <c r="U164" s="18"/>
      <c r="V164" s="18"/>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6"/>
      <c r="BW164" s="19"/>
      <c r="BX164" s="18"/>
      <c r="BY164" s="17"/>
      <c r="BZ164" s="20"/>
      <c r="CA164" s="20"/>
      <c r="CB164" s="16"/>
      <c r="CC164" s="16"/>
      <c r="CD164" s="16"/>
      <c r="CE164" s="16"/>
      <c r="CF164" s="16"/>
      <c r="CG164" s="16"/>
      <c r="CH164" s="16"/>
      <c r="CI164" s="17"/>
      <c r="CJ164" s="17"/>
      <c r="CK164" s="16"/>
      <c r="CL164" s="16"/>
      <c r="CM164" s="16"/>
      <c r="CN164" s="16"/>
      <c r="CO164" s="16"/>
      <c r="CP164" s="16"/>
      <c r="CQ164" s="16"/>
      <c r="CR164" s="16"/>
    </row>
    <row r="165" spans="1:96" ht="23.25" customHeight="1" x14ac:dyDescent="0.2">
      <c r="A165" s="16"/>
      <c r="B165" s="17"/>
      <c r="C165" s="16"/>
      <c r="D165" s="17"/>
      <c r="E165" s="16"/>
      <c r="F165" s="16"/>
      <c r="G165" s="16"/>
      <c r="H165" s="16"/>
      <c r="I165" s="16"/>
      <c r="J165" s="16"/>
      <c r="K165" s="16"/>
      <c r="L165" s="16"/>
      <c r="M165" s="16"/>
      <c r="N165" s="16"/>
      <c r="O165" s="16"/>
      <c r="P165" s="16"/>
      <c r="Q165" s="16"/>
      <c r="R165" s="16"/>
      <c r="S165" s="16"/>
      <c r="T165" s="17"/>
      <c r="U165" s="18"/>
      <c r="V165" s="18"/>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6"/>
      <c r="BW165" s="19"/>
      <c r="BX165" s="18"/>
      <c r="BY165" s="17"/>
      <c r="BZ165" s="20"/>
      <c r="CA165" s="20"/>
      <c r="CB165" s="16"/>
      <c r="CC165" s="16"/>
      <c r="CD165" s="16"/>
      <c r="CE165" s="16"/>
      <c r="CF165" s="16"/>
      <c r="CG165" s="16"/>
      <c r="CH165" s="16"/>
      <c r="CI165" s="17"/>
      <c r="CJ165" s="17"/>
      <c r="CK165" s="16"/>
      <c r="CL165" s="16"/>
      <c r="CM165" s="16"/>
      <c r="CN165" s="16"/>
      <c r="CO165" s="16"/>
      <c r="CP165" s="16"/>
      <c r="CQ165" s="16"/>
      <c r="CR165" s="16"/>
    </row>
    <row r="166" spans="1:96" ht="23.25" customHeight="1" x14ac:dyDescent="0.2">
      <c r="A166" s="16"/>
      <c r="B166" s="17"/>
      <c r="C166" s="16"/>
      <c r="D166" s="17"/>
      <c r="E166" s="16"/>
      <c r="F166" s="16"/>
      <c r="G166" s="16"/>
      <c r="H166" s="16"/>
      <c r="I166" s="16"/>
      <c r="J166" s="16"/>
      <c r="K166" s="16"/>
      <c r="L166" s="16"/>
      <c r="M166" s="16"/>
      <c r="N166" s="16"/>
      <c r="O166" s="16"/>
      <c r="P166" s="16"/>
      <c r="Q166" s="16"/>
      <c r="R166" s="16"/>
      <c r="S166" s="16"/>
      <c r="T166" s="17"/>
      <c r="U166" s="18"/>
      <c r="V166" s="18"/>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6"/>
      <c r="BW166" s="19"/>
      <c r="BX166" s="18"/>
      <c r="BY166" s="17"/>
      <c r="BZ166" s="20"/>
      <c r="CA166" s="20"/>
      <c r="CB166" s="16"/>
      <c r="CC166" s="16"/>
      <c r="CD166" s="16"/>
      <c r="CE166" s="16"/>
      <c r="CF166" s="16"/>
      <c r="CG166" s="16"/>
      <c r="CH166" s="16"/>
      <c r="CI166" s="17"/>
      <c r="CJ166" s="17"/>
      <c r="CK166" s="16"/>
      <c r="CL166" s="16"/>
      <c r="CM166" s="16"/>
      <c r="CN166" s="16"/>
      <c r="CO166" s="16"/>
      <c r="CP166" s="16"/>
      <c r="CQ166" s="16"/>
      <c r="CR166" s="16"/>
    </row>
    <row r="167" spans="1:96" ht="23.25" customHeight="1" x14ac:dyDescent="0.2">
      <c r="A167" s="16"/>
      <c r="B167" s="17"/>
      <c r="C167" s="16"/>
      <c r="D167" s="17"/>
      <c r="E167" s="16"/>
      <c r="F167" s="16"/>
      <c r="G167" s="16"/>
      <c r="H167" s="16"/>
      <c r="I167" s="16"/>
      <c r="J167" s="16"/>
      <c r="K167" s="16"/>
      <c r="L167" s="16"/>
      <c r="M167" s="16"/>
      <c r="N167" s="16"/>
      <c r="O167" s="16"/>
      <c r="P167" s="16"/>
      <c r="Q167" s="16"/>
      <c r="R167" s="16"/>
      <c r="S167" s="16"/>
      <c r="T167" s="17"/>
      <c r="U167" s="18"/>
      <c r="V167" s="18"/>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6"/>
      <c r="BW167" s="19"/>
      <c r="BX167" s="18"/>
      <c r="BY167" s="17"/>
      <c r="BZ167" s="20"/>
      <c r="CA167" s="20"/>
      <c r="CB167" s="16"/>
      <c r="CC167" s="16"/>
      <c r="CD167" s="16"/>
      <c r="CE167" s="16"/>
      <c r="CF167" s="16"/>
      <c r="CG167" s="16"/>
      <c r="CH167" s="16"/>
      <c r="CI167" s="17"/>
      <c r="CJ167" s="17"/>
      <c r="CK167" s="16"/>
      <c r="CL167" s="16"/>
      <c r="CM167" s="16"/>
      <c r="CN167" s="16"/>
      <c r="CO167" s="16"/>
      <c r="CP167" s="16"/>
      <c r="CQ167" s="16"/>
      <c r="CR167" s="16"/>
    </row>
    <row r="168" spans="1:96" ht="23.25" customHeight="1" x14ac:dyDescent="0.2">
      <c r="A168" s="16"/>
      <c r="B168" s="17"/>
      <c r="C168" s="16"/>
      <c r="D168" s="17"/>
      <c r="E168" s="16"/>
      <c r="F168" s="16"/>
      <c r="G168" s="16"/>
      <c r="H168" s="16"/>
      <c r="I168" s="16"/>
      <c r="J168" s="16"/>
      <c r="K168" s="16"/>
      <c r="L168" s="16"/>
      <c r="M168" s="16"/>
      <c r="N168" s="16"/>
      <c r="O168" s="16"/>
      <c r="P168" s="16"/>
      <c r="Q168" s="16"/>
      <c r="R168" s="16"/>
      <c r="S168" s="16"/>
      <c r="T168" s="17"/>
      <c r="U168" s="18"/>
      <c r="V168" s="18"/>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6"/>
      <c r="BW168" s="19"/>
      <c r="BX168" s="18"/>
      <c r="BY168" s="17"/>
      <c r="BZ168" s="20"/>
      <c r="CA168" s="20"/>
      <c r="CB168" s="16"/>
      <c r="CC168" s="16"/>
      <c r="CD168" s="16"/>
      <c r="CE168" s="16"/>
      <c r="CF168" s="16"/>
      <c r="CG168" s="16"/>
      <c r="CH168" s="16"/>
      <c r="CI168" s="17"/>
      <c r="CJ168" s="17"/>
      <c r="CK168" s="16"/>
      <c r="CL168" s="16"/>
      <c r="CM168" s="16"/>
      <c r="CN168" s="16"/>
      <c r="CO168" s="16"/>
      <c r="CP168" s="16"/>
      <c r="CQ168" s="16"/>
      <c r="CR168" s="16"/>
    </row>
    <row r="169" spans="1:96" ht="23.25" customHeight="1" x14ac:dyDescent="0.2">
      <c r="A169" s="16"/>
      <c r="B169" s="17"/>
      <c r="C169" s="16"/>
      <c r="D169" s="17"/>
      <c r="E169" s="16"/>
      <c r="F169" s="16"/>
      <c r="G169" s="16"/>
      <c r="H169" s="16"/>
      <c r="I169" s="16"/>
      <c r="J169" s="16"/>
      <c r="K169" s="16"/>
      <c r="L169" s="16"/>
      <c r="M169" s="16"/>
      <c r="N169" s="16"/>
      <c r="O169" s="16"/>
      <c r="P169" s="16"/>
      <c r="Q169" s="16"/>
      <c r="R169" s="16"/>
      <c r="S169" s="16"/>
      <c r="T169" s="17"/>
      <c r="U169" s="18"/>
      <c r="V169" s="18"/>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6"/>
      <c r="BW169" s="19"/>
      <c r="BX169" s="18"/>
      <c r="BY169" s="17"/>
      <c r="BZ169" s="20"/>
      <c r="CA169" s="20"/>
      <c r="CB169" s="16"/>
      <c r="CC169" s="16"/>
      <c r="CD169" s="16"/>
      <c r="CE169" s="16"/>
      <c r="CF169" s="16"/>
      <c r="CG169" s="16"/>
      <c r="CH169" s="16"/>
      <c r="CI169" s="17"/>
      <c r="CJ169" s="17"/>
      <c r="CK169" s="16"/>
      <c r="CL169" s="16"/>
      <c r="CM169" s="16"/>
      <c r="CN169" s="16"/>
      <c r="CO169" s="16"/>
      <c r="CP169" s="16"/>
      <c r="CQ169" s="16"/>
      <c r="CR169" s="16"/>
    </row>
    <row r="170" spans="1:96" ht="23.25" customHeight="1" x14ac:dyDescent="0.2">
      <c r="A170" s="16"/>
      <c r="B170" s="17"/>
      <c r="C170" s="16"/>
      <c r="D170" s="17"/>
      <c r="E170" s="16"/>
      <c r="F170" s="16"/>
      <c r="G170" s="16"/>
      <c r="H170" s="16"/>
      <c r="I170" s="16"/>
      <c r="J170" s="16"/>
      <c r="K170" s="16"/>
      <c r="L170" s="16"/>
      <c r="M170" s="16"/>
      <c r="N170" s="16"/>
      <c r="O170" s="16"/>
      <c r="P170" s="16"/>
      <c r="Q170" s="16"/>
      <c r="R170" s="16"/>
      <c r="S170" s="16"/>
      <c r="T170" s="17"/>
      <c r="U170" s="18"/>
      <c r="V170" s="18"/>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6"/>
      <c r="BW170" s="19"/>
      <c r="BX170" s="18"/>
      <c r="BY170" s="17"/>
      <c r="BZ170" s="20"/>
      <c r="CA170" s="20"/>
      <c r="CB170" s="16"/>
      <c r="CC170" s="16"/>
      <c r="CD170" s="16"/>
      <c r="CE170" s="16"/>
      <c r="CF170" s="16"/>
      <c r="CG170" s="16"/>
      <c r="CH170" s="16"/>
      <c r="CI170" s="17"/>
      <c r="CJ170" s="17"/>
      <c r="CK170" s="16"/>
      <c r="CL170" s="16"/>
      <c r="CM170" s="16"/>
      <c r="CN170" s="16"/>
      <c r="CO170" s="16"/>
      <c r="CP170" s="16"/>
      <c r="CQ170" s="16"/>
      <c r="CR170" s="16"/>
    </row>
    <row r="171" spans="1:96" ht="23.25" customHeight="1" x14ac:dyDescent="0.2">
      <c r="A171" s="16"/>
      <c r="B171" s="17"/>
      <c r="C171" s="16"/>
      <c r="D171" s="17"/>
      <c r="E171" s="16"/>
      <c r="F171" s="16"/>
      <c r="G171" s="16"/>
      <c r="H171" s="16"/>
      <c r="I171" s="16"/>
      <c r="J171" s="16"/>
      <c r="K171" s="16"/>
      <c r="L171" s="16"/>
      <c r="M171" s="16"/>
      <c r="N171" s="16"/>
      <c r="O171" s="16"/>
      <c r="P171" s="16"/>
      <c r="Q171" s="16"/>
      <c r="R171" s="16"/>
      <c r="S171" s="16"/>
      <c r="T171" s="17"/>
      <c r="U171" s="18"/>
      <c r="V171" s="18"/>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6"/>
      <c r="BW171" s="19"/>
      <c r="BX171" s="18"/>
      <c r="BY171" s="17"/>
      <c r="BZ171" s="20"/>
      <c r="CA171" s="20"/>
      <c r="CB171" s="16"/>
      <c r="CC171" s="16"/>
      <c r="CD171" s="16"/>
      <c r="CE171" s="16"/>
      <c r="CF171" s="16"/>
      <c r="CG171" s="16"/>
      <c r="CH171" s="16"/>
      <c r="CI171" s="17"/>
      <c r="CJ171" s="17"/>
      <c r="CK171" s="16"/>
      <c r="CL171" s="16"/>
      <c r="CM171" s="16"/>
      <c r="CN171" s="16"/>
      <c r="CO171" s="16"/>
      <c r="CP171" s="16"/>
      <c r="CQ171" s="16"/>
      <c r="CR171" s="16"/>
    </row>
    <row r="172" spans="1:96" ht="23.25" customHeight="1" x14ac:dyDescent="0.2">
      <c r="A172" s="16"/>
      <c r="B172" s="17"/>
      <c r="C172" s="16"/>
      <c r="D172" s="17"/>
      <c r="E172" s="16"/>
      <c r="F172" s="16"/>
      <c r="G172" s="16"/>
      <c r="H172" s="16"/>
      <c r="I172" s="16"/>
      <c r="J172" s="16"/>
      <c r="K172" s="16"/>
      <c r="L172" s="16"/>
      <c r="M172" s="16"/>
      <c r="N172" s="16"/>
      <c r="O172" s="16"/>
      <c r="P172" s="16"/>
      <c r="Q172" s="16"/>
      <c r="R172" s="16"/>
      <c r="S172" s="16"/>
      <c r="T172" s="17"/>
      <c r="U172" s="18"/>
      <c r="V172" s="18"/>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6"/>
      <c r="BW172" s="19"/>
      <c r="BX172" s="18"/>
      <c r="BY172" s="17"/>
      <c r="BZ172" s="20"/>
      <c r="CA172" s="20"/>
      <c r="CB172" s="16"/>
      <c r="CC172" s="16"/>
      <c r="CD172" s="16"/>
      <c r="CE172" s="16"/>
      <c r="CF172" s="16"/>
      <c r="CG172" s="16"/>
      <c r="CH172" s="16"/>
      <c r="CI172" s="17"/>
      <c r="CJ172" s="17"/>
      <c r="CK172" s="16"/>
      <c r="CL172" s="16"/>
      <c r="CM172" s="16"/>
      <c r="CN172" s="16"/>
      <c r="CO172" s="16"/>
      <c r="CP172" s="16"/>
      <c r="CQ172" s="16"/>
      <c r="CR172" s="16"/>
    </row>
    <row r="173" spans="1:96" ht="23.25" customHeight="1" x14ac:dyDescent="0.2">
      <c r="A173" s="16"/>
      <c r="B173" s="17"/>
      <c r="C173" s="16"/>
      <c r="D173" s="17"/>
      <c r="E173" s="16"/>
      <c r="F173" s="16"/>
      <c r="G173" s="16"/>
      <c r="H173" s="16"/>
      <c r="I173" s="16"/>
      <c r="J173" s="16"/>
      <c r="K173" s="16"/>
      <c r="L173" s="16"/>
      <c r="M173" s="16"/>
      <c r="N173" s="16"/>
      <c r="O173" s="16"/>
      <c r="P173" s="16"/>
      <c r="Q173" s="16"/>
      <c r="R173" s="16"/>
      <c r="S173" s="16"/>
      <c r="T173" s="17"/>
      <c r="U173" s="18"/>
      <c r="V173" s="18"/>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6"/>
      <c r="BW173" s="19"/>
      <c r="BX173" s="18"/>
      <c r="BY173" s="17"/>
      <c r="BZ173" s="20"/>
      <c r="CA173" s="20"/>
      <c r="CB173" s="16"/>
      <c r="CC173" s="16"/>
      <c r="CD173" s="16"/>
      <c r="CE173" s="16"/>
      <c r="CF173" s="16"/>
      <c r="CG173" s="16"/>
      <c r="CH173" s="16"/>
      <c r="CI173" s="17"/>
      <c r="CJ173" s="17"/>
      <c r="CK173" s="16"/>
      <c r="CL173" s="16"/>
      <c r="CM173" s="16"/>
      <c r="CN173" s="16"/>
      <c r="CO173" s="16"/>
      <c r="CP173" s="16"/>
      <c r="CQ173" s="16"/>
      <c r="CR173" s="16"/>
    </row>
    <row r="174" spans="1:96" ht="23.25" customHeight="1" x14ac:dyDescent="0.2">
      <c r="A174" s="16"/>
      <c r="B174" s="17"/>
      <c r="C174" s="16"/>
      <c r="D174" s="17"/>
      <c r="E174" s="16"/>
      <c r="F174" s="16"/>
      <c r="G174" s="16"/>
      <c r="H174" s="16"/>
      <c r="I174" s="16"/>
      <c r="J174" s="16"/>
      <c r="K174" s="16"/>
      <c r="L174" s="16"/>
      <c r="M174" s="16"/>
      <c r="N174" s="16"/>
      <c r="O174" s="16"/>
      <c r="P174" s="16"/>
      <c r="Q174" s="16"/>
      <c r="R174" s="16"/>
      <c r="S174" s="16"/>
      <c r="T174" s="17"/>
      <c r="U174" s="18"/>
      <c r="V174" s="18"/>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6"/>
      <c r="BW174" s="19"/>
      <c r="BX174" s="18"/>
      <c r="BY174" s="17"/>
      <c r="BZ174" s="20"/>
      <c r="CA174" s="20"/>
      <c r="CB174" s="16"/>
      <c r="CC174" s="16"/>
      <c r="CD174" s="16"/>
      <c r="CE174" s="16"/>
      <c r="CF174" s="16"/>
      <c r="CG174" s="16"/>
      <c r="CH174" s="16"/>
      <c r="CI174" s="17"/>
      <c r="CJ174" s="17"/>
      <c r="CK174" s="16"/>
      <c r="CL174" s="16"/>
      <c r="CM174" s="16"/>
      <c r="CN174" s="16"/>
      <c r="CO174" s="16"/>
      <c r="CP174" s="16"/>
      <c r="CQ174" s="16"/>
      <c r="CR174" s="16"/>
    </row>
    <row r="175" spans="1:96" ht="23.25" customHeight="1" x14ac:dyDescent="0.2">
      <c r="A175" s="16"/>
      <c r="B175" s="17"/>
      <c r="C175" s="16"/>
      <c r="D175" s="17"/>
      <c r="E175" s="16"/>
      <c r="F175" s="16"/>
      <c r="G175" s="16"/>
      <c r="H175" s="16"/>
      <c r="I175" s="16"/>
      <c r="J175" s="16"/>
      <c r="K175" s="16"/>
      <c r="L175" s="16"/>
      <c r="M175" s="16"/>
      <c r="N175" s="16"/>
      <c r="O175" s="16"/>
      <c r="P175" s="16"/>
      <c r="Q175" s="16"/>
      <c r="R175" s="16"/>
      <c r="S175" s="16"/>
      <c r="T175" s="17"/>
      <c r="U175" s="18"/>
      <c r="V175" s="18"/>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6"/>
      <c r="BW175" s="19"/>
      <c r="BX175" s="18"/>
      <c r="BY175" s="17"/>
      <c r="BZ175" s="20"/>
      <c r="CA175" s="20"/>
      <c r="CB175" s="16"/>
      <c r="CC175" s="16"/>
      <c r="CD175" s="16"/>
      <c r="CE175" s="16"/>
      <c r="CF175" s="16"/>
      <c r="CG175" s="16"/>
      <c r="CH175" s="16"/>
      <c r="CI175" s="17"/>
      <c r="CJ175" s="17"/>
      <c r="CK175" s="16"/>
      <c r="CL175" s="16"/>
      <c r="CM175" s="16"/>
      <c r="CN175" s="16"/>
      <c r="CO175" s="16"/>
      <c r="CP175" s="16"/>
      <c r="CQ175" s="16"/>
      <c r="CR175" s="16"/>
    </row>
    <row r="176" spans="1:96" ht="23.25" customHeight="1" x14ac:dyDescent="0.2">
      <c r="A176" s="16"/>
      <c r="B176" s="17"/>
      <c r="C176" s="16"/>
      <c r="D176" s="17"/>
      <c r="E176" s="16"/>
      <c r="F176" s="16"/>
      <c r="G176" s="16"/>
      <c r="H176" s="16"/>
      <c r="I176" s="16"/>
      <c r="J176" s="16"/>
      <c r="K176" s="16"/>
      <c r="L176" s="16"/>
      <c r="M176" s="16"/>
      <c r="N176" s="16"/>
      <c r="O176" s="16"/>
      <c r="P176" s="16"/>
      <c r="Q176" s="16"/>
      <c r="R176" s="16"/>
      <c r="S176" s="16"/>
      <c r="T176" s="17"/>
      <c r="U176" s="18"/>
      <c r="V176" s="18"/>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6"/>
      <c r="BW176" s="19"/>
      <c r="BX176" s="18"/>
      <c r="BY176" s="17"/>
      <c r="BZ176" s="20"/>
      <c r="CA176" s="20"/>
      <c r="CB176" s="16"/>
      <c r="CC176" s="16"/>
      <c r="CD176" s="16"/>
      <c r="CE176" s="16"/>
      <c r="CF176" s="16"/>
      <c r="CG176" s="16"/>
      <c r="CH176" s="16"/>
      <c r="CI176" s="17"/>
      <c r="CJ176" s="17"/>
      <c r="CK176" s="16"/>
      <c r="CL176" s="16"/>
      <c r="CM176" s="16"/>
      <c r="CN176" s="16"/>
      <c r="CO176" s="16"/>
      <c r="CP176" s="16"/>
      <c r="CQ176" s="16"/>
      <c r="CR176" s="16"/>
    </row>
    <row r="177" spans="1:96" ht="23.25" customHeight="1" x14ac:dyDescent="0.2">
      <c r="A177" s="16"/>
      <c r="B177" s="17"/>
      <c r="C177" s="16"/>
      <c r="D177" s="17"/>
      <c r="E177" s="16"/>
      <c r="F177" s="16"/>
      <c r="G177" s="16"/>
      <c r="H177" s="16"/>
      <c r="I177" s="16"/>
      <c r="J177" s="16"/>
      <c r="K177" s="16"/>
      <c r="L177" s="16"/>
      <c r="M177" s="16"/>
      <c r="N177" s="16"/>
      <c r="O177" s="16"/>
      <c r="P177" s="16"/>
      <c r="Q177" s="16"/>
      <c r="R177" s="16"/>
      <c r="S177" s="16"/>
      <c r="T177" s="17"/>
      <c r="U177" s="18"/>
      <c r="V177" s="18"/>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6"/>
      <c r="BW177" s="19"/>
      <c r="BX177" s="18"/>
      <c r="BY177" s="17"/>
      <c r="BZ177" s="20"/>
      <c r="CA177" s="20"/>
      <c r="CB177" s="16"/>
      <c r="CC177" s="16"/>
      <c r="CD177" s="16"/>
      <c r="CE177" s="16"/>
      <c r="CF177" s="16"/>
      <c r="CG177" s="16"/>
      <c r="CH177" s="16"/>
      <c r="CI177" s="17"/>
      <c r="CJ177" s="17"/>
      <c r="CK177" s="16"/>
      <c r="CL177" s="16"/>
      <c r="CM177" s="16"/>
      <c r="CN177" s="16"/>
      <c r="CO177" s="16"/>
      <c r="CP177" s="16"/>
      <c r="CQ177" s="16"/>
      <c r="CR177" s="16"/>
    </row>
    <row r="178" spans="1:96" ht="23.25" customHeight="1" x14ac:dyDescent="0.2">
      <c r="A178" s="16"/>
      <c r="B178" s="17"/>
      <c r="C178" s="16"/>
      <c r="D178" s="17"/>
      <c r="E178" s="16"/>
      <c r="F178" s="16"/>
      <c r="G178" s="16"/>
      <c r="H178" s="16"/>
      <c r="I178" s="16"/>
      <c r="J178" s="16"/>
      <c r="K178" s="16"/>
      <c r="L178" s="16"/>
      <c r="M178" s="16"/>
      <c r="N178" s="16"/>
      <c r="O178" s="16"/>
      <c r="P178" s="16"/>
      <c r="Q178" s="16"/>
      <c r="R178" s="16"/>
      <c r="S178" s="16"/>
      <c r="T178" s="17"/>
      <c r="U178" s="18"/>
      <c r="V178" s="18"/>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6"/>
      <c r="BW178" s="19"/>
      <c r="BX178" s="18"/>
      <c r="BY178" s="17"/>
      <c r="BZ178" s="20"/>
      <c r="CA178" s="20"/>
      <c r="CB178" s="16"/>
      <c r="CC178" s="16"/>
      <c r="CD178" s="16"/>
      <c r="CE178" s="16"/>
      <c r="CF178" s="16"/>
      <c r="CG178" s="16"/>
      <c r="CH178" s="16"/>
      <c r="CI178" s="17"/>
      <c r="CJ178" s="17"/>
      <c r="CK178" s="16"/>
      <c r="CL178" s="16"/>
      <c r="CM178" s="16"/>
      <c r="CN178" s="16"/>
      <c r="CO178" s="16"/>
      <c r="CP178" s="16"/>
      <c r="CQ178" s="16"/>
      <c r="CR178" s="16"/>
    </row>
    <row r="179" spans="1:96" ht="23.25" customHeight="1" x14ac:dyDescent="0.2">
      <c r="A179" s="16"/>
      <c r="B179" s="17"/>
      <c r="C179" s="16"/>
      <c r="D179" s="17"/>
      <c r="E179" s="16"/>
      <c r="F179" s="16"/>
      <c r="G179" s="16"/>
      <c r="H179" s="16"/>
      <c r="I179" s="16"/>
      <c r="J179" s="16"/>
      <c r="K179" s="16"/>
      <c r="L179" s="16"/>
      <c r="M179" s="16"/>
      <c r="N179" s="16"/>
      <c r="O179" s="16"/>
      <c r="P179" s="16"/>
      <c r="Q179" s="16"/>
      <c r="R179" s="16"/>
      <c r="S179" s="16"/>
      <c r="T179" s="17"/>
      <c r="U179" s="18"/>
      <c r="V179" s="18"/>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6"/>
      <c r="BW179" s="19"/>
      <c r="BX179" s="18"/>
      <c r="BY179" s="17"/>
      <c r="BZ179" s="20"/>
      <c r="CA179" s="20"/>
      <c r="CB179" s="16"/>
      <c r="CC179" s="16"/>
      <c r="CD179" s="16"/>
      <c r="CE179" s="16"/>
      <c r="CF179" s="16"/>
      <c r="CG179" s="16"/>
      <c r="CH179" s="16"/>
      <c r="CI179" s="17"/>
      <c r="CJ179" s="17"/>
      <c r="CK179" s="16"/>
      <c r="CL179" s="16"/>
      <c r="CM179" s="16"/>
      <c r="CN179" s="16"/>
      <c r="CO179" s="16"/>
      <c r="CP179" s="16"/>
      <c r="CQ179" s="16"/>
      <c r="CR179" s="16"/>
    </row>
    <row r="180" spans="1:96" ht="23.25" customHeight="1" x14ac:dyDescent="0.2">
      <c r="A180" s="16"/>
      <c r="B180" s="17"/>
      <c r="C180" s="16"/>
      <c r="D180" s="17"/>
      <c r="E180" s="16"/>
      <c r="F180" s="16"/>
      <c r="G180" s="16"/>
      <c r="H180" s="16"/>
      <c r="I180" s="16"/>
      <c r="J180" s="16"/>
      <c r="K180" s="16"/>
      <c r="L180" s="16"/>
      <c r="M180" s="16"/>
      <c r="N180" s="16"/>
      <c r="O180" s="16"/>
      <c r="P180" s="16"/>
      <c r="Q180" s="16"/>
      <c r="R180" s="16"/>
      <c r="S180" s="16"/>
      <c r="T180" s="17"/>
      <c r="U180" s="18"/>
      <c r="V180" s="18"/>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6"/>
      <c r="BW180" s="19"/>
      <c r="BX180" s="18"/>
      <c r="BY180" s="17"/>
      <c r="BZ180" s="20"/>
      <c r="CA180" s="20"/>
      <c r="CB180" s="16"/>
      <c r="CC180" s="16"/>
      <c r="CD180" s="16"/>
      <c r="CE180" s="16"/>
      <c r="CF180" s="16"/>
      <c r="CG180" s="16"/>
      <c r="CH180" s="16"/>
      <c r="CI180" s="17"/>
      <c r="CJ180" s="17"/>
      <c r="CK180" s="16"/>
      <c r="CL180" s="16"/>
      <c r="CM180" s="16"/>
      <c r="CN180" s="16"/>
      <c r="CO180" s="16"/>
      <c r="CP180" s="16"/>
      <c r="CQ180" s="16"/>
      <c r="CR180" s="16"/>
    </row>
    <row r="181" spans="1:96" ht="23.25" customHeight="1" x14ac:dyDescent="0.2">
      <c r="A181" s="16"/>
      <c r="B181" s="17"/>
      <c r="C181" s="16"/>
      <c r="D181" s="17"/>
      <c r="E181" s="16"/>
      <c r="F181" s="16"/>
      <c r="G181" s="16"/>
      <c r="H181" s="16"/>
      <c r="I181" s="16"/>
      <c r="J181" s="16"/>
      <c r="K181" s="16"/>
      <c r="L181" s="16"/>
      <c r="M181" s="16"/>
      <c r="N181" s="16"/>
      <c r="O181" s="16"/>
      <c r="P181" s="16"/>
      <c r="Q181" s="16"/>
      <c r="R181" s="16"/>
      <c r="S181" s="16"/>
      <c r="T181" s="17"/>
      <c r="U181" s="18"/>
      <c r="V181" s="18"/>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6"/>
      <c r="BW181" s="19"/>
      <c r="BX181" s="18"/>
      <c r="BY181" s="17"/>
      <c r="BZ181" s="20"/>
      <c r="CA181" s="20"/>
      <c r="CB181" s="16"/>
      <c r="CC181" s="16"/>
      <c r="CD181" s="16"/>
      <c r="CE181" s="16"/>
      <c r="CF181" s="16"/>
      <c r="CG181" s="16"/>
      <c r="CH181" s="16"/>
      <c r="CI181" s="17"/>
      <c r="CJ181" s="17"/>
      <c r="CK181" s="16"/>
      <c r="CL181" s="16"/>
      <c r="CM181" s="16"/>
      <c r="CN181" s="16"/>
      <c r="CO181" s="16"/>
      <c r="CP181" s="16"/>
      <c r="CQ181" s="16"/>
      <c r="CR181" s="16"/>
    </row>
    <row r="182" spans="1:96" ht="23.25" customHeight="1" x14ac:dyDescent="0.2">
      <c r="A182" s="16"/>
      <c r="B182" s="17"/>
      <c r="C182" s="16"/>
      <c r="D182" s="17"/>
      <c r="E182" s="16"/>
      <c r="F182" s="16"/>
      <c r="G182" s="16"/>
      <c r="H182" s="16"/>
      <c r="I182" s="16"/>
      <c r="J182" s="16"/>
      <c r="K182" s="16"/>
      <c r="L182" s="16"/>
      <c r="M182" s="16"/>
      <c r="N182" s="16"/>
      <c r="O182" s="16"/>
      <c r="P182" s="16"/>
      <c r="Q182" s="16"/>
      <c r="R182" s="16"/>
      <c r="S182" s="16"/>
      <c r="T182" s="17"/>
      <c r="U182" s="18"/>
      <c r="V182" s="18"/>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6"/>
      <c r="BW182" s="19"/>
      <c r="BX182" s="18"/>
      <c r="BY182" s="17"/>
      <c r="BZ182" s="20"/>
      <c r="CA182" s="20"/>
      <c r="CB182" s="16"/>
      <c r="CC182" s="16"/>
      <c r="CD182" s="16"/>
      <c r="CE182" s="16"/>
      <c r="CF182" s="16"/>
      <c r="CG182" s="16"/>
      <c r="CH182" s="16"/>
      <c r="CI182" s="17"/>
      <c r="CJ182" s="17"/>
      <c r="CK182" s="16"/>
      <c r="CL182" s="16"/>
      <c r="CM182" s="16"/>
      <c r="CN182" s="16"/>
      <c r="CO182" s="16"/>
      <c r="CP182" s="16"/>
      <c r="CQ182" s="16"/>
      <c r="CR182" s="16"/>
    </row>
    <row r="183" spans="1:96" ht="23.25" customHeight="1" x14ac:dyDescent="0.2">
      <c r="A183" s="16"/>
      <c r="B183" s="17"/>
      <c r="C183" s="16"/>
      <c r="D183" s="17"/>
      <c r="E183" s="16"/>
      <c r="F183" s="16"/>
      <c r="G183" s="16"/>
      <c r="H183" s="16"/>
      <c r="I183" s="16"/>
      <c r="J183" s="16"/>
      <c r="K183" s="16"/>
      <c r="L183" s="16"/>
      <c r="M183" s="16"/>
      <c r="N183" s="16"/>
      <c r="O183" s="16"/>
      <c r="P183" s="16"/>
      <c r="Q183" s="16"/>
      <c r="R183" s="16"/>
      <c r="S183" s="16"/>
      <c r="T183" s="17"/>
      <c r="U183" s="18"/>
      <c r="V183" s="18"/>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6"/>
      <c r="BW183" s="19"/>
      <c r="BX183" s="18"/>
      <c r="BY183" s="17"/>
      <c r="BZ183" s="20"/>
      <c r="CA183" s="20"/>
      <c r="CB183" s="16"/>
      <c r="CC183" s="16"/>
      <c r="CD183" s="16"/>
      <c r="CE183" s="16"/>
      <c r="CF183" s="16"/>
      <c r="CG183" s="16"/>
      <c r="CH183" s="16"/>
      <c r="CI183" s="17"/>
      <c r="CJ183" s="17"/>
      <c r="CK183" s="16"/>
      <c r="CL183" s="16"/>
      <c r="CM183" s="16"/>
      <c r="CN183" s="16"/>
      <c r="CO183" s="16"/>
      <c r="CP183" s="16"/>
      <c r="CQ183" s="16"/>
      <c r="CR183" s="16"/>
    </row>
    <row r="184" spans="1:96" ht="23.25" customHeight="1" x14ac:dyDescent="0.2">
      <c r="A184" s="16"/>
      <c r="B184" s="17"/>
      <c r="C184" s="16"/>
      <c r="D184" s="17"/>
      <c r="E184" s="16"/>
      <c r="F184" s="16"/>
      <c r="G184" s="16"/>
      <c r="H184" s="16"/>
      <c r="I184" s="16"/>
      <c r="J184" s="16"/>
      <c r="K184" s="16"/>
      <c r="L184" s="16"/>
      <c r="M184" s="16"/>
      <c r="N184" s="16"/>
      <c r="O184" s="16"/>
      <c r="P184" s="16"/>
      <c r="Q184" s="16"/>
      <c r="R184" s="16"/>
      <c r="S184" s="16"/>
      <c r="T184" s="17"/>
      <c r="U184" s="18"/>
      <c r="V184" s="18"/>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6"/>
      <c r="BW184" s="19"/>
      <c r="BX184" s="18"/>
      <c r="BY184" s="17"/>
      <c r="BZ184" s="20"/>
      <c r="CA184" s="20"/>
      <c r="CB184" s="16"/>
      <c r="CC184" s="16"/>
      <c r="CD184" s="16"/>
      <c r="CE184" s="16"/>
      <c r="CF184" s="16"/>
      <c r="CG184" s="16"/>
      <c r="CH184" s="16"/>
      <c r="CI184" s="17"/>
      <c r="CJ184" s="17"/>
      <c r="CK184" s="16"/>
      <c r="CL184" s="16"/>
      <c r="CM184" s="16"/>
      <c r="CN184" s="16"/>
      <c r="CO184" s="16"/>
      <c r="CP184" s="16"/>
      <c r="CQ184" s="16"/>
      <c r="CR184" s="16"/>
    </row>
    <row r="185" spans="1:96" ht="23.25" customHeight="1" x14ac:dyDescent="0.2">
      <c r="A185" s="16"/>
      <c r="B185" s="17"/>
      <c r="C185" s="16"/>
      <c r="D185" s="17"/>
      <c r="E185" s="16"/>
      <c r="F185" s="16"/>
      <c r="G185" s="16"/>
      <c r="H185" s="16"/>
      <c r="I185" s="16"/>
      <c r="J185" s="16"/>
      <c r="K185" s="16"/>
      <c r="L185" s="16"/>
      <c r="M185" s="16"/>
      <c r="N185" s="16"/>
      <c r="O185" s="16"/>
      <c r="P185" s="16"/>
      <c r="Q185" s="16"/>
      <c r="R185" s="16"/>
      <c r="S185" s="16"/>
      <c r="T185" s="17"/>
      <c r="U185" s="18"/>
      <c r="V185" s="18"/>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6"/>
      <c r="BW185" s="19"/>
      <c r="BX185" s="18"/>
      <c r="BY185" s="17"/>
      <c r="BZ185" s="20"/>
      <c r="CA185" s="20"/>
      <c r="CB185" s="16"/>
      <c r="CC185" s="16"/>
      <c r="CD185" s="16"/>
      <c r="CE185" s="16"/>
      <c r="CF185" s="16"/>
      <c r="CG185" s="16"/>
      <c r="CH185" s="16"/>
      <c r="CI185" s="17"/>
      <c r="CJ185" s="17"/>
      <c r="CK185" s="16"/>
      <c r="CL185" s="16"/>
      <c r="CM185" s="16"/>
      <c r="CN185" s="16"/>
      <c r="CO185" s="16"/>
      <c r="CP185" s="16"/>
      <c r="CQ185" s="16"/>
      <c r="CR185" s="16"/>
    </row>
    <row r="186" spans="1:96" ht="23.25" customHeight="1" x14ac:dyDescent="0.2">
      <c r="A186" s="16"/>
      <c r="B186" s="17"/>
      <c r="C186" s="16"/>
      <c r="D186" s="17"/>
      <c r="E186" s="16"/>
      <c r="F186" s="16"/>
      <c r="G186" s="16"/>
      <c r="H186" s="16"/>
      <c r="I186" s="16"/>
      <c r="J186" s="16"/>
      <c r="K186" s="16"/>
      <c r="L186" s="16"/>
      <c r="M186" s="16"/>
      <c r="N186" s="16"/>
      <c r="O186" s="16"/>
      <c r="P186" s="16"/>
      <c r="Q186" s="16"/>
      <c r="R186" s="16"/>
      <c r="S186" s="16"/>
      <c r="T186" s="17"/>
      <c r="U186" s="18"/>
      <c r="V186" s="18"/>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6"/>
      <c r="BW186" s="19"/>
      <c r="BX186" s="18"/>
      <c r="BY186" s="17"/>
      <c r="BZ186" s="20"/>
      <c r="CA186" s="20"/>
      <c r="CB186" s="16"/>
      <c r="CC186" s="16"/>
      <c r="CD186" s="16"/>
      <c r="CE186" s="16"/>
      <c r="CF186" s="16"/>
      <c r="CG186" s="16"/>
      <c r="CH186" s="16"/>
      <c r="CI186" s="17"/>
      <c r="CJ186" s="17"/>
      <c r="CK186" s="16"/>
      <c r="CL186" s="16"/>
      <c r="CM186" s="16"/>
      <c r="CN186" s="16"/>
      <c r="CO186" s="16"/>
      <c r="CP186" s="16"/>
      <c r="CQ186" s="16"/>
      <c r="CR186" s="16"/>
    </row>
    <row r="187" spans="1:96" ht="23.25" customHeight="1" x14ac:dyDescent="0.2">
      <c r="A187" s="16"/>
      <c r="B187" s="17"/>
      <c r="C187" s="16"/>
      <c r="D187" s="17"/>
      <c r="E187" s="16"/>
      <c r="F187" s="16"/>
      <c r="G187" s="16"/>
      <c r="H187" s="16"/>
      <c r="I187" s="16"/>
      <c r="J187" s="16"/>
      <c r="K187" s="16"/>
      <c r="L187" s="16"/>
      <c r="M187" s="16"/>
      <c r="N187" s="16"/>
      <c r="O187" s="16"/>
      <c r="P187" s="16"/>
      <c r="Q187" s="16"/>
      <c r="R187" s="16"/>
      <c r="S187" s="16"/>
      <c r="T187" s="17"/>
      <c r="U187" s="18"/>
      <c r="V187" s="18"/>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6"/>
      <c r="BW187" s="19"/>
      <c r="BX187" s="18"/>
      <c r="BY187" s="17"/>
      <c r="BZ187" s="20"/>
      <c r="CA187" s="20"/>
      <c r="CB187" s="16"/>
      <c r="CC187" s="16"/>
      <c r="CD187" s="16"/>
      <c r="CE187" s="16"/>
      <c r="CF187" s="16"/>
      <c r="CG187" s="16"/>
      <c r="CH187" s="16"/>
      <c r="CI187" s="17"/>
      <c r="CJ187" s="17"/>
      <c r="CK187" s="16"/>
      <c r="CL187" s="16"/>
      <c r="CM187" s="16"/>
      <c r="CN187" s="16"/>
      <c r="CO187" s="16"/>
      <c r="CP187" s="16"/>
      <c r="CQ187" s="16"/>
      <c r="CR187" s="16"/>
    </row>
    <row r="188" spans="1:96" ht="23.25" customHeight="1" x14ac:dyDescent="0.2">
      <c r="A188" s="16"/>
      <c r="B188" s="17"/>
      <c r="C188" s="16"/>
      <c r="D188" s="17"/>
      <c r="E188" s="16"/>
      <c r="F188" s="16"/>
      <c r="G188" s="16"/>
      <c r="H188" s="16"/>
      <c r="I188" s="16"/>
      <c r="J188" s="16"/>
      <c r="K188" s="16"/>
      <c r="L188" s="16"/>
      <c r="M188" s="16"/>
      <c r="N188" s="16"/>
      <c r="O188" s="16"/>
      <c r="P188" s="16"/>
      <c r="Q188" s="16"/>
      <c r="R188" s="16"/>
      <c r="S188" s="16"/>
      <c r="T188" s="17"/>
      <c r="U188" s="18"/>
      <c r="V188" s="18"/>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6"/>
      <c r="BW188" s="19"/>
      <c r="BX188" s="18"/>
      <c r="BY188" s="17"/>
      <c r="BZ188" s="20"/>
      <c r="CA188" s="20"/>
      <c r="CB188" s="16"/>
      <c r="CC188" s="16"/>
      <c r="CD188" s="16"/>
      <c r="CE188" s="16"/>
      <c r="CF188" s="16"/>
      <c r="CG188" s="16"/>
      <c r="CH188" s="16"/>
      <c r="CI188" s="17"/>
      <c r="CJ188" s="17"/>
      <c r="CK188" s="16"/>
      <c r="CL188" s="16"/>
      <c r="CM188" s="16"/>
      <c r="CN188" s="16"/>
      <c r="CO188" s="16"/>
      <c r="CP188" s="16"/>
      <c r="CQ188" s="16"/>
      <c r="CR188" s="16"/>
    </row>
    <row r="189" spans="1:96" ht="23.25" customHeight="1" x14ac:dyDescent="0.2">
      <c r="A189" s="16"/>
      <c r="B189" s="17"/>
      <c r="C189" s="16"/>
      <c r="D189" s="17"/>
      <c r="E189" s="16"/>
      <c r="F189" s="16"/>
      <c r="G189" s="16"/>
      <c r="H189" s="16"/>
      <c r="I189" s="16"/>
      <c r="J189" s="16"/>
      <c r="K189" s="16"/>
      <c r="L189" s="16"/>
      <c r="M189" s="16"/>
      <c r="N189" s="16"/>
      <c r="O189" s="16"/>
      <c r="P189" s="16"/>
      <c r="Q189" s="16"/>
      <c r="R189" s="16"/>
      <c r="S189" s="16"/>
      <c r="T189" s="17"/>
      <c r="U189" s="18"/>
      <c r="V189" s="18"/>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6"/>
      <c r="BW189" s="19"/>
      <c r="BX189" s="18"/>
      <c r="BY189" s="17"/>
      <c r="BZ189" s="20"/>
      <c r="CA189" s="20"/>
      <c r="CB189" s="16"/>
      <c r="CC189" s="16"/>
      <c r="CD189" s="16"/>
      <c r="CE189" s="16"/>
      <c r="CF189" s="16"/>
      <c r="CG189" s="16"/>
      <c r="CH189" s="16"/>
      <c r="CI189" s="17"/>
      <c r="CJ189" s="17"/>
      <c r="CK189" s="16"/>
      <c r="CL189" s="16"/>
      <c r="CM189" s="16"/>
      <c r="CN189" s="16"/>
      <c r="CO189" s="16"/>
      <c r="CP189" s="16"/>
      <c r="CQ189" s="16"/>
      <c r="CR189" s="16"/>
    </row>
    <row r="190" spans="1:96" ht="23.25" customHeight="1" x14ac:dyDescent="0.2">
      <c r="A190" s="16"/>
      <c r="B190" s="17"/>
      <c r="C190" s="16"/>
      <c r="D190" s="17"/>
      <c r="E190" s="16"/>
      <c r="F190" s="16"/>
      <c r="G190" s="16"/>
      <c r="H190" s="16"/>
      <c r="I190" s="16"/>
      <c r="J190" s="16"/>
      <c r="K190" s="16"/>
      <c r="L190" s="16"/>
      <c r="M190" s="16"/>
      <c r="N190" s="16"/>
      <c r="O190" s="16"/>
      <c r="P190" s="16"/>
      <c r="Q190" s="16"/>
      <c r="R190" s="16"/>
      <c r="S190" s="16"/>
      <c r="T190" s="17"/>
      <c r="U190" s="18"/>
      <c r="V190" s="18"/>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6"/>
      <c r="BW190" s="19"/>
      <c r="BX190" s="18"/>
      <c r="BY190" s="17"/>
      <c r="BZ190" s="20"/>
      <c r="CA190" s="20"/>
      <c r="CB190" s="16"/>
      <c r="CC190" s="16"/>
      <c r="CD190" s="16"/>
      <c r="CE190" s="16"/>
      <c r="CF190" s="16"/>
      <c r="CG190" s="16"/>
      <c r="CH190" s="16"/>
      <c r="CI190" s="17"/>
      <c r="CJ190" s="17"/>
      <c r="CK190" s="16"/>
      <c r="CL190" s="16"/>
      <c r="CM190" s="16"/>
      <c r="CN190" s="16"/>
      <c r="CO190" s="16"/>
      <c r="CP190" s="16"/>
      <c r="CQ190" s="16"/>
      <c r="CR190" s="16"/>
    </row>
    <row r="191" spans="1:96" ht="23.25" customHeight="1" x14ac:dyDescent="0.2">
      <c r="A191" s="16"/>
      <c r="B191" s="17"/>
      <c r="C191" s="16"/>
      <c r="D191" s="17"/>
      <c r="E191" s="16"/>
      <c r="F191" s="16"/>
      <c r="G191" s="16"/>
      <c r="H191" s="16"/>
      <c r="I191" s="16"/>
      <c r="J191" s="16"/>
      <c r="K191" s="16"/>
      <c r="L191" s="16"/>
      <c r="M191" s="16"/>
      <c r="N191" s="16"/>
      <c r="O191" s="16"/>
      <c r="P191" s="16"/>
      <c r="Q191" s="16"/>
      <c r="R191" s="16"/>
      <c r="S191" s="16"/>
      <c r="T191" s="17"/>
      <c r="U191" s="18"/>
      <c r="V191" s="18"/>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6"/>
      <c r="BW191" s="19"/>
      <c r="BX191" s="18"/>
      <c r="BY191" s="17"/>
      <c r="BZ191" s="20"/>
      <c r="CA191" s="20"/>
      <c r="CB191" s="16"/>
      <c r="CC191" s="16"/>
      <c r="CD191" s="16"/>
      <c r="CE191" s="16"/>
      <c r="CF191" s="16"/>
      <c r="CG191" s="16"/>
      <c r="CH191" s="16"/>
      <c r="CI191" s="17"/>
      <c r="CJ191" s="17"/>
      <c r="CK191" s="16"/>
      <c r="CL191" s="16"/>
      <c r="CM191" s="16"/>
      <c r="CN191" s="16"/>
      <c r="CO191" s="16"/>
      <c r="CP191" s="16"/>
      <c r="CQ191" s="16"/>
      <c r="CR191" s="16"/>
    </row>
    <row r="192" spans="1:96" ht="23.25" customHeight="1" x14ac:dyDescent="0.2">
      <c r="A192" s="16"/>
      <c r="B192" s="17"/>
      <c r="C192" s="16"/>
      <c r="D192" s="17"/>
      <c r="E192" s="16"/>
      <c r="F192" s="16"/>
      <c r="G192" s="16"/>
      <c r="H192" s="16"/>
      <c r="I192" s="16"/>
      <c r="J192" s="16"/>
      <c r="K192" s="16"/>
      <c r="L192" s="16"/>
      <c r="M192" s="16"/>
      <c r="N192" s="16"/>
      <c r="O192" s="16"/>
      <c r="P192" s="16"/>
      <c r="Q192" s="16"/>
      <c r="R192" s="16"/>
      <c r="S192" s="16"/>
      <c r="T192" s="17"/>
      <c r="U192" s="18"/>
      <c r="V192" s="18"/>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6"/>
      <c r="BW192" s="19"/>
      <c r="BX192" s="18"/>
      <c r="BY192" s="17"/>
      <c r="BZ192" s="20"/>
      <c r="CA192" s="20"/>
      <c r="CB192" s="16"/>
      <c r="CC192" s="16"/>
      <c r="CD192" s="16"/>
      <c r="CE192" s="16"/>
      <c r="CF192" s="16"/>
      <c r="CG192" s="16"/>
      <c r="CH192" s="16"/>
      <c r="CI192" s="17"/>
      <c r="CJ192" s="17"/>
      <c r="CK192" s="16"/>
      <c r="CL192" s="16"/>
      <c r="CM192" s="16"/>
      <c r="CN192" s="16"/>
      <c r="CO192" s="16"/>
      <c r="CP192" s="16"/>
      <c r="CQ192" s="16"/>
      <c r="CR192" s="16"/>
    </row>
    <row r="193" spans="1:96" ht="23.25" customHeight="1" x14ac:dyDescent="0.2">
      <c r="A193" s="16"/>
      <c r="B193" s="17"/>
      <c r="C193" s="16"/>
      <c r="D193" s="17"/>
      <c r="E193" s="16"/>
      <c r="F193" s="16"/>
      <c r="G193" s="16"/>
      <c r="H193" s="16"/>
      <c r="I193" s="16"/>
      <c r="J193" s="16"/>
      <c r="K193" s="16"/>
      <c r="L193" s="16"/>
      <c r="M193" s="16"/>
      <c r="N193" s="16"/>
      <c r="O193" s="16"/>
      <c r="P193" s="16"/>
      <c r="Q193" s="16"/>
      <c r="R193" s="16"/>
      <c r="S193" s="16"/>
      <c r="T193" s="17"/>
      <c r="U193" s="18"/>
      <c r="V193" s="18"/>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6"/>
      <c r="BW193" s="19"/>
      <c r="BX193" s="18"/>
      <c r="BY193" s="17"/>
      <c r="BZ193" s="20"/>
      <c r="CA193" s="20"/>
      <c r="CB193" s="16"/>
      <c r="CC193" s="16"/>
      <c r="CD193" s="16"/>
      <c r="CE193" s="16"/>
      <c r="CF193" s="16"/>
      <c r="CG193" s="16"/>
      <c r="CH193" s="16"/>
      <c r="CI193" s="17"/>
      <c r="CJ193" s="17"/>
      <c r="CK193" s="16"/>
      <c r="CL193" s="16"/>
      <c r="CM193" s="16"/>
      <c r="CN193" s="16"/>
      <c r="CO193" s="16"/>
      <c r="CP193" s="16"/>
      <c r="CQ193" s="16"/>
      <c r="CR193" s="16"/>
    </row>
    <row r="194" spans="1:96" ht="23.25" customHeight="1" x14ac:dyDescent="0.2">
      <c r="A194" s="16"/>
      <c r="B194" s="17"/>
      <c r="C194" s="16"/>
      <c r="D194" s="17"/>
      <c r="E194" s="16"/>
      <c r="F194" s="16"/>
      <c r="G194" s="16"/>
      <c r="H194" s="16"/>
      <c r="I194" s="16"/>
      <c r="J194" s="16"/>
      <c r="K194" s="16"/>
      <c r="L194" s="16"/>
      <c r="M194" s="16"/>
      <c r="N194" s="16"/>
      <c r="O194" s="16"/>
      <c r="P194" s="16"/>
      <c r="Q194" s="16"/>
      <c r="R194" s="16"/>
      <c r="S194" s="16"/>
      <c r="T194" s="17"/>
      <c r="U194" s="18"/>
      <c r="V194" s="18"/>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6"/>
      <c r="BW194" s="19"/>
      <c r="BX194" s="18"/>
      <c r="BY194" s="17"/>
      <c r="BZ194" s="20"/>
      <c r="CA194" s="20"/>
      <c r="CB194" s="16"/>
      <c r="CC194" s="16"/>
      <c r="CD194" s="16"/>
      <c r="CE194" s="16"/>
      <c r="CF194" s="16"/>
      <c r="CG194" s="16"/>
      <c r="CH194" s="16"/>
      <c r="CI194" s="17"/>
      <c r="CJ194" s="17"/>
      <c r="CK194" s="16"/>
      <c r="CL194" s="16"/>
      <c r="CM194" s="16"/>
      <c r="CN194" s="16"/>
      <c r="CO194" s="16"/>
      <c r="CP194" s="16"/>
      <c r="CQ194" s="16"/>
      <c r="CR194" s="16"/>
    </row>
    <row r="195" spans="1:96" ht="23.25" customHeight="1" x14ac:dyDescent="0.2">
      <c r="A195" s="16"/>
      <c r="B195" s="17"/>
      <c r="C195" s="16"/>
      <c r="D195" s="17"/>
      <c r="E195" s="16"/>
      <c r="F195" s="16"/>
      <c r="G195" s="16"/>
      <c r="H195" s="16"/>
      <c r="I195" s="16"/>
      <c r="J195" s="16"/>
      <c r="K195" s="16"/>
      <c r="L195" s="16"/>
      <c r="M195" s="16"/>
      <c r="N195" s="16"/>
      <c r="O195" s="16"/>
      <c r="P195" s="16"/>
      <c r="Q195" s="16"/>
      <c r="R195" s="16"/>
      <c r="S195" s="16"/>
      <c r="T195" s="17"/>
      <c r="U195" s="18"/>
      <c r="V195" s="18"/>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6"/>
      <c r="BW195" s="19"/>
      <c r="BX195" s="18"/>
      <c r="BY195" s="17"/>
      <c r="BZ195" s="20"/>
      <c r="CA195" s="20"/>
      <c r="CB195" s="16"/>
      <c r="CC195" s="16"/>
      <c r="CD195" s="16"/>
      <c r="CE195" s="16"/>
      <c r="CF195" s="16"/>
      <c r="CG195" s="16"/>
      <c r="CH195" s="16"/>
      <c r="CI195" s="17"/>
      <c r="CJ195" s="17"/>
      <c r="CK195" s="16"/>
      <c r="CL195" s="16"/>
      <c r="CM195" s="16"/>
      <c r="CN195" s="16"/>
      <c r="CO195" s="16"/>
      <c r="CP195" s="16"/>
      <c r="CQ195" s="16"/>
      <c r="CR195" s="16"/>
    </row>
    <row r="196" spans="1:96" ht="23.25" customHeight="1" x14ac:dyDescent="0.2">
      <c r="A196" s="16"/>
      <c r="B196" s="17"/>
      <c r="C196" s="16"/>
      <c r="D196" s="17"/>
      <c r="E196" s="16"/>
      <c r="F196" s="16"/>
      <c r="G196" s="16"/>
      <c r="H196" s="16"/>
      <c r="I196" s="16"/>
      <c r="J196" s="16"/>
      <c r="K196" s="16"/>
      <c r="L196" s="16"/>
      <c r="M196" s="16"/>
      <c r="N196" s="16"/>
      <c r="O196" s="16"/>
      <c r="P196" s="16"/>
      <c r="Q196" s="16"/>
      <c r="R196" s="16"/>
      <c r="S196" s="16"/>
      <c r="T196" s="17"/>
      <c r="U196" s="18"/>
      <c r="V196" s="18"/>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6"/>
      <c r="BW196" s="19"/>
      <c r="BX196" s="18"/>
      <c r="BY196" s="17"/>
      <c r="BZ196" s="20"/>
      <c r="CA196" s="20"/>
      <c r="CB196" s="16"/>
      <c r="CC196" s="16"/>
      <c r="CD196" s="16"/>
      <c r="CE196" s="16"/>
      <c r="CF196" s="16"/>
      <c r="CG196" s="16"/>
      <c r="CH196" s="16"/>
      <c r="CI196" s="17"/>
      <c r="CJ196" s="17"/>
      <c r="CK196" s="16"/>
      <c r="CL196" s="16"/>
      <c r="CM196" s="16"/>
      <c r="CN196" s="16"/>
      <c r="CO196" s="16"/>
      <c r="CP196" s="16"/>
      <c r="CQ196" s="16"/>
      <c r="CR196" s="16"/>
    </row>
    <row r="197" spans="1:96" ht="23.25" customHeight="1" x14ac:dyDescent="0.2">
      <c r="A197" s="16"/>
      <c r="B197" s="17"/>
      <c r="C197" s="16"/>
      <c r="D197" s="17"/>
      <c r="E197" s="16"/>
      <c r="F197" s="16"/>
      <c r="G197" s="16"/>
      <c r="H197" s="16"/>
      <c r="I197" s="16"/>
      <c r="J197" s="16"/>
      <c r="K197" s="16"/>
      <c r="L197" s="16"/>
      <c r="M197" s="16"/>
      <c r="N197" s="16"/>
      <c r="O197" s="16"/>
      <c r="P197" s="16"/>
      <c r="Q197" s="16"/>
      <c r="R197" s="16"/>
      <c r="S197" s="16"/>
      <c r="T197" s="17"/>
      <c r="U197" s="18"/>
      <c r="V197" s="18"/>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c r="BR197" s="17"/>
      <c r="BS197" s="17"/>
      <c r="BT197" s="17"/>
      <c r="BU197" s="17"/>
      <c r="BV197" s="16"/>
      <c r="BW197" s="19"/>
      <c r="BX197" s="18"/>
      <c r="BY197" s="17"/>
      <c r="BZ197" s="20"/>
      <c r="CA197" s="20"/>
      <c r="CB197" s="16"/>
      <c r="CC197" s="16"/>
      <c r="CD197" s="16"/>
      <c r="CE197" s="16"/>
      <c r="CF197" s="16"/>
      <c r="CG197" s="16"/>
      <c r="CH197" s="16"/>
      <c r="CI197" s="17"/>
      <c r="CJ197" s="17"/>
      <c r="CK197" s="16"/>
      <c r="CL197" s="16"/>
      <c r="CM197" s="16"/>
      <c r="CN197" s="16"/>
      <c r="CO197" s="16"/>
      <c r="CP197" s="16"/>
      <c r="CQ197" s="16"/>
      <c r="CR197" s="16"/>
    </row>
    <row r="198" spans="1:96" ht="23.25" customHeight="1" x14ac:dyDescent="0.2">
      <c r="A198" s="16"/>
      <c r="B198" s="17"/>
      <c r="C198" s="16"/>
      <c r="D198" s="17"/>
      <c r="E198" s="16"/>
      <c r="F198" s="16"/>
      <c r="G198" s="16"/>
      <c r="H198" s="16"/>
      <c r="I198" s="16"/>
      <c r="J198" s="16"/>
      <c r="K198" s="16"/>
      <c r="L198" s="16"/>
      <c r="M198" s="16"/>
      <c r="N198" s="16"/>
      <c r="O198" s="16"/>
      <c r="P198" s="16"/>
      <c r="Q198" s="16"/>
      <c r="R198" s="16"/>
      <c r="S198" s="16"/>
      <c r="T198" s="17"/>
      <c r="U198" s="18"/>
      <c r="V198" s="18"/>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c r="BR198" s="17"/>
      <c r="BS198" s="17"/>
      <c r="BT198" s="17"/>
      <c r="BU198" s="17"/>
      <c r="BV198" s="16"/>
      <c r="BW198" s="19"/>
      <c r="BX198" s="18"/>
      <c r="BY198" s="17"/>
      <c r="BZ198" s="20"/>
      <c r="CA198" s="20"/>
      <c r="CB198" s="16"/>
      <c r="CC198" s="16"/>
      <c r="CD198" s="16"/>
      <c r="CE198" s="16"/>
      <c r="CF198" s="16"/>
      <c r="CG198" s="16"/>
      <c r="CH198" s="16"/>
      <c r="CI198" s="17"/>
      <c r="CJ198" s="17"/>
      <c r="CK198" s="16"/>
      <c r="CL198" s="16"/>
      <c r="CM198" s="16"/>
      <c r="CN198" s="16"/>
      <c r="CO198" s="16"/>
      <c r="CP198" s="16"/>
      <c r="CQ198" s="16"/>
      <c r="CR198" s="16"/>
    </row>
    <row r="199" spans="1:96" ht="23.25" customHeight="1" x14ac:dyDescent="0.2">
      <c r="A199" s="16"/>
      <c r="B199" s="17"/>
      <c r="C199" s="16"/>
      <c r="D199" s="17"/>
      <c r="E199" s="16"/>
      <c r="F199" s="16"/>
      <c r="G199" s="16"/>
      <c r="H199" s="16"/>
      <c r="I199" s="16"/>
      <c r="J199" s="16"/>
      <c r="K199" s="16"/>
      <c r="L199" s="16"/>
      <c r="M199" s="16"/>
      <c r="N199" s="16"/>
      <c r="O199" s="16"/>
      <c r="P199" s="16"/>
      <c r="Q199" s="16"/>
      <c r="R199" s="16"/>
      <c r="S199" s="16"/>
      <c r="T199" s="17"/>
      <c r="U199" s="18"/>
      <c r="V199" s="18"/>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c r="BR199" s="17"/>
      <c r="BS199" s="17"/>
      <c r="BT199" s="17"/>
      <c r="BU199" s="17"/>
      <c r="BV199" s="16"/>
      <c r="BW199" s="19"/>
      <c r="BX199" s="18"/>
      <c r="BY199" s="17"/>
      <c r="BZ199" s="20"/>
      <c r="CA199" s="20"/>
      <c r="CB199" s="16"/>
      <c r="CC199" s="16"/>
      <c r="CD199" s="16"/>
      <c r="CE199" s="16"/>
      <c r="CF199" s="16"/>
      <c r="CG199" s="16"/>
      <c r="CH199" s="16"/>
      <c r="CI199" s="17"/>
      <c r="CJ199" s="17"/>
      <c r="CK199" s="16"/>
      <c r="CL199" s="16"/>
      <c r="CM199" s="16"/>
      <c r="CN199" s="16"/>
      <c r="CO199" s="16"/>
      <c r="CP199" s="16"/>
      <c r="CQ199" s="16"/>
      <c r="CR199" s="16"/>
    </row>
    <row r="200" spans="1:96" ht="23.25" customHeight="1" x14ac:dyDescent="0.2">
      <c r="A200" s="16"/>
      <c r="B200" s="17"/>
      <c r="C200" s="16"/>
      <c r="D200" s="17"/>
      <c r="E200" s="16"/>
      <c r="F200" s="16"/>
      <c r="G200" s="16"/>
      <c r="H200" s="16"/>
      <c r="I200" s="16"/>
      <c r="J200" s="16"/>
      <c r="K200" s="16"/>
      <c r="L200" s="16"/>
      <c r="M200" s="16"/>
      <c r="N200" s="16"/>
      <c r="O200" s="16"/>
      <c r="P200" s="16"/>
      <c r="Q200" s="16"/>
      <c r="R200" s="16"/>
      <c r="S200" s="16"/>
      <c r="T200" s="17"/>
      <c r="U200" s="18"/>
      <c r="V200" s="18"/>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c r="BR200" s="17"/>
      <c r="BS200" s="17"/>
      <c r="BT200" s="17"/>
      <c r="BU200" s="17"/>
      <c r="BV200" s="16"/>
      <c r="BW200" s="19"/>
      <c r="BX200" s="18"/>
      <c r="BY200" s="17"/>
      <c r="BZ200" s="20"/>
      <c r="CA200" s="20"/>
      <c r="CB200" s="16"/>
      <c r="CC200" s="16"/>
      <c r="CD200" s="16"/>
      <c r="CE200" s="16"/>
      <c r="CF200" s="16"/>
      <c r="CG200" s="16"/>
      <c r="CH200" s="16"/>
      <c r="CI200" s="17"/>
      <c r="CJ200" s="17"/>
      <c r="CK200" s="16"/>
      <c r="CL200" s="16"/>
      <c r="CM200" s="16"/>
      <c r="CN200" s="16"/>
      <c r="CO200" s="16"/>
      <c r="CP200" s="16"/>
      <c r="CQ200" s="16"/>
      <c r="CR200" s="16"/>
    </row>
    <row r="201" spans="1:96" ht="23.25" customHeight="1" x14ac:dyDescent="0.2">
      <c r="A201" s="16"/>
      <c r="B201" s="17"/>
      <c r="C201" s="16"/>
      <c r="D201" s="17"/>
      <c r="E201" s="16"/>
      <c r="F201" s="16"/>
      <c r="G201" s="16"/>
      <c r="H201" s="16"/>
      <c r="I201" s="16"/>
      <c r="J201" s="16"/>
      <c r="K201" s="16"/>
      <c r="L201" s="16"/>
      <c r="M201" s="16"/>
      <c r="N201" s="16"/>
      <c r="O201" s="16"/>
      <c r="P201" s="16"/>
      <c r="Q201" s="16"/>
      <c r="R201" s="16"/>
      <c r="S201" s="16"/>
      <c r="T201" s="17"/>
      <c r="U201" s="18"/>
      <c r="V201" s="18"/>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6"/>
      <c r="BW201" s="19"/>
      <c r="BX201" s="18"/>
      <c r="BY201" s="17"/>
      <c r="BZ201" s="20"/>
      <c r="CA201" s="20"/>
      <c r="CB201" s="16"/>
      <c r="CC201" s="16"/>
      <c r="CD201" s="16"/>
      <c r="CE201" s="16"/>
      <c r="CF201" s="16"/>
      <c r="CG201" s="16"/>
      <c r="CH201" s="16"/>
      <c r="CI201" s="17"/>
      <c r="CJ201" s="17"/>
      <c r="CK201" s="16"/>
      <c r="CL201" s="16"/>
      <c r="CM201" s="16"/>
      <c r="CN201" s="16"/>
      <c r="CO201" s="16"/>
      <c r="CP201" s="16"/>
      <c r="CQ201" s="16"/>
      <c r="CR201" s="16"/>
    </row>
    <row r="202" spans="1:96" ht="23.25" customHeight="1" x14ac:dyDescent="0.2">
      <c r="A202" s="16"/>
      <c r="B202" s="17"/>
      <c r="C202" s="16"/>
      <c r="D202" s="17"/>
      <c r="E202" s="16"/>
      <c r="F202" s="16"/>
      <c r="G202" s="16"/>
      <c r="H202" s="16"/>
      <c r="I202" s="16"/>
      <c r="J202" s="16"/>
      <c r="K202" s="16"/>
      <c r="L202" s="16"/>
      <c r="M202" s="16"/>
      <c r="N202" s="16"/>
      <c r="O202" s="16"/>
      <c r="P202" s="16"/>
      <c r="Q202" s="16"/>
      <c r="R202" s="16"/>
      <c r="S202" s="16"/>
      <c r="T202" s="17"/>
      <c r="U202" s="18"/>
      <c r="V202" s="18"/>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c r="BR202" s="17"/>
      <c r="BS202" s="17"/>
      <c r="BT202" s="17"/>
      <c r="BU202" s="17"/>
      <c r="BV202" s="16"/>
      <c r="BW202" s="19"/>
      <c r="BX202" s="18"/>
      <c r="BY202" s="17"/>
      <c r="BZ202" s="20"/>
      <c r="CA202" s="20"/>
      <c r="CB202" s="16"/>
      <c r="CC202" s="16"/>
      <c r="CD202" s="16"/>
      <c r="CE202" s="16"/>
      <c r="CF202" s="16"/>
      <c r="CG202" s="16"/>
      <c r="CH202" s="16"/>
      <c r="CI202" s="17"/>
      <c r="CJ202" s="17"/>
      <c r="CK202" s="16"/>
      <c r="CL202" s="16"/>
      <c r="CM202" s="16"/>
      <c r="CN202" s="16"/>
      <c r="CO202" s="16"/>
      <c r="CP202" s="16"/>
      <c r="CQ202" s="16"/>
      <c r="CR202" s="16"/>
    </row>
    <row r="203" spans="1:96" ht="23.25" customHeight="1" x14ac:dyDescent="0.2">
      <c r="A203" s="16"/>
      <c r="B203" s="17"/>
      <c r="C203" s="16"/>
      <c r="D203" s="17"/>
      <c r="E203" s="16"/>
      <c r="F203" s="16"/>
      <c r="G203" s="16"/>
      <c r="H203" s="16"/>
      <c r="I203" s="16"/>
      <c r="J203" s="16"/>
      <c r="K203" s="16"/>
      <c r="L203" s="16"/>
      <c r="M203" s="16"/>
      <c r="N203" s="16"/>
      <c r="O203" s="16"/>
      <c r="P203" s="16"/>
      <c r="Q203" s="16"/>
      <c r="R203" s="16"/>
      <c r="S203" s="16"/>
      <c r="T203" s="17"/>
      <c r="U203" s="18"/>
      <c r="V203" s="18"/>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6"/>
      <c r="BW203" s="19"/>
      <c r="BX203" s="18"/>
      <c r="BY203" s="17"/>
      <c r="BZ203" s="20"/>
      <c r="CA203" s="20"/>
      <c r="CB203" s="16"/>
      <c r="CC203" s="16"/>
      <c r="CD203" s="16"/>
      <c r="CE203" s="16"/>
      <c r="CF203" s="16"/>
      <c r="CG203" s="16"/>
      <c r="CH203" s="16"/>
      <c r="CI203" s="17"/>
      <c r="CJ203" s="17"/>
      <c r="CK203" s="16"/>
      <c r="CL203" s="16"/>
      <c r="CM203" s="16"/>
      <c r="CN203" s="16"/>
      <c r="CO203" s="16"/>
      <c r="CP203" s="16"/>
      <c r="CQ203" s="16"/>
      <c r="CR203" s="16"/>
    </row>
    <row r="204" spans="1:96" ht="23.25" customHeight="1" x14ac:dyDescent="0.2">
      <c r="A204" s="16"/>
      <c r="B204" s="17"/>
      <c r="C204" s="16"/>
      <c r="D204" s="17"/>
      <c r="E204" s="16"/>
      <c r="F204" s="16"/>
      <c r="G204" s="16"/>
      <c r="H204" s="16"/>
      <c r="I204" s="16"/>
      <c r="J204" s="16"/>
      <c r="K204" s="16"/>
      <c r="L204" s="16"/>
      <c r="M204" s="16"/>
      <c r="N204" s="16"/>
      <c r="O204" s="16"/>
      <c r="P204" s="16"/>
      <c r="Q204" s="16"/>
      <c r="R204" s="16"/>
      <c r="S204" s="16"/>
      <c r="T204" s="17"/>
      <c r="U204" s="18"/>
      <c r="V204" s="18"/>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6"/>
      <c r="BW204" s="19"/>
      <c r="BX204" s="18"/>
      <c r="BY204" s="17"/>
      <c r="BZ204" s="20"/>
      <c r="CA204" s="20"/>
      <c r="CB204" s="16"/>
      <c r="CC204" s="16"/>
      <c r="CD204" s="16"/>
      <c r="CE204" s="16"/>
      <c r="CF204" s="16"/>
      <c r="CG204" s="16"/>
      <c r="CH204" s="16"/>
      <c r="CI204" s="17"/>
      <c r="CJ204" s="17"/>
      <c r="CK204" s="16"/>
      <c r="CL204" s="16"/>
      <c r="CM204" s="16"/>
      <c r="CN204" s="16"/>
      <c r="CO204" s="16"/>
      <c r="CP204" s="16"/>
      <c r="CQ204" s="16"/>
      <c r="CR204" s="16"/>
    </row>
    <row r="205" spans="1:96" ht="23.25" customHeight="1" x14ac:dyDescent="0.2">
      <c r="A205" s="16"/>
      <c r="B205" s="17"/>
      <c r="C205" s="16"/>
      <c r="D205" s="17"/>
      <c r="E205" s="16"/>
      <c r="F205" s="16"/>
      <c r="G205" s="16"/>
      <c r="H205" s="16"/>
      <c r="I205" s="16"/>
      <c r="J205" s="16"/>
      <c r="K205" s="16"/>
      <c r="L205" s="16"/>
      <c r="M205" s="16"/>
      <c r="N205" s="16"/>
      <c r="O205" s="16"/>
      <c r="P205" s="16"/>
      <c r="Q205" s="16"/>
      <c r="R205" s="16"/>
      <c r="S205" s="16"/>
      <c r="T205" s="17"/>
      <c r="U205" s="18"/>
      <c r="V205" s="18"/>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6"/>
      <c r="BW205" s="19"/>
      <c r="BX205" s="18"/>
      <c r="BY205" s="17"/>
      <c r="BZ205" s="20"/>
      <c r="CA205" s="20"/>
      <c r="CB205" s="16"/>
      <c r="CC205" s="16"/>
      <c r="CD205" s="16"/>
      <c r="CE205" s="16"/>
      <c r="CF205" s="16"/>
      <c r="CG205" s="16"/>
      <c r="CH205" s="16"/>
      <c r="CI205" s="17"/>
      <c r="CJ205" s="17"/>
      <c r="CK205" s="16"/>
      <c r="CL205" s="16"/>
      <c r="CM205" s="16"/>
      <c r="CN205" s="16"/>
      <c r="CO205" s="16"/>
      <c r="CP205" s="16"/>
      <c r="CQ205" s="16"/>
      <c r="CR205" s="16"/>
    </row>
    <row r="206" spans="1:96" ht="23.25" customHeight="1" x14ac:dyDescent="0.2">
      <c r="A206" s="16"/>
      <c r="B206" s="17"/>
      <c r="C206" s="16"/>
      <c r="D206" s="17"/>
      <c r="E206" s="16"/>
      <c r="F206" s="16"/>
      <c r="G206" s="16"/>
      <c r="H206" s="16"/>
      <c r="I206" s="16"/>
      <c r="J206" s="16"/>
      <c r="K206" s="16"/>
      <c r="L206" s="16"/>
      <c r="M206" s="16"/>
      <c r="N206" s="16"/>
      <c r="O206" s="16"/>
      <c r="P206" s="16"/>
      <c r="Q206" s="16"/>
      <c r="R206" s="16"/>
      <c r="S206" s="16"/>
      <c r="T206" s="17"/>
      <c r="U206" s="18"/>
      <c r="V206" s="18"/>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6"/>
      <c r="BW206" s="19"/>
      <c r="BX206" s="18"/>
      <c r="BY206" s="17"/>
      <c r="BZ206" s="20"/>
      <c r="CA206" s="20"/>
      <c r="CB206" s="16"/>
      <c r="CC206" s="16"/>
      <c r="CD206" s="16"/>
      <c r="CE206" s="16"/>
      <c r="CF206" s="16"/>
      <c r="CG206" s="16"/>
      <c r="CH206" s="16"/>
      <c r="CI206" s="17"/>
      <c r="CJ206" s="17"/>
      <c r="CK206" s="16"/>
      <c r="CL206" s="16"/>
      <c r="CM206" s="16"/>
      <c r="CN206" s="16"/>
      <c r="CO206" s="16"/>
      <c r="CP206" s="16"/>
      <c r="CQ206" s="16"/>
      <c r="CR206" s="16"/>
    </row>
    <row r="207" spans="1:96" ht="23.25" customHeight="1" x14ac:dyDescent="0.2">
      <c r="A207" s="16"/>
      <c r="B207" s="17"/>
      <c r="C207" s="16"/>
      <c r="D207" s="17"/>
      <c r="E207" s="16"/>
      <c r="F207" s="16"/>
      <c r="G207" s="16"/>
      <c r="H207" s="16"/>
      <c r="I207" s="16"/>
      <c r="J207" s="16"/>
      <c r="K207" s="16"/>
      <c r="L207" s="16"/>
      <c r="M207" s="16"/>
      <c r="N207" s="16"/>
      <c r="O207" s="16"/>
      <c r="P207" s="16"/>
      <c r="Q207" s="16"/>
      <c r="R207" s="16"/>
      <c r="S207" s="16"/>
      <c r="T207" s="17"/>
      <c r="U207" s="18"/>
      <c r="V207" s="18"/>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6"/>
      <c r="BW207" s="19"/>
      <c r="BX207" s="18"/>
      <c r="BY207" s="17"/>
      <c r="BZ207" s="20"/>
      <c r="CA207" s="20"/>
      <c r="CB207" s="16"/>
      <c r="CC207" s="16"/>
      <c r="CD207" s="16"/>
      <c r="CE207" s="16"/>
      <c r="CF207" s="16"/>
      <c r="CG207" s="16"/>
      <c r="CH207" s="16"/>
      <c r="CI207" s="17"/>
      <c r="CJ207" s="17"/>
      <c r="CK207" s="16"/>
      <c r="CL207" s="16"/>
      <c r="CM207" s="16"/>
      <c r="CN207" s="16"/>
      <c r="CO207" s="16"/>
      <c r="CP207" s="16"/>
      <c r="CQ207" s="16"/>
      <c r="CR207" s="16"/>
    </row>
    <row r="208" spans="1:96" ht="23.25" customHeight="1" x14ac:dyDescent="0.2">
      <c r="A208" s="16"/>
      <c r="B208" s="17"/>
      <c r="C208" s="16"/>
      <c r="D208" s="17"/>
      <c r="E208" s="16"/>
      <c r="F208" s="16"/>
      <c r="G208" s="16"/>
      <c r="H208" s="16"/>
      <c r="I208" s="16"/>
      <c r="J208" s="16"/>
      <c r="K208" s="16"/>
      <c r="L208" s="16"/>
      <c r="M208" s="16"/>
      <c r="N208" s="16"/>
      <c r="O208" s="16"/>
      <c r="P208" s="16"/>
      <c r="Q208" s="16"/>
      <c r="R208" s="16"/>
      <c r="S208" s="16"/>
      <c r="T208" s="17"/>
      <c r="U208" s="18"/>
      <c r="V208" s="18"/>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6"/>
      <c r="BW208" s="19"/>
      <c r="BX208" s="18"/>
      <c r="BY208" s="17"/>
      <c r="BZ208" s="20"/>
      <c r="CA208" s="20"/>
      <c r="CB208" s="16"/>
      <c r="CC208" s="16"/>
      <c r="CD208" s="16"/>
      <c r="CE208" s="16"/>
      <c r="CF208" s="16"/>
      <c r="CG208" s="16"/>
      <c r="CH208" s="16"/>
      <c r="CI208" s="17"/>
      <c r="CJ208" s="17"/>
      <c r="CK208" s="16"/>
      <c r="CL208" s="16"/>
      <c r="CM208" s="16"/>
      <c r="CN208" s="16"/>
      <c r="CO208" s="16"/>
      <c r="CP208" s="16"/>
      <c r="CQ208" s="16"/>
      <c r="CR208" s="16"/>
    </row>
    <row r="209" spans="1:96" ht="23.25" customHeight="1" x14ac:dyDescent="0.2">
      <c r="A209" s="16"/>
      <c r="B209" s="17"/>
      <c r="C209" s="16"/>
      <c r="D209" s="17"/>
      <c r="E209" s="16"/>
      <c r="F209" s="16"/>
      <c r="G209" s="16"/>
      <c r="H209" s="16"/>
      <c r="I209" s="16"/>
      <c r="J209" s="16"/>
      <c r="K209" s="16"/>
      <c r="L209" s="16"/>
      <c r="M209" s="16"/>
      <c r="N209" s="16"/>
      <c r="O209" s="16"/>
      <c r="P209" s="16"/>
      <c r="Q209" s="16"/>
      <c r="R209" s="16"/>
      <c r="S209" s="16"/>
      <c r="T209" s="17"/>
      <c r="U209" s="18"/>
      <c r="V209" s="18"/>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6"/>
      <c r="BW209" s="19"/>
      <c r="BX209" s="18"/>
      <c r="BY209" s="17"/>
      <c r="BZ209" s="20"/>
      <c r="CA209" s="20"/>
      <c r="CB209" s="16"/>
      <c r="CC209" s="16"/>
      <c r="CD209" s="16"/>
      <c r="CE209" s="16"/>
      <c r="CF209" s="16"/>
      <c r="CG209" s="16"/>
      <c r="CH209" s="16"/>
      <c r="CI209" s="17"/>
      <c r="CJ209" s="17"/>
      <c r="CK209" s="16"/>
      <c r="CL209" s="16"/>
      <c r="CM209" s="16"/>
      <c r="CN209" s="16"/>
      <c r="CO209" s="16"/>
      <c r="CP209" s="16"/>
      <c r="CQ209" s="16"/>
      <c r="CR209" s="16"/>
    </row>
    <row r="210" spans="1:96" ht="23.25" customHeight="1" x14ac:dyDescent="0.2">
      <c r="A210" s="16"/>
      <c r="B210" s="17"/>
      <c r="C210" s="16"/>
      <c r="D210" s="17"/>
      <c r="E210" s="16"/>
      <c r="F210" s="16"/>
      <c r="G210" s="16"/>
      <c r="H210" s="16"/>
      <c r="I210" s="16"/>
      <c r="J210" s="16"/>
      <c r="K210" s="16"/>
      <c r="L210" s="16"/>
      <c r="M210" s="16"/>
      <c r="N210" s="16"/>
      <c r="O210" s="16"/>
      <c r="P210" s="16"/>
      <c r="Q210" s="16"/>
      <c r="R210" s="16"/>
      <c r="S210" s="16"/>
      <c r="T210" s="17"/>
      <c r="U210" s="18"/>
      <c r="V210" s="18"/>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6"/>
      <c r="BW210" s="19"/>
      <c r="BX210" s="18"/>
      <c r="BY210" s="17"/>
      <c r="BZ210" s="20"/>
      <c r="CA210" s="20"/>
      <c r="CB210" s="16"/>
      <c r="CC210" s="16"/>
      <c r="CD210" s="16"/>
      <c r="CE210" s="16"/>
      <c r="CF210" s="16"/>
      <c r="CG210" s="16"/>
      <c r="CH210" s="16"/>
      <c r="CI210" s="17"/>
      <c r="CJ210" s="17"/>
      <c r="CK210" s="16"/>
      <c r="CL210" s="16"/>
      <c r="CM210" s="16"/>
      <c r="CN210" s="16"/>
      <c r="CO210" s="16"/>
      <c r="CP210" s="16"/>
      <c r="CQ210" s="16"/>
      <c r="CR210" s="16"/>
    </row>
    <row r="211" spans="1:96" ht="23.25" customHeight="1" x14ac:dyDescent="0.2">
      <c r="A211" s="16"/>
      <c r="B211" s="17"/>
      <c r="C211" s="16"/>
      <c r="D211" s="17"/>
      <c r="E211" s="16"/>
      <c r="F211" s="16"/>
      <c r="G211" s="16"/>
      <c r="H211" s="16"/>
      <c r="I211" s="16"/>
      <c r="J211" s="16"/>
      <c r="K211" s="16"/>
      <c r="L211" s="16"/>
      <c r="M211" s="16"/>
      <c r="N211" s="16"/>
      <c r="O211" s="16"/>
      <c r="P211" s="16"/>
      <c r="Q211" s="16"/>
      <c r="R211" s="16"/>
      <c r="S211" s="16"/>
      <c r="T211" s="17"/>
      <c r="U211" s="18"/>
      <c r="V211" s="18"/>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6"/>
      <c r="BW211" s="19"/>
      <c r="BX211" s="18"/>
      <c r="BY211" s="17"/>
      <c r="BZ211" s="20"/>
      <c r="CA211" s="20"/>
      <c r="CB211" s="16"/>
      <c r="CC211" s="16"/>
      <c r="CD211" s="16"/>
      <c r="CE211" s="16"/>
      <c r="CF211" s="16"/>
      <c r="CG211" s="16"/>
      <c r="CH211" s="16"/>
      <c r="CI211" s="17"/>
      <c r="CJ211" s="17"/>
      <c r="CK211" s="16"/>
      <c r="CL211" s="16"/>
      <c r="CM211" s="16"/>
      <c r="CN211" s="16"/>
      <c r="CO211" s="16"/>
      <c r="CP211" s="16"/>
      <c r="CQ211" s="16"/>
      <c r="CR211" s="16"/>
    </row>
    <row r="212" spans="1:96" ht="23.25" customHeight="1" x14ac:dyDescent="0.2">
      <c r="A212" s="16"/>
      <c r="B212" s="17"/>
      <c r="C212" s="16"/>
      <c r="D212" s="17"/>
      <c r="E212" s="16"/>
      <c r="F212" s="16"/>
      <c r="G212" s="16"/>
      <c r="H212" s="16"/>
      <c r="I212" s="16"/>
      <c r="J212" s="16"/>
      <c r="K212" s="16"/>
      <c r="L212" s="16"/>
      <c r="M212" s="16"/>
      <c r="N212" s="16"/>
      <c r="O212" s="16"/>
      <c r="P212" s="16"/>
      <c r="Q212" s="16"/>
      <c r="R212" s="16"/>
      <c r="S212" s="16"/>
      <c r="T212" s="17"/>
      <c r="U212" s="18"/>
      <c r="V212" s="18"/>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6"/>
      <c r="BW212" s="19"/>
      <c r="BX212" s="18"/>
      <c r="BY212" s="17"/>
      <c r="BZ212" s="20"/>
      <c r="CA212" s="20"/>
      <c r="CB212" s="16"/>
      <c r="CC212" s="16"/>
      <c r="CD212" s="16"/>
      <c r="CE212" s="16"/>
      <c r="CF212" s="16"/>
      <c r="CG212" s="16"/>
      <c r="CH212" s="16"/>
      <c r="CI212" s="17"/>
      <c r="CJ212" s="17"/>
      <c r="CK212" s="16"/>
      <c r="CL212" s="16"/>
      <c r="CM212" s="16"/>
      <c r="CN212" s="16"/>
      <c r="CO212" s="16"/>
      <c r="CP212" s="16"/>
      <c r="CQ212" s="16"/>
      <c r="CR212" s="16"/>
    </row>
    <row r="213" spans="1:96" ht="23.25" customHeight="1" x14ac:dyDescent="0.2">
      <c r="A213" s="16"/>
      <c r="B213" s="17"/>
      <c r="C213" s="16"/>
      <c r="D213" s="17"/>
      <c r="E213" s="16"/>
      <c r="F213" s="16"/>
      <c r="G213" s="16"/>
      <c r="H213" s="16"/>
      <c r="I213" s="16"/>
      <c r="J213" s="16"/>
      <c r="K213" s="16"/>
      <c r="L213" s="16"/>
      <c r="M213" s="16"/>
      <c r="N213" s="16"/>
      <c r="O213" s="16"/>
      <c r="P213" s="16"/>
      <c r="Q213" s="16"/>
      <c r="R213" s="16"/>
      <c r="S213" s="16"/>
      <c r="T213" s="17"/>
      <c r="U213" s="18"/>
      <c r="V213" s="18"/>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6"/>
      <c r="BW213" s="19"/>
      <c r="BX213" s="18"/>
      <c r="BY213" s="17"/>
      <c r="BZ213" s="20"/>
      <c r="CA213" s="20"/>
      <c r="CB213" s="16"/>
      <c r="CC213" s="16"/>
      <c r="CD213" s="16"/>
      <c r="CE213" s="16"/>
      <c r="CF213" s="16"/>
      <c r="CG213" s="16"/>
      <c r="CH213" s="16"/>
      <c r="CI213" s="17"/>
      <c r="CJ213" s="17"/>
      <c r="CK213" s="16"/>
      <c r="CL213" s="16"/>
      <c r="CM213" s="16"/>
      <c r="CN213" s="16"/>
      <c r="CO213" s="16"/>
      <c r="CP213" s="16"/>
      <c r="CQ213" s="16"/>
      <c r="CR213" s="16"/>
    </row>
    <row r="214" spans="1:96" ht="23.25" customHeight="1" x14ac:dyDescent="0.2">
      <c r="A214" s="16"/>
      <c r="B214" s="17"/>
      <c r="C214" s="16"/>
      <c r="D214" s="17"/>
      <c r="E214" s="16"/>
      <c r="F214" s="16"/>
      <c r="G214" s="16"/>
      <c r="H214" s="16"/>
      <c r="I214" s="16"/>
      <c r="J214" s="16"/>
      <c r="K214" s="16"/>
      <c r="L214" s="16"/>
      <c r="M214" s="16"/>
      <c r="N214" s="16"/>
      <c r="O214" s="16"/>
      <c r="P214" s="16"/>
      <c r="Q214" s="16"/>
      <c r="R214" s="16"/>
      <c r="S214" s="16"/>
      <c r="T214" s="17"/>
      <c r="U214" s="18"/>
      <c r="V214" s="18"/>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6"/>
      <c r="BW214" s="19"/>
      <c r="BX214" s="18"/>
      <c r="BY214" s="17"/>
      <c r="BZ214" s="20"/>
      <c r="CA214" s="20"/>
      <c r="CB214" s="16"/>
      <c r="CC214" s="16"/>
      <c r="CD214" s="16"/>
      <c r="CE214" s="16"/>
      <c r="CF214" s="16"/>
      <c r="CG214" s="16"/>
      <c r="CH214" s="16"/>
      <c r="CI214" s="17"/>
      <c r="CJ214" s="17"/>
      <c r="CK214" s="16"/>
      <c r="CL214" s="16"/>
      <c r="CM214" s="16"/>
      <c r="CN214" s="16"/>
      <c r="CO214" s="16"/>
      <c r="CP214" s="16"/>
      <c r="CQ214" s="16"/>
      <c r="CR214" s="16"/>
    </row>
    <row r="215" spans="1:96" ht="23.25" customHeight="1" x14ac:dyDescent="0.2">
      <c r="A215" s="16"/>
      <c r="B215" s="17"/>
      <c r="C215" s="16"/>
      <c r="D215" s="17"/>
      <c r="E215" s="16"/>
      <c r="F215" s="16"/>
      <c r="G215" s="16"/>
      <c r="H215" s="16"/>
      <c r="I215" s="16"/>
      <c r="J215" s="16"/>
      <c r="K215" s="16"/>
      <c r="L215" s="16"/>
      <c r="M215" s="16"/>
      <c r="N215" s="16"/>
      <c r="O215" s="16"/>
      <c r="P215" s="16"/>
      <c r="Q215" s="16"/>
      <c r="R215" s="16"/>
      <c r="S215" s="16"/>
      <c r="T215" s="17"/>
      <c r="U215" s="18"/>
      <c r="V215" s="18"/>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6"/>
      <c r="BW215" s="19"/>
      <c r="BX215" s="18"/>
      <c r="BY215" s="17"/>
      <c r="BZ215" s="20"/>
      <c r="CA215" s="20"/>
      <c r="CB215" s="16"/>
      <c r="CC215" s="16"/>
      <c r="CD215" s="16"/>
      <c r="CE215" s="16"/>
      <c r="CF215" s="16"/>
      <c r="CG215" s="16"/>
      <c r="CH215" s="16"/>
      <c r="CI215" s="17"/>
      <c r="CJ215" s="17"/>
      <c r="CK215" s="16"/>
      <c r="CL215" s="16"/>
      <c r="CM215" s="16"/>
      <c r="CN215" s="16"/>
      <c r="CO215" s="16"/>
      <c r="CP215" s="16"/>
      <c r="CQ215" s="16"/>
      <c r="CR215" s="16"/>
    </row>
    <row r="216" spans="1:96" ht="23.25" customHeight="1" x14ac:dyDescent="0.2">
      <c r="A216" s="16"/>
      <c r="B216" s="17"/>
      <c r="C216" s="16"/>
      <c r="D216" s="17"/>
      <c r="E216" s="16"/>
      <c r="F216" s="16"/>
      <c r="G216" s="16"/>
      <c r="H216" s="16"/>
      <c r="I216" s="16"/>
      <c r="J216" s="16"/>
      <c r="K216" s="16"/>
      <c r="L216" s="16"/>
      <c r="M216" s="16"/>
      <c r="N216" s="16"/>
      <c r="O216" s="16"/>
      <c r="P216" s="16"/>
      <c r="Q216" s="16"/>
      <c r="R216" s="16"/>
      <c r="S216" s="16"/>
      <c r="T216" s="17"/>
      <c r="U216" s="18"/>
      <c r="V216" s="18"/>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6"/>
      <c r="BW216" s="19"/>
      <c r="BX216" s="18"/>
      <c r="BY216" s="17"/>
      <c r="BZ216" s="20"/>
      <c r="CA216" s="20"/>
      <c r="CB216" s="16"/>
      <c r="CC216" s="16"/>
      <c r="CD216" s="16"/>
      <c r="CE216" s="16"/>
      <c r="CF216" s="16"/>
      <c r="CG216" s="16"/>
      <c r="CH216" s="16"/>
      <c r="CI216" s="17"/>
      <c r="CJ216" s="17"/>
      <c r="CK216" s="16"/>
      <c r="CL216" s="16"/>
      <c r="CM216" s="16"/>
      <c r="CN216" s="16"/>
      <c r="CO216" s="16"/>
      <c r="CP216" s="16"/>
      <c r="CQ216" s="16"/>
      <c r="CR216" s="16"/>
    </row>
    <row r="217" spans="1:96" ht="23.25" customHeight="1" x14ac:dyDescent="0.2">
      <c r="A217" s="16"/>
      <c r="B217" s="17"/>
      <c r="C217" s="16"/>
      <c r="D217" s="17"/>
      <c r="E217" s="16"/>
      <c r="F217" s="16"/>
      <c r="G217" s="16"/>
      <c r="H217" s="16"/>
      <c r="I217" s="16"/>
      <c r="J217" s="16"/>
      <c r="K217" s="16"/>
      <c r="L217" s="16"/>
      <c r="M217" s="16"/>
      <c r="N217" s="16"/>
      <c r="O217" s="16"/>
      <c r="P217" s="16"/>
      <c r="Q217" s="16"/>
      <c r="R217" s="16"/>
      <c r="S217" s="16"/>
      <c r="T217" s="17"/>
      <c r="U217" s="18"/>
      <c r="V217" s="18"/>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6"/>
      <c r="BW217" s="19"/>
      <c r="BX217" s="18"/>
      <c r="BY217" s="17"/>
      <c r="BZ217" s="20"/>
      <c r="CA217" s="20"/>
      <c r="CB217" s="16"/>
      <c r="CC217" s="16"/>
      <c r="CD217" s="16"/>
      <c r="CE217" s="16"/>
      <c r="CF217" s="16"/>
      <c r="CG217" s="16"/>
      <c r="CH217" s="16"/>
      <c r="CI217" s="17"/>
      <c r="CJ217" s="17"/>
      <c r="CK217" s="16"/>
      <c r="CL217" s="16"/>
      <c r="CM217" s="16"/>
      <c r="CN217" s="16"/>
      <c r="CO217" s="16"/>
      <c r="CP217" s="16"/>
      <c r="CQ217" s="16"/>
      <c r="CR217" s="16"/>
    </row>
    <row r="218" spans="1:96" ht="23.25" customHeight="1" x14ac:dyDescent="0.2">
      <c r="A218" s="16"/>
      <c r="B218" s="17"/>
      <c r="C218" s="16"/>
      <c r="D218" s="17"/>
      <c r="E218" s="16"/>
      <c r="F218" s="16"/>
      <c r="G218" s="16"/>
      <c r="H218" s="16"/>
      <c r="I218" s="16"/>
      <c r="J218" s="16"/>
      <c r="K218" s="16"/>
      <c r="L218" s="16"/>
      <c r="M218" s="16"/>
      <c r="N218" s="16"/>
      <c r="O218" s="16"/>
      <c r="P218" s="16"/>
      <c r="Q218" s="16"/>
      <c r="R218" s="16"/>
      <c r="S218" s="16"/>
      <c r="T218" s="17"/>
      <c r="U218" s="18"/>
      <c r="V218" s="18"/>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6"/>
      <c r="BW218" s="19"/>
      <c r="BX218" s="18"/>
      <c r="BY218" s="17"/>
      <c r="BZ218" s="20"/>
      <c r="CA218" s="20"/>
      <c r="CB218" s="16"/>
      <c r="CC218" s="16"/>
      <c r="CD218" s="16"/>
      <c r="CE218" s="16"/>
      <c r="CF218" s="16"/>
      <c r="CG218" s="16"/>
      <c r="CH218" s="16"/>
      <c r="CI218" s="17"/>
      <c r="CJ218" s="17"/>
      <c r="CK218" s="16"/>
      <c r="CL218" s="16"/>
      <c r="CM218" s="16"/>
      <c r="CN218" s="16"/>
      <c r="CO218" s="16"/>
      <c r="CP218" s="16"/>
      <c r="CQ218" s="16"/>
      <c r="CR218" s="16"/>
    </row>
    <row r="219" spans="1:96" ht="23.25" customHeight="1" x14ac:dyDescent="0.2">
      <c r="A219" s="16"/>
      <c r="B219" s="17"/>
      <c r="C219" s="16"/>
      <c r="D219" s="17"/>
      <c r="E219" s="16"/>
      <c r="F219" s="16"/>
      <c r="G219" s="16"/>
      <c r="H219" s="16"/>
      <c r="I219" s="16"/>
      <c r="J219" s="16"/>
      <c r="K219" s="16"/>
      <c r="L219" s="16"/>
      <c r="M219" s="16"/>
      <c r="N219" s="16"/>
      <c r="O219" s="16"/>
      <c r="P219" s="16"/>
      <c r="Q219" s="16"/>
      <c r="R219" s="16"/>
      <c r="S219" s="16"/>
      <c r="T219" s="17"/>
      <c r="U219" s="18"/>
      <c r="V219" s="18"/>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6"/>
      <c r="BW219" s="19"/>
      <c r="BX219" s="18"/>
      <c r="BY219" s="17"/>
      <c r="BZ219" s="20"/>
      <c r="CA219" s="20"/>
      <c r="CB219" s="16"/>
      <c r="CC219" s="16"/>
      <c r="CD219" s="16"/>
      <c r="CE219" s="16"/>
      <c r="CF219" s="16"/>
      <c r="CG219" s="16"/>
      <c r="CH219" s="16"/>
      <c r="CI219" s="17"/>
      <c r="CJ219" s="17"/>
      <c r="CK219" s="16"/>
      <c r="CL219" s="16"/>
      <c r="CM219" s="16"/>
      <c r="CN219" s="16"/>
      <c r="CO219" s="16"/>
      <c r="CP219" s="16"/>
      <c r="CQ219" s="16"/>
      <c r="CR219" s="16"/>
    </row>
    <row r="220" spans="1:96" ht="23.25" customHeight="1" x14ac:dyDescent="0.2">
      <c r="A220" s="16"/>
      <c r="B220" s="17"/>
      <c r="C220" s="16"/>
      <c r="D220" s="17"/>
      <c r="E220" s="16"/>
      <c r="F220" s="16"/>
      <c r="G220" s="16"/>
      <c r="H220" s="16"/>
      <c r="I220" s="16"/>
      <c r="J220" s="16"/>
      <c r="K220" s="16"/>
      <c r="L220" s="16"/>
      <c r="M220" s="16"/>
      <c r="N220" s="16"/>
      <c r="O220" s="16"/>
      <c r="P220" s="16"/>
      <c r="Q220" s="16"/>
      <c r="R220" s="16"/>
      <c r="S220" s="16"/>
      <c r="T220" s="17"/>
      <c r="U220" s="18"/>
      <c r="V220" s="18"/>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6"/>
      <c r="BW220" s="19"/>
      <c r="BX220" s="18"/>
      <c r="BY220" s="17"/>
      <c r="BZ220" s="20"/>
      <c r="CA220" s="20"/>
      <c r="CB220" s="16"/>
      <c r="CC220" s="16"/>
      <c r="CD220" s="16"/>
      <c r="CE220" s="16"/>
      <c r="CF220" s="16"/>
      <c r="CG220" s="16"/>
      <c r="CH220" s="16"/>
      <c r="CI220" s="17"/>
      <c r="CJ220" s="17"/>
      <c r="CK220" s="16"/>
      <c r="CL220" s="16"/>
      <c r="CM220" s="16"/>
      <c r="CN220" s="16"/>
      <c r="CO220" s="16"/>
      <c r="CP220" s="16"/>
      <c r="CQ220" s="16"/>
      <c r="CR220" s="16"/>
    </row>
    <row r="221" spans="1:96" ht="15.75" customHeight="1" x14ac:dyDescent="0.2"/>
    <row r="222" spans="1:96" ht="15.75" customHeight="1" x14ac:dyDescent="0.2"/>
    <row r="223" spans="1:96" ht="15.75" customHeight="1" x14ac:dyDescent="0.2"/>
    <row r="224" spans="1:9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portrait"/>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I1001"/>
  <sheetViews>
    <sheetView topLeftCell="A43" workbookViewId="0">
      <selection activeCell="D50" sqref="D50"/>
    </sheetView>
  </sheetViews>
  <sheetFormatPr baseColWidth="10" defaultColWidth="12.625" defaultRowHeight="15" customHeight="1" x14ac:dyDescent="0.2"/>
  <cols>
    <col min="1" max="2" width="9.375" customWidth="1"/>
    <col min="3" max="3" width="35.5" customWidth="1"/>
    <col min="4" max="4" width="21.25" customWidth="1"/>
    <col min="5" max="5" width="25.875" customWidth="1"/>
    <col min="6" max="6" width="9.375" customWidth="1"/>
    <col min="7" max="7" width="26.25" customWidth="1"/>
    <col min="8" max="8" width="22.75" customWidth="1"/>
    <col min="9" max="9" width="18" customWidth="1"/>
  </cols>
  <sheetData>
    <row r="3" spans="3:4" x14ac:dyDescent="0.25">
      <c r="C3" s="828" t="s">
        <v>2136</v>
      </c>
      <c r="D3" s="828" t="s">
        <v>2286</v>
      </c>
    </row>
    <row r="4" spans="3:4" x14ac:dyDescent="0.25">
      <c r="C4" s="829" t="str">
        <f>+'PLAN DE DESARROLLO '!B5</f>
        <v>PILAR RESILIENTE</v>
      </c>
      <c r="D4" s="1718">
        <f>+'PLAN DE DESARROLLO '!M5</f>
        <v>0.64980743416302122</v>
      </c>
    </row>
    <row r="5" spans="3:4" ht="30" x14ac:dyDescent="0.25">
      <c r="C5" s="830" t="str">
        <f>+'PLAN DE DESARROLLO '!B6</f>
        <v xml:space="preserve">LINEA ESTRATEGICA  “SALVEMOS JUNTOS NUESTRO PATRIMONIO NATURAL” </v>
      </c>
      <c r="D5" s="1719">
        <f>+'PLAN DE DESARROLLO '!M6</f>
        <v>0.72355565936069133</v>
      </c>
    </row>
    <row r="6" spans="3:4" ht="30" customHeight="1" x14ac:dyDescent="0.25">
      <c r="C6" s="831" t="str">
        <f>+'PLAN DE DESARROLLO '!B15</f>
        <v>LÍNEA ESTRATÉGICA ESPACIO PÚBLICO, MOVILIDAD Y TRANSPORTE RESILIENTE</v>
      </c>
      <c r="D6" s="1720">
        <f>+'PLAN DE DESARROLLO '!M15</f>
        <v>0.64373690247544646</v>
      </c>
    </row>
    <row r="7" spans="3:4" ht="24.75" customHeight="1" x14ac:dyDescent="0.25">
      <c r="C7" s="831" t="str">
        <f>+'PLAN DE DESARROLLO '!B24</f>
        <v xml:space="preserve">LÍNEA ESTRATÉGICA DESARROLLO URBANO </v>
      </c>
      <c r="D7" s="1736">
        <f>+'PLAN DE DESARROLLO '!M24</f>
        <v>0.50124935902255641</v>
      </c>
    </row>
    <row r="8" spans="3:4" ht="24.75" customHeight="1" x14ac:dyDescent="0.25">
      <c r="C8" s="831" t="str">
        <f>+'PLAN DE DESARROLLO '!B30</f>
        <v>LÍNEA ESTRATÉGICA GESTIÓN DEL RIESGO.</v>
      </c>
      <c r="D8" s="1721">
        <f>+'PLAN DE DESARROLLO '!M30</f>
        <v>0.72826898572884813</v>
      </c>
    </row>
    <row r="9" spans="3:4" ht="27.75" customHeight="1" x14ac:dyDescent="0.25">
      <c r="C9" s="831" t="str">
        <f>+'PLAN DE DESARROLLO '!B35</f>
        <v>LÍNEA ESTRATÉGICA VIVIENDA  PARA TODOS</v>
      </c>
      <c r="D9" s="1736">
        <f>+'PLAN DE DESARROLLO '!M35</f>
        <v>0.44369166666666671</v>
      </c>
    </row>
    <row r="10" spans="3:4" ht="51.75" customHeight="1" x14ac:dyDescent="0.25">
      <c r="C10" s="831" t="str">
        <f>+'PLAN DE DESARROLLO '!B41</f>
        <v>LÍNEA ESTRATÉGICA SERVICIOS PÚBLICOS BÁSICOS DEL DISTRITO DE CARTAGENA DE INDIAS: “TODOS CON TODO”</v>
      </c>
      <c r="D10" s="1720">
        <f>+'PLAN DE DESARROLLO '!M41</f>
        <v>0.74953835477582842</v>
      </c>
    </row>
    <row r="11" spans="3:4" ht="44.25" customHeight="1" x14ac:dyDescent="0.25">
      <c r="C11" s="832" t="str">
        <f>+'PLAN DE DESARROLLO '!B47</f>
        <v>LÍNEA ESTRATÉGICA INSTRUMENTOS DE ORDENAMIENTO TERRITORIAL.</v>
      </c>
      <c r="D11" s="1722">
        <f>+'PLAN DE DESARROLLO '!M47</f>
        <v>0.75861111111111101</v>
      </c>
    </row>
    <row r="14" spans="3:4" ht="30" x14ac:dyDescent="0.2">
      <c r="C14" s="833" t="s">
        <v>2137</v>
      </c>
      <c r="D14" s="834" t="s">
        <v>2287</v>
      </c>
    </row>
    <row r="15" spans="3:4" ht="30" x14ac:dyDescent="0.25">
      <c r="C15" s="835" t="str">
        <f>+'PLAN DE DESARROLLO '!B6</f>
        <v xml:space="preserve">LINEA ESTRATEGICA  “SALVEMOS JUNTOS NUESTRO PATRIMONIO NATURAL” </v>
      </c>
      <c r="D15" s="1723">
        <f>+'PLAN DE DESARROLLO '!M6</f>
        <v>0.72355565936069133</v>
      </c>
    </row>
    <row r="16" spans="3:4" ht="45" x14ac:dyDescent="0.25">
      <c r="C16" s="24" t="str">
        <f>+'PLAN DE DESARROLLO '!B7</f>
        <v>Programa Recuperar y Restaurar Nuestras Áreas Naturales (Bosques  y  Biodiversidad y servicios Eco sistémicos)</v>
      </c>
      <c r="D16" s="1724">
        <f>+'PLAN DE DESARROLLO '!M7</f>
        <v>0.65900722222222219</v>
      </c>
    </row>
    <row r="17" spans="3:4" ht="60" x14ac:dyDescent="0.25">
      <c r="C17" s="24" t="str">
        <f>+'PLAN DE DESARROLLO '!B8</f>
        <v>Programa Ordenamiento Ambiental y Adaptación al Cambio Climático para la Sostenibilidad Ambiental. (Mitigación y Gestión del Riesgo Ambiental)</v>
      </c>
      <c r="D17" s="1724">
        <f>+'PLAN DE DESARROLLO '!M8</f>
        <v>0.54803333333333326</v>
      </c>
    </row>
    <row r="18" spans="3:4" ht="45" x14ac:dyDescent="0.25">
      <c r="C18" s="24" t="str">
        <f>+'PLAN DE DESARROLLO '!B9</f>
        <v xml:space="preserve">Programa Aseguramiento, Monitoreo, Control y Vigilancia Ambiental  (Sistema integrado de Monitoreo Ambiental)               </v>
      </c>
      <c r="D18" s="1725">
        <f>+'PLAN DE DESARROLLO '!M9</f>
        <v>0.68533333333333335</v>
      </c>
    </row>
    <row r="19" spans="3:4" ht="45" x14ac:dyDescent="0.25">
      <c r="C19" s="24" t="str">
        <f>+'PLAN DE DESARROLLO '!B10</f>
        <v>Programa Investigación, Educación y Cultura Ambiental (Educación y Cultura Ambiental)</v>
      </c>
      <c r="D19" s="1726">
        <f>+'PLAN DE DESARROLLO '!M10</f>
        <v>0.85143939393939394</v>
      </c>
    </row>
    <row r="20" spans="3:4" ht="37.5" customHeight="1" x14ac:dyDescent="0.25">
      <c r="C20" s="24" t="str">
        <f>+'PLAN DE DESARROLLO '!B11</f>
        <v>Programa Salvemos Juntos Nuestro Recurso Hídrico (Gestión integral del Recurso Hídrico)</v>
      </c>
      <c r="D20" s="1724">
        <f>+'PLAN DE DESARROLLO '!M11</f>
        <v>0.6366666666666666</v>
      </c>
    </row>
    <row r="21" spans="3:4" ht="15.75" customHeight="1" x14ac:dyDescent="0.25">
      <c r="C21" s="24" t="str">
        <f>+'PLAN DE DESARROLLO '!B12</f>
        <v>Programa Negocios verdes, Economía Circular, Producción y consumo sostenible (Negocios verdes Inclusivos)</v>
      </c>
      <c r="D21" s="1727">
        <f>+'PLAN DE DESARROLLO '!M12</f>
        <v>0.80230352303523034</v>
      </c>
    </row>
    <row r="22" spans="3:4" ht="15.75" customHeight="1" x14ac:dyDescent="0.25">
      <c r="C22" s="24" t="str">
        <f>+'PLAN DE DESARROLLO '!B13</f>
        <v>Programa Instituciones ambientales más modernas, eficientes y transparentes. (Fortalecimiento Institucional)</v>
      </c>
      <c r="D22" s="1726">
        <f>+'PLAN DE DESARROLLO '!M13</f>
        <v>0.96785714285714286</v>
      </c>
    </row>
    <row r="23" spans="3:4" ht="15.75" customHeight="1" x14ac:dyDescent="0.25">
      <c r="C23" s="24" t="str">
        <f>+'PLAN DE DESARROLLO '!B14</f>
        <v>Programa Bienestar y Protección animal</v>
      </c>
      <c r="D23" s="1725">
        <f>+'PLAN DE DESARROLLO '!M14</f>
        <v>0.63780465949820786</v>
      </c>
    </row>
    <row r="24" spans="3:4" ht="15.75" customHeight="1" x14ac:dyDescent="0.2"/>
    <row r="25" spans="3:4" ht="15.75" customHeight="1" x14ac:dyDescent="0.2"/>
    <row r="26" spans="3:4" ht="15.75" customHeight="1" x14ac:dyDescent="0.2">
      <c r="C26" s="833" t="s">
        <v>2137</v>
      </c>
      <c r="D26" s="833" t="s">
        <v>2288</v>
      </c>
    </row>
    <row r="27" spans="3:4" ht="40.5" customHeight="1" x14ac:dyDescent="0.25">
      <c r="C27" s="836" t="str">
        <f>+'PLAN DE DESARROLLO '!B15</f>
        <v>LÍNEA ESTRATÉGICA ESPACIO PÚBLICO, MOVILIDAD Y TRANSPORTE RESILIENTE</v>
      </c>
      <c r="D27" s="1728">
        <f>+'PLAN DE DESARROLLO '!M15</f>
        <v>0.64373690247544646</v>
      </c>
    </row>
    <row r="28" spans="3:4" ht="15.75" customHeight="1" x14ac:dyDescent="0.25">
      <c r="C28" s="24" t="str">
        <f>+'PLAN DE DESARROLLO '!B16</f>
        <v>Programa Sostenibilidad del Espacio Público</v>
      </c>
      <c r="D28" s="1731">
        <f>+'PLAN DE DESARROLLO '!M16</f>
        <v>0.875</v>
      </c>
    </row>
    <row r="29" spans="3:4" ht="15.75" customHeight="1" x14ac:dyDescent="0.25">
      <c r="C29" s="24" t="str">
        <f>+'PLAN DE DESARROLLO '!B17</f>
        <v xml:space="preserve">Programa Recuperación del Espacio Público </v>
      </c>
      <c r="D29" s="1731">
        <f>+'PLAN DE DESARROLLO '!M17</f>
        <v>1</v>
      </c>
    </row>
    <row r="30" spans="3:4" ht="15.75" customHeight="1" x14ac:dyDescent="0.25">
      <c r="C30" s="24" t="str">
        <f>+'PLAN DE DESARROLLO '!B18</f>
        <v xml:space="preserve">Programa Generación del Espacio Público  </v>
      </c>
      <c r="D30" s="1728">
        <f>+'PLAN DE DESARROLLO '!M18</f>
        <v>0.5441128416906863</v>
      </c>
    </row>
    <row r="31" spans="3:4" ht="15.75" customHeight="1" x14ac:dyDescent="0.25">
      <c r="C31" s="24" t="str">
        <f>+'PLAN DE DESARROLLO '!B19</f>
        <v xml:space="preserve">Programa Movilidad en Cartagena  </v>
      </c>
      <c r="D31" s="1728">
        <f>+'PLAN DE DESARROLLO '!M19</f>
        <v>0.59</v>
      </c>
    </row>
    <row r="32" spans="3:4" ht="15.75" customHeight="1" x14ac:dyDescent="0.25">
      <c r="C32" s="24" t="str">
        <f>+'PLAN DE DESARROLLO '!B20</f>
        <v>Programa Transporte para todos</v>
      </c>
      <c r="D32" s="808">
        <f>+'PLAN DE DESARROLLO '!M20</f>
        <v>9.4433767001774097E-2</v>
      </c>
    </row>
    <row r="33" spans="3:4" ht="15.75" customHeight="1" x14ac:dyDescent="0.25">
      <c r="C33" s="24" t="str">
        <f>+'PLAN DE DESARROLLO '!B21</f>
        <v xml:space="preserve">Programa Reducción de la Siniestralidad vial </v>
      </c>
      <c r="D33" s="1728">
        <f>+'PLAN DE DESARROLLO '!M21</f>
        <v>0.55981527777777784</v>
      </c>
    </row>
    <row r="34" spans="3:4" ht="48" customHeight="1" x14ac:dyDescent="0.25">
      <c r="C34" s="24" t="str">
        <f>+'PLAN DE DESARROLLO '!B22</f>
        <v>Programa Fortalecimiento de la capacidad de respuesta del Departamento Administrativo de Tránsito y Transporte</v>
      </c>
      <c r="D34" s="1732">
        <f>+'PLAN DE DESARROLLO '!M22</f>
        <v>0.9038666666666666</v>
      </c>
    </row>
    <row r="35" spans="3:4" ht="34.5" customHeight="1" x14ac:dyDescent="0.25">
      <c r="C35" s="24" t="str">
        <f>+'PLAN DE DESARROLLO '!B23</f>
        <v>Programa Movilidad Sostenible en el Distrito de Cartagena</v>
      </c>
      <c r="D35" s="1730">
        <f>+'PLAN DE DESARROLLO '!M23</f>
        <v>0.58266666666666667</v>
      </c>
    </row>
    <row r="36" spans="3:4" ht="15.75" customHeight="1" x14ac:dyDescent="0.25">
      <c r="C36" s="815"/>
    </row>
    <row r="37" spans="3:4" ht="15.75" customHeight="1" x14ac:dyDescent="0.2"/>
    <row r="38" spans="3:4" ht="15.75" customHeight="1" x14ac:dyDescent="0.2"/>
    <row r="39" spans="3:4" ht="15.75" customHeight="1" x14ac:dyDescent="0.2"/>
    <row r="40" spans="3:4" ht="15.75" customHeight="1" x14ac:dyDescent="0.2"/>
    <row r="41" spans="3:4" ht="15.75" customHeight="1" x14ac:dyDescent="0.2"/>
    <row r="42" spans="3:4" ht="15.75" customHeight="1" x14ac:dyDescent="0.2"/>
    <row r="43" spans="3:4" ht="15.75" customHeight="1" x14ac:dyDescent="0.2"/>
    <row r="44" spans="3:4" ht="15.75" customHeight="1" x14ac:dyDescent="0.2">
      <c r="C44" s="833" t="s">
        <v>2137</v>
      </c>
      <c r="D44" s="833" t="s">
        <v>2288</v>
      </c>
    </row>
    <row r="45" spans="3:4" ht="15.75" customHeight="1" x14ac:dyDescent="0.25">
      <c r="C45" s="28" t="str">
        <f>+'PLAN DE DESARROLLO '!B24</f>
        <v xml:space="preserve">LÍNEA ESTRATÉGICA DESARROLLO URBANO </v>
      </c>
      <c r="D45" s="808">
        <f>+'PLAN DE DESARROLLO '!M24</f>
        <v>0.50124935902255641</v>
      </c>
    </row>
    <row r="46" spans="3:4" ht="15.75" customHeight="1" x14ac:dyDescent="0.25">
      <c r="C46" s="806" t="str">
        <f>+'PLAN DE DESARROLLO '!B25</f>
        <v>Programa Cartagena se Mueve</v>
      </c>
      <c r="D46" s="1732">
        <f>+'PLAN DE DESARROLLO '!M25</f>
        <v>1</v>
      </c>
    </row>
    <row r="47" spans="3:4" ht="51" customHeight="1" x14ac:dyDescent="0.25">
      <c r="C47" s="806" t="str">
        <f>+'PLAN DE DESARROLLO '!B26</f>
        <v>Programa Sistema Hídrico y Plan maestro de drenajes pluviales en la ciudad para salvar el hábitat</v>
      </c>
      <c r="D47" s="1735">
        <f>+'PLAN DE DESARROLLO '!M26</f>
        <v>0.43081822368421047</v>
      </c>
    </row>
    <row r="48" spans="3:4" ht="35.25" customHeight="1" x14ac:dyDescent="0.25">
      <c r="C48" s="806" t="str">
        <f>+'PLAN DE DESARROLLO '!B27</f>
        <v xml:space="preserve">Programa Cartagena Ciudad de Bordes y Orillas Resiliente </v>
      </c>
      <c r="D48" s="1730">
        <f>+'PLAN DE DESARROLLO '!M27</f>
        <v>0.62542857142857144</v>
      </c>
    </row>
    <row r="49" spans="3:4" ht="15.75" customHeight="1" x14ac:dyDescent="0.25">
      <c r="C49" s="806" t="str">
        <f>+'PLAN DE DESARROLLO '!B28</f>
        <v>Programa Cartagena se Conecta</v>
      </c>
      <c r="D49" s="808">
        <f>+'PLAN DE DESARROLLO '!M28</f>
        <v>0</v>
      </c>
    </row>
    <row r="50" spans="3:4" ht="46.5" customHeight="1" x14ac:dyDescent="0.25">
      <c r="C50" s="806" t="str">
        <f>+'PLAN DE DESARROLLO '!B29</f>
        <v>Programa Integral de Caños, lagos, lagunas y ciénagas de Cartagena de Indias</v>
      </c>
      <c r="D50" s="808">
        <f>+'PLAN DE DESARROLLO '!M29</f>
        <v>0.44999999999999996</v>
      </c>
    </row>
    <row r="51" spans="3:4" ht="15.75" customHeight="1" x14ac:dyDescent="0.2">
      <c r="D51" s="837"/>
    </row>
    <row r="52" spans="3:4" ht="15.75" customHeight="1" x14ac:dyDescent="0.2"/>
    <row r="53" spans="3:4" ht="15.75" customHeight="1" x14ac:dyDescent="0.2"/>
    <row r="54" spans="3:4" ht="15.75" customHeight="1" x14ac:dyDescent="0.2">
      <c r="C54" s="833" t="s">
        <v>2137</v>
      </c>
      <c r="D54" s="833" t="s">
        <v>2288</v>
      </c>
    </row>
    <row r="55" spans="3:4" ht="15.75" customHeight="1" x14ac:dyDescent="0.25">
      <c r="C55" s="838" t="str">
        <f>+'PLAN DE DESARROLLO '!B30</f>
        <v>LÍNEA ESTRATÉGICA GESTIÓN DEL RIESGO.</v>
      </c>
      <c r="D55" s="1740">
        <f>+'PLAN DE DESARROLLO '!M30</f>
        <v>0.72826898572884813</v>
      </c>
    </row>
    <row r="56" spans="3:4" ht="15.75" customHeight="1" x14ac:dyDescent="0.25">
      <c r="C56" s="30" t="str">
        <f>+'PLAN DE DESARROLLO '!B31</f>
        <v>Programa Conocimiento del Riesgo</v>
      </c>
      <c r="D56" s="1741">
        <f>+'PLAN DE DESARROLLO '!M31</f>
        <v>0.6875</v>
      </c>
    </row>
    <row r="57" spans="3:4" ht="15.75" customHeight="1" x14ac:dyDescent="0.25">
      <c r="C57" s="30" t="str">
        <f>+'PLAN DE DESARROLLO '!B32</f>
        <v>Programa Reducción del Riesgo</v>
      </c>
      <c r="D57" s="1738">
        <f>+'PLAN DE DESARROLLO '!M32</f>
        <v>0.94113149847094801</v>
      </c>
    </row>
    <row r="58" spans="3:4" ht="26.25" customHeight="1" x14ac:dyDescent="0.25">
      <c r="C58" s="30" t="str">
        <f>+'PLAN DE DESARROLLO '!B33</f>
        <v>Programa Manejo de Desastre</v>
      </c>
      <c r="D58" s="1738">
        <f>+'PLAN DE DESARROLLO '!M33</f>
        <v>0.95111111111111113</v>
      </c>
    </row>
    <row r="59" spans="3:4" ht="40.5" customHeight="1" x14ac:dyDescent="0.25">
      <c r="C59" s="24" t="str">
        <f>+'PLAN DE DESARROLLO '!B34</f>
        <v>Programa Fortalecimiento Cuerpo de Bomberos</v>
      </c>
      <c r="D59" s="1739">
        <f>+'PLAN DE DESARROLLO '!M34</f>
        <v>0.33333333333333331</v>
      </c>
    </row>
    <row r="60" spans="3:4" ht="15.75" customHeight="1" x14ac:dyDescent="0.2">
      <c r="D60" s="1375"/>
    </row>
    <row r="61" spans="3:4" ht="15.75" customHeight="1" x14ac:dyDescent="0.2"/>
    <row r="62" spans="3:4" ht="15.75" customHeight="1" x14ac:dyDescent="0.2"/>
    <row r="63" spans="3:4" ht="15.75" customHeight="1" x14ac:dyDescent="0.2"/>
    <row r="64" spans="3:4" ht="15.75" customHeight="1" x14ac:dyDescent="0.2"/>
    <row r="65" spans="3:4" ht="15.75" customHeight="1" x14ac:dyDescent="0.2"/>
    <row r="66" spans="3:4" ht="15.75" customHeight="1" x14ac:dyDescent="0.2"/>
    <row r="67" spans="3:4" ht="15.75" customHeight="1" x14ac:dyDescent="0.2"/>
    <row r="68" spans="3:4" ht="15.75" customHeight="1" x14ac:dyDescent="0.2">
      <c r="C68" s="833" t="s">
        <v>2137</v>
      </c>
      <c r="D68" s="833" t="s">
        <v>2288</v>
      </c>
    </row>
    <row r="69" spans="3:4" ht="15.75" customHeight="1" x14ac:dyDescent="0.25">
      <c r="C69" s="838" t="str">
        <f>+'PLAN DE DESARROLLO '!B35</f>
        <v>LÍNEA ESTRATÉGICA VIVIENDA  PARA TODOS</v>
      </c>
      <c r="D69" s="1742">
        <f>+'PLAN DE DESARROLLO '!M35</f>
        <v>0.44369166666666671</v>
      </c>
    </row>
    <row r="70" spans="3:4" ht="15.75" customHeight="1" x14ac:dyDescent="0.25">
      <c r="C70" s="30" t="str">
        <f>+'PLAN DE DESARROLLO '!B36</f>
        <v>Programa Juntos por una Vivienda Digna</v>
      </c>
      <c r="D70" s="1741">
        <f>+'PLAN DE DESARROLLO '!M36</f>
        <v>0.58712500000000001</v>
      </c>
    </row>
    <row r="71" spans="3:4" ht="30.75" customHeight="1" x14ac:dyDescent="0.25">
      <c r="C71" s="24" t="str">
        <f>+'PLAN DE DESARROLLO '!B37</f>
        <v>Programa Mejoro Mi Casa, compromiso de todos</v>
      </c>
      <c r="D71" s="1744">
        <f>+'PLAN DE DESARROLLO '!M37</f>
        <v>0.30649999999999999</v>
      </c>
    </row>
    <row r="72" spans="3:4" ht="15.75" customHeight="1" x14ac:dyDescent="0.25">
      <c r="C72" s="30" t="str">
        <f>+'PLAN DE DESARROLLO '!B38</f>
        <v>Programa ¡Mi Casa a lo Legal!</v>
      </c>
      <c r="D72" s="1744">
        <f>+'PLAN DE DESARROLLO '!M38</f>
        <v>0.37066666666666664</v>
      </c>
    </row>
    <row r="73" spans="3:4" ht="15.75" customHeight="1" x14ac:dyDescent="0.25">
      <c r="C73" s="30" t="str">
        <f>+'PLAN DE DESARROLLO '!B39</f>
        <v>Programa Un Lugar apto para mi hogar</v>
      </c>
      <c r="D73" s="1744">
        <f>+'PLAN DE DESARROLLO '!M39</f>
        <v>0.5</v>
      </c>
    </row>
    <row r="74" spans="3:4" ht="15.75" customHeight="1" x14ac:dyDescent="0.25">
      <c r="C74" s="30" t="str">
        <f>+'PLAN DE DESARROLLO '!B40</f>
        <v xml:space="preserve">Programa Mi Casa, Mi Entorno, Mi Hábitat    </v>
      </c>
      <c r="D74" s="1744">
        <f>+'PLAN DE DESARROLLO '!M40</f>
        <v>0.45416666666666661</v>
      </c>
    </row>
    <row r="75" spans="3:4" ht="15.75" customHeight="1" x14ac:dyDescent="0.2">
      <c r="D75" s="839"/>
    </row>
    <row r="76" spans="3:4" ht="15.75" customHeight="1" x14ac:dyDescent="0.2"/>
    <row r="77" spans="3:4" ht="15.75" customHeight="1" x14ac:dyDescent="0.2"/>
    <row r="78" spans="3:4" ht="15.75" customHeight="1" x14ac:dyDescent="0.2"/>
    <row r="79" spans="3:4" ht="15.75" customHeight="1" x14ac:dyDescent="0.2"/>
    <row r="80" spans="3:4" ht="15.75" customHeight="1" x14ac:dyDescent="0.2"/>
    <row r="81" spans="3:4" ht="15.75" customHeight="1" x14ac:dyDescent="0.2"/>
    <row r="82" spans="3:4" ht="15.75" customHeight="1" x14ac:dyDescent="0.2">
      <c r="C82" s="833" t="s">
        <v>2137</v>
      </c>
      <c r="D82" s="833" t="s">
        <v>2288</v>
      </c>
    </row>
    <row r="83" spans="3:4" ht="28.5" customHeight="1" x14ac:dyDescent="0.25">
      <c r="C83" s="836" t="str">
        <f>+'PLAN DE DESARROLLO '!B41</f>
        <v>LÍNEA ESTRATÉGICA SERVICIOS PÚBLICOS BÁSICOS DEL DISTRITO DE CARTAGENA DE INDIAS: “TODOS CON TODO”</v>
      </c>
      <c r="D83" s="1745">
        <f>+'PLAN DE DESARROLLO '!M41</f>
        <v>0.74953835477582842</v>
      </c>
    </row>
    <row r="84" spans="3:4" ht="45" customHeight="1" x14ac:dyDescent="0.25">
      <c r="C84" s="24" t="str">
        <f>+'PLAN DE DESARROLLO '!B42</f>
        <v>Programa de Ahorro y Uso Eficiente De Los Servicios Públicos, "Agua y Saneamiento Básico Para Todos”</v>
      </c>
      <c r="D84" s="1744">
        <f>+'PLAN DE DESARROLLO '!M42</f>
        <v>0.26965473684210528</v>
      </c>
    </row>
    <row r="85" spans="3:4" ht="38.25" customHeight="1" x14ac:dyDescent="0.25">
      <c r="C85" s="24" t="str">
        <f>+'PLAN DE DESARROLLO '!B43</f>
        <v>Programa Energía Asequible, Confiable Sostenible y Moderna Para Todos.</v>
      </c>
      <c r="D85" s="1746">
        <f>+'PLAN DE DESARROLLO '!M43</f>
        <v>0.90303703703703697</v>
      </c>
    </row>
    <row r="86" spans="3:4" ht="28.5" customHeight="1" x14ac:dyDescent="0.25">
      <c r="C86" s="24" t="str">
        <f>+'PLAN DE DESARROLLO '!B44</f>
        <v>Programa Gestión Integral De Residuos Sólidos "Cultura ciudadana para el reciclaje inclusivo y la economía circular"</v>
      </c>
      <c r="D86" s="1747">
        <f>+'PLAN DE DESARROLLO '!M44</f>
        <v>0.875</v>
      </c>
    </row>
    <row r="87" spans="3:4" ht="32.25" customHeight="1" x14ac:dyDescent="0.25">
      <c r="C87" s="24" t="str">
        <f>+'PLAN DE DESARROLLO '!B45</f>
        <v>Programa Sistema de Información De Los Servicios Públicos, “Servinfo”</v>
      </c>
      <c r="D87" s="1744">
        <f>+'PLAN DE DESARROLLO '!M45</f>
        <v>0</v>
      </c>
    </row>
    <row r="88" spans="3:4" ht="15.75" customHeight="1" x14ac:dyDescent="0.25">
      <c r="C88" s="24" t="str">
        <f>+'PLAN DE DESARROLLO '!B46</f>
        <v>Programa Cementerios</v>
      </c>
      <c r="D88" s="1741">
        <f>+'PLAN DE DESARROLLO '!M46</f>
        <v>0.70000000000000007</v>
      </c>
    </row>
    <row r="89" spans="3:4" ht="15.75" customHeight="1" x14ac:dyDescent="0.25">
      <c r="C89" s="815"/>
      <c r="D89" s="840"/>
    </row>
    <row r="90" spans="3:4" ht="15.75" customHeight="1" x14ac:dyDescent="0.2"/>
    <row r="91" spans="3:4" ht="15.75" customHeight="1" x14ac:dyDescent="0.2"/>
    <row r="92" spans="3:4" ht="15.75" customHeight="1" x14ac:dyDescent="0.2"/>
    <row r="93" spans="3:4" ht="36.75" customHeight="1" x14ac:dyDescent="0.2">
      <c r="C93" s="833" t="s">
        <v>2137</v>
      </c>
      <c r="D93" s="834" t="s">
        <v>2288</v>
      </c>
    </row>
    <row r="94" spans="3:4" ht="15.75" customHeight="1" x14ac:dyDescent="0.25">
      <c r="C94" s="836" t="str">
        <f>+'PLAN DE DESARROLLO '!B47</f>
        <v>LÍNEA ESTRATÉGICA INSTRUMENTOS DE ORDENAMIENTO TERRITORIAL.</v>
      </c>
      <c r="D94" s="1723">
        <f>+'PLAN DE DESARROLLO '!M47</f>
        <v>0.75861111111111101</v>
      </c>
    </row>
    <row r="95" spans="3:4" ht="37.5" customHeight="1" x14ac:dyDescent="0.25">
      <c r="C95" s="24" t="str">
        <f>+'PLAN DE DESARROLLO '!B48</f>
        <v>Programa Plan de Ordenamiento Territorial y Especial de Manejo de Patrimonio.</v>
      </c>
      <c r="D95" s="1725">
        <f>+'PLAN DE DESARROLLO '!M48</f>
        <v>0.70333333333333325</v>
      </c>
    </row>
    <row r="96" spans="3:4" ht="36.75" customHeight="1" x14ac:dyDescent="0.25">
      <c r="C96" s="24" t="str">
        <f>+'PLAN DE DESARROLLO '!B49</f>
        <v>Programa Administrando Juntos El Control Urbano</v>
      </c>
      <c r="D96" s="1727">
        <f>+'PLAN DE DESARROLLO '!M49</f>
        <v>0.90999999999999992</v>
      </c>
    </row>
    <row r="97" spans="3:9" ht="46.5" customHeight="1" x14ac:dyDescent="0.25">
      <c r="C97" s="24" t="str">
        <f>+'PLAN DE DESARROLLO '!B50</f>
        <v>Programa Ordenación territorial y  Recuperación social, ambiental y Urbana de la Ciénaga de la Virgen.</v>
      </c>
      <c r="D97" s="1725">
        <f>+'PLAN DE DESARROLLO '!M50</f>
        <v>0.66249999999999998</v>
      </c>
    </row>
    <row r="98" spans="3:9" ht="15.75" customHeight="1" x14ac:dyDescent="0.25">
      <c r="C98" s="815"/>
      <c r="D98" s="38"/>
    </row>
    <row r="99" spans="3:9" ht="15.75" customHeight="1" x14ac:dyDescent="0.25">
      <c r="C99" s="815"/>
      <c r="D99" s="38"/>
    </row>
    <row r="100" spans="3:9" ht="15.75" customHeight="1" x14ac:dyDescent="0.2"/>
    <row r="101" spans="3:9" ht="15.75" customHeight="1" x14ac:dyDescent="0.2"/>
    <row r="102" spans="3:9" ht="32.25" customHeight="1" x14ac:dyDescent="0.2">
      <c r="C102" s="1893" t="s">
        <v>2317</v>
      </c>
      <c r="D102" s="1893"/>
      <c r="E102" s="1893"/>
      <c r="G102" s="1894" t="s">
        <v>2318</v>
      </c>
      <c r="H102" s="1894"/>
      <c r="I102" s="1894"/>
    </row>
    <row r="103" spans="3:9" ht="43.5" customHeight="1" x14ac:dyDescent="0.2">
      <c r="C103" s="1494" t="s">
        <v>2307</v>
      </c>
      <c r="D103" s="1494" t="s">
        <v>2310</v>
      </c>
      <c r="E103" s="1494" t="s">
        <v>2308</v>
      </c>
      <c r="G103" s="1494" t="s">
        <v>2307</v>
      </c>
      <c r="H103" s="1494" t="s">
        <v>2310</v>
      </c>
      <c r="I103" s="1494" t="s">
        <v>2308</v>
      </c>
    </row>
    <row r="104" spans="3:9" ht="48" customHeight="1" x14ac:dyDescent="0.2">
      <c r="C104" s="1786" t="str">
        <f>+C73</f>
        <v>Programa Un Lugar apto para mi hogar</v>
      </c>
      <c r="D104" s="1497">
        <f>+D73</f>
        <v>0.5</v>
      </c>
      <c r="E104" s="1787" t="s">
        <v>2309</v>
      </c>
      <c r="G104" s="1789" t="str">
        <f>+C87</f>
        <v>Programa Sistema de Información De Los Servicios Públicos, “Servinfo”</v>
      </c>
      <c r="H104" s="1790">
        <f>+D87</f>
        <v>0</v>
      </c>
      <c r="I104" s="1791" t="s">
        <v>2314</v>
      </c>
    </row>
    <row r="105" spans="3:9" ht="51" customHeight="1" x14ac:dyDescent="0.2">
      <c r="C105" s="1786" t="str">
        <f>+C74</f>
        <v xml:space="preserve">Programa Mi Casa, Mi Entorno, Mi Hábitat    </v>
      </c>
      <c r="D105" s="1497">
        <f>+D74</f>
        <v>0.45416666666666661</v>
      </c>
      <c r="E105" s="1787" t="s">
        <v>2309</v>
      </c>
      <c r="G105" s="1789" t="str">
        <f>+C49</f>
        <v>Programa Cartagena se Conecta</v>
      </c>
      <c r="H105" s="1790">
        <f>+D49</f>
        <v>0</v>
      </c>
      <c r="I105" s="1792" t="s">
        <v>2313</v>
      </c>
    </row>
    <row r="106" spans="3:9" ht="52.5" customHeight="1" x14ac:dyDescent="0.2">
      <c r="C106" s="1786" t="str">
        <f>+C50</f>
        <v>Programa Integral de Caños, lagos, lagunas y ciénagas de Cartagena de Indias</v>
      </c>
      <c r="D106" s="1497">
        <f>+D50</f>
        <v>0.44999999999999996</v>
      </c>
      <c r="E106" s="1788" t="s">
        <v>2316</v>
      </c>
      <c r="G106" s="1789" t="str">
        <f>+C32</f>
        <v>Programa Transporte para todos</v>
      </c>
      <c r="H106" s="1790">
        <f>+D32</f>
        <v>9.4433767001774097E-2</v>
      </c>
      <c r="I106" s="1792" t="s">
        <v>2065</v>
      </c>
    </row>
    <row r="107" spans="3:9" ht="54.75" customHeight="1" x14ac:dyDescent="0.2">
      <c r="C107" s="1786" t="str">
        <f>+C47</f>
        <v>Programa Sistema Hídrico y Plan maestro de drenajes pluviales en la ciudad para salvar el hábitat</v>
      </c>
      <c r="D107" s="1497">
        <f>+D47</f>
        <v>0.43081822368421047</v>
      </c>
      <c r="E107" s="1788" t="s">
        <v>2312</v>
      </c>
      <c r="G107" s="1789" t="str">
        <f>+C84</f>
        <v>Programa de Ahorro y Uso Eficiente De Los Servicios Públicos, "Agua y Saneamiento Básico Para Todos”</v>
      </c>
      <c r="H107" s="1790">
        <f>+D84</f>
        <v>0.26965473684210528</v>
      </c>
      <c r="I107" s="1793" t="s">
        <v>2315</v>
      </c>
    </row>
    <row r="108" spans="3:9" ht="33" customHeight="1" x14ac:dyDescent="0.2">
      <c r="G108" s="1789" t="str">
        <f>+C59</f>
        <v>Programa Fortalecimiento Cuerpo de Bomberos</v>
      </c>
      <c r="H108" s="1790">
        <f>+D59</f>
        <v>0.33333333333333331</v>
      </c>
      <c r="I108" s="1793" t="s">
        <v>2311</v>
      </c>
    </row>
    <row r="109" spans="3:9" ht="33.75" customHeight="1" x14ac:dyDescent="0.2">
      <c r="G109" s="1789" t="str">
        <f>+C71</f>
        <v>Programa Mejoro Mi Casa, compromiso de todos</v>
      </c>
      <c r="H109" s="1790">
        <f>+D71</f>
        <v>0.30649999999999999</v>
      </c>
      <c r="I109" s="1794" t="s">
        <v>2309</v>
      </c>
    </row>
    <row r="110" spans="3:9" ht="15.75" customHeight="1" x14ac:dyDescent="0.2">
      <c r="G110" s="1789" t="str">
        <f>+C72</f>
        <v>Programa ¡Mi Casa a lo Legal!</v>
      </c>
      <c r="H110" s="1790">
        <f>+D72</f>
        <v>0.37066666666666664</v>
      </c>
      <c r="I110" s="1794" t="s">
        <v>2309</v>
      </c>
    </row>
    <row r="111" spans="3:9" ht="15.75" customHeight="1" x14ac:dyDescent="0.2"/>
    <row r="112" spans="3:9" ht="15.75" customHeight="1" x14ac:dyDescent="0.2"/>
    <row r="113" ht="50.25" customHeight="1" x14ac:dyDescent="0.2"/>
    <row r="114" ht="40.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sheetData>
  <mergeCells count="2">
    <mergeCell ref="C102:E102"/>
    <mergeCell ref="G102:I102"/>
  </mergeCells>
  <pageMargins left="0.70866141732283472" right="0.70866141732283472" top="0.74803149606299213" bottom="0.74803149606299213" header="0" footer="0"/>
  <pageSetup paperSize="5" scale="7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S1000"/>
  <sheetViews>
    <sheetView topLeftCell="A74" workbookViewId="0">
      <selection activeCell="B75" sqref="B75"/>
    </sheetView>
  </sheetViews>
  <sheetFormatPr baseColWidth="10" defaultColWidth="12.625" defaultRowHeight="15" customHeight="1" x14ac:dyDescent="0.2"/>
  <cols>
    <col min="1" max="2" width="9.375" customWidth="1"/>
    <col min="3" max="3" width="30.625" customWidth="1"/>
    <col min="4" max="4" width="22.25" customWidth="1"/>
    <col min="5" max="15" width="9.375" customWidth="1"/>
    <col min="16" max="16" width="9.375" hidden="1" customWidth="1"/>
    <col min="17" max="17" width="19.875" hidden="1" customWidth="1"/>
    <col min="18" max="19" width="0.125" customWidth="1"/>
  </cols>
  <sheetData>
    <row r="3" spans="3:19" x14ac:dyDescent="0.25">
      <c r="C3" s="45" t="s">
        <v>2136</v>
      </c>
      <c r="D3" s="45" t="s">
        <v>2289</v>
      </c>
    </row>
    <row r="4" spans="3:19" ht="22.5" customHeight="1" x14ac:dyDescent="0.2">
      <c r="C4" s="841" t="str">
        <f>+'PLAN DE DESARROLLO '!B51</f>
        <v>PILAR CARTAGENA INCLUYENTE</v>
      </c>
      <c r="D4" s="1748">
        <f>+'PLAN DE DESARROLLO '!M51</f>
        <v>0.82594070908882966</v>
      </c>
      <c r="Q4" s="1895" t="s">
        <v>2136</v>
      </c>
      <c r="R4" s="1897" t="s">
        <v>2138</v>
      </c>
      <c r="S4" s="1898" t="s">
        <v>2198</v>
      </c>
    </row>
    <row r="5" spans="3:19" ht="28.5" customHeight="1" x14ac:dyDescent="0.2">
      <c r="C5" s="841" t="str">
        <f>+'PLAN DE DESARROLLO '!B52</f>
        <v>LÍNEA ESTRATÉGICA: SUPERACIÓN DE LA POBREZA Y DESIGUALDAD.</v>
      </c>
      <c r="D5" s="1750">
        <f>+'PLAN DE DESARROLLO '!M52</f>
        <v>0.75270263213906807</v>
      </c>
      <c r="Q5" s="1896"/>
      <c r="R5" s="1896"/>
      <c r="S5" s="1896"/>
    </row>
    <row r="6" spans="3:19" ht="60" customHeight="1" x14ac:dyDescent="0.2">
      <c r="C6" s="841" t="str">
        <f>+'PLAN DE DESARROLLO '!B63</f>
        <v>LÍNEA EDUCACIÓN: CULTURA DE LA FORMACIÓN “Con la Educación para Todos y Todas Salvamos Juntos a Cartagena”</v>
      </c>
      <c r="D6" s="1749">
        <f>+'PLAN DE DESARROLLO '!M63</f>
        <v>0.81211184128851488</v>
      </c>
      <c r="Q6" s="842" t="s">
        <v>606</v>
      </c>
      <c r="R6" s="843">
        <v>0.2233</v>
      </c>
      <c r="S6" s="844">
        <v>0.33312725412278016</v>
      </c>
    </row>
    <row r="7" spans="3:19" ht="38.25" x14ac:dyDescent="0.2">
      <c r="C7" s="841" t="str">
        <f>+'PLAN DE DESARROLLO '!B74</f>
        <v>LÍNEA ESTRATÉGICA SALUD PARA TODOS.</v>
      </c>
      <c r="D7" s="1751">
        <f>+'PLAN DE DESARROLLO '!M74</f>
        <v>0.72897940477146805</v>
      </c>
      <c r="Q7" s="845" t="s">
        <v>607</v>
      </c>
      <c r="R7" s="843">
        <v>0.107</v>
      </c>
      <c r="S7" s="844">
        <v>0.25794566404426139</v>
      </c>
    </row>
    <row r="8" spans="3:19" ht="45" customHeight="1" x14ac:dyDescent="0.2">
      <c r="C8" s="841" t="str">
        <f>+'PLAN DE DESARROLLO '!B85</f>
        <v xml:space="preserve">LÍNEA ESTRATÉGICA: DEPORTE Y RECREACIÓN PARA  LA TRANSFORMACIÓN SOCIAL </v>
      </c>
      <c r="D8" s="1749">
        <f>+'PLAN DE DESARROLLO '!M85</f>
        <v>0.90119133652329642</v>
      </c>
      <c r="Q8" s="845" t="s">
        <v>2139</v>
      </c>
      <c r="R8" s="846">
        <v>0.32</v>
      </c>
      <c r="S8" s="844">
        <v>0.2397445139944919</v>
      </c>
    </row>
    <row r="9" spans="3:19" ht="45.75" customHeight="1" x14ac:dyDescent="0.2">
      <c r="C9" s="841" t="str">
        <f>+'PLAN DE DESARROLLO '!B93</f>
        <v>LÍNEA ESTRATÉGICA ARTES, CULTURA Y PATRIMONIO PARA UNA CARTAGENA INCLUYENTE</v>
      </c>
      <c r="D9" s="1749">
        <f>+'PLAN DE DESARROLLO '!M93</f>
        <v>0.84637332552491618</v>
      </c>
      <c r="Q9" s="845" t="s">
        <v>2140</v>
      </c>
      <c r="R9" s="843">
        <v>0.27700000000000002</v>
      </c>
      <c r="S9" s="847">
        <v>0.38558496806810016</v>
      </c>
    </row>
    <row r="10" spans="3:19" ht="34.5" customHeight="1" x14ac:dyDescent="0.2">
      <c r="C10" s="841" t="str">
        <f>+'PLAN DE DESARROLLO '!B100</f>
        <v xml:space="preserve">LÍNEA ESTRATÉGICA: PLANEACIÓN SOCIAL DEL TERRITORIO </v>
      </c>
      <c r="D10" s="1749">
        <f>+'PLAN DE DESARROLLO '!M100</f>
        <v>0.91428571428571426</v>
      </c>
      <c r="Q10" s="845" t="s">
        <v>1109</v>
      </c>
      <c r="R10" s="843">
        <v>0.32200000000000001</v>
      </c>
      <c r="S10" s="847">
        <v>0.41820182542222628</v>
      </c>
    </row>
    <row r="11" spans="3:19" ht="15" customHeight="1" x14ac:dyDescent="0.2">
      <c r="Q11" s="845" t="s">
        <v>1188</v>
      </c>
      <c r="R11" s="843">
        <v>0.16200000000000001</v>
      </c>
      <c r="S11" s="847">
        <v>0.473236553207601</v>
      </c>
    </row>
    <row r="12" spans="3:19" ht="15" customHeight="1" x14ac:dyDescent="0.2">
      <c r="Q12" s="845" t="s">
        <v>1258</v>
      </c>
      <c r="R12" s="843">
        <v>0.14799999999999999</v>
      </c>
      <c r="S12" s="848">
        <v>0.22405</v>
      </c>
    </row>
    <row r="15" spans="3:19" x14ac:dyDescent="0.2">
      <c r="C15" s="833" t="s">
        <v>2137</v>
      </c>
      <c r="D15" s="833" t="s">
        <v>2289</v>
      </c>
    </row>
    <row r="16" spans="3:19" ht="30" x14ac:dyDescent="0.25">
      <c r="C16" s="836" t="str">
        <f>+'PLAN DE DESARROLLO '!B52</f>
        <v>LÍNEA ESTRATÉGICA: SUPERACIÓN DE LA POBREZA Y DESIGUALDAD.</v>
      </c>
      <c r="D16" s="1752">
        <f>+'PLAN DE DESARROLLO '!M52</f>
        <v>0.75270263213906807</v>
      </c>
    </row>
    <row r="17" spans="3:4" ht="45" x14ac:dyDescent="0.25">
      <c r="C17" s="24" t="str">
        <f>+'PLAN DE DESARROLLO '!B53</f>
        <v xml:space="preserve">Programa: Identificación para la superación de la pobreza extrema y desigualdad </v>
      </c>
      <c r="D17" s="1730">
        <f>+'PLAN DE DESARROLLO '!M53</f>
        <v>0.58027520315193304</v>
      </c>
    </row>
    <row r="18" spans="3:4" ht="30" x14ac:dyDescent="0.25">
      <c r="C18" s="24" t="str">
        <f>+'PLAN DE DESARROLLO '!B54</f>
        <v xml:space="preserve">Programa: Salud para la superación de la pobreza extrema y desigualdad </v>
      </c>
      <c r="D18" s="1746">
        <f>+'PLAN DE DESARROLLO '!M54</f>
        <v>0.79293732962125174</v>
      </c>
    </row>
    <row r="19" spans="3:4" ht="45" x14ac:dyDescent="0.25">
      <c r="C19" s="24" t="str">
        <f>+'PLAN DE DESARROLLO '!B55</f>
        <v>Programa: Educación para la superación de la pobreza extrema y la desigualdad</v>
      </c>
      <c r="D19" s="1746">
        <f>+'PLAN DE DESARROLLO '!M55</f>
        <v>0.85717223941230947</v>
      </c>
    </row>
    <row r="20" spans="3:4" ht="45" x14ac:dyDescent="0.25">
      <c r="C20" s="24" t="str">
        <f>+'PLAN DE DESARROLLO '!B56</f>
        <v>Programa: Habitabilidad para la superación de la pobreza extrema y la desigualdad</v>
      </c>
      <c r="D20" s="808">
        <f>+'PLAN DE DESARROLLO '!M56</f>
        <v>0.42149160912543343</v>
      </c>
    </row>
    <row r="21" spans="3:4" ht="41.25" customHeight="1" x14ac:dyDescent="0.25">
      <c r="C21" s="24" t="str">
        <f>+'PLAN DE DESARROLLO '!B57</f>
        <v xml:space="preserve">Programa Ingresos y trabajo para la superación de la pobreza extrema y desigualdad </v>
      </c>
      <c r="D21" s="1730">
        <f>+'PLAN DE DESARROLLO '!M57</f>
        <v>0.55725000000000002</v>
      </c>
    </row>
    <row r="22" spans="3:4" ht="50.25" customHeight="1" x14ac:dyDescent="0.25">
      <c r="C22" s="24" t="str">
        <f>+'PLAN DE DESARROLLO '!B58</f>
        <v xml:space="preserve">Programa: Bancarización para la superación de la pobreza extrema y desigualdad </v>
      </c>
      <c r="D22" s="1729">
        <f>+'PLAN DE DESARROLLO '!M58</f>
        <v>0.69381481481481488</v>
      </c>
    </row>
    <row r="23" spans="3:4" ht="27" customHeight="1" x14ac:dyDescent="0.25">
      <c r="C23" s="24" t="str">
        <f>+'PLAN DE DESARROLLO '!B59</f>
        <v>Programa: Dinámica Familiar para la Superación de la Pobreza Extrema</v>
      </c>
      <c r="D23" s="1731">
        <f>+'PLAN DE DESARROLLO '!M59</f>
        <v>0.84539191175863293</v>
      </c>
    </row>
    <row r="24" spans="3:4" ht="27.75" customHeight="1" x14ac:dyDescent="0.25">
      <c r="C24" s="24" t="str">
        <f>+'PLAN DE DESARROLLO '!B60</f>
        <v>Programa Seguridad alimentaria y nutrición para la superación de la pobreza extrema</v>
      </c>
      <c r="D24" s="1731">
        <f>+'PLAN DE DESARROLLO '!M60</f>
        <v>0.94442187499999997</v>
      </c>
    </row>
    <row r="25" spans="3:4" ht="29.25" customHeight="1" x14ac:dyDescent="0.25">
      <c r="C25" s="24" t="str">
        <f>+'PLAN DE DESARROLLO '!B61</f>
        <v>Programa: Acceso a la justicia para la superación de la pobreza extrema y desigualdad</v>
      </c>
      <c r="D25" s="1732">
        <f>+'PLAN DE DESARROLLO '!M61</f>
        <v>0.9129166666666666</v>
      </c>
    </row>
    <row r="26" spans="3:4" ht="47.25" customHeight="1" x14ac:dyDescent="0.25">
      <c r="C26" s="24" t="str">
        <f>+'PLAN DE DESARROLLO '!B62</f>
        <v>Programa: Fortalecimiento institucional para superación de la pobreza extrema y desigualdad</v>
      </c>
      <c r="D26" s="1731">
        <f>+'PLAN DE DESARROLLO '!M62</f>
        <v>0.92135467183963793</v>
      </c>
    </row>
    <row r="27" spans="3:4" ht="15.75" customHeight="1" x14ac:dyDescent="0.25">
      <c r="C27" s="815"/>
    </row>
    <row r="28" spans="3:4" ht="15.75" customHeight="1" x14ac:dyDescent="0.2">
      <c r="C28" s="833" t="s">
        <v>2137</v>
      </c>
      <c r="D28" s="833" t="s">
        <v>2289</v>
      </c>
    </row>
    <row r="29" spans="3:4" ht="42" customHeight="1" x14ac:dyDescent="0.25">
      <c r="C29" s="836" t="str">
        <f>+'PLAN DE DESARROLLO '!B63</f>
        <v>LÍNEA EDUCACIÓN: CULTURA DE LA FORMACIÓN “Con la Educación para Todos y Todas Salvamos Juntos a Cartagena”</v>
      </c>
      <c r="D29" s="1753">
        <f>+'PLAN DE DESARROLLO '!M63</f>
        <v>0.81211184128851488</v>
      </c>
    </row>
    <row r="30" spans="3:4" ht="48" customHeight="1" x14ac:dyDescent="0.25">
      <c r="C30" s="24" t="str">
        <f>+'PLAN DE DESARROLLO '!B64</f>
        <v>Programa: Acogida “atención a poblaciones y estrategias de acceso y permanencia”</v>
      </c>
      <c r="D30" s="1731">
        <f>+'PLAN DE DESARROLLO '!M64</f>
        <v>0.82434265010351981</v>
      </c>
    </row>
    <row r="31" spans="3:4" ht="29.25" customHeight="1" x14ac:dyDescent="0.25">
      <c r="C31" s="24" t="str">
        <f>+'PLAN DE DESARROLLO '!B65</f>
        <v>Programa: Sabiduría de la primera infancia “grandes banderas, gesto e ideas para cambiar el planeta”</v>
      </c>
      <c r="D31" s="1731">
        <f>+'PLAN DE DESARROLLO '!M65</f>
        <v>0.91539010919248343</v>
      </c>
    </row>
    <row r="32" spans="3:4" ht="33" customHeight="1" x14ac:dyDescent="0.25">
      <c r="C32" s="24" t="str">
        <f>+'PLAN DE DESARROLLO '!B66</f>
        <v>Programa: Formando con amor “Genio Singular”</v>
      </c>
      <c r="D32" s="1732">
        <f>+'PLAN DE DESARROLLO '!M66</f>
        <v>0.83333333333333337</v>
      </c>
    </row>
    <row r="33" spans="3:4" ht="39.75" customHeight="1" x14ac:dyDescent="0.25">
      <c r="C33" s="24" t="str">
        <f>+'PLAN DE DESARROLLO '!B67</f>
        <v>Programa Desarrollo de potencialidades</v>
      </c>
      <c r="D33" s="1732">
        <f>+'PLAN DE DESARROLLO '!M67</f>
        <v>0.79974999999999996</v>
      </c>
    </row>
    <row r="34" spans="3:4" ht="27.75" customHeight="1" x14ac:dyDescent="0.25">
      <c r="C34" s="24" t="str">
        <f>+'PLAN DE DESARROLLO '!B68</f>
        <v>Programa Participación, democracia y autonomía</v>
      </c>
      <c r="D34" s="1731">
        <f>+'PLAN DE DESARROLLO '!M68</f>
        <v>0.79226190476190483</v>
      </c>
    </row>
    <row r="35" spans="3:4" ht="47.25" customHeight="1" x14ac:dyDescent="0.25">
      <c r="C35" s="24" t="str">
        <f>+'PLAN DE DESARROLLO '!B69</f>
        <v>Programa de Educación mediada a través de tecnologías de la información y las comunicaciones-Tic´s</v>
      </c>
      <c r="D35" s="1731">
        <f>+'PLAN DE DESARROLLO '!M69</f>
        <v>0.91494770805518466</v>
      </c>
    </row>
    <row r="36" spans="3:4" ht="40.5" customHeight="1" x14ac:dyDescent="0.25">
      <c r="C36" s="24" t="str">
        <f>+'PLAN DE DESARROLLO '!B70</f>
        <v>Programa: Educación para transformar “educación media técnica y superior”</v>
      </c>
      <c r="D36" s="1728">
        <f>+'PLAN DE DESARROLLO '!M70</f>
        <v>0.58502127886729627</v>
      </c>
    </row>
    <row r="37" spans="3:4" ht="48.75" customHeight="1" x14ac:dyDescent="0.25">
      <c r="C37" s="24" t="str">
        <f>+'PLAN DE DESARROLLO '!B71</f>
        <v>Programa: Movilización educativa “Por una gestión educativa transparente, participativa y eficiente”</v>
      </c>
      <c r="D37" s="1730">
        <f>+'PLAN DE DESARROLLO '!M71</f>
        <v>0.61857142857142855</v>
      </c>
    </row>
    <row r="38" spans="3:4" ht="27.75" customHeight="1" x14ac:dyDescent="0.25">
      <c r="C38" s="24" t="str">
        <f>+'PLAN DE DESARROLLO '!B72</f>
        <v>Programa: Por una Educación Post secundaria Distrital</v>
      </c>
      <c r="D38" s="1732">
        <f>+'PLAN DE DESARROLLO '!M72</f>
        <v>1</v>
      </c>
    </row>
    <row r="39" spans="3:4" ht="49.5" customHeight="1" x14ac:dyDescent="0.25">
      <c r="C39" s="24" t="str">
        <f>+'PLAN DE DESARROLLO '!B73</f>
        <v>Programa Fortalecimiento de la oferta de educación superior oficial del Distrito de Cartagena D. T. y C.</v>
      </c>
      <c r="D39" s="1731">
        <f>+'PLAN DE DESARROLLO '!M73</f>
        <v>0.83750000000000002</v>
      </c>
    </row>
    <row r="40" spans="3:4" ht="15.75" customHeight="1" x14ac:dyDescent="0.25">
      <c r="C40" s="815"/>
      <c r="D40" s="839"/>
    </row>
    <row r="41" spans="3:4" ht="15.75" customHeight="1" x14ac:dyDescent="0.25">
      <c r="C41" s="815"/>
    </row>
    <row r="42" spans="3:4" ht="15.75" customHeight="1" x14ac:dyDescent="0.2">
      <c r="C42" s="833" t="s">
        <v>2137</v>
      </c>
      <c r="D42" s="833" t="s">
        <v>2289</v>
      </c>
    </row>
    <row r="43" spans="3:4" ht="41.25" customHeight="1" x14ac:dyDescent="0.25">
      <c r="C43" s="836" t="str">
        <f>+'PLAN DE DESARROLLO '!B74</f>
        <v>LÍNEA ESTRATÉGICA SALUD PARA TODOS.</v>
      </c>
      <c r="D43" s="1754">
        <f>+'PLAN DE DESARROLLO '!M74</f>
        <v>0.72897940477146805</v>
      </c>
    </row>
    <row r="44" spans="3:4" ht="32.25" customHeight="1" x14ac:dyDescent="0.25">
      <c r="C44" s="24" t="str">
        <f>+'PLAN DE DESARROLLO '!B75</f>
        <v>Programa: Fortalecimiento de la autoridad sanitaria</v>
      </c>
      <c r="D44" s="1729">
        <f>+'PLAN DE DESARROLLO '!M75</f>
        <v>0.75835868074942092</v>
      </c>
    </row>
    <row r="45" spans="3:4" ht="32.25" customHeight="1" x14ac:dyDescent="0.25">
      <c r="C45" s="24" t="str">
        <f>+'PLAN DE DESARROLLO '!B76</f>
        <v>Programa: Transversal gestión diferencial de poblaciones vulnerables</v>
      </c>
      <c r="D45" s="1728">
        <f>+'PLAN DE DESARROLLO '!M76</f>
        <v>0.6379776595345189</v>
      </c>
    </row>
    <row r="46" spans="3:4" ht="15.75" customHeight="1" x14ac:dyDescent="0.25">
      <c r="C46" s="24" t="str">
        <f>+'PLAN DE DESARROLLO '!B77</f>
        <v>Programa Salud ambiental</v>
      </c>
      <c r="D46" s="1728">
        <f>+'PLAN DE DESARROLLO '!M77</f>
        <v>0.67434972696339401</v>
      </c>
    </row>
    <row r="47" spans="3:4" ht="41.25" customHeight="1" x14ac:dyDescent="0.25">
      <c r="C47" s="24" t="str">
        <f>+'PLAN DE DESARROLLO '!B78</f>
        <v>Programa: Vida saludable y condiciones no transmisibles</v>
      </c>
      <c r="D47" s="1729">
        <f>+'PLAN DE DESARROLLO '!M78</f>
        <v>0.74875274122807034</v>
      </c>
    </row>
    <row r="48" spans="3:4" ht="38.25" customHeight="1" x14ac:dyDescent="0.25">
      <c r="C48" s="24" t="str">
        <f>+'PLAN DE DESARROLLO '!B79</f>
        <v>Programa: Convivencia social y salud mental</v>
      </c>
      <c r="D48" s="1729">
        <f>+'PLAN DE DESARROLLO '!M79</f>
        <v>0.73178947368421055</v>
      </c>
    </row>
    <row r="49" spans="3:4" ht="36.75" customHeight="1" x14ac:dyDescent="0.25">
      <c r="C49" s="24" t="str">
        <f>+'PLAN DE DESARROLLO '!B80</f>
        <v>Programa Nutrición e inocuidad de alimentos</v>
      </c>
      <c r="D49" s="1731">
        <f>+'PLAN DE DESARROLLO '!M80</f>
        <v>0.8670500000000001</v>
      </c>
    </row>
    <row r="50" spans="3:4" ht="34.5" customHeight="1" x14ac:dyDescent="0.25">
      <c r="C50" s="24" t="str">
        <f>+'PLAN DE DESARROLLO '!B81</f>
        <v>Programa Sexualidad, derechos sexuales y reproductivos</v>
      </c>
      <c r="D50" s="1734">
        <f>+'PLAN DE DESARROLLO '!M81</f>
        <v>0.69750178571428578</v>
      </c>
    </row>
    <row r="51" spans="3:4" ht="30.75" customHeight="1" x14ac:dyDescent="0.25">
      <c r="C51" s="24" t="str">
        <f>+'PLAN DE DESARROLLO '!B82</f>
        <v>Programa: Vida saludable y enfermedades transmisibles</v>
      </c>
      <c r="D51" s="1729">
        <f>+'PLAN DE DESARROLLO '!M82</f>
        <v>0.75368064650744737</v>
      </c>
    </row>
    <row r="52" spans="3:4" ht="30" customHeight="1" x14ac:dyDescent="0.25">
      <c r="C52" s="24" t="str">
        <f>+'PLAN DE DESARROLLO '!B83</f>
        <v>Programa: Salud pública en emergencias y desastres</v>
      </c>
      <c r="D52" s="1729">
        <f>+'PLAN DE DESARROLLO '!M83</f>
        <v>0.75</v>
      </c>
    </row>
    <row r="53" spans="3:4" ht="15.75" customHeight="1" x14ac:dyDescent="0.25">
      <c r="C53" s="24" t="str">
        <f>+'PLAN DE DESARROLLO '!B84</f>
        <v>Programa: Salud y ámbito laboral</v>
      </c>
      <c r="D53" s="1728">
        <f>+'PLAN DE DESARROLLO '!M84</f>
        <v>0.67033333333333334</v>
      </c>
    </row>
    <row r="54" spans="3:4" ht="15.75" customHeight="1" x14ac:dyDescent="0.25">
      <c r="C54" s="815"/>
      <c r="D54" s="837"/>
    </row>
    <row r="55" spans="3:4" ht="15.75" customHeight="1" x14ac:dyDescent="0.25">
      <c r="C55" s="815"/>
      <c r="D55" s="815"/>
    </row>
    <row r="56" spans="3:4" ht="15.75" customHeight="1" x14ac:dyDescent="0.2">
      <c r="C56" s="833" t="s">
        <v>2137</v>
      </c>
      <c r="D56" s="833" t="s">
        <v>2289</v>
      </c>
    </row>
    <row r="57" spans="3:4" ht="47.25" customHeight="1" x14ac:dyDescent="0.25">
      <c r="C57" s="836" t="str">
        <f>+'PLAN DE DESARROLLO '!B85</f>
        <v xml:space="preserve">LÍNEA ESTRATÉGICA: DEPORTE Y RECREACIÓN PARA  LA TRANSFORMACIÓN SOCIAL </v>
      </c>
      <c r="D57" s="1755">
        <f>+'PLAN DE DESARROLLO '!M85</f>
        <v>0.90119133652329642</v>
      </c>
    </row>
    <row r="58" spans="3:4" ht="49.5" customHeight="1" x14ac:dyDescent="0.25">
      <c r="C58" s="24" t="str">
        <f>+'PLAN DE DESARROLLO '!B86</f>
        <v xml:space="preserve">Programa “La escuela y el deporte son de todos” </v>
      </c>
      <c r="D58" s="1731">
        <f>+'PLAN DE DESARROLLO '!M86</f>
        <v>0.98765432098765427</v>
      </c>
    </row>
    <row r="59" spans="3:4" ht="33.75" customHeight="1" x14ac:dyDescent="0.25">
      <c r="C59" s="24" t="str">
        <f>+'PLAN DE DESARROLLO '!B87</f>
        <v>Programa: Deporte asociado “incentivos con-sentido”</v>
      </c>
      <c r="D59" s="1731">
        <f>+'PLAN DE DESARROLLO '!M87</f>
        <v>0.88187499999999996</v>
      </c>
    </row>
    <row r="60" spans="3:4" ht="39" customHeight="1" x14ac:dyDescent="0.25">
      <c r="C60" s="24" t="str">
        <f>+'PLAN DE DESARROLLO '!B88</f>
        <v>Programa: Deporte social comunitario con inclusión “Cartagena Incluyente”</v>
      </c>
      <c r="D60" s="1746">
        <f>+'PLAN DE DESARROLLO '!M88</f>
        <v>0.8505125</v>
      </c>
    </row>
    <row r="61" spans="3:4" ht="30" customHeight="1" x14ac:dyDescent="0.25">
      <c r="C61" s="24" t="str">
        <f>+'PLAN DE DESARROLLO '!B89</f>
        <v>Programa: Hábitos y estilos de vida saludable “actívate por tu salud”.</v>
      </c>
      <c r="D61" s="1731">
        <f>+'PLAN DE DESARROLLO '!M89</f>
        <v>1</v>
      </c>
    </row>
    <row r="62" spans="3:4" ht="27" customHeight="1" x14ac:dyDescent="0.25">
      <c r="C62" s="24" t="str">
        <f>+'PLAN DE DESARROLLO '!B90</f>
        <v xml:space="preserve">Programa: Recreación comunitaria “Recréate Cartagena” </v>
      </c>
      <c r="D62" s="1732">
        <f>+'PLAN DE DESARROLLO '!M90</f>
        <v>0.84329753467542068</v>
      </c>
    </row>
    <row r="63" spans="3:4" ht="30" customHeight="1" x14ac:dyDescent="0.25">
      <c r="C63" s="24" t="str">
        <f>+'PLAN DE DESARROLLO '!B91</f>
        <v>Programa: Observatorio de ciencias aplicadas al deporte, la recreación, la actividad física y el aprovechamiento del tiempo libre en el distrito de Cartagena de indias.</v>
      </c>
      <c r="D63" s="1731">
        <f>+'PLAN DE DESARROLLO '!M91</f>
        <v>0.82000000000000006</v>
      </c>
    </row>
    <row r="64" spans="3:4" ht="48.75" customHeight="1" x14ac:dyDescent="0.25">
      <c r="C64" s="24" t="str">
        <f>+'PLAN DE DESARROLLO '!B92</f>
        <v xml:space="preserve">Programa Administración, Mantenimiento, Adecuación, Mejoramiento y Construcción de Escenarios Deportivos  </v>
      </c>
      <c r="D64" s="1731">
        <f>+'PLAN DE DESARROLLO '!M92</f>
        <v>0.92500000000000004</v>
      </c>
    </row>
    <row r="65" spans="3:4" ht="15.75" customHeight="1" x14ac:dyDescent="0.25">
      <c r="C65" s="815"/>
    </row>
    <row r="66" spans="3:4" ht="15.75" customHeight="1" x14ac:dyDescent="0.25">
      <c r="C66" s="815"/>
    </row>
    <row r="67" spans="3:4" ht="15.75" customHeight="1" x14ac:dyDescent="0.2">
      <c r="C67" s="833" t="s">
        <v>2137</v>
      </c>
      <c r="D67" s="833" t="s">
        <v>2289</v>
      </c>
    </row>
    <row r="68" spans="3:4" ht="49.5" customHeight="1" x14ac:dyDescent="0.25">
      <c r="C68" s="836" t="str">
        <f>+'PLAN DE DESARROLLO '!B93</f>
        <v>LÍNEA ESTRATÉGICA ARTES, CULTURA Y PATRIMONIO PARA UNA CARTAGENA INCLUYENTE</v>
      </c>
      <c r="D68" s="1737">
        <f>+'PLAN DE DESARROLLO '!M93</f>
        <v>0.84637332552491618</v>
      </c>
    </row>
    <row r="69" spans="3:4" ht="32.25" customHeight="1" x14ac:dyDescent="0.25">
      <c r="C69" s="24" t="str">
        <f>+'PLAN DE DESARROLLO '!B94</f>
        <v xml:space="preserve"> Programa: Mediación  y bibliotecas para la Inclusión </v>
      </c>
      <c r="D69" s="1741">
        <f>+'PLAN DE DESARROLLO '!M94</f>
        <v>0.70218024033294346</v>
      </c>
    </row>
    <row r="70" spans="3:4" ht="26.25" customHeight="1" x14ac:dyDescent="0.25">
      <c r="C70" s="24" t="str">
        <f>+'PLAN DE DESARROLLO '!B95</f>
        <v>Programa: Estímulos para las artes y el Emprendimiento incluyente</v>
      </c>
      <c r="D70" s="1741">
        <f>+'PLAN DE DESARROLLO '!M95</f>
        <v>0.77129780805464854</v>
      </c>
    </row>
    <row r="71" spans="3:4" ht="34.5" customHeight="1" x14ac:dyDescent="0.25">
      <c r="C71" s="24" t="str">
        <f>+'PLAN DE DESARROLLO '!B96</f>
        <v>Programa: Patrimonio Inmaterial: Prácticas significativas para la memoria</v>
      </c>
      <c r="D71" s="1738">
        <f>+'PLAN DE DESARROLLO '!M96</f>
        <v>1</v>
      </c>
    </row>
    <row r="72" spans="3:4" ht="27" customHeight="1" x14ac:dyDescent="0.25">
      <c r="C72" s="24" t="str">
        <f>+'PLAN DE DESARROLLO '!B97</f>
        <v xml:space="preserve"> Programa: Valoración, Cuidado y Apropiación Social del Patrimonio Material</v>
      </c>
      <c r="D72" s="1738">
        <f>+'PLAN DE DESARROLLO '!M97</f>
        <v>0.95</v>
      </c>
    </row>
    <row r="73" spans="3:4" ht="27.75" customHeight="1" x14ac:dyDescent="0.25">
      <c r="C73" s="24" t="str">
        <f>+'PLAN DE DESARROLLO '!B98</f>
        <v>Programa: Derechos culturales y buen gobierno para el fortalecimiento institucional y ciudadano</v>
      </c>
      <c r="D73" s="1729">
        <f>+'PLAN DE DESARROLLO '!M98</f>
        <v>0.75</v>
      </c>
    </row>
    <row r="74" spans="3:4" ht="32.25" customHeight="1" x14ac:dyDescent="0.25">
      <c r="C74" s="24" t="str">
        <f>+'PLAN DE DESARROLLO '!B99</f>
        <v>Programa: Infraestructura Cultural para la Inclusión</v>
      </c>
      <c r="D74" s="1732">
        <f>+'PLAN DE DESARROLLO '!M99</f>
        <v>0.90476190476190477</v>
      </c>
    </row>
    <row r="75" spans="3:4" ht="15.75" customHeight="1" x14ac:dyDescent="0.25">
      <c r="C75" s="815"/>
      <c r="D75" s="839"/>
    </row>
    <row r="76" spans="3:4" ht="15.75" customHeight="1" x14ac:dyDescent="0.25">
      <c r="C76" s="815"/>
      <c r="D76" s="839"/>
    </row>
    <row r="77" spans="3:4" ht="15.75" customHeight="1" x14ac:dyDescent="0.2">
      <c r="C77" s="833" t="s">
        <v>2137</v>
      </c>
      <c r="D77" s="833" t="s">
        <v>2289</v>
      </c>
    </row>
    <row r="78" spans="3:4" ht="34.5" customHeight="1" x14ac:dyDescent="0.25">
      <c r="C78" s="836" t="str">
        <f>+'PLAN DE DESARROLLO '!B100</f>
        <v xml:space="preserve">LÍNEA ESTRATÉGICA: PLANEACIÓN SOCIAL DEL TERRITORIO </v>
      </c>
      <c r="D78" s="1731">
        <f>+'PLAN DE DESARROLLO '!M100</f>
        <v>0.91428571428571426</v>
      </c>
    </row>
    <row r="79" spans="3:4" ht="35.25" customHeight="1" x14ac:dyDescent="0.25">
      <c r="C79" s="24" t="str">
        <f>+'PLAN DE DESARROLLO '!B101</f>
        <v xml:space="preserve">Programa: Instrumentos de planificación social del territorio </v>
      </c>
      <c r="D79" s="1731">
        <f>+'PLAN DE DESARROLLO '!M101</f>
        <v>0.82857142857142851</v>
      </c>
    </row>
    <row r="80" spans="3:4" ht="37.5" customHeight="1" x14ac:dyDescent="0.25">
      <c r="C80" s="24" t="str">
        <f>+'PLAN DE DESARROLLO '!B102</f>
        <v>Programa: Catastro multipropósito</v>
      </c>
      <c r="D80" s="1731">
        <f>+'PLAN DE DESARROLLO '!M102</f>
        <v>1</v>
      </c>
    </row>
    <row r="81" spans="3:3" ht="15.75" customHeight="1" x14ac:dyDescent="0.25">
      <c r="C81" s="815"/>
    </row>
    <row r="82" spans="3:3" ht="15.75" customHeight="1" x14ac:dyDescent="0.25">
      <c r="C82" s="815"/>
    </row>
    <row r="83" spans="3:3" ht="15.75" customHeight="1" x14ac:dyDescent="0.25">
      <c r="C83" s="815"/>
    </row>
    <row r="84" spans="3:3" ht="15.75" customHeight="1" x14ac:dyDescent="0.25">
      <c r="C84" s="815"/>
    </row>
    <row r="85" spans="3:3" ht="15.75" customHeight="1" x14ac:dyDescent="0.25">
      <c r="C85" s="815"/>
    </row>
    <row r="86" spans="3:3" ht="15.75" customHeight="1" x14ac:dyDescent="0.25">
      <c r="C86" s="815"/>
    </row>
    <row r="87" spans="3:3" ht="15.75" customHeight="1" x14ac:dyDescent="0.25">
      <c r="C87" s="815"/>
    </row>
    <row r="88" spans="3:3" ht="15.75" customHeight="1" x14ac:dyDescent="0.25">
      <c r="C88" s="815"/>
    </row>
    <row r="89" spans="3:3" ht="15.75" customHeight="1" x14ac:dyDescent="0.25">
      <c r="C89" s="815"/>
    </row>
    <row r="90" spans="3:3" ht="15.75" customHeight="1" x14ac:dyDescent="0.25">
      <c r="C90" s="815"/>
    </row>
    <row r="91" spans="3:3" ht="15.75" customHeight="1" x14ac:dyDescent="0.25">
      <c r="C91" s="815"/>
    </row>
    <row r="92" spans="3:3" ht="15.75" customHeight="1" x14ac:dyDescent="0.25">
      <c r="C92" s="815"/>
    </row>
    <row r="93" spans="3:3" ht="15.75" customHeight="1" x14ac:dyDescent="0.25">
      <c r="C93" s="815"/>
    </row>
    <row r="94" spans="3:3" ht="15.75" customHeight="1" x14ac:dyDescent="0.25">
      <c r="C94" s="815"/>
    </row>
    <row r="95" spans="3:3" ht="15.75" customHeight="1" x14ac:dyDescent="0.25">
      <c r="C95" s="815"/>
    </row>
    <row r="96" spans="3:3" ht="15.75" customHeight="1" x14ac:dyDescent="0.25">
      <c r="C96" s="815"/>
    </row>
    <row r="97" spans="3:3" ht="15.75" customHeight="1" x14ac:dyDescent="0.25">
      <c r="C97" s="815"/>
    </row>
    <row r="98" spans="3:3" ht="15.75" customHeight="1" x14ac:dyDescent="0.25">
      <c r="C98" s="815"/>
    </row>
    <row r="99" spans="3:3" ht="15.75" customHeight="1" x14ac:dyDescent="0.25">
      <c r="C99" s="815"/>
    </row>
    <row r="100" spans="3:3" ht="15.75" customHeight="1" x14ac:dyDescent="0.25">
      <c r="C100" s="815"/>
    </row>
    <row r="101" spans="3:3" ht="15.75" customHeight="1" x14ac:dyDescent="0.25">
      <c r="C101" s="815"/>
    </row>
    <row r="102" spans="3:3" ht="15.75" customHeight="1" x14ac:dyDescent="0.25">
      <c r="C102" s="815"/>
    </row>
    <row r="103" spans="3:3" ht="15.75" customHeight="1" x14ac:dyDescent="0.25">
      <c r="C103" s="815"/>
    </row>
    <row r="104" spans="3:3" ht="15.75" customHeight="1" x14ac:dyDescent="0.25">
      <c r="C104" s="815"/>
    </row>
    <row r="105" spans="3:3" ht="15.75" customHeight="1" x14ac:dyDescent="0.25">
      <c r="C105" s="815"/>
    </row>
    <row r="106" spans="3:3" ht="15.75" customHeight="1" x14ac:dyDescent="0.25">
      <c r="C106" s="815"/>
    </row>
    <row r="107" spans="3:3" ht="15.75" customHeight="1" x14ac:dyDescent="0.25">
      <c r="C107" s="815"/>
    </row>
    <row r="108" spans="3:3" ht="15.75" customHeight="1" x14ac:dyDescent="0.25">
      <c r="C108" s="815"/>
    </row>
    <row r="109" spans="3:3" ht="15.75" customHeight="1" x14ac:dyDescent="0.25">
      <c r="C109" s="815"/>
    </row>
    <row r="110" spans="3:3" ht="15.75" customHeight="1" x14ac:dyDescent="0.25">
      <c r="C110" s="815"/>
    </row>
    <row r="111" spans="3:3" ht="15.75" customHeight="1" x14ac:dyDescent="0.25">
      <c r="C111" s="815"/>
    </row>
    <row r="112" spans="3:3" ht="15.75" customHeight="1" x14ac:dyDescent="0.25">
      <c r="C112" s="815"/>
    </row>
    <row r="113" spans="3:3" ht="15.75" customHeight="1" x14ac:dyDescent="0.25">
      <c r="C113" s="815"/>
    </row>
    <row r="114" spans="3:3" ht="15.75" customHeight="1" x14ac:dyDescent="0.25">
      <c r="C114" s="815"/>
    </row>
    <row r="115" spans="3:3" ht="15.75" customHeight="1" x14ac:dyDescent="0.25">
      <c r="C115" s="815"/>
    </row>
    <row r="116" spans="3:3" ht="15.75" customHeight="1" x14ac:dyDescent="0.25">
      <c r="C116" s="815"/>
    </row>
    <row r="117" spans="3:3" ht="15.75" customHeight="1" x14ac:dyDescent="0.25">
      <c r="C117" s="815"/>
    </row>
    <row r="118" spans="3:3" ht="15.75" customHeight="1" x14ac:dyDescent="0.25">
      <c r="C118" s="815"/>
    </row>
    <row r="119" spans="3:3" ht="15.75" customHeight="1" x14ac:dyDescent="0.25">
      <c r="C119" s="815"/>
    </row>
    <row r="120" spans="3:3" ht="15.75" customHeight="1" x14ac:dyDescent="0.25">
      <c r="C120" s="815"/>
    </row>
    <row r="121" spans="3:3" ht="15.75" customHeight="1" x14ac:dyDescent="0.25">
      <c r="C121" s="815"/>
    </row>
    <row r="122" spans="3:3" ht="15.75" customHeight="1" x14ac:dyDescent="0.25">
      <c r="C122" s="815"/>
    </row>
    <row r="123" spans="3:3" ht="15.75" customHeight="1" x14ac:dyDescent="0.25">
      <c r="C123" s="815"/>
    </row>
    <row r="124" spans="3:3" ht="15.75" customHeight="1" x14ac:dyDescent="0.25">
      <c r="C124" s="815"/>
    </row>
    <row r="125" spans="3:3" ht="15.75" customHeight="1" x14ac:dyDescent="0.25">
      <c r="C125" s="815"/>
    </row>
    <row r="126" spans="3:3" ht="15.75" customHeight="1" x14ac:dyDescent="0.25">
      <c r="C126" s="815"/>
    </row>
    <row r="127" spans="3:3" ht="15.75" customHeight="1" x14ac:dyDescent="0.25">
      <c r="C127" s="815"/>
    </row>
    <row r="128" spans="3:3" ht="15.75" customHeight="1" x14ac:dyDescent="0.25">
      <c r="C128" s="815"/>
    </row>
    <row r="129" spans="3:3" ht="15.75" customHeight="1" x14ac:dyDescent="0.25">
      <c r="C129" s="815"/>
    </row>
    <row r="130" spans="3:3" ht="15.75" customHeight="1" x14ac:dyDescent="0.25">
      <c r="C130" s="815"/>
    </row>
    <row r="131" spans="3:3" ht="15.75" customHeight="1" x14ac:dyDescent="0.25">
      <c r="C131" s="815"/>
    </row>
    <row r="132" spans="3:3" ht="15.75" customHeight="1" x14ac:dyDescent="0.25">
      <c r="C132" s="815"/>
    </row>
    <row r="133" spans="3:3" ht="15.75" customHeight="1" x14ac:dyDescent="0.25">
      <c r="C133" s="815"/>
    </row>
    <row r="134" spans="3:3" ht="15.75" customHeight="1" x14ac:dyDescent="0.25">
      <c r="C134" s="815"/>
    </row>
    <row r="135" spans="3:3" ht="15.75" customHeight="1" x14ac:dyDescent="0.25">
      <c r="C135" s="815"/>
    </row>
    <row r="136" spans="3:3" ht="15.75" customHeight="1" x14ac:dyDescent="0.25">
      <c r="C136" s="815"/>
    </row>
    <row r="137" spans="3:3" ht="15.75" customHeight="1" x14ac:dyDescent="0.25">
      <c r="C137" s="815"/>
    </row>
    <row r="138" spans="3:3" ht="15.75" customHeight="1" x14ac:dyDescent="0.25">
      <c r="C138" s="815"/>
    </row>
    <row r="139" spans="3:3" ht="15.75" customHeight="1" x14ac:dyDescent="0.25">
      <c r="C139" s="815"/>
    </row>
    <row r="140" spans="3:3" ht="15.75" customHeight="1" x14ac:dyDescent="0.25">
      <c r="C140" s="815"/>
    </row>
    <row r="141" spans="3:3" ht="15.75" customHeight="1" x14ac:dyDescent="0.25">
      <c r="C141" s="815"/>
    </row>
    <row r="142" spans="3:3" ht="15.75" customHeight="1" x14ac:dyDescent="0.25">
      <c r="C142" s="815"/>
    </row>
    <row r="143" spans="3:3" ht="15.75" customHeight="1" x14ac:dyDescent="0.25">
      <c r="C143" s="815"/>
    </row>
    <row r="144" spans="3:3" ht="15.75" customHeight="1" x14ac:dyDescent="0.25">
      <c r="C144" s="815"/>
    </row>
    <row r="145" spans="3:3" ht="15.75" customHeight="1" x14ac:dyDescent="0.25">
      <c r="C145" s="815"/>
    </row>
    <row r="146" spans="3:3" ht="15.75" customHeight="1" x14ac:dyDescent="0.25">
      <c r="C146" s="815"/>
    </row>
    <row r="147" spans="3:3" ht="15.75" customHeight="1" x14ac:dyDescent="0.25">
      <c r="C147" s="815"/>
    </row>
    <row r="148" spans="3:3" ht="15.75" customHeight="1" x14ac:dyDescent="0.25">
      <c r="C148" s="815"/>
    </row>
    <row r="149" spans="3:3" ht="15.75" customHeight="1" x14ac:dyDescent="0.25">
      <c r="C149" s="815"/>
    </row>
    <row r="150" spans="3:3" ht="15.75" customHeight="1" x14ac:dyDescent="0.25">
      <c r="C150" s="815"/>
    </row>
    <row r="151" spans="3:3" ht="15.75" customHeight="1" x14ac:dyDescent="0.25">
      <c r="C151" s="815"/>
    </row>
    <row r="152" spans="3:3" ht="15.75" customHeight="1" x14ac:dyDescent="0.25">
      <c r="C152" s="815"/>
    </row>
    <row r="153" spans="3:3" ht="15.75" customHeight="1" x14ac:dyDescent="0.25">
      <c r="C153" s="815"/>
    </row>
    <row r="154" spans="3:3" ht="15.75" customHeight="1" x14ac:dyDescent="0.25">
      <c r="C154" s="815"/>
    </row>
    <row r="155" spans="3:3" ht="15.75" customHeight="1" x14ac:dyDescent="0.25">
      <c r="C155" s="815"/>
    </row>
    <row r="156" spans="3:3" ht="15.75" customHeight="1" x14ac:dyDescent="0.25">
      <c r="C156" s="815"/>
    </row>
    <row r="157" spans="3:3" ht="15.75" customHeight="1" x14ac:dyDescent="0.25">
      <c r="C157" s="815"/>
    </row>
    <row r="158" spans="3:3" ht="15.75" customHeight="1" x14ac:dyDescent="0.25">
      <c r="C158" s="815"/>
    </row>
    <row r="159" spans="3:3" ht="15.75" customHeight="1" x14ac:dyDescent="0.25">
      <c r="C159" s="815"/>
    </row>
    <row r="160" spans="3:3" ht="15.75" customHeight="1" x14ac:dyDescent="0.25">
      <c r="C160" s="815"/>
    </row>
    <row r="161" spans="3:3" ht="15.75" customHeight="1" x14ac:dyDescent="0.25">
      <c r="C161" s="815"/>
    </row>
    <row r="162" spans="3:3" ht="15.75" customHeight="1" x14ac:dyDescent="0.25">
      <c r="C162" s="815"/>
    </row>
    <row r="163" spans="3:3" ht="15.75" customHeight="1" x14ac:dyDescent="0.25">
      <c r="C163" s="815"/>
    </row>
    <row r="164" spans="3:3" ht="15.75" customHeight="1" x14ac:dyDescent="0.25">
      <c r="C164" s="815"/>
    </row>
    <row r="165" spans="3:3" ht="15.75" customHeight="1" x14ac:dyDescent="0.25">
      <c r="C165" s="815"/>
    </row>
    <row r="166" spans="3:3" ht="15.75" customHeight="1" x14ac:dyDescent="0.25">
      <c r="C166" s="815"/>
    </row>
    <row r="167" spans="3:3" ht="15.75" customHeight="1" x14ac:dyDescent="0.25">
      <c r="C167" s="815"/>
    </row>
    <row r="168" spans="3:3" ht="15.75" customHeight="1" x14ac:dyDescent="0.25">
      <c r="C168" s="815"/>
    </row>
    <row r="169" spans="3:3" ht="15.75" customHeight="1" x14ac:dyDescent="0.25">
      <c r="C169" s="815"/>
    </row>
    <row r="170" spans="3:3" ht="15.75" customHeight="1" x14ac:dyDescent="0.25">
      <c r="C170" s="815"/>
    </row>
    <row r="171" spans="3:3" ht="15.75" customHeight="1" x14ac:dyDescent="0.25">
      <c r="C171" s="815"/>
    </row>
    <row r="172" spans="3:3" ht="15.75" customHeight="1" x14ac:dyDescent="0.25">
      <c r="C172" s="815"/>
    </row>
    <row r="173" spans="3:3" ht="15.75" customHeight="1" x14ac:dyDescent="0.25">
      <c r="C173" s="815"/>
    </row>
    <row r="174" spans="3:3" ht="15.75" customHeight="1" x14ac:dyDescent="0.25">
      <c r="C174" s="815"/>
    </row>
    <row r="175" spans="3:3" ht="15.75" customHeight="1" x14ac:dyDescent="0.25">
      <c r="C175" s="815"/>
    </row>
    <row r="176" spans="3:3" ht="15.75" customHeight="1" x14ac:dyDescent="0.25">
      <c r="C176" s="815"/>
    </row>
    <row r="177" spans="3:3" ht="15.75" customHeight="1" x14ac:dyDescent="0.25">
      <c r="C177" s="815"/>
    </row>
    <row r="178" spans="3:3" ht="15.75" customHeight="1" x14ac:dyDescent="0.25">
      <c r="C178" s="815"/>
    </row>
    <row r="179" spans="3:3" ht="15.75" customHeight="1" x14ac:dyDescent="0.25">
      <c r="C179" s="815"/>
    </row>
    <row r="180" spans="3:3" ht="15.75" customHeight="1" x14ac:dyDescent="0.25">
      <c r="C180" s="815"/>
    </row>
    <row r="181" spans="3:3" ht="15.75" customHeight="1" x14ac:dyDescent="0.25">
      <c r="C181" s="815"/>
    </row>
    <row r="182" spans="3:3" ht="15.75" customHeight="1" x14ac:dyDescent="0.25">
      <c r="C182" s="815"/>
    </row>
    <row r="183" spans="3:3" ht="15.75" customHeight="1" x14ac:dyDescent="0.25">
      <c r="C183" s="815"/>
    </row>
    <row r="184" spans="3:3" ht="15.75" customHeight="1" x14ac:dyDescent="0.25">
      <c r="C184" s="815"/>
    </row>
    <row r="185" spans="3:3" ht="15.75" customHeight="1" x14ac:dyDescent="0.25">
      <c r="C185" s="815"/>
    </row>
    <row r="186" spans="3:3" ht="15.75" customHeight="1" x14ac:dyDescent="0.25">
      <c r="C186" s="815"/>
    </row>
    <row r="187" spans="3:3" ht="15.75" customHeight="1" x14ac:dyDescent="0.25">
      <c r="C187" s="815"/>
    </row>
    <row r="188" spans="3:3" ht="15.75" customHeight="1" x14ac:dyDescent="0.25">
      <c r="C188" s="815"/>
    </row>
    <row r="189" spans="3:3" ht="15.75" customHeight="1" x14ac:dyDescent="0.25">
      <c r="C189" s="815"/>
    </row>
    <row r="190" spans="3:3" ht="15.75" customHeight="1" x14ac:dyDescent="0.25">
      <c r="C190" s="815"/>
    </row>
    <row r="191" spans="3:3" ht="15.75" customHeight="1" x14ac:dyDescent="0.25">
      <c r="C191" s="815"/>
    </row>
    <row r="192" spans="3:3" ht="15.75" customHeight="1" x14ac:dyDescent="0.25">
      <c r="C192" s="815"/>
    </row>
    <row r="193" spans="3:3" ht="15.75" customHeight="1" x14ac:dyDescent="0.25">
      <c r="C193" s="815"/>
    </row>
    <row r="194" spans="3:3" ht="15.75" customHeight="1" x14ac:dyDescent="0.25">
      <c r="C194" s="815"/>
    </row>
    <row r="195" spans="3:3" ht="15.75" customHeight="1" x14ac:dyDescent="0.25">
      <c r="C195" s="815"/>
    </row>
    <row r="196" spans="3:3" ht="15.75" customHeight="1" x14ac:dyDescent="0.25">
      <c r="C196" s="815"/>
    </row>
    <row r="197" spans="3:3" ht="15.75" customHeight="1" x14ac:dyDescent="0.2"/>
    <row r="198" spans="3:3" ht="15.75" customHeight="1" x14ac:dyDescent="0.2"/>
    <row r="199" spans="3:3" ht="15.75" customHeight="1" x14ac:dyDescent="0.2"/>
    <row r="200" spans="3:3" ht="15.75" customHeight="1" x14ac:dyDescent="0.2"/>
    <row r="201" spans="3:3" ht="15.75" customHeight="1" x14ac:dyDescent="0.2"/>
    <row r="202" spans="3:3" ht="15.75" customHeight="1" x14ac:dyDescent="0.2"/>
    <row r="203" spans="3:3" ht="15.75" customHeight="1" x14ac:dyDescent="0.2"/>
    <row r="204" spans="3:3" ht="15.75" customHeight="1" x14ac:dyDescent="0.2"/>
    <row r="205" spans="3:3" ht="15.75" customHeight="1" x14ac:dyDescent="0.2"/>
    <row r="206" spans="3:3" ht="15.75" customHeight="1" x14ac:dyDescent="0.2"/>
    <row r="207" spans="3:3" ht="15.75" customHeight="1" x14ac:dyDescent="0.2"/>
    <row r="208" spans="3:3"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
    <mergeCell ref="Q4:Q5"/>
    <mergeCell ref="R4:R5"/>
    <mergeCell ref="S4:S5"/>
  </mergeCells>
  <pageMargins left="0.70866141732283472" right="0.70866141732283472" top="0.74803149606299213" bottom="0.74803149606299213" header="0" footer="0"/>
  <pageSetup paperSize="5" scale="75"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E1000"/>
  <sheetViews>
    <sheetView topLeftCell="B40" workbookViewId="0">
      <selection activeCell="D48" sqref="D48"/>
    </sheetView>
  </sheetViews>
  <sheetFormatPr baseColWidth="10" defaultColWidth="12.625" defaultRowHeight="15" customHeight="1" x14ac:dyDescent="0.2"/>
  <cols>
    <col min="1" max="2" width="9.375" customWidth="1"/>
    <col min="3" max="3" width="31.75" customWidth="1"/>
    <col min="4" max="4" width="22.875" customWidth="1"/>
    <col min="5" max="6" width="9.375" customWidth="1"/>
  </cols>
  <sheetData>
    <row r="3" spans="3:4" x14ac:dyDescent="0.25">
      <c r="C3" s="45" t="s">
        <v>2136</v>
      </c>
      <c r="D3" s="45" t="s">
        <v>2290</v>
      </c>
    </row>
    <row r="4" spans="3:4" ht="18.75" customHeight="1" x14ac:dyDescent="0.2">
      <c r="C4" s="841" t="str">
        <f>+'PLAN DE DESARROLLO '!B103</f>
        <v xml:space="preserve">PILAR CARTAGENA CONTINGENTE </v>
      </c>
      <c r="D4" s="1748">
        <f>+'PLAN DE DESARROLLO '!M103</f>
        <v>0.81331553252547473</v>
      </c>
    </row>
    <row r="5" spans="3:4" ht="29.25" customHeight="1" x14ac:dyDescent="0.2">
      <c r="C5" s="841" t="str">
        <f>+'PLAN DE DESARROLLO '!B104</f>
        <v xml:space="preserve"> LÍNEA ESTRATÉGICA: DESARROLLO ECONÓMICO Y EMPLEABILIDAD</v>
      </c>
      <c r="D5" s="1750">
        <f>+'PLAN DE DESARROLLO '!M104</f>
        <v>0.64909546343523228</v>
      </c>
    </row>
    <row r="6" spans="3:4" ht="32.25" customHeight="1" x14ac:dyDescent="0.2">
      <c r="C6" s="841" t="str">
        <f>+'PLAN DE DESARROLLO '!B117</f>
        <v>LÍNEA ESTRATÉGICA: COMPETITIVIDAD E INNOVACIÓN</v>
      </c>
      <c r="D6" s="1749">
        <f>+'PLAN DE DESARROLLO '!M117</f>
        <v>0.85416666666666663</v>
      </c>
    </row>
    <row r="7" spans="3:4" ht="40.5" customHeight="1" x14ac:dyDescent="0.2">
      <c r="C7" s="841" t="str">
        <f>+'PLAN DE DESARROLLO '!B121</f>
        <v>LÍNEA ESTRATÉGICA: TURISMO, MOTOR DE REACTIVACIÓN ECONÓMICA PARA CARTAGENA DE INDIAS</v>
      </c>
      <c r="D7" s="1749">
        <f>+'PLAN DE DESARROLLO '!M121</f>
        <v>1</v>
      </c>
    </row>
    <row r="8" spans="3:4" ht="41.25" customHeight="1" x14ac:dyDescent="0.2">
      <c r="C8" s="841" t="str">
        <f>+'PLAN DE DESARROLLO '!B125</f>
        <v>LÍNEA ESTRATÉGICA: PLANEACIÓN E INTEGRACIÓN CONTINGENTE DEL TERRITORIO</v>
      </c>
      <c r="D8" s="1756">
        <f>+'PLAN DE DESARROLLO '!M125</f>
        <v>0.75</v>
      </c>
    </row>
    <row r="12" spans="3:4" x14ac:dyDescent="0.25">
      <c r="C12" s="833" t="s">
        <v>2137</v>
      </c>
      <c r="D12" s="45" t="s">
        <v>2289</v>
      </c>
    </row>
    <row r="13" spans="3:4" ht="30" x14ac:dyDescent="0.25">
      <c r="C13" s="849" t="str">
        <f>+'PLAN DE DESARROLLO '!B104</f>
        <v xml:space="preserve"> LÍNEA ESTRATÉGICA: DESARROLLO ECONÓMICO Y EMPLEABILIDAD</v>
      </c>
      <c r="D13" s="1757">
        <f>+'PLAN DE DESARROLLO '!M104</f>
        <v>0.64909546343523228</v>
      </c>
    </row>
    <row r="14" spans="3:4" ht="45" x14ac:dyDescent="0.25">
      <c r="C14" s="806" t="str">
        <f>+'PLAN DE DESARROLLO '!B105</f>
        <v xml:space="preserve">Programa: Centros para el emprendimiento y la gestión de la empleabilidad en Cartagena de Indias </v>
      </c>
      <c r="D14" s="1758">
        <f>+'PLAN DE DESARROLLO '!M105</f>
        <v>0.52343518518518506</v>
      </c>
    </row>
    <row r="15" spans="3:4" ht="30" x14ac:dyDescent="0.25">
      <c r="C15" s="806" t="str">
        <f>+'PLAN DE DESARROLLO '!B106</f>
        <v>Programa: Mujeres con Autonomía Económica</v>
      </c>
      <c r="D15" s="1750">
        <f>+'PLAN DE DESARROLLO '!M106</f>
        <v>0.61997249724972503</v>
      </c>
    </row>
    <row r="16" spans="3:4" ht="30" x14ac:dyDescent="0.25">
      <c r="C16" s="806" t="str">
        <f>+'PLAN DE DESARROLLO '!B107</f>
        <v>Programa: "Empleo Inclusivo Para Los Jóvenes”</v>
      </c>
      <c r="D16" s="1758">
        <f>+'PLAN DE DESARROLLO '!M107</f>
        <v>0.58570454545454542</v>
      </c>
    </row>
    <row r="17" spans="3:4" ht="30" x14ac:dyDescent="0.25">
      <c r="C17" s="806" t="str">
        <f>+'PLAN DE DESARROLLO '!B108</f>
        <v>Programa: Encadenamientos productivos</v>
      </c>
      <c r="D17" s="1749">
        <f>+'PLAN DE DESARROLLO '!M108</f>
        <v>0.875</v>
      </c>
    </row>
    <row r="18" spans="3:4" ht="30" x14ac:dyDescent="0.25">
      <c r="C18" s="806" t="str">
        <f>+'PLAN DE DESARROLLO '!B109</f>
        <v>Programa: Cartagena facilita el emprendimiento</v>
      </c>
      <c r="D18" s="1760">
        <f>+'PLAN DE DESARROLLO '!M109</f>
        <v>0.34094999999999998</v>
      </c>
    </row>
    <row r="19" spans="3:4" ht="30" x14ac:dyDescent="0.25">
      <c r="C19" s="806" t="str">
        <f>+'PLAN DE DESARROLLO '!B110</f>
        <v>Programa: Zonas de aglomeración productiva</v>
      </c>
      <c r="D19" s="1750">
        <f>+'PLAN DE DESARROLLO '!M110</f>
        <v>0.66666666666666663</v>
      </c>
    </row>
    <row r="20" spans="3:4" ht="30" x14ac:dyDescent="0.25">
      <c r="C20" s="806" t="str">
        <f>+'PLAN DE DESARROLLO '!B111</f>
        <v>Programa: Cierre de brechas de empleabilidad</v>
      </c>
      <c r="D20" s="1759">
        <f>+'PLAN DE DESARROLLO '!M111</f>
        <v>1</v>
      </c>
    </row>
    <row r="21" spans="3:4" ht="31.5" customHeight="1" x14ac:dyDescent="0.25">
      <c r="C21" s="806" t="str">
        <f>+'PLAN DE DESARROLLO '!B112</f>
        <v>Programa: Cierre de brechas de capital humano</v>
      </c>
      <c r="D21" s="1759">
        <f>+'PLAN DE DESARROLLO '!M112</f>
        <v>1</v>
      </c>
    </row>
    <row r="22" spans="3:4" ht="30" customHeight="1" x14ac:dyDescent="0.25">
      <c r="C22" s="806" t="str">
        <f>+'PLAN DE DESARROLLO '!B113</f>
        <v>Programa: Desarrollo del ecosistema digital basado en la cuarta revolución industrial</v>
      </c>
      <c r="D22" s="1751">
        <f>+'PLAN DE DESARROLLO '!M113</f>
        <v>0.65225</v>
      </c>
    </row>
    <row r="23" spans="3:4" ht="26.25" customHeight="1" x14ac:dyDescent="0.25">
      <c r="C23" s="806" t="str">
        <f>+'PLAN DE DESARROLLO '!B114</f>
        <v>Programa: Cartagena emprendedora para pequeños productores rurales</v>
      </c>
      <c r="D23" s="1750">
        <f>+'PLAN DE DESARROLLO '!M114</f>
        <v>0.62749999999999995</v>
      </c>
    </row>
    <row r="24" spans="3:4" ht="31.5" customHeight="1" x14ac:dyDescent="0.25">
      <c r="C24" s="806" t="str">
        <f>+'PLAN DE DESARROLLO '!B115</f>
        <v>Programa: Sistemas de Mercados públicos</v>
      </c>
      <c r="D24" s="1760">
        <f>+'PLAN DE DESARROLLO '!M115</f>
        <v>0.25266666666666665</v>
      </c>
    </row>
    <row r="25" spans="3:4" ht="28.5" customHeight="1" x14ac:dyDescent="0.25">
      <c r="C25" s="806" t="str">
        <f>+'PLAN DE DESARROLLO '!B116</f>
        <v>Programa: Más Cooperación Internacional</v>
      </c>
      <c r="D25" s="1749">
        <f>+'PLAN DE DESARROLLO '!M116</f>
        <v>0.84</v>
      </c>
    </row>
    <row r="26" spans="3:4" ht="15.75" customHeight="1" x14ac:dyDescent="0.25">
      <c r="C26" s="850"/>
      <c r="D26" s="851"/>
    </row>
    <row r="27" spans="3:4" ht="15.75" customHeight="1" x14ac:dyDescent="0.25">
      <c r="C27" s="850"/>
      <c r="D27" s="851"/>
    </row>
    <row r="28" spans="3:4" ht="15.75" customHeight="1" x14ac:dyDescent="0.25">
      <c r="C28" s="850"/>
      <c r="D28" s="851"/>
    </row>
    <row r="29" spans="3:4" ht="15.75" customHeight="1" x14ac:dyDescent="0.25">
      <c r="C29" s="833" t="s">
        <v>2137</v>
      </c>
      <c r="D29" s="45" t="s">
        <v>2289</v>
      </c>
    </row>
    <row r="30" spans="3:4" ht="45.75" customHeight="1" x14ac:dyDescent="0.25">
      <c r="C30" s="836" t="str">
        <f>+'PLAN DE DESARROLLO '!B117</f>
        <v>LÍNEA ESTRATÉGICA: COMPETITIVIDAD E INNOVACIÓN</v>
      </c>
      <c r="D30" s="1762">
        <f>+'PLAN DE DESARROLLO '!M117</f>
        <v>0.85416666666666663</v>
      </c>
    </row>
    <row r="31" spans="3:4" ht="24.75" customHeight="1" x14ac:dyDescent="0.25">
      <c r="C31" s="24" t="str">
        <f>+'PLAN DE DESARROLLO '!B118</f>
        <v>Programa: Cartagena ciudad Innovadora</v>
      </c>
      <c r="D31" s="1761">
        <f>+'PLAN DE DESARROLLO '!M118</f>
        <v>0.5625</v>
      </c>
    </row>
    <row r="32" spans="3:4" ht="38.25" customHeight="1" x14ac:dyDescent="0.25">
      <c r="C32" s="24" t="str">
        <f>+'PLAN DE DESARROLLO '!B119</f>
        <v>Programa: Cartagena destino de inversión</v>
      </c>
      <c r="D32" s="1762">
        <f>+'PLAN DE DESARROLLO '!M119</f>
        <v>1</v>
      </c>
    </row>
    <row r="33" spans="3:5" ht="61.5" customHeight="1" x14ac:dyDescent="0.25">
      <c r="C33" s="24" t="str">
        <f>+'PLAN DE DESARROLLO '!B120</f>
        <v>Programa: Cartagena fomenta la ciencia, tecnología e innovación agropecuaria: juntos por la extensión agropecuaria a pequeños productores.</v>
      </c>
      <c r="D33" s="1762">
        <f>+'PLAN DE DESARROLLO '!M120</f>
        <v>1</v>
      </c>
    </row>
    <row r="34" spans="3:5" ht="15.75" customHeight="1" x14ac:dyDescent="0.25">
      <c r="C34" s="815"/>
      <c r="D34" s="851"/>
    </row>
    <row r="35" spans="3:5" ht="15.75" customHeight="1" x14ac:dyDescent="0.25">
      <c r="C35" s="815"/>
      <c r="D35" s="851"/>
    </row>
    <row r="36" spans="3:5" ht="15.75" customHeight="1" x14ac:dyDescent="0.25">
      <c r="C36" s="815"/>
      <c r="D36" s="815"/>
    </row>
    <row r="37" spans="3:5" ht="15.75" customHeight="1" x14ac:dyDescent="0.25">
      <c r="C37" s="815"/>
      <c r="D37" s="815"/>
      <c r="E37" s="815"/>
    </row>
    <row r="38" spans="3:5" ht="15.75" customHeight="1" x14ac:dyDescent="0.25">
      <c r="C38" s="833" t="s">
        <v>2137</v>
      </c>
      <c r="D38" s="45" t="s">
        <v>2289</v>
      </c>
      <c r="E38" s="815"/>
    </row>
    <row r="39" spans="3:5" ht="47.25" customHeight="1" x14ac:dyDescent="0.25">
      <c r="C39" s="836" t="s">
        <v>1431</v>
      </c>
      <c r="D39" s="1763">
        <f>+'PLAN DE DESARROLLO '!M121</f>
        <v>1</v>
      </c>
      <c r="E39" s="815"/>
    </row>
    <row r="40" spans="3:5" ht="42.75" customHeight="1" x14ac:dyDescent="0.25">
      <c r="C40" s="836" t="str">
        <f>+'PLAN DE DESARROLLO '!B122</f>
        <v>Programa: Promoción Nacional e Internacional de Cartagena de Indias</v>
      </c>
      <c r="D40" s="1764">
        <f>+'PLAN DE DESARROLLO '!M122</f>
        <v>1</v>
      </c>
      <c r="E40" s="815"/>
    </row>
    <row r="41" spans="3:5" ht="33" customHeight="1" x14ac:dyDescent="0.25">
      <c r="C41" s="836" t="str">
        <f>+'PLAN DE DESARROLLO '!B123</f>
        <v>Programa: Conectividad</v>
      </c>
      <c r="D41" s="1764">
        <f>+'PLAN DE DESARROLLO '!M123</f>
        <v>1</v>
      </c>
      <c r="E41" s="815"/>
    </row>
    <row r="42" spans="3:5" ht="39" customHeight="1" x14ac:dyDescent="0.25">
      <c r="C42" s="836" t="str">
        <f>+'PLAN DE DESARROLLO '!B124</f>
        <v>Programa: Turismo Competitivo y Sostenible</v>
      </c>
      <c r="D42" s="1764">
        <f>+'PLAN DE DESARROLLO '!M124</f>
        <v>1</v>
      </c>
      <c r="E42" s="815"/>
    </row>
    <row r="43" spans="3:5" ht="15.75" customHeight="1" x14ac:dyDescent="0.25">
      <c r="C43" s="815"/>
      <c r="D43" s="815"/>
    </row>
    <row r="44" spans="3:5" ht="15.75" customHeight="1" x14ac:dyDescent="0.25">
      <c r="C44" s="815"/>
      <c r="D44" s="815"/>
    </row>
    <row r="45" spans="3:5" ht="15.75" customHeight="1" x14ac:dyDescent="0.25">
      <c r="C45" s="815"/>
      <c r="D45" s="815"/>
    </row>
    <row r="46" spans="3:5" ht="15.75" customHeight="1" x14ac:dyDescent="0.25">
      <c r="C46" s="1642" t="s">
        <v>2137</v>
      </c>
      <c r="D46" s="1643" t="s">
        <v>2289</v>
      </c>
    </row>
    <row r="47" spans="3:5" ht="48" customHeight="1" x14ac:dyDescent="0.25">
      <c r="C47" s="1644" t="str">
        <f>+'PLAN DE DESARROLLO '!$B$125</f>
        <v>LÍNEA ESTRATÉGICA: PLANEACIÓN E INTEGRACIÓN CONTINGENTE DEL TERRITORIO</v>
      </c>
      <c r="D47" s="1766">
        <f>+'PLAN DE DESARROLLO '!$M$128</f>
        <v>0.73724365084391763</v>
      </c>
    </row>
    <row r="48" spans="3:5" ht="36.75" customHeight="1" x14ac:dyDescent="0.25">
      <c r="C48" s="1644" t="str">
        <f>+'PLAN DE DESARROLLO '!$B$126</f>
        <v>Programa Integración y proyectos entre ciudades</v>
      </c>
      <c r="D48" s="1767">
        <f>+'PLAN DE DESARROLLO '!$M$126</f>
        <v>0.5</v>
      </c>
    </row>
    <row r="49" spans="3:4" ht="35.25" customHeight="1" x14ac:dyDescent="0.25">
      <c r="C49" s="1644" t="str">
        <f>+'PLAN DE DESARROLLO '!$B$127</f>
        <v>Programa: Normas de promoción del desarrollo urbano y económico</v>
      </c>
      <c r="D49" s="1765">
        <f>+'PLAN DE DESARROLLO '!$M$127</f>
        <v>1</v>
      </c>
    </row>
    <row r="50" spans="3:4" ht="15.75" customHeight="1" x14ac:dyDescent="0.25">
      <c r="C50" s="815"/>
      <c r="D50" s="815"/>
    </row>
    <row r="51" spans="3:4" ht="15.75" customHeight="1" x14ac:dyDescent="0.25">
      <c r="C51" s="815"/>
      <c r="D51" s="815"/>
    </row>
    <row r="52" spans="3:4" ht="15.75" customHeight="1" x14ac:dyDescent="0.25">
      <c r="C52" s="815"/>
      <c r="D52" s="815"/>
    </row>
    <row r="53" spans="3:4" ht="15.75" customHeight="1" x14ac:dyDescent="0.25">
      <c r="C53" s="815"/>
      <c r="D53" s="815"/>
    </row>
    <row r="54" spans="3:4" ht="15.75" customHeight="1" x14ac:dyDescent="0.25">
      <c r="C54" s="815"/>
      <c r="D54" s="815"/>
    </row>
    <row r="55" spans="3:4" ht="15.75" customHeight="1" x14ac:dyDescent="0.25">
      <c r="C55" s="815"/>
      <c r="D55" s="815"/>
    </row>
    <row r="56" spans="3:4" ht="15.75" customHeight="1" x14ac:dyDescent="0.25">
      <c r="C56" s="815"/>
      <c r="D56" s="815"/>
    </row>
    <row r="57" spans="3:4" ht="15.75" customHeight="1" x14ac:dyDescent="0.25">
      <c r="C57" s="815"/>
      <c r="D57" s="815"/>
    </row>
    <row r="58" spans="3:4" ht="15.75" customHeight="1" x14ac:dyDescent="0.25">
      <c r="C58" s="815"/>
      <c r="D58" s="815"/>
    </row>
    <row r="59" spans="3:4" ht="15.75" customHeight="1" x14ac:dyDescent="0.25">
      <c r="C59" s="815"/>
      <c r="D59" s="815"/>
    </row>
    <row r="60" spans="3:4" ht="15.75" customHeight="1" x14ac:dyDescent="0.25">
      <c r="C60" s="815"/>
      <c r="D60" s="815"/>
    </row>
    <row r="61" spans="3:4" ht="15.75" customHeight="1" x14ac:dyDescent="0.25">
      <c r="C61" s="815"/>
      <c r="D61" s="815"/>
    </row>
    <row r="62" spans="3:4" ht="15.75" customHeight="1" x14ac:dyDescent="0.25">
      <c r="C62" s="815"/>
      <c r="D62" s="815"/>
    </row>
    <row r="63" spans="3:4" ht="15.75" customHeight="1" x14ac:dyDescent="0.25">
      <c r="C63" s="815"/>
      <c r="D63" s="815"/>
    </row>
    <row r="64" spans="3:4" ht="15.75" customHeight="1" x14ac:dyDescent="0.25">
      <c r="C64" s="815"/>
      <c r="D64" s="815"/>
    </row>
    <row r="65" spans="3:4" ht="15.75" customHeight="1" x14ac:dyDescent="0.25">
      <c r="C65" s="815"/>
      <c r="D65" s="815"/>
    </row>
    <row r="66" spans="3:4" ht="15.75" customHeight="1" x14ac:dyDescent="0.25">
      <c r="C66" s="815"/>
      <c r="D66" s="815"/>
    </row>
    <row r="67" spans="3:4" ht="15.75" customHeight="1" x14ac:dyDescent="0.25">
      <c r="C67" s="815"/>
      <c r="D67" s="815"/>
    </row>
    <row r="68" spans="3:4" ht="15.75" customHeight="1" x14ac:dyDescent="0.25">
      <c r="C68" s="815"/>
      <c r="D68" s="815"/>
    </row>
    <row r="69" spans="3:4" ht="15.75" customHeight="1" x14ac:dyDescent="0.25">
      <c r="C69" s="815"/>
      <c r="D69" s="815"/>
    </row>
    <row r="70" spans="3:4" ht="15.75" customHeight="1" x14ac:dyDescent="0.25">
      <c r="C70" s="815"/>
      <c r="D70" s="815"/>
    </row>
    <row r="71" spans="3:4" ht="15.75" customHeight="1" x14ac:dyDescent="0.25">
      <c r="C71" s="815"/>
      <c r="D71" s="815"/>
    </row>
    <row r="72" spans="3:4" ht="15.75" customHeight="1" x14ac:dyDescent="0.25">
      <c r="C72" s="815"/>
      <c r="D72" s="815"/>
    </row>
    <row r="73" spans="3:4" ht="15.75" customHeight="1" x14ac:dyDescent="0.25">
      <c r="C73" s="815"/>
      <c r="D73" s="815"/>
    </row>
    <row r="74" spans="3:4" ht="15.75" customHeight="1" x14ac:dyDescent="0.25">
      <c r="C74" s="815"/>
      <c r="D74" s="815"/>
    </row>
    <row r="75" spans="3:4" ht="15.75" customHeight="1" x14ac:dyDescent="0.25">
      <c r="C75" s="815"/>
      <c r="D75" s="815"/>
    </row>
    <row r="76" spans="3:4" ht="15.75" customHeight="1" x14ac:dyDescent="0.25">
      <c r="C76" s="815"/>
      <c r="D76" s="815"/>
    </row>
    <row r="77" spans="3:4" ht="15.75" customHeight="1" x14ac:dyDescent="0.25">
      <c r="C77" s="815"/>
      <c r="D77" s="815"/>
    </row>
    <row r="78" spans="3:4" ht="15.75" customHeight="1" x14ac:dyDescent="0.25">
      <c r="C78" s="815"/>
      <c r="D78" s="815"/>
    </row>
    <row r="79" spans="3:4" ht="15.75" customHeight="1" x14ac:dyDescent="0.25">
      <c r="C79" s="815"/>
      <c r="D79" s="815"/>
    </row>
    <row r="80" spans="3:4" ht="15.75" customHeight="1" x14ac:dyDescent="0.25">
      <c r="C80" s="815"/>
      <c r="D80" s="815"/>
    </row>
    <row r="81" spans="3:4" ht="15.75" customHeight="1" x14ac:dyDescent="0.25">
      <c r="C81" s="815"/>
      <c r="D81" s="815"/>
    </row>
    <row r="82" spans="3:4" ht="15.75" customHeight="1" x14ac:dyDescent="0.25">
      <c r="C82" s="815"/>
      <c r="D82" s="815"/>
    </row>
    <row r="83" spans="3:4" ht="15.75" customHeight="1" x14ac:dyDescent="0.25">
      <c r="C83" s="815"/>
      <c r="D83" s="815"/>
    </row>
    <row r="84" spans="3:4" ht="15.75" customHeight="1" x14ac:dyDescent="0.25">
      <c r="C84" s="815"/>
      <c r="D84" s="815"/>
    </row>
    <row r="85" spans="3:4" ht="15.75" customHeight="1" x14ac:dyDescent="0.25">
      <c r="C85" s="815"/>
      <c r="D85" s="815"/>
    </row>
    <row r="86" spans="3:4" ht="15.75" customHeight="1" x14ac:dyDescent="0.25">
      <c r="C86" s="815"/>
      <c r="D86" s="815"/>
    </row>
    <row r="87" spans="3:4" ht="15.75" customHeight="1" x14ac:dyDescent="0.25">
      <c r="C87" s="815"/>
      <c r="D87" s="815"/>
    </row>
    <row r="88" spans="3:4" ht="15.75" customHeight="1" x14ac:dyDescent="0.25">
      <c r="C88" s="815"/>
      <c r="D88" s="815"/>
    </row>
    <row r="89" spans="3:4" ht="15.75" customHeight="1" x14ac:dyDescent="0.25">
      <c r="C89" s="815"/>
      <c r="D89" s="815"/>
    </row>
    <row r="90" spans="3:4" ht="15.75" customHeight="1" x14ac:dyDescent="0.25">
      <c r="C90" s="815"/>
      <c r="D90" s="815"/>
    </row>
    <row r="91" spans="3:4" ht="15.75" customHeight="1" x14ac:dyDescent="0.25">
      <c r="C91" s="815"/>
      <c r="D91" s="815"/>
    </row>
    <row r="92" spans="3:4" ht="15.75" customHeight="1" x14ac:dyDescent="0.25">
      <c r="C92" s="815"/>
      <c r="D92" s="815"/>
    </row>
    <row r="93" spans="3:4" ht="15.75" customHeight="1" x14ac:dyDescent="0.25">
      <c r="C93" s="815"/>
      <c r="D93" s="815"/>
    </row>
    <row r="94" spans="3:4" ht="15.75" customHeight="1" x14ac:dyDescent="0.25">
      <c r="C94" s="815"/>
      <c r="D94" s="815"/>
    </row>
    <row r="95" spans="3:4" ht="15.75" customHeight="1" x14ac:dyDescent="0.25">
      <c r="C95" s="815"/>
      <c r="D95" s="815"/>
    </row>
    <row r="96" spans="3:4" ht="15.75" customHeight="1" x14ac:dyDescent="0.25">
      <c r="C96" s="815"/>
      <c r="D96" s="815"/>
    </row>
    <row r="97" spans="3:4" ht="15.75" customHeight="1" x14ac:dyDescent="0.25">
      <c r="C97" s="815"/>
      <c r="D97" s="815"/>
    </row>
    <row r="98" spans="3:4" ht="15.75" customHeight="1" x14ac:dyDescent="0.25">
      <c r="C98" s="815"/>
      <c r="D98" s="815"/>
    </row>
    <row r="99" spans="3:4" ht="15.75" customHeight="1" x14ac:dyDescent="0.25">
      <c r="C99" s="815"/>
      <c r="D99" s="815"/>
    </row>
    <row r="100" spans="3:4" ht="15.75" customHeight="1" x14ac:dyDescent="0.25">
      <c r="C100" s="815"/>
      <c r="D100" s="815"/>
    </row>
    <row r="101" spans="3:4" ht="15.75" customHeight="1" x14ac:dyDescent="0.25">
      <c r="C101" s="815"/>
      <c r="D101" s="815"/>
    </row>
    <row r="102" spans="3:4" ht="15.75" customHeight="1" x14ac:dyDescent="0.25">
      <c r="C102" s="815"/>
      <c r="D102" s="815"/>
    </row>
    <row r="103" spans="3:4" ht="15.75" customHeight="1" x14ac:dyDescent="0.25">
      <c r="C103" s="815"/>
      <c r="D103" s="815"/>
    </row>
    <row r="104" spans="3:4" ht="15.75" customHeight="1" x14ac:dyDescent="0.25">
      <c r="C104" s="815"/>
      <c r="D104" s="815"/>
    </row>
    <row r="105" spans="3:4" ht="15.75" customHeight="1" x14ac:dyDescent="0.25">
      <c r="C105" s="815"/>
      <c r="D105" s="815"/>
    </row>
    <row r="106" spans="3:4" ht="15.75" customHeight="1" x14ac:dyDescent="0.25">
      <c r="C106" s="815"/>
      <c r="D106" s="815"/>
    </row>
    <row r="107" spans="3:4" ht="15.75" customHeight="1" x14ac:dyDescent="0.25">
      <c r="C107" s="815"/>
      <c r="D107" s="815"/>
    </row>
    <row r="108" spans="3:4" ht="15.75" customHeight="1" x14ac:dyDescent="0.25">
      <c r="C108" s="815"/>
      <c r="D108" s="815"/>
    </row>
    <row r="109" spans="3:4" ht="15.75" customHeight="1" x14ac:dyDescent="0.25">
      <c r="C109" s="815"/>
      <c r="D109" s="815"/>
    </row>
    <row r="110" spans="3:4" ht="15.75" customHeight="1" x14ac:dyDescent="0.25">
      <c r="C110" s="815"/>
      <c r="D110" s="815"/>
    </row>
    <row r="111" spans="3:4" ht="15.75" customHeight="1" x14ac:dyDescent="0.25">
      <c r="C111" s="815"/>
      <c r="D111" s="815"/>
    </row>
    <row r="112" spans="3:4" ht="15.75" customHeight="1" x14ac:dyDescent="0.25">
      <c r="C112" s="815"/>
      <c r="D112" s="815"/>
    </row>
    <row r="113" spans="3:4" ht="15.75" customHeight="1" x14ac:dyDescent="0.25">
      <c r="C113" s="815"/>
      <c r="D113" s="815"/>
    </row>
    <row r="114" spans="3:4" ht="15.75" customHeight="1" x14ac:dyDescent="0.25">
      <c r="C114" s="815"/>
      <c r="D114" s="815"/>
    </row>
    <row r="115" spans="3:4" ht="15.75" customHeight="1" x14ac:dyDescent="0.25">
      <c r="C115" s="815"/>
      <c r="D115" s="815"/>
    </row>
    <row r="116" spans="3:4" ht="15.75" customHeight="1" x14ac:dyDescent="0.25">
      <c r="C116" s="815"/>
      <c r="D116" s="815"/>
    </row>
    <row r="117" spans="3:4" ht="15.75" customHeight="1" x14ac:dyDescent="0.25">
      <c r="C117" s="815"/>
      <c r="D117" s="815"/>
    </row>
    <row r="118" spans="3:4" ht="15.75" customHeight="1" x14ac:dyDescent="0.25">
      <c r="C118" s="815"/>
      <c r="D118" s="815"/>
    </row>
    <row r="119" spans="3:4" ht="15.75" customHeight="1" x14ac:dyDescent="0.25">
      <c r="C119" s="815"/>
      <c r="D119" s="815"/>
    </row>
    <row r="120" spans="3:4" ht="15.75" customHeight="1" x14ac:dyDescent="0.25">
      <c r="C120" s="815"/>
      <c r="D120" s="815"/>
    </row>
    <row r="121" spans="3:4" ht="15.75" customHeight="1" x14ac:dyDescent="0.25">
      <c r="C121" s="815"/>
      <c r="D121" s="815"/>
    </row>
    <row r="122" spans="3:4" ht="15.75" customHeight="1" x14ac:dyDescent="0.25">
      <c r="C122" s="815"/>
      <c r="D122" s="815"/>
    </row>
    <row r="123" spans="3:4" ht="15.75" customHeight="1" x14ac:dyDescent="0.25">
      <c r="C123" s="815"/>
      <c r="D123" s="815"/>
    </row>
    <row r="124" spans="3:4" ht="15.75" customHeight="1" x14ac:dyDescent="0.25">
      <c r="C124" s="815"/>
      <c r="D124" s="815"/>
    </row>
    <row r="125" spans="3:4" ht="15.75" customHeight="1" x14ac:dyDescent="0.25">
      <c r="C125" s="815"/>
      <c r="D125" s="815"/>
    </row>
    <row r="126" spans="3:4" ht="15.75" customHeight="1" x14ac:dyDescent="0.25">
      <c r="C126" s="815"/>
      <c r="D126" s="815"/>
    </row>
    <row r="127" spans="3:4" ht="15.75" customHeight="1" x14ac:dyDescent="0.25">
      <c r="C127" s="815"/>
      <c r="D127" s="815"/>
    </row>
    <row r="128" spans="3:4" ht="15.75" customHeight="1" x14ac:dyDescent="0.25">
      <c r="C128" s="815"/>
      <c r="D128" s="815"/>
    </row>
    <row r="129" spans="3:4" ht="15.75" customHeight="1" x14ac:dyDescent="0.25">
      <c r="C129" s="815"/>
      <c r="D129" s="815"/>
    </row>
    <row r="130" spans="3:4" ht="15.75" customHeight="1" x14ac:dyDescent="0.25">
      <c r="C130" s="815"/>
      <c r="D130" s="815"/>
    </row>
    <row r="131" spans="3:4" ht="15.75" customHeight="1" x14ac:dyDescent="0.25">
      <c r="C131" s="815"/>
      <c r="D131" s="815"/>
    </row>
    <row r="132" spans="3:4" ht="15.75" customHeight="1" x14ac:dyDescent="0.25">
      <c r="C132" s="815"/>
      <c r="D132" s="815"/>
    </row>
    <row r="133" spans="3:4" ht="15.75" customHeight="1" x14ac:dyDescent="0.25">
      <c r="C133" s="815"/>
      <c r="D133" s="815"/>
    </row>
    <row r="134" spans="3:4" ht="15.75" customHeight="1" x14ac:dyDescent="0.25">
      <c r="C134" s="815"/>
      <c r="D134" s="815"/>
    </row>
    <row r="135" spans="3:4" ht="15.75" customHeight="1" x14ac:dyDescent="0.25">
      <c r="C135" s="815"/>
      <c r="D135" s="815"/>
    </row>
    <row r="136" spans="3:4" ht="15.75" customHeight="1" x14ac:dyDescent="0.25">
      <c r="C136" s="815"/>
      <c r="D136" s="815"/>
    </row>
    <row r="137" spans="3:4" ht="15.75" customHeight="1" x14ac:dyDescent="0.25">
      <c r="C137" s="815"/>
      <c r="D137" s="815"/>
    </row>
    <row r="138" spans="3:4" ht="15.75" customHeight="1" x14ac:dyDescent="0.25">
      <c r="C138" s="815"/>
      <c r="D138" s="815"/>
    </row>
    <row r="139" spans="3:4" ht="15.75" customHeight="1" x14ac:dyDescent="0.25">
      <c r="C139" s="815"/>
      <c r="D139" s="815"/>
    </row>
    <row r="140" spans="3:4" ht="15.75" customHeight="1" x14ac:dyDescent="0.25">
      <c r="C140" s="815"/>
      <c r="D140" s="815"/>
    </row>
    <row r="141" spans="3:4" ht="15.75" customHeight="1" x14ac:dyDescent="0.25">
      <c r="C141" s="815"/>
      <c r="D141" s="815"/>
    </row>
    <row r="142" spans="3:4" ht="15.75" customHeight="1" x14ac:dyDescent="0.25">
      <c r="C142" s="815"/>
      <c r="D142" s="815"/>
    </row>
    <row r="143" spans="3:4" ht="15.75" customHeight="1" x14ac:dyDescent="0.25">
      <c r="C143" s="815"/>
      <c r="D143" s="815"/>
    </row>
    <row r="144" spans="3:4" ht="15.75" customHeight="1" x14ac:dyDescent="0.25">
      <c r="C144" s="815"/>
      <c r="D144" s="815"/>
    </row>
    <row r="145" spans="3:4" ht="15.75" customHeight="1" x14ac:dyDescent="0.25">
      <c r="C145" s="815"/>
      <c r="D145" s="815"/>
    </row>
    <row r="146" spans="3:4" ht="15.75" customHeight="1" x14ac:dyDescent="0.25">
      <c r="C146" s="815"/>
      <c r="D146" s="815"/>
    </row>
    <row r="147" spans="3:4" ht="15.75" customHeight="1" x14ac:dyDescent="0.25">
      <c r="C147" s="815"/>
      <c r="D147" s="815"/>
    </row>
    <row r="148" spans="3:4" ht="15.75" customHeight="1" x14ac:dyDescent="0.25">
      <c r="C148" s="815"/>
      <c r="D148" s="815"/>
    </row>
    <row r="149" spans="3:4" ht="15.75" customHeight="1" x14ac:dyDescent="0.25">
      <c r="C149" s="815"/>
      <c r="D149" s="815"/>
    </row>
    <row r="150" spans="3:4" ht="15.75" customHeight="1" x14ac:dyDescent="0.25">
      <c r="C150" s="815"/>
      <c r="D150" s="815"/>
    </row>
    <row r="151" spans="3:4" ht="15.75" customHeight="1" x14ac:dyDescent="0.25">
      <c r="C151" s="815"/>
      <c r="D151" s="815"/>
    </row>
    <row r="152" spans="3:4" ht="15.75" customHeight="1" x14ac:dyDescent="0.25">
      <c r="C152" s="815"/>
      <c r="D152" s="815"/>
    </row>
    <row r="153" spans="3:4" ht="15.75" customHeight="1" x14ac:dyDescent="0.25">
      <c r="C153" s="815"/>
      <c r="D153" s="815"/>
    </row>
    <row r="154" spans="3:4" ht="15.75" customHeight="1" x14ac:dyDescent="0.25">
      <c r="C154" s="815"/>
      <c r="D154" s="815"/>
    </row>
    <row r="155" spans="3:4" ht="15.75" customHeight="1" x14ac:dyDescent="0.25">
      <c r="C155" s="815"/>
      <c r="D155" s="815"/>
    </row>
    <row r="156" spans="3:4" ht="15.75" customHeight="1" x14ac:dyDescent="0.25">
      <c r="C156" s="815"/>
      <c r="D156" s="815"/>
    </row>
    <row r="157" spans="3:4" ht="15.75" customHeight="1" x14ac:dyDescent="0.25">
      <c r="C157" s="815"/>
      <c r="D157" s="815"/>
    </row>
    <row r="158" spans="3:4" ht="15.75" customHeight="1" x14ac:dyDescent="0.25">
      <c r="C158" s="815"/>
      <c r="D158" s="815"/>
    </row>
    <row r="159" spans="3:4" ht="15.75" customHeight="1" x14ac:dyDescent="0.25">
      <c r="C159" s="815"/>
      <c r="D159" s="815"/>
    </row>
    <row r="160" spans="3:4" ht="15.75" customHeight="1" x14ac:dyDescent="0.25">
      <c r="C160" s="815"/>
      <c r="D160" s="815"/>
    </row>
    <row r="161" spans="3:4" ht="15.75" customHeight="1" x14ac:dyDescent="0.25">
      <c r="C161" s="815"/>
      <c r="D161" s="815"/>
    </row>
    <row r="162" spans="3:4" ht="15.75" customHeight="1" x14ac:dyDescent="0.25">
      <c r="C162" s="815"/>
      <c r="D162" s="815"/>
    </row>
    <row r="163" spans="3:4" ht="15.75" customHeight="1" x14ac:dyDescent="0.25">
      <c r="C163" s="815"/>
      <c r="D163" s="815"/>
    </row>
    <row r="164" spans="3:4" ht="15.75" customHeight="1" x14ac:dyDescent="0.25">
      <c r="C164" s="815"/>
      <c r="D164" s="815"/>
    </row>
    <row r="165" spans="3:4" ht="15.75" customHeight="1" x14ac:dyDescent="0.25">
      <c r="C165" s="815"/>
      <c r="D165" s="815"/>
    </row>
    <row r="166" spans="3:4" ht="15.75" customHeight="1" x14ac:dyDescent="0.25">
      <c r="C166" s="815"/>
      <c r="D166" s="815"/>
    </row>
    <row r="167" spans="3:4" ht="15.75" customHeight="1" x14ac:dyDescent="0.25">
      <c r="C167" s="815"/>
      <c r="D167" s="815"/>
    </row>
    <row r="168" spans="3:4" ht="15.75" customHeight="1" x14ac:dyDescent="0.25">
      <c r="C168" s="815"/>
      <c r="D168" s="815"/>
    </row>
    <row r="169" spans="3:4" ht="15.75" customHeight="1" x14ac:dyDescent="0.25">
      <c r="C169" s="815"/>
      <c r="D169" s="815"/>
    </row>
    <row r="170" spans="3:4" ht="15.75" customHeight="1" x14ac:dyDescent="0.25">
      <c r="C170" s="815"/>
      <c r="D170" s="815"/>
    </row>
    <row r="171" spans="3:4" ht="15.75" customHeight="1" x14ac:dyDescent="0.25">
      <c r="C171" s="815"/>
      <c r="D171" s="815"/>
    </row>
    <row r="172" spans="3:4" ht="15.75" customHeight="1" x14ac:dyDescent="0.25">
      <c r="C172" s="815"/>
      <c r="D172" s="815"/>
    </row>
    <row r="173" spans="3:4" ht="15.75" customHeight="1" x14ac:dyDescent="0.25">
      <c r="C173" s="815"/>
      <c r="D173" s="815"/>
    </row>
    <row r="174" spans="3:4" ht="15.75" customHeight="1" x14ac:dyDescent="0.25">
      <c r="C174" s="815"/>
      <c r="D174" s="815"/>
    </row>
    <row r="175" spans="3:4" ht="15.75" customHeight="1" x14ac:dyDescent="0.25">
      <c r="C175" s="815"/>
      <c r="D175" s="815"/>
    </row>
    <row r="176" spans="3:4" ht="15.75" customHeight="1" x14ac:dyDescent="0.25">
      <c r="C176" s="815"/>
      <c r="D176" s="815"/>
    </row>
    <row r="177" spans="3:4" ht="15.75" customHeight="1" x14ac:dyDescent="0.25">
      <c r="C177" s="815"/>
      <c r="D177" s="815"/>
    </row>
    <row r="178" spans="3:4" ht="15.75" customHeight="1" x14ac:dyDescent="0.25">
      <c r="C178" s="815"/>
      <c r="D178" s="815"/>
    </row>
    <row r="179" spans="3:4" ht="15.75" customHeight="1" x14ac:dyDescent="0.25">
      <c r="C179" s="815"/>
      <c r="D179" s="815"/>
    </row>
    <row r="180" spans="3:4" ht="15.75" customHeight="1" x14ac:dyDescent="0.25">
      <c r="C180" s="815"/>
      <c r="D180" s="815"/>
    </row>
    <row r="181" spans="3:4" ht="15.75" customHeight="1" x14ac:dyDescent="0.25">
      <c r="C181" s="815"/>
      <c r="D181" s="815"/>
    </row>
    <row r="182" spans="3:4" ht="15.75" customHeight="1" x14ac:dyDescent="0.25">
      <c r="C182" s="815"/>
      <c r="D182" s="815"/>
    </row>
    <row r="183" spans="3:4" ht="15.75" customHeight="1" x14ac:dyDescent="0.25">
      <c r="C183" s="815"/>
      <c r="D183" s="815"/>
    </row>
    <row r="184" spans="3:4" ht="15.75" customHeight="1" x14ac:dyDescent="0.25">
      <c r="C184" s="815"/>
      <c r="D184" s="815"/>
    </row>
    <row r="185" spans="3:4" ht="15.75" customHeight="1" x14ac:dyDescent="0.25">
      <c r="C185" s="815"/>
      <c r="D185" s="815"/>
    </row>
    <row r="186" spans="3:4" ht="15.75" customHeight="1" x14ac:dyDescent="0.25">
      <c r="C186" s="815"/>
      <c r="D186" s="815"/>
    </row>
    <row r="187" spans="3:4" ht="15.75" customHeight="1" x14ac:dyDescent="0.25">
      <c r="C187" s="815"/>
      <c r="D187" s="815"/>
    </row>
    <row r="188" spans="3:4" ht="15.75" customHeight="1" x14ac:dyDescent="0.25">
      <c r="C188" s="815"/>
      <c r="D188" s="815"/>
    </row>
    <row r="189" spans="3:4" ht="15.75" customHeight="1" x14ac:dyDescent="0.25">
      <c r="C189" s="815"/>
      <c r="D189" s="815"/>
    </row>
    <row r="190" spans="3:4" ht="15.75" customHeight="1" x14ac:dyDescent="0.25">
      <c r="C190" s="815"/>
      <c r="D190" s="815"/>
    </row>
    <row r="191" spans="3:4" ht="15.75" customHeight="1" x14ac:dyDescent="0.25">
      <c r="C191" s="815"/>
      <c r="D191" s="815"/>
    </row>
    <row r="192" spans="3:4" ht="15.75" customHeight="1" x14ac:dyDescent="0.25">
      <c r="C192" s="815"/>
      <c r="D192" s="815"/>
    </row>
    <row r="193" spans="3:4" ht="15.75" customHeight="1" x14ac:dyDescent="0.25">
      <c r="C193" s="815"/>
      <c r="D193" s="815"/>
    </row>
    <row r="194" spans="3:4" ht="15.75" customHeight="1" x14ac:dyDescent="0.25">
      <c r="C194" s="815"/>
      <c r="D194" s="815"/>
    </row>
    <row r="195" spans="3:4" ht="15.75" customHeight="1" x14ac:dyDescent="0.25">
      <c r="C195" s="815"/>
      <c r="D195" s="815"/>
    </row>
    <row r="196" spans="3:4" ht="15.75" customHeight="1" x14ac:dyDescent="0.25">
      <c r="C196" s="815"/>
      <c r="D196" s="815"/>
    </row>
    <row r="197" spans="3:4" ht="15.75" customHeight="1" x14ac:dyDescent="0.25">
      <c r="C197" s="815"/>
      <c r="D197" s="815"/>
    </row>
    <row r="198" spans="3:4" ht="15.75" customHeight="1" x14ac:dyDescent="0.25">
      <c r="C198" s="815"/>
      <c r="D198" s="815"/>
    </row>
    <row r="199" spans="3:4" ht="15.75" customHeight="1" x14ac:dyDescent="0.25">
      <c r="C199" s="815"/>
      <c r="D199" s="815"/>
    </row>
    <row r="200" spans="3:4" ht="15.75" customHeight="1" x14ac:dyDescent="0.25">
      <c r="C200" s="815"/>
      <c r="D200" s="815"/>
    </row>
    <row r="201" spans="3:4" ht="15.75" customHeight="1" x14ac:dyDescent="0.25">
      <c r="C201" s="815"/>
      <c r="D201" s="815"/>
    </row>
    <row r="202" spans="3:4" ht="15.75" customHeight="1" x14ac:dyDescent="0.25">
      <c r="C202" s="815"/>
      <c r="D202" s="815"/>
    </row>
    <row r="203" spans="3:4" ht="15.75" customHeight="1" x14ac:dyDescent="0.25">
      <c r="C203" s="815"/>
      <c r="D203" s="815"/>
    </row>
    <row r="204" spans="3:4" ht="15.75" customHeight="1" x14ac:dyDescent="0.25">
      <c r="C204" s="815"/>
      <c r="D204" s="815"/>
    </row>
    <row r="205" spans="3:4" ht="15.75" customHeight="1" x14ac:dyDescent="0.25">
      <c r="C205" s="815"/>
      <c r="D205" s="815"/>
    </row>
    <row r="206" spans="3:4" ht="15.75" customHeight="1" x14ac:dyDescent="0.25">
      <c r="C206" s="815"/>
      <c r="D206" s="815"/>
    </row>
    <row r="207" spans="3:4" ht="15.75" customHeight="1" x14ac:dyDescent="0.25">
      <c r="C207" s="815"/>
      <c r="D207" s="815"/>
    </row>
    <row r="208" spans="3:4" ht="15.75" customHeight="1" x14ac:dyDescent="0.25">
      <c r="C208" s="815"/>
      <c r="D208" s="815"/>
    </row>
    <row r="209" spans="3:4" ht="15.75" customHeight="1" x14ac:dyDescent="0.25">
      <c r="C209" s="815"/>
      <c r="D209" s="815"/>
    </row>
    <row r="210" spans="3:4" ht="15.75" customHeight="1" x14ac:dyDescent="0.25">
      <c r="C210" s="815"/>
      <c r="D210" s="815"/>
    </row>
    <row r="211" spans="3:4" ht="15.75" customHeight="1" x14ac:dyDescent="0.25">
      <c r="C211" s="815"/>
      <c r="D211" s="815"/>
    </row>
    <row r="212" spans="3:4" ht="15.75" customHeight="1" x14ac:dyDescent="0.25">
      <c r="C212" s="815"/>
      <c r="D212" s="815"/>
    </row>
    <row r="213" spans="3:4" ht="15.75" customHeight="1" x14ac:dyDescent="0.25">
      <c r="C213" s="815"/>
      <c r="D213" s="815"/>
    </row>
    <row r="214" spans="3:4" ht="15.75" customHeight="1" x14ac:dyDescent="0.25">
      <c r="C214" s="815"/>
      <c r="D214" s="815"/>
    </row>
    <row r="215" spans="3:4" ht="15.75" customHeight="1" x14ac:dyDescent="0.25">
      <c r="C215" s="815"/>
      <c r="D215" s="815"/>
    </row>
    <row r="216" spans="3:4" ht="15.75" customHeight="1" x14ac:dyDescent="0.25">
      <c r="C216" s="815"/>
      <c r="D216" s="815"/>
    </row>
    <row r="217" spans="3:4" ht="15.75" customHeight="1" x14ac:dyDescent="0.25">
      <c r="C217" s="815"/>
      <c r="D217" s="815"/>
    </row>
    <row r="218" spans="3:4" ht="15.75" customHeight="1" x14ac:dyDescent="0.25">
      <c r="C218" s="815"/>
      <c r="D218" s="815"/>
    </row>
    <row r="219" spans="3:4" ht="15.75" customHeight="1" x14ac:dyDescent="0.25">
      <c r="C219" s="815"/>
      <c r="D219" s="815"/>
    </row>
    <row r="220" spans="3:4" ht="15.75" customHeight="1" x14ac:dyDescent="0.25">
      <c r="C220" s="815"/>
      <c r="D220" s="815"/>
    </row>
    <row r="221" spans="3:4" ht="15.75" customHeight="1" x14ac:dyDescent="0.25">
      <c r="C221" s="815"/>
      <c r="D221" s="815"/>
    </row>
    <row r="222" spans="3:4" ht="15.75" customHeight="1" x14ac:dyDescent="0.25">
      <c r="C222" s="815"/>
      <c r="D222" s="815"/>
    </row>
    <row r="223" spans="3:4" ht="15.75" customHeight="1" x14ac:dyDescent="0.25">
      <c r="C223" s="815"/>
      <c r="D223" s="815"/>
    </row>
    <row r="224" spans="3:4" ht="15.75" customHeight="1" x14ac:dyDescent="0.25">
      <c r="C224" s="815"/>
      <c r="D224" s="815"/>
    </row>
    <row r="225" spans="3:4" ht="15.75" customHeight="1" x14ac:dyDescent="0.25">
      <c r="C225" s="815"/>
      <c r="D225" s="815"/>
    </row>
    <row r="226" spans="3:4" ht="15.75" customHeight="1" x14ac:dyDescent="0.25">
      <c r="C226" s="815"/>
      <c r="D226" s="815"/>
    </row>
    <row r="227" spans="3:4" ht="15.75" customHeight="1" x14ac:dyDescent="0.25">
      <c r="C227" s="815"/>
      <c r="D227" s="815"/>
    </row>
    <row r="228" spans="3:4" ht="15.75" customHeight="1" x14ac:dyDescent="0.25">
      <c r="C228" s="815"/>
      <c r="D228" s="815"/>
    </row>
    <row r="229" spans="3:4" ht="15.75" customHeight="1" x14ac:dyDescent="0.25">
      <c r="C229" s="815"/>
      <c r="D229" s="815"/>
    </row>
    <row r="230" spans="3:4" ht="15.75" customHeight="1" x14ac:dyDescent="0.25">
      <c r="C230" s="815"/>
      <c r="D230" s="815"/>
    </row>
    <row r="231" spans="3:4" ht="15.75" customHeight="1" x14ac:dyDescent="0.25">
      <c r="C231" s="815"/>
      <c r="D231" s="815"/>
    </row>
    <row r="232" spans="3:4" ht="15.75" customHeight="1" x14ac:dyDescent="0.25">
      <c r="C232" s="815"/>
      <c r="D232" s="815"/>
    </row>
    <row r="233" spans="3:4" ht="15.75" customHeight="1" x14ac:dyDescent="0.25">
      <c r="C233" s="815"/>
      <c r="D233" s="815"/>
    </row>
    <row r="234" spans="3:4" ht="15.75" customHeight="1" x14ac:dyDescent="0.2"/>
    <row r="235" spans="3:4" ht="15.75" customHeight="1" x14ac:dyDescent="0.2"/>
    <row r="236" spans="3:4" ht="15.75" customHeight="1" x14ac:dyDescent="0.2"/>
    <row r="237" spans="3:4" ht="15.75" customHeight="1" x14ac:dyDescent="0.2"/>
    <row r="238" spans="3:4" ht="15.75" customHeight="1" x14ac:dyDescent="0.2"/>
    <row r="239" spans="3:4" ht="15.75" customHeight="1" x14ac:dyDescent="0.2"/>
    <row r="240" spans="3:4"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0866141732283472" right="0.70866141732283472" top="0.74803149606299213" bottom="0.74803149606299213" header="0" footer="0"/>
  <pageSetup paperSize="5" scale="7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D1000"/>
  <sheetViews>
    <sheetView topLeftCell="A73" workbookViewId="0">
      <selection activeCell="A77" sqref="A77"/>
    </sheetView>
  </sheetViews>
  <sheetFormatPr baseColWidth="10" defaultColWidth="12.625" defaultRowHeight="15" customHeight="1" x14ac:dyDescent="0.2"/>
  <cols>
    <col min="1" max="2" width="9.375" customWidth="1"/>
    <col min="3" max="3" width="31.375" customWidth="1"/>
    <col min="4" max="4" width="23.625" customWidth="1"/>
    <col min="5" max="6" width="9.375" customWidth="1"/>
  </cols>
  <sheetData>
    <row r="3" spans="3:4" x14ac:dyDescent="0.25">
      <c r="C3" s="45" t="s">
        <v>2136</v>
      </c>
      <c r="D3" s="45" t="s">
        <v>2291</v>
      </c>
    </row>
    <row r="4" spans="3:4" ht="20.25" customHeight="1" x14ac:dyDescent="0.25">
      <c r="C4" s="836" t="str">
        <f>+'PLAN DE DESARROLLO '!B128</f>
        <v>PILAR CARTAGENA TRANSPARENTE</v>
      </c>
      <c r="D4" s="1769">
        <f>+'PLAN DE DESARROLLO '!M128</f>
        <v>0.73724365084391763</v>
      </c>
    </row>
    <row r="5" spans="3:4" ht="46.5" customHeight="1" x14ac:dyDescent="0.25">
      <c r="C5" s="24" t="str">
        <f>+'PLAN DE DESARROLLO '!B129</f>
        <v>LÍNEA ESTRATÉGICA GESTIÓN Y DESEMPEÑO INSTITUCIONAL PARA LA GOBERNANZA</v>
      </c>
      <c r="D5" s="1750">
        <f>+'PLAN DE DESARROLLO '!M129</f>
        <v>0.76864880952380954</v>
      </c>
    </row>
    <row r="6" spans="3:4" ht="44.25" customHeight="1" x14ac:dyDescent="0.25">
      <c r="C6" s="24" t="str">
        <f>+'PLAN DE DESARROLLO '!B132</f>
        <v>LÍNEA ESTRATÉGICA: CARTAGENA INTELIGENTE CON TODOS Y PARA  TODOS</v>
      </c>
      <c r="D6" s="1751">
        <f>+'PLAN DE DESARROLLO '!M132</f>
        <v>0.84028571428571419</v>
      </c>
    </row>
    <row r="7" spans="3:4" ht="36" customHeight="1" x14ac:dyDescent="0.25">
      <c r="C7" s="24" t="str">
        <f>+'PLAN DE DESARROLLO '!B138</f>
        <v>LÍNEA ESTRATÉGICA: CONVIVENCIA Y SEGURIDAD PARA LA GOBERNABILIDAD</v>
      </c>
      <c r="D7" s="1751">
        <f>+'PLAN DE DESARROLLO '!M138</f>
        <v>0.74869852369852374</v>
      </c>
    </row>
    <row r="8" spans="3:4" ht="33.75" customHeight="1" x14ac:dyDescent="0.25">
      <c r="C8" s="24" t="str">
        <f>+'PLAN DE DESARROLLO '!B150</f>
        <v>LÍNEA ESTRATÉGICA DERECHOS HUMANOS PARA LA PAZ</v>
      </c>
      <c r="D8" s="1751">
        <f>+'PLAN DE DESARROLLO '!M150</f>
        <v>0.64172277517564402</v>
      </c>
    </row>
    <row r="9" spans="3:4" ht="42" customHeight="1" x14ac:dyDescent="0.25">
      <c r="C9" s="24" t="str">
        <f>+'PLAN DE DESARROLLO '!B153</f>
        <v>LÍNEA ESTRATÉGICA: ATENCIÓN Y REPARACIÓN A VICTIMAS PARA LA CONSTRUCCIÓN DE LA  PAZ TERRITORIAL</v>
      </c>
      <c r="D9" s="1768">
        <f>+'PLAN DE DESARROLLO '!M153</f>
        <v>0.77276981961497648</v>
      </c>
    </row>
    <row r="10" spans="3:4" ht="46.5" customHeight="1" x14ac:dyDescent="0.25">
      <c r="C10" s="24" t="str">
        <f>+'PLAN DE DESARROLLO '!B156</f>
        <v>LÍNEA ESTRATÉGICA: CULTURA CIUDADANA PARA LA DEMOCRACIA Y LA PAZ</v>
      </c>
      <c r="D10" s="1749">
        <f>+'PLAN DE DESARROLLO '!M156</f>
        <v>0.90395399191600945</v>
      </c>
    </row>
    <row r="11" spans="3:4" ht="32.25" customHeight="1" x14ac:dyDescent="0.25">
      <c r="C11" s="24" t="str">
        <f>+'PLAN DE DESARROLLO '!B163</f>
        <v xml:space="preserve">LÍNEA ESTRATÉGICA: PARTICIPACIÓN Y DESCENTRALIZACIÓN </v>
      </c>
      <c r="D11" s="1751">
        <f>+'PLAN DE DESARROLLO '!M163</f>
        <v>0.66016670881692485</v>
      </c>
    </row>
    <row r="12" spans="3:4" ht="34.5" customHeight="1" x14ac:dyDescent="0.25">
      <c r="C12" s="24" t="str">
        <f>+'PLAN DE DESARROLLO '!B168</f>
        <v>LÍNEA ESTRATÉGICA: FINANZAS PÚBLICAS PARA SALVAR A CARTAGENA</v>
      </c>
      <c r="D12" s="1750">
        <f>+'PLAN DE DESARROLLO '!M168</f>
        <v>0.56170286371973865</v>
      </c>
    </row>
    <row r="14" spans="3:4" x14ac:dyDescent="0.25">
      <c r="C14" s="833" t="s">
        <v>2137</v>
      </c>
      <c r="D14" s="45" t="s">
        <v>2291</v>
      </c>
    </row>
    <row r="15" spans="3:4" ht="45" x14ac:dyDescent="0.25">
      <c r="C15" s="836" t="str">
        <f>+'PLAN DE DESARROLLO '!B129</f>
        <v>LÍNEA ESTRATÉGICA GESTIÓN Y DESEMPEÑO INSTITUCIONAL PARA LA GOBERNANZA</v>
      </c>
      <c r="D15" s="1752">
        <f>+'PLAN DE DESARROLLO '!M129</f>
        <v>0.76864880952380954</v>
      </c>
    </row>
    <row r="16" spans="3:4" ht="30" x14ac:dyDescent="0.25">
      <c r="C16" s="24" t="str">
        <f>+'PLAN DE DESARROLLO '!B130</f>
        <v>Programa: Gestión pública integrada y transparente</v>
      </c>
      <c r="D16" s="1730">
        <f>+'PLAN DE DESARROLLO '!M130</f>
        <v>0.72479761904761908</v>
      </c>
    </row>
    <row r="17" spans="3:4" ht="45" x14ac:dyDescent="0.25">
      <c r="C17" s="24" t="str">
        <f>+'PLAN DE DESARROLLO '!B131</f>
        <v>Programa: Transparencia para el fortalecimiento de la   confianza en las instituciones del distrito de Cartagena.</v>
      </c>
      <c r="D17" s="1731">
        <f>+'PLAN DE DESARROLLO '!M131</f>
        <v>0.8125</v>
      </c>
    </row>
    <row r="18" spans="3:4" x14ac:dyDescent="0.25">
      <c r="C18" s="815"/>
      <c r="D18" s="852"/>
    </row>
    <row r="19" spans="3:4" x14ac:dyDescent="0.25">
      <c r="C19" s="815"/>
      <c r="D19" s="852"/>
    </row>
    <row r="20" spans="3:4" x14ac:dyDescent="0.25">
      <c r="C20" s="833" t="s">
        <v>2137</v>
      </c>
      <c r="D20" s="45" t="s">
        <v>2291</v>
      </c>
    </row>
    <row r="21" spans="3:4" ht="46.5" customHeight="1" x14ac:dyDescent="0.25">
      <c r="C21" s="836" t="str">
        <f>+'PLAN DE DESARROLLO '!B132</f>
        <v>LÍNEA ESTRATÉGICA: CARTAGENA INTELIGENTE CON TODOS Y PARA  TODOS</v>
      </c>
      <c r="D21" s="1770">
        <f>+'PLAN DE DESARROLLO '!M132</f>
        <v>0.84028571428571419</v>
      </c>
    </row>
    <row r="22" spans="3:4" ht="32.25" customHeight="1" x14ac:dyDescent="0.25">
      <c r="C22" s="24" t="str">
        <f>+'PLAN DE DESARROLLO '!B133</f>
        <v>Programa: Cartagena inteligente con todos y para todos</v>
      </c>
      <c r="D22" s="1729">
        <f>+'PLAN DE DESARROLLO '!M133</f>
        <v>0.5714285714285714</v>
      </c>
    </row>
    <row r="23" spans="3:4" ht="42.75" customHeight="1" x14ac:dyDescent="0.25">
      <c r="C23" s="24" t="str">
        <f>+'PLAN DE DESARROLLO '!B134</f>
        <v>Programa: Cartageneros conectados y alfabetizados</v>
      </c>
      <c r="D23" s="1731">
        <f>+'PLAN DE DESARROLLO '!M134</f>
        <v>1</v>
      </c>
    </row>
    <row r="24" spans="3:4" ht="36" customHeight="1" x14ac:dyDescent="0.25">
      <c r="C24" s="24" t="str">
        <f>+'PLAN DE DESARROLLO '!B135</f>
        <v>Programa: Cartagena hacia la modernidad</v>
      </c>
      <c r="D24" s="1731">
        <f>+'PLAN DE DESARROLLO '!M135</f>
        <v>0.88</v>
      </c>
    </row>
    <row r="25" spans="3:4" ht="53.25" customHeight="1" x14ac:dyDescent="0.25">
      <c r="C25" s="24" t="str">
        <f>+'PLAN DE DESARROLLO '!B136</f>
        <v xml:space="preserve">Programa: Organización y recuperación del patrimonio público del distrito de Cartagena </v>
      </c>
      <c r="D25" s="1733">
        <f>+'PLAN DE DESARROLLO '!M136</f>
        <v>1</v>
      </c>
    </row>
    <row r="26" spans="3:4" ht="32.25" customHeight="1" x14ac:dyDescent="0.25">
      <c r="C26" s="24" t="str">
        <f>+'PLAN DE DESARROLLO '!B137</f>
        <v>Programa: Premio Jorge Piedrahita Aduen</v>
      </c>
      <c r="D26" s="1729">
        <f>+'PLAN DE DESARROLLO '!M137</f>
        <v>0.75</v>
      </c>
    </row>
    <row r="27" spans="3:4" ht="15.75" customHeight="1" x14ac:dyDescent="0.25">
      <c r="C27" s="815"/>
      <c r="D27" s="852"/>
    </row>
    <row r="28" spans="3:4" ht="15.75" customHeight="1" x14ac:dyDescent="0.25">
      <c r="C28" s="815"/>
      <c r="D28" s="852"/>
    </row>
    <row r="29" spans="3:4" ht="15.75" customHeight="1" x14ac:dyDescent="0.25">
      <c r="C29" s="833" t="s">
        <v>2137</v>
      </c>
      <c r="D29" s="45" t="s">
        <v>2291</v>
      </c>
    </row>
    <row r="30" spans="3:4" ht="56.25" customHeight="1" x14ac:dyDescent="0.25">
      <c r="C30" s="24" t="str">
        <f>+'PLAN DE DESARROLLO '!B138</f>
        <v>LÍNEA ESTRATÉGICA: CONVIVENCIA Y SEGURIDAD PARA LA GOBERNABILIDAD</v>
      </c>
      <c r="D30" s="1770">
        <f>+'PLAN DE DESARROLLO '!M138</f>
        <v>0.74869852369852374</v>
      </c>
    </row>
    <row r="31" spans="3:4" ht="32.25" customHeight="1" x14ac:dyDescent="0.25">
      <c r="C31" s="24" t="str">
        <f>+'PLAN DE DESARROLLO '!B139</f>
        <v>Programa:   Plan integral de seguridad y convivencia ciudadana</v>
      </c>
      <c r="D31" s="1731">
        <f>+'PLAN DE DESARROLLO '!M139</f>
        <v>0.875</v>
      </c>
    </row>
    <row r="32" spans="3:4" ht="28.5" customHeight="1" x14ac:dyDescent="0.25">
      <c r="C32" s="24" t="str">
        <f>+'PLAN DE DESARROLLO '!B140</f>
        <v>Programa:    Fortalecimiento de la convivencia y la seguridad ciudadana</v>
      </c>
      <c r="D32" s="1731">
        <f>+'PLAN DE DESARROLLO '!M140</f>
        <v>1</v>
      </c>
    </row>
    <row r="33" spans="3:4" ht="43.5" customHeight="1" x14ac:dyDescent="0.25">
      <c r="C33" s="24" t="str">
        <f>+'PLAN DE DESARROLLO '!B141</f>
        <v>Programa:   Mejorar la convivencia ciudadana con la implementación del código nacional de policía y convivencia</v>
      </c>
      <c r="D33" s="1733">
        <f>+'PLAN DE DESARROLLO '!M141</f>
        <v>0.5</v>
      </c>
    </row>
    <row r="34" spans="3:4" ht="42.75" customHeight="1" x14ac:dyDescent="0.25">
      <c r="C34" s="24" t="str">
        <f>+'PLAN DE DESARROLLO '!B142</f>
        <v>Programa:    Fortalecimiento capacidad operativa de la secretaria del interior y convivencia ciudadana</v>
      </c>
      <c r="D34" s="1732">
        <f>+'PLAN DE DESARROLLO '!M142</f>
        <v>0.88846153846153841</v>
      </c>
    </row>
    <row r="35" spans="3:4" ht="42" customHeight="1" x14ac:dyDescent="0.25">
      <c r="C35" s="24" t="str">
        <f>+'PLAN DE DESARROLLO '!B143</f>
        <v>Programa:   Promoción al acceso a la justicia</v>
      </c>
      <c r="D35" s="1731">
        <f>+'PLAN DE DESARROLLO '!M143</f>
        <v>0.875</v>
      </c>
    </row>
    <row r="36" spans="3:4" ht="45" customHeight="1" x14ac:dyDescent="0.25">
      <c r="C36" s="24" t="str">
        <f>+'PLAN DE DESARROLLO '!B144</f>
        <v>Programa:    Asistencia y atención integral a los niños, niñas,  adolescentes y jóvenes en riesgo de vincularse a actividades delictivas</v>
      </c>
      <c r="D36" s="1731">
        <f>+'PLAN DE DESARROLLO '!M144</f>
        <v>0.88888888888888884</v>
      </c>
    </row>
    <row r="37" spans="3:4" ht="45" customHeight="1" x14ac:dyDescent="0.25">
      <c r="C37" s="24" t="str">
        <f>+'PLAN DE DESARROLLO '!B145</f>
        <v>Programa:    Fortalecimiento sistema de responsabilidad penal para adolescentes –SRPA</v>
      </c>
      <c r="D37" s="808">
        <f>+'PLAN DE DESARROLLO '!M145</f>
        <v>0.25</v>
      </c>
    </row>
    <row r="38" spans="3:4" ht="44.25" customHeight="1" x14ac:dyDescent="0.25">
      <c r="C38" s="24" t="str">
        <f>+'PLAN DE DESARROLLO '!B146</f>
        <v>Programa: Implementación y sostenimiento de herramientas tecnológicas para seguridad y socorro</v>
      </c>
      <c r="D38" s="808">
        <f>+'PLAN DE DESARROLLO '!M146</f>
        <v>0.33333333333333331</v>
      </c>
    </row>
    <row r="39" spans="3:4" ht="54.75" customHeight="1" x14ac:dyDescent="0.25">
      <c r="C39" s="24" t="str">
        <f>+'PLAN DE DESARROLLO '!B147</f>
        <v>Programa: Optimización de la infraestructura y movilidad de los organismos de seguridad y socorro</v>
      </c>
      <c r="D39" s="1746">
        <f>+'PLAN DE DESARROLLO '!M147</f>
        <v>0.625</v>
      </c>
    </row>
    <row r="40" spans="3:4" ht="38.25" customHeight="1" x14ac:dyDescent="0.25">
      <c r="C40" s="24" t="str">
        <f>+'PLAN DE DESARROLLO '!B148</f>
        <v>Programa: Vigilancia de las playas del distrito de Cartagena</v>
      </c>
      <c r="D40" s="1728">
        <f>+'PLAN DE DESARROLLO '!M148</f>
        <v>1</v>
      </c>
    </row>
    <row r="41" spans="3:4" ht="33" customHeight="1" x14ac:dyDescent="0.25">
      <c r="C41" s="47" t="str">
        <f>+'PLAN DE DESARROLLO '!B149</f>
        <v>Programa Convivencia para la Seguridad</v>
      </c>
      <c r="D41" s="1746">
        <f>+'PLAN DE DESARROLLO '!M149</f>
        <v>1</v>
      </c>
    </row>
    <row r="42" spans="3:4" ht="15.75" customHeight="1" x14ac:dyDescent="0.25">
      <c r="C42" s="815"/>
      <c r="D42" s="852"/>
    </row>
    <row r="43" spans="3:4" ht="15.75" customHeight="1" x14ac:dyDescent="0.25">
      <c r="C43" s="833" t="s">
        <v>2137</v>
      </c>
      <c r="D43" s="45" t="s">
        <v>2291</v>
      </c>
    </row>
    <row r="44" spans="3:4" ht="42.75" customHeight="1" x14ac:dyDescent="0.25">
      <c r="C44" s="24" t="str">
        <f>+'PLAN DE DESARROLLO '!B150</f>
        <v>LÍNEA ESTRATÉGICA DERECHOS HUMANOS PARA LA PAZ</v>
      </c>
      <c r="D44" s="1770">
        <f>+'PLAN DE DESARROLLO '!M150</f>
        <v>0.64172277517564402</v>
      </c>
    </row>
    <row r="45" spans="3:4" ht="44.25" customHeight="1" x14ac:dyDescent="0.25">
      <c r="C45" s="24" t="str">
        <f>+'PLAN DE DESARROLLO '!B151</f>
        <v>Programa: Prevención, promoción y protección de los derechos humanos en el distrito de Cartagena</v>
      </c>
      <c r="D45" s="1731">
        <f>+'PLAN DE DESARROLLO '!M151</f>
        <v>0.81469555035128793</v>
      </c>
    </row>
    <row r="46" spans="3:4" ht="57" customHeight="1" x14ac:dyDescent="0.25">
      <c r="C46" s="24" t="str">
        <f>+'PLAN DE DESARROLLO '!B152</f>
        <v>Programa:   Sistema penitenciario y carcelario en el marco de los derechos humanos</v>
      </c>
      <c r="D46" s="1733">
        <f>+'PLAN DE DESARROLLO '!M152</f>
        <v>0.46875</v>
      </c>
    </row>
    <row r="47" spans="3:4" ht="15.75" customHeight="1" x14ac:dyDescent="0.25">
      <c r="C47" s="815"/>
      <c r="D47" s="852"/>
    </row>
    <row r="48" spans="3:4" ht="15.75" customHeight="1" x14ac:dyDescent="0.25">
      <c r="C48" s="815"/>
      <c r="D48" s="852"/>
    </row>
    <row r="49" spans="3:4" ht="15.75" customHeight="1" x14ac:dyDescent="0.25">
      <c r="C49" s="815"/>
      <c r="D49" s="852"/>
    </row>
    <row r="50" spans="3:4" ht="15.75" customHeight="1" x14ac:dyDescent="0.25">
      <c r="C50" s="815"/>
      <c r="D50" s="852"/>
    </row>
    <row r="51" spans="3:4" ht="15.75" customHeight="1" x14ac:dyDescent="0.25">
      <c r="C51" s="815"/>
      <c r="D51" s="852"/>
    </row>
    <row r="52" spans="3:4" ht="15.75" customHeight="1" x14ac:dyDescent="0.25">
      <c r="C52" s="833" t="s">
        <v>2137</v>
      </c>
      <c r="D52" s="45" t="s">
        <v>2291</v>
      </c>
    </row>
    <row r="53" spans="3:4" ht="63.75" customHeight="1" x14ac:dyDescent="0.25">
      <c r="C53" s="836" t="str">
        <f>+'PLAN DE DESARROLLO '!B153</f>
        <v>LÍNEA ESTRATÉGICA: ATENCIÓN Y REPARACIÓN A VICTIMAS PARA LA CONSTRUCCIÓN DE LA  PAZ TERRITORIAL</v>
      </c>
      <c r="D53" s="1753">
        <f>+'PLAN DE DESARROLLO '!M153</f>
        <v>0.77276981961497648</v>
      </c>
    </row>
    <row r="54" spans="3:4" ht="41.25" customHeight="1" x14ac:dyDescent="0.25">
      <c r="C54" s="24" t="str">
        <f>+'PLAN DE DESARROLLO '!B154</f>
        <v>Programa: Atención, asistencia y reparación integral a las víctimas</v>
      </c>
      <c r="D54" s="1728">
        <f>+'PLAN DE DESARROLLO '!M154</f>
        <v>0.65665075034106413</v>
      </c>
    </row>
    <row r="55" spans="3:4" ht="41.25" customHeight="1" x14ac:dyDescent="0.25">
      <c r="C55" s="24" t="str">
        <f>+'PLAN DE DESARROLLO '!B155</f>
        <v>Programa: Construcción de paz territorial</v>
      </c>
      <c r="D55" s="1732">
        <f>+'PLAN DE DESARROLLO '!M155</f>
        <v>0.88888888888888884</v>
      </c>
    </row>
    <row r="56" spans="3:4" ht="15.75" customHeight="1" x14ac:dyDescent="0.25">
      <c r="C56" s="815"/>
      <c r="D56" s="852"/>
    </row>
    <row r="57" spans="3:4" ht="15.75" customHeight="1" x14ac:dyDescent="0.25">
      <c r="C57" s="815"/>
      <c r="D57" s="852"/>
    </row>
    <row r="58" spans="3:4" ht="15.75" customHeight="1" x14ac:dyDescent="0.25">
      <c r="C58" s="815"/>
      <c r="D58" s="852"/>
    </row>
    <row r="59" spans="3:4" ht="15.75" customHeight="1" x14ac:dyDescent="0.25">
      <c r="C59" s="815"/>
      <c r="D59" s="852"/>
    </row>
    <row r="60" spans="3:4" ht="15.75" customHeight="1" x14ac:dyDescent="0.25">
      <c r="C60" s="833" t="s">
        <v>2137</v>
      </c>
      <c r="D60" s="45" t="s">
        <v>2291</v>
      </c>
    </row>
    <row r="61" spans="3:4" ht="42.75" customHeight="1" x14ac:dyDescent="0.25">
      <c r="C61" s="836" t="str">
        <f>+'PLAN DE DESARROLLO '!B156</f>
        <v>LÍNEA ESTRATÉGICA: CULTURA CIUDADANA PARA LA DEMOCRACIA Y LA PAZ</v>
      </c>
      <c r="D61" s="1755">
        <f>+'PLAN DE DESARROLLO '!M156</f>
        <v>0.90395399191600945</v>
      </c>
    </row>
    <row r="62" spans="3:4" ht="33" customHeight="1" x14ac:dyDescent="0.25">
      <c r="C62" s="24" t="str">
        <f>+'PLAN DE DESARROLLO '!B157</f>
        <v>Programa: Servidor y servidora pública al servicio de la ciudadanía</v>
      </c>
      <c r="D62" s="1731">
        <f>+'PLAN DE DESARROLLO '!M157</f>
        <v>1</v>
      </c>
    </row>
    <row r="63" spans="3:4" ht="36" customHeight="1" x14ac:dyDescent="0.25">
      <c r="C63" s="24" t="str">
        <f>+'PLAN DE DESARROLLO '!B158</f>
        <v>Programa: Ciudadanía libre, incluyente y transformadora</v>
      </c>
      <c r="D63" s="1731">
        <f>+'PLAN DE DESARROLLO '!M158</f>
        <v>1</v>
      </c>
    </row>
    <row r="64" spans="3:4" ht="48.75" customHeight="1" x14ac:dyDescent="0.25">
      <c r="C64" s="24" t="str">
        <f>+'PLAN DE DESARROLLO '!B159</f>
        <v>Programa: Cartagena te quiere, quiere a Cartagena: plan decenal de cultura ciudadana y Cartageneidad.</v>
      </c>
      <c r="D64" s="1728">
        <f>+'PLAN DE DESARROLLO '!M159</f>
        <v>0.75</v>
      </c>
    </row>
    <row r="65" spans="3:4" ht="24" customHeight="1" x14ac:dyDescent="0.25">
      <c r="C65" s="24" t="str">
        <f>+'PLAN DE DESARROLLO '!B160</f>
        <v>Programa: Yo soy Cartagena</v>
      </c>
      <c r="D65" s="1746">
        <f>+'PLAN DE DESARROLLO '!M160</f>
        <v>1</v>
      </c>
    </row>
    <row r="66" spans="3:4" ht="15.75" customHeight="1" x14ac:dyDescent="0.25">
      <c r="C66" s="24" t="str">
        <f>+'PLAN DE DESARROLLO '!B161</f>
        <v>Programa: Nuestra Cartagena soñada.</v>
      </c>
      <c r="D66" s="1746">
        <f>+'PLAN DE DESARROLLO '!M161</f>
        <v>0.92372395149605691</v>
      </c>
    </row>
    <row r="67" spans="3:4" ht="15.75" customHeight="1" x14ac:dyDescent="0.25">
      <c r="C67" s="24" t="str">
        <f>+'PLAN DE DESARROLLO '!B162</f>
        <v>Programa Conéctate Con Cartagena</v>
      </c>
      <c r="D67" s="1729">
        <f>+'PLAN DE DESARROLLO '!M162</f>
        <v>0.75</v>
      </c>
    </row>
    <row r="68" spans="3:4" ht="15.75" customHeight="1" x14ac:dyDescent="0.25">
      <c r="C68" s="815"/>
      <c r="D68" s="852"/>
    </row>
    <row r="69" spans="3:4" ht="15.75" customHeight="1" x14ac:dyDescent="0.25">
      <c r="C69" s="815"/>
      <c r="D69" s="852"/>
    </row>
    <row r="70" spans="3:4" ht="15.75" customHeight="1" x14ac:dyDescent="0.25">
      <c r="C70" s="815"/>
      <c r="D70" s="852"/>
    </row>
    <row r="71" spans="3:4" ht="15.75" customHeight="1" x14ac:dyDescent="0.25">
      <c r="C71" s="815"/>
      <c r="D71" s="852"/>
    </row>
    <row r="72" spans="3:4" ht="15.75" customHeight="1" x14ac:dyDescent="0.25">
      <c r="C72" s="815"/>
      <c r="D72" s="852"/>
    </row>
    <row r="73" spans="3:4" ht="15.75" customHeight="1" x14ac:dyDescent="0.25">
      <c r="C73" s="833" t="s">
        <v>2137</v>
      </c>
      <c r="D73" s="45" t="s">
        <v>2291</v>
      </c>
    </row>
    <row r="74" spans="3:4" ht="44.25" customHeight="1" x14ac:dyDescent="0.25">
      <c r="C74" s="836" t="str">
        <f>+'PLAN DE DESARROLLO '!B163</f>
        <v xml:space="preserve">LÍNEA ESTRATÉGICA: PARTICIPACIÓN Y DESCENTRALIZACIÓN </v>
      </c>
      <c r="D74" s="1770">
        <f>+'PLAN DE DESARROLLO '!M163</f>
        <v>0.66016670881692485</v>
      </c>
    </row>
    <row r="75" spans="3:4" ht="41.25" customHeight="1" x14ac:dyDescent="0.25">
      <c r="C75" s="24" t="str">
        <f>+'PLAN DE DESARROLLO '!B164</f>
        <v>Programa: Participando salvamos a Cartagena</v>
      </c>
      <c r="D75" s="1728">
        <f>+'PLAN DE DESARROLLO '!M164</f>
        <v>0.62901864496929294</v>
      </c>
    </row>
    <row r="76" spans="3:4" ht="49.5" customHeight="1" x14ac:dyDescent="0.25">
      <c r="C76" s="24" t="str">
        <f>+'PLAN DE DESARROLLO '!B165</f>
        <v xml:space="preserve">Programa: Modernización del Sistema Distrital de Planeación y Descentralización  </v>
      </c>
      <c r="D76" s="1731">
        <f>+'PLAN DE DESARROLLO '!M165</f>
        <v>0.75148148148148153</v>
      </c>
    </row>
    <row r="77" spans="3:4" ht="57" customHeight="1" x14ac:dyDescent="0.25">
      <c r="C77" s="24" t="str">
        <f>+'PLAN DE DESARROLLO '!B166</f>
        <v xml:space="preserve">Programa: Políticas Públicas intersectoriales y con visión Integral de enfoques basados en derechos humanos </v>
      </c>
      <c r="D77" s="1728">
        <f>+'PLAN DE DESARROLLO '!M166</f>
        <v>0.6</v>
      </c>
    </row>
    <row r="78" spans="3:4" ht="15.75" customHeight="1" x14ac:dyDescent="0.25">
      <c r="C78" s="24" t="str">
        <f>+'PLAN DE DESARROLLO '!B167</f>
        <v>Programa:   Presupuesto participativo</v>
      </c>
      <c r="D78" s="808">
        <f>+'PLAN DE DESARROLLO '!M167</f>
        <v>0</v>
      </c>
    </row>
    <row r="79" spans="3:4" ht="15.75" customHeight="1" x14ac:dyDescent="0.25">
      <c r="C79" s="815"/>
      <c r="D79" s="852"/>
    </row>
    <row r="80" spans="3:4" ht="15.75" customHeight="1" x14ac:dyDescent="0.25">
      <c r="C80" s="815"/>
      <c r="D80" s="852"/>
    </row>
    <row r="81" spans="3:4" ht="15.75" customHeight="1" x14ac:dyDescent="0.25">
      <c r="C81" s="815"/>
      <c r="D81" s="852"/>
    </row>
    <row r="82" spans="3:4" ht="15.75" customHeight="1" x14ac:dyDescent="0.25">
      <c r="C82" s="833" t="s">
        <v>2137</v>
      </c>
      <c r="D82" s="45" t="s">
        <v>2291</v>
      </c>
    </row>
    <row r="83" spans="3:4" ht="36.75" customHeight="1" x14ac:dyDescent="0.25">
      <c r="C83" s="836" t="str">
        <f>+'PLAN DE DESARROLLO '!B168</f>
        <v>LÍNEA ESTRATÉGICA: FINANZAS PÚBLICAS PARA SALVAR A CARTAGENA</v>
      </c>
      <c r="D83" s="1728">
        <f>+'PLAN DE DESARROLLO '!M168</f>
        <v>0.56170286371973865</v>
      </c>
    </row>
    <row r="84" spans="3:4" ht="36" customHeight="1" x14ac:dyDescent="0.25">
      <c r="C84" s="24" t="str">
        <f>+'PLAN DE DESARROLLO '!B169</f>
        <v>Programa: Finanzas sostenibles para salvar a Cartagena</v>
      </c>
      <c r="D84" s="1731">
        <f>+'PLAN DE DESARROLLO '!M169</f>
        <v>0.81626898025952777</v>
      </c>
    </row>
    <row r="85" spans="3:4" ht="44.25" customHeight="1" x14ac:dyDescent="0.25">
      <c r="C85" s="24" t="str">
        <f>+'PLAN DE DESARROLLO '!B170</f>
        <v>Programa: Saneamiento fiscal y financiero</v>
      </c>
      <c r="D85" s="808">
        <f>+'PLAN DE DESARROLLO '!M170</f>
        <v>0.30713674717994949</v>
      </c>
    </row>
    <row r="86" spans="3:4" ht="15.75" customHeight="1" x14ac:dyDescent="0.25">
      <c r="C86" s="815"/>
      <c r="D86" s="852"/>
    </row>
    <row r="87" spans="3:4" ht="15.75" customHeight="1" x14ac:dyDescent="0.25">
      <c r="C87" s="815"/>
      <c r="D87" s="852"/>
    </row>
    <row r="88" spans="3:4" ht="15.75" customHeight="1" x14ac:dyDescent="0.25">
      <c r="C88" s="815"/>
      <c r="D88" s="852"/>
    </row>
    <row r="89" spans="3:4" ht="15.75" customHeight="1" x14ac:dyDescent="0.25">
      <c r="C89" s="815"/>
      <c r="D89" s="852"/>
    </row>
    <row r="90" spans="3:4" ht="15.75" customHeight="1" x14ac:dyDescent="0.25">
      <c r="C90" s="815"/>
      <c r="D90" s="852"/>
    </row>
    <row r="91" spans="3:4" ht="15.75" customHeight="1" x14ac:dyDescent="0.25">
      <c r="C91" s="815"/>
      <c r="D91" s="852"/>
    </row>
    <row r="92" spans="3:4" ht="15.75" customHeight="1" x14ac:dyDescent="0.25">
      <c r="C92" s="815"/>
      <c r="D92" s="852"/>
    </row>
    <row r="93" spans="3:4" ht="15.75" customHeight="1" x14ac:dyDescent="0.25">
      <c r="C93" s="815"/>
      <c r="D93" s="852"/>
    </row>
    <row r="94" spans="3:4" ht="15.75" customHeight="1" x14ac:dyDescent="0.25">
      <c r="C94" s="815"/>
      <c r="D94" s="852"/>
    </row>
    <row r="95" spans="3:4" ht="15.75" customHeight="1" x14ac:dyDescent="0.25">
      <c r="C95" s="815"/>
      <c r="D95" s="852"/>
    </row>
    <row r="96" spans="3:4" ht="15.75" customHeight="1" x14ac:dyDescent="0.25">
      <c r="C96" s="815"/>
      <c r="D96" s="852"/>
    </row>
    <row r="97" spans="3:4" ht="15.75" customHeight="1" x14ac:dyDescent="0.25">
      <c r="C97" s="815"/>
      <c r="D97" s="852"/>
    </row>
    <row r="98" spans="3:4" ht="15.75" customHeight="1" x14ac:dyDescent="0.25">
      <c r="C98" s="815"/>
      <c r="D98" s="852"/>
    </row>
    <row r="99" spans="3:4" ht="15.75" customHeight="1" x14ac:dyDescent="0.25">
      <c r="C99" s="815"/>
      <c r="D99" s="852"/>
    </row>
    <row r="100" spans="3:4" ht="15.75" customHeight="1" x14ac:dyDescent="0.25">
      <c r="C100" s="815"/>
      <c r="D100" s="852"/>
    </row>
    <row r="101" spans="3:4" ht="15.75" customHeight="1" x14ac:dyDescent="0.25">
      <c r="C101" s="815"/>
      <c r="D101" s="852"/>
    </row>
    <row r="102" spans="3:4" ht="15.75" customHeight="1" x14ac:dyDescent="0.25">
      <c r="C102" s="815"/>
      <c r="D102" s="852"/>
    </row>
    <row r="103" spans="3:4" ht="15.75" customHeight="1" x14ac:dyDescent="0.25">
      <c r="C103" s="815"/>
      <c r="D103" s="852"/>
    </row>
    <row r="104" spans="3:4" ht="15.75" customHeight="1" x14ac:dyDescent="0.25">
      <c r="C104" s="815"/>
      <c r="D104" s="852"/>
    </row>
    <row r="105" spans="3:4" ht="15.75" customHeight="1" x14ac:dyDescent="0.25">
      <c r="C105" s="815"/>
      <c r="D105" s="852"/>
    </row>
    <row r="106" spans="3:4" ht="15.75" customHeight="1" x14ac:dyDescent="0.25">
      <c r="C106" s="815"/>
      <c r="D106" s="852"/>
    </row>
    <row r="107" spans="3:4" ht="15.75" customHeight="1" x14ac:dyDescent="0.25">
      <c r="C107" s="815"/>
      <c r="D107" s="852"/>
    </row>
    <row r="108" spans="3:4" ht="15.75" customHeight="1" x14ac:dyDescent="0.25">
      <c r="C108" s="815"/>
      <c r="D108" s="852"/>
    </row>
    <row r="109" spans="3:4" ht="15.75" customHeight="1" x14ac:dyDescent="0.25">
      <c r="C109" s="815"/>
      <c r="D109" s="852"/>
    </row>
    <row r="110" spans="3:4" ht="15.75" customHeight="1" x14ac:dyDescent="0.25">
      <c r="C110" s="815"/>
      <c r="D110" s="852"/>
    </row>
    <row r="111" spans="3:4" ht="15.75" customHeight="1" x14ac:dyDescent="0.25">
      <c r="C111" s="815"/>
      <c r="D111" s="852"/>
    </row>
    <row r="112" spans="3:4" ht="15.75" customHeight="1" x14ac:dyDescent="0.25">
      <c r="C112" s="815"/>
      <c r="D112" s="852"/>
    </row>
    <row r="113" spans="3:4" ht="15.75" customHeight="1" x14ac:dyDescent="0.25">
      <c r="C113" s="815"/>
      <c r="D113" s="852"/>
    </row>
    <row r="114" spans="3:4" ht="15.75" customHeight="1" x14ac:dyDescent="0.25">
      <c r="C114" s="815"/>
      <c r="D114" s="852"/>
    </row>
    <row r="115" spans="3:4" ht="15.75" customHeight="1" x14ac:dyDescent="0.25">
      <c r="C115" s="815"/>
      <c r="D115" s="852"/>
    </row>
    <row r="116" spans="3:4" ht="15.75" customHeight="1" x14ac:dyDescent="0.25">
      <c r="C116" s="815"/>
      <c r="D116" s="852"/>
    </row>
    <row r="117" spans="3:4" ht="15.75" customHeight="1" x14ac:dyDescent="0.25">
      <c r="C117" s="815"/>
      <c r="D117" s="852"/>
    </row>
    <row r="118" spans="3:4" ht="15.75" customHeight="1" x14ac:dyDescent="0.25">
      <c r="C118" s="815"/>
      <c r="D118" s="852"/>
    </row>
    <row r="119" spans="3:4" ht="15.75" customHeight="1" x14ac:dyDescent="0.25">
      <c r="C119" s="815"/>
      <c r="D119" s="852"/>
    </row>
    <row r="120" spans="3:4" ht="15.75" customHeight="1" x14ac:dyDescent="0.25">
      <c r="C120" s="815"/>
      <c r="D120" s="852"/>
    </row>
    <row r="121" spans="3:4" ht="15.75" customHeight="1" x14ac:dyDescent="0.25">
      <c r="C121" s="815"/>
      <c r="D121" s="852"/>
    </row>
    <row r="122" spans="3:4" ht="15.75" customHeight="1" x14ac:dyDescent="0.25">
      <c r="C122" s="815"/>
      <c r="D122" s="852"/>
    </row>
    <row r="123" spans="3:4" ht="15.75" customHeight="1" x14ac:dyDescent="0.25">
      <c r="C123" s="815"/>
      <c r="D123" s="852"/>
    </row>
    <row r="124" spans="3:4" ht="15.75" customHeight="1" x14ac:dyDescent="0.25">
      <c r="C124" s="815"/>
      <c r="D124" s="852"/>
    </row>
    <row r="125" spans="3:4" ht="15.75" customHeight="1" x14ac:dyDescent="0.25">
      <c r="C125" s="815"/>
      <c r="D125" s="852"/>
    </row>
    <row r="126" spans="3:4" ht="15.75" customHeight="1" x14ac:dyDescent="0.25">
      <c r="C126" s="815"/>
      <c r="D126" s="852"/>
    </row>
    <row r="127" spans="3:4" ht="15.75" customHeight="1" x14ac:dyDescent="0.25">
      <c r="C127" s="815"/>
      <c r="D127" s="852"/>
    </row>
    <row r="128" spans="3:4" ht="15.75" customHeight="1" x14ac:dyDescent="0.25">
      <c r="C128" s="815"/>
      <c r="D128" s="852"/>
    </row>
    <row r="129" spans="3:4" ht="15.75" customHeight="1" x14ac:dyDescent="0.25">
      <c r="C129" s="815"/>
      <c r="D129" s="852"/>
    </row>
    <row r="130" spans="3:4" ht="15.75" customHeight="1" x14ac:dyDescent="0.25">
      <c r="C130" s="815"/>
      <c r="D130" s="852"/>
    </row>
    <row r="131" spans="3:4" ht="15.75" customHeight="1" x14ac:dyDescent="0.25">
      <c r="C131" s="815"/>
      <c r="D131" s="852"/>
    </row>
    <row r="132" spans="3:4" ht="15.75" customHeight="1" x14ac:dyDescent="0.25">
      <c r="C132" s="815"/>
      <c r="D132" s="852"/>
    </row>
    <row r="133" spans="3:4" ht="15.75" customHeight="1" x14ac:dyDescent="0.25">
      <c r="C133" s="815"/>
      <c r="D133" s="852"/>
    </row>
    <row r="134" spans="3:4" ht="15.75" customHeight="1" x14ac:dyDescent="0.25">
      <c r="C134" s="815"/>
      <c r="D134" s="852"/>
    </row>
    <row r="135" spans="3:4" ht="15.75" customHeight="1" x14ac:dyDescent="0.25">
      <c r="C135" s="815"/>
      <c r="D135" s="852"/>
    </row>
    <row r="136" spans="3:4" ht="15.75" customHeight="1" x14ac:dyDescent="0.25">
      <c r="C136" s="815"/>
      <c r="D136" s="852"/>
    </row>
    <row r="137" spans="3:4" ht="15.75" customHeight="1" x14ac:dyDescent="0.25">
      <c r="C137" s="815"/>
      <c r="D137" s="852"/>
    </row>
    <row r="138" spans="3:4" ht="15.75" customHeight="1" x14ac:dyDescent="0.25">
      <c r="C138" s="815"/>
      <c r="D138" s="852"/>
    </row>
    <row r="139" spans="3:4" ht="15.75" customHeight="1" x14ac:dyDescent="0.25">
      <c r="C139" s="815"/>
      <c r="D139" s="852"/>
    </row>
    <row r="140" spans="3:4" ht="15.75" customHeight="1" x14ac:dyDescent="0.25">
      <c r="C140" s="815"/>
      <c r="D140" s="852"/>
    </row>
    <row r="141" spans="3:4" ht="15.75" customHeight="1" x14ac:dyDescent="0.25">
      <c r="C141" s="815"/>
      <c r="D141" s="852"/>
    </row>
    <row r="142" spans="3:4" ht="15.75" customHeight="1" x14ac:dyDescent="0.25">
      <c r="C142" s="815"/>
      <c r="D142" s="852"/>
    </row>
    <row r="143" spans="3:4" ht="15.75" customHeight="1" x14ac:dyDescent="0.25">
      <c r="C143" s="815"/>
      <c r="D143" s="852"/>
    </row>
    <row r="144" spans="3:4" ht="15.75" customHeight="1" x14ac:dyDescent="0.25">
      <c r="C144" s="815"/>
      <c r="D144" s="852"/>
    </row>
    <row r="145" spans="3:4" ht="15.75" customHeight="1" x14ac:dyDescent="0.25">
      <c r="C145" s="815"/>
      <c r="D145" s="852"/>
    </row>
    <row r="146" spans="3:4" ht="15.75" customHeight="1" x14ac:dyDescent="0.25">
      <c r="C146" s="815"/>
      <c r="D146" s="852"/>
    </row>
    <row r="147" spans="3:4" ht="15.75" customHeight="1" x14ac:dyDescent="0.25">
      <c r="C147" s="815"/>
      <c r="D147" s="852"/>
    </row>
    <row r="148" spans="3:4" ht="15.75" customHeight="1" x14ac:dyDescent="0.25">
      <c r="C148" s="815"/>
      <c r="D148" s="852"/>
    </row>
    <row r="149" spans="3:4" ht="15.75" customHeight="1" x14ac:dyDescent="0.25">
      <c r="C149" s="815"/>
      <c r="D149" s="852"/>
    </row>
    <row r="150" spans="3:4" ht="15.75" customHeight="1" x14ac:dyDescent="0.25">
      <c r="C150" s="815"/>
      <c r="D150" s="852"/>
    </row>
    <row r="151" spans="3:4" ht="15.75" customHeight="1" x14ac:dyDescent="0.25">
      <c r="C151" s="815"/>
      <c r="D151" s="852"/>
    </row>
    <row r="152" spans="3:4" ht="15.75" customHeight="1" x14ac:dyDescent="0.25">
      <c r="C152" s="815"/>
      <c r="D152" s="852"/>
    </row>
    <row r="153" spans="3:4" ht="15.75" customHeight="1" x14ac:dyDescent="0.25">
      <c r="C153" s="815"/>
      <c r="D153" s="852"/>
    </row>
    <row r="154" spans="3:4" ht="15.75" customHeight="1" x14ac:dyDescent="0.25">
      <c r="C154" s="815"/>
      <c r="D154" s="852"/>
    </row>
    <row r="155" spans="3:4" ht="15.75" customHeight="1" x14ac:dyDescent="0.25">
      <c r="C155" s="815"/>
      <c r="D155" s="852"/>
    </row>
    <row r="156" spans="3:4" ht="15.75" customHeight="1" x14ac:dyDescent="0.25">
      <c r="C156" s="815"/>
      <c r="D156" s="852"/>
    </row>
    <row r="157" spans="3:4" ht="15.75" customHeight="1" x14ac:dyDescent="0.25">
      <c r="C157" s="815"/>
      <c r="D157" s="852"/>
    </row>
    <row r="158" spans="3:4" ht="15.75" customHeight="1" x14ac:dyDescent="0.25">
      <c r="C158" s="815"/>
      <c r="D158" s="852"/>
    </row>
    <row r="159" spans="3:4" ht="15.75" customHeight="1" x14ac:dyDescent="0.25">
      <c r="C159" s="815"/>
      <c r="D159" s="852"/>
    </row>
    <row r="160" spans="3:4" ht="15.75" customHeight="1" x14ac:dyDescent="0.25">
      <c r="C160" s="815"/>
      <c r="D160" s="852"/>
    </row>
    <row r="161" spans="3:4" ht="15.75" customHeight="1" x14ac:dyDescent="0.25">
      <c r="C161" s="815"/>
      <c r="D161" s="852"/>
    </row>
    <row r="162" spans="3:4" ht="15.75" customHeight="1" x14ac:dyDescent="0.25">
      <c r="C162" s="815"/>
      <c r="D162" s="852"/>
    </row>
    <row r="163" spans="3:4" ht="15.75" customHeight="1" x14ac:dyDescent="0.25">
      <c r="C163" s="815"/>
      <c r="D163" s="852"/>
    </row>
    <row r="164" spans="3:4" ht="15.75" customHeight="1" x14ac:dyDescent="0.25">
      <c r="C164" s="815"/>
      <c r="D164" s="852"/>
    </row>
    <row r="165" spans="3:4" ht="15.75" customHeight="1" x14ac:dyDescent="0.25">
      <c r="C165" s="815"/>
      <c r="D165" s="852"/>
    </row>
    <row r="166" spans="3:4" ht="15.75" customHeight="1" x14ac:dyDescent="0.25">
      <c r="C166" s="815"/>
      <c r="D166" s="852"/>
    </row>
    <row r="167" spans="3:4" ht="15.75" customHeight="1" x14ac:dyDescent="0.25">
      <c r="C167" s="815"/>
      <c r="D167" s="852"/>
    </row>
    <row r="168" spans="3:4" ht="15.75" customHeight="1" x14ac:dyDescent="0.25">
      <c r="C168" s="815"/>
      <c r="D168" s="852"/>
    </row>
    <row r="169" spans="3:4" ht="15.75" customHeight="1" x14ac:dyDescent="0.25">
      <c r="C169" s="815"/>
      <c r="D169" s="852"/>
    </row>
    <row r="170" spans="3:4" ht="15.75" customHeight="1" x14ac:dyDescent="0.25">
      <c r="C170" s="815"/>
      <c r="D170" s="852"/>
    </row>
    <row r="171" spans="3:4" ht="15.75" customHeight="1" x14ac:dyDescent="0.25">
      <c r="C171" s="815"/>
      <c r="D171" s="852"/>
    </row>
    <row r="172" spans="3:4" ht="15.75" customHeight="1" x14ac:dyDescent="0.25">
      <c r="C172" s="815"/>
      <c r="D172" s="852"/>
    </row>
    <row r="173" spans="3:4" ht="15.75" customHeight="1" x14ac:dyDescent="0.25">
      <c r="C173" s="815"/>
      <c r="D173" s="852"/>
    </row>
    <row r="174" spans="3:4" ht="15.75" customHeight="1" x14ac:dyDescent="0.25">
      <c r="C174" s="815"/>
      <c r="D174" s="852"/>
    </row>
    <row r="175" spans="3:4" ht="15.75" customHeight="1" x14ac:dyDescent="0.25">
      <c r="C175" s="815"/>
      <c r="D175" s="852"/>
    </row>
    <row r="176" spans="3:4" ht="15.75" customHeight="1" x14ac:dyDescent="0.25">
      <c r="C176" s="815"/>
      <c r="D176" s="852"/>
    </row>
    <row r="177" spans="3:4" ht="15.75" customHeight="1" x14ac:dyDescent="0.25">
      <c r="C177" s="815"/>
      <c r="D177" s="852"/>
    </row>
    <row r="178" spans="3:4" ht="15.75" customHeight="1" x14ac:dyDescent="0.25">
      <c r="C178" s="815"/>
      <c r="D178" s="852"/>
    </row>
    <row r="179" spans="3:4" ht="15.75" customHeight="1" x14ac:dyDescent="0.25">
      <c r="C179" s="815"/>
      <c r="D179" s="852"/>
    </row>
    <row r="180" spans="3:4" ht="15.75" customHeight="1" x14ac:dyDescent="0.25">
      <c r="C180" s="815"/>
      <c r="D180" s="852"/>
    </row>
    <row r="181" spans="3:4" ht="15.75" customHeight="1" x14ac:dyDescent="0.25">
      <c r="C181" s="815"/>
      <c r="D181" s="852"/>
    </row>
    <row r="182" spans="3:4" ht="15.75" customHeight="1" x14ac:dyDescent="0.25">
      <c r="C182" s="815"/>
      <c r="D182" s="852"/>
    </row>
    <row r="183" spans="3:4" ht="15.75" customHeight="1" x14ac:dyDescent="0.25">
      <c r="C183" s="815"/>
      <c r="D183" s="852"/>
    </row>
    <row r="184" spans="3:4" ht="15.75" customHeight="1" x14ac:dyDescent="0.25">
      <c r="C184" s="815"/>
      <c r="D184" s="852"/>
    </row>
    <row r="185" spans="3:4" ht="15.75" customHeight="1" x14ac:dyDescent="0.25">
      <c r="C185" s="815"/>
      <c r="D185" s="852"/>
    </row>
    <row r="186" spans="3:4" ht="15.75" customHeight="1" x14ac:dyDescent="0.25">
      <c r="C186" s="815"/>
      <c r="D186" s="852"/>
    </row>
    <row r="187" spans="3:4" ht="15.75" customHeight="1" x14ac:dyDescent="0.25">
      <c r="C187" s="815"/>
      <c r="D187" s="852"/>
    </row>
    <row r="188" spans="3:4" ht="15.75" customHeight="1" x14ac:dyDescent="0.25">
      <c r="C188" s="815"/>
      <c r="D188" s="852"/>
    </row>
    <row r="189" spans="3:4" ht="15.75" customHeight="1" x14ac:dyDescent="0.25">
      <c r="C189" s="815"/>
      <c r="D189" s="852"/>
    </row>
    <row r="190" spans="3:4" ht="15.75" customHeight="1" x14ac:dyDescent="0.25">
      <c r="C190" s="815"/>
      <c r="D190" s="852"/>
    </row>
    <row r="191" spans="3:4" ht="15.75" customHeight="1" x14ac:dyDescent="0.25">
      <c r="C191" s="815"/>
      <c r="D191" s="852"/>
    </row>
    <row r="192" spans="3:4" ht="15.75" customHeight="1" x14ac:dyDescent="0.25">
      <c r="C192" s="815"/>
      <c r="D192" s="852"/>
    </row>
    <row r="193" spans="3:4" ht="15.75" customHeight="1" x14ac:dyDescent="0.25">
      <c r="C193" s="815"/>
      <c r="D193" s="852"/>
    </row>
    <row r="194" spans="3:4" ht="15.75" customHeight="1" x14ac:dyDescent="0.25">
      <c r="C194" s="815"/>
      <c r="D194" s="852"/>
    </row>
    <row r="195" spans="3:4" ht="15.75" customHeight="1" x14ac:dyDescent="0.25">
      <c r="C195" s="815"/>
      <c r="D195" s="852"/>
    </row>
    <row r="196" spans="3:4" ht="15.75" customHeight="1" x14ac:dyDescent="0.25">
      <c r="C196" s="815"/>
      <c r="D196" s="852"/>
    </row>
    <row r="197" spans="3:4" ht="15.75" customHeight="1" x14ac:dyDescent="0.25">
      <c r="C197" s="815"/>
      <c r="D197" s="852"/>
    </row>
    <row r="198" spans="3:4" ht="15.75" customHeight="1" x14ac:dyDescent="0.25">
      <c r="C198" s="815"/>
      <c r="D198" s="852"/>
    </row>
    <row r="199" spans="3:4" ht="15.75" customHeight="1" x14ac:dyDescent="0.25">
      <c r="C199" s="815"/>
      <c r="D199" s="852"/>
    </row>
    <row r="200" spans="3:4" ht="15.75" customHeight="1" x14ac:dyDescent="0.25">
      <c r="C200" s="815"/>
      <c r="D200" s="852"/>
    </row>
    <row r="201" spans="3:4" ht="15.75" customHeight="1" x14ac:dyDescent="0.25">
      <c r="C201" s="815"/>
      <c r="D201" s="852"/>
    </row>
    <row r="202" spans="3:4" ht="15.75" customHeight="1" x14ac:dyDescent="0.25">
      <c r="C202" s="815"/>
      <c r="D202" s="852"/>
    </row>
    <row r="203" spans="3:4" ht="15.75" customHeight="1" x14ac:dyDescent="0.25">
      <c r="C203" s="815"/>
      <c r="D203" s="852"/>
    </row>
    <row r="204" spans="3:4" ht="15.75" customHeight="1" x14ac:dyDescent="0.25">
      <c r="C204" s="815"/>
      <c r="D204" s="852"/>
    </row>
    <row r="205" spans="3:4" ht="15.75" customHeight="1" x14ac:dyDescent="0.25">
      <c r="C205" s="815"/>
      <c r="D205" s="852"/>
    </row>
    <row r="206" spans="3:4" ht="15.75" customHeight="1" x14ac:dyDescent="0.25">
      <c r="C206" s="815"/>
      <c r="D206" s="852"/>
    </row>
    <row r="207" spans="3:4" ht="15.75" customHeight="1" x14ac:dyDescent="0.25">
      <c r="C207" s="815"/>
      <c r="D207" s="852"/>
    </row>
    <row r="208" spans="3:4"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0866141732283472" right="0.70866141732283472" top="0.74803149606299213" bottom="0.74803149606299213" header="0" footer="0"/>
  <pageSetup paperSize="5" scale="7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D1000"/>
  <sheetViews>
    <sheetView topLeftCell="C70" workbookViewId="0">
      <selection activeCell="C87" sqref="C87"/>
    </sheetView>
  </sheetViews>
  <sheetFormatPr baseColWidth="10" defaultColWidth="12.625" defaultRowHeight="15" customHeight="1" x14ac:dyDescent="0.2"/>
  <cols>
    <col min="1" max="2" width="9.375" customWidth="1"/>
    <col min="3" max="3" width="31.5" customWidth="1"/>
    <col min="4" max="4" width="24" customWidth="1"/>
    <col min="5" max="6" width="9.375" customWidth="1"/>
  </cols>
  <sheetData>
    <row r="3" spans="3:4" x14ac:dyDescent="0.25">
      <c r="C3" s="853" t="s">
        <v>2136</v>
      </c>
      <c r="D3" s="828" t="s">
        <v>2291</v>
      </c>
    </row>
    <row r="4" spans="3:4" ht="42" customHeight="1" x14ac:dyDescent="0.25">
      <c r="C4" s="854" t="str">
        <f>+'PLAN DE DESARROLLO '!B171</f>
        <v>EJE TRANSVERSAL: CARTAGENA CON ATENCION Y GARANTIA DE DERECHOS A POBLACION DIFERENCIAL.</v>
      </c>
      <c r="D4" s="1771">
        <f>+'PLAN DE DESARROLLO '!M171</f>
        <v>0.67001979831488723</v>
      </c>
    </row>
    <row r="5" spans="3:4" ht="46.5" customHeight="1" x14ac:dyDescent="0.25">
      <c r="C5" s="855" t="str">
        <f>+'PLAN DE DESARROLLO '!B172</f>
        <v>LINEA ESTRATEGICA PARA LA EQUIDAD E INCLUSIÓN DE LOS NEGROS, AFROS, PALENQUEROS E INDIGENA.</v>
      </c>
      <c r="D5" s="1720">
        <f>+'PLAN DE DESARROLLO '!M172</f>
        <v>0.54308663558663561</v>
      </c>
    </row>
    <row r="6" spans="3:4" ht="35.25" customHeight="1" x14ac:dyDescent="0.25">
      <c r="C6" s="855" t="str">
        <f>+'PLAN DE DESARROLLO '!B184</f>
        <v>LINEA ESTRATEGICA MUJERES CARTAGENERAS POR SUS DERECHOS.</v>
      </c>
      <c r="D6" s="1773">
        <f>+'PLAN DE DESARROLLO '!M184</f>
        <v>0.85305728200371056</v>
      </c>
    </row>
    <row r="7" spans="3:4" ht="48" customHeight="1" x14ac:dyDescent="0.25">
      <c r="C7" s="855" t="str">
        <f>+'PLAN DE DESARROLLO '!B189</f>
        <v>LINEA ESTRATEGICA: INCLUSION Y OPORTUNIDAD PARA NIÑOS, NIÑAS Y ADOLESCENTES Y FAMILIAS.</v>
      </c>
      <c r="D7" s="1773">
        <f>+'PLAN DE DESARROLLO '!M189</f>
        <v>0.80470053046947254</v>
      </c>
    </row>
    <row r="8" spans="3:4" ht="30" customHeight="1" x14ac:dyDescent="0.25">
      <c r="C8" s="855" t="str">
        <f>+'PLAN DE DESARROLLO '!B194</f>
        <v>LINEA ESTRATEGICA JOVENES SALVANDO A CARTAGENA</v>
      </c>
      <c r="D8" s="1721">
        <f>+'PLAN DE DESARROLLO '!M194</f>
        <v>0.65959583333333338</v>
      </c>
    </row>
    <row r="9" spans="3:4" ht="42" customHeight="1" x14ac:dyDescent="0.25">
      <c r="C9" s="855" t="str">
        <f>+'PLAN DE DESARROLLO '!B197</f>
        <v>LINEA ESTRATEGICA EN CARTAGENA SALVAMOS NUESTROS ADULTOS MAYORES.</v>
      </c>
      <c r="D9" s="1774">
        <f>+'PLAN DE DESARROLLO '!M197</f>
        <v>0.43715972222222221</v>
      </c>
    </row>
    <row r="10" spans="3:4" ht="60.75" customHeight="1" x14ac:dyDescent="0.25">
      <c r="C10" s="855" t="str">
        <f>+'PLAN DE DESARROLLO '!B199</f>
        <v>LÍNEA ESTRATÉGICA: TODOS POR LA PROTECCIÓN SOCIAL DE LAS PERSONAS CON DISCAPACIDAD: “RECONOCIDAS, EMPODERADAS Y RESPETADAS”.</v>
      </c>
      <c r="D10" s="1720">
        <f>+'PLAN DE DESARROLLO '!M199</f>
        <v>0.68000936329588013</v>
      </c>
    </row>
    <row r="11" spans="3:4" ht="37.5" customHeight="1" x14ac:dyDescent="0.25">
      <c r="C11" s="855" t="str">
        <f>+'PLAN DE DESARROLLO '!B203</f>
        <v>LINEA ESTRATEGICA TRATO HUMANITARIO AL HABITANTE DE CALLE</v>
      </c>
      <c r="D11" s="1772">
        <f>+'PLAN DE DESARROLLO '!M203</f>
        <v>0.63254901960784315</v>
      </c>
    </row>
    <row r="12" spans="3:4" ht="45" customHeight="1" x14ac:dyDescent="0.25">
      <c r="C12" s="856" t="str">
        <f>+'PLAN DE DESARROLLO '!B206</f>
        <v>LINEA ESTRATEGICA DIVERSIDAD SEXUAL Y NUEVAS IDENTIDADES DE GÉNERO.</v>
      </c>
      <c r="D12" s="1722">
        <f>+'PLAN DE DESARROLLO '!M206</f>
        <v>0.75</v>
      </c>
    </row>
    <row r="14" spans="3:4" x14ac:dyDescent="0.25">
      <c r="C14" s="833" t="s">
        <v>2137</v>
      </c>
      <c r="D14" s="828" t="s">
        <v>2291</v>
      </c>
    </row>
    <row r="15" spans="3:4" ht="45" x14ac:dyDescent="0.25">
      <c r="C15" s="836" t="str">
        <f>+'PLAN DE DESARROLLO '!B172</f>
        <v>LINEA ESTRATEGICA PARA LA EQUIDAD E INCLUSIÓN DE LOS NEGROS, AFROS, PALENQUEROS E INDIGENA.</v>
      </c>
      <c r="D15" s="1775">
        <f>+'PLAN DE DESARROLLO '!M172</f>
        <v>0.54308663558663561</v>
      </c>
    </row>
    <row r="16" spans="3:4" ht="45" x14ac:dyDescent="0.25">
      <c r="C16" s="24" t="str">
        <f>+'PLAN DE DESARROLLO '!B173</f>
        <v xml:space="preserve">Fortalecimiento de Población Negra, Afrocolombiana, Raizal y Palenquera en el Distrito de Cartagena </v>
      </c>
      <c r="D16" s="1776">
        <f>+'PLAN DE DESARROLLO '!M173</f>
        <v>0.65384615384615385</v>
      </c>
    </row>
    <row r="17" spans="3:4" ht="60" x14ac:dyDescent="0.25">
      <c r="C17" s="24" t="str">
        <f>+'PLAN DE DESARROLLO '!B174</f>
        <v>Fortalecimiento e Inclusión Productiva para Población Negra, Afrocolombiana, Raizal y Palenquera en el Distrito de Cartagena.</v>
      </c>
      <c r="D17" s="1744">
        <f>+'PLAN DE DESARROLLO '!M174</f>
        <v>0.41515151515151516</v>
      </c>
    </row>
    <row r="18" spans="3:4" ht="60" x14ac:dyDescent="0.25">
      <c r="C18" s="24" t="str">
        <f>+'PLAN DE DESARROLLO '!B175</f>
        <v>Programa: Inclusión Educativa para el Desarrollo para Población Negra, Afrocolombiana, Raizal y Palenquera en el Distrito de Cartagena.</v>
      </c>
      <c r="D18" s="1777">
        <f>+'PLAN DE DESARROLLO '!M175</f>
        <v>1</v>
      </c>
    </row>
    <row r="19" spans="3:4" ht="75" x14ac:dyDescent="0.25">
      <c r="C19" s="24" t="str">
        <f>+'PLAN DE DESARROLLO '!B176</f>
        <v>Programa: Promoción, Prevención y Atención En Salud para población Negra, Afrocolombiana, Raizal y Palenquera en el Distrito De Cartagena.</v>
      </c>
      <c r="D19" s="1744">
        <f>+'PLAN DE DESARROLLO '!M176</f>
        <v>0.38461538461538464</v>
      </c>
    </row>
    <row r="20" spans="3:4" ht="32.25" customHeight="1" x14ac:dyDescent="0.25">
      <c r="C20" s="24" t="str">
        <f>+'PLAN DE DESARROLLO '!B177</f>
        <v>Programa: Sostenibilidad Ambiental y Fomento Tradicional</v>
      </c>
      <c r="D20" s="1744">
        <f>+'PLAN DE DESARROLLO '!M177</f>
        <v>0</v>
      </c>
    </row>
    <row r="21" spans="3:4" ht="38.25" customHeight="1" x14ac:dyDescent="0.25">
      <c r="C21" s="24" t="str">
        <f>+'PLAN DE DESARROLLO '!B178</f>
        <v>Programa: Sostenibilidad Cultural como Garantía de Permanencia.</v>
      </c>
      <c r="D21" s="1744">
        <f>+'PLAN DE DESARROLLO '!M178</f>
        <v>0</v>
      </c>
    </row>
    <row r="22" spans="3:4" ht="40.5" customHeight="1" x14ac:dyDescent="0.25">
      <c r="C22" s="24" t="str">
        <f>+'PLAN DE DESARROLLO '!B179</f>
        <v>Programa: Fortalecimiento de la Población Indígena en el Distrito de Cartagena.</v>
      </c>
      <c r="D22" s="1744">
        <f>+'PLAN DE DESARROLLO '!M179</f>
        <v>0.48749999999999999</v>
      </c>
    </row>
    <row r="23" spans="3:4" ht="49.5" customHeight="1" x14ac:dyDescent="0.25">
      <c r="C23" s="24" t="str">
        <f>+'PLAN DE DESARROLLO '!B180</f>
        <v>Programa: Educación con Enfoque Diferencial Indígena SISTEMA EDUCATIVO INDIGENA PROPIO - SEIP</v>
      </c>
      <c r="D23" s="1744">
        <f>+'PLAN DE DESARROLLO '!M180</f>
        <v>0.11666666666666667</v>
      </c>
    </row>
    <row r="24" spans="3:4" ht="34.5" customHeight="1" x14ac:dyDescent="0.25">
      <c r="C24" s="24" t="str">
        <f>+'PLAN DE DESARROLLO '!B181</f>
        <v>Programa: Intercultural de Salud Propia Preventiva Indígena- SISPI</v>
      </c>
      <c r="D24" s="1744">
        <f>+'PLAN DE DESARROLLO '!M181</f>
        <v>0</v>
      </c>
    </row>
    <row r="25" spans="3:4" ht="70.5" customHeight="1" x14ac:dyDescent="0.25">
      <c r="C25" s="24" t="str">
        <f>+'PLAN DE DESARROLLO '!B182</f>
        <v>Programa: Integridad Cultural, Gobierno Propio, Vivienda y Hábitat para las Comunidades Indígenas en el Distrito Cartagena</v>
      </c>
      <c r="D25" s="1743">
        <f>+'PLAN DE DESARROLLO '!M182</f>
        <v>0.5</v>
      </c>
    </row>
    <row r="26" spans="3:4" ht="31.5" customHeight="1" x14ac:dyDescent="0.25">
      <c r="C26" s="24" t="str">
        <f>+'PLAN DE DESARROLLO '!B183</f>
        <v>Programa: Empoderamiento del Liderazgo de las Mujeres, Niñez, Jóvenes, Familia y Generación Indígena</v>
      </c>
      <c r="D26" s="1738">
        <f>+'PLAN DE DESARROLLO '!M183</f>
        <v>1</v>
      </c>
    </row>
    <row r="27" spans="3:4" ht="15.75" customHeight="1" x14ac:dyDescent="0.25">
      <c r="C27" s="815"/>
      <c r="D27" s="839"/>
    </row>
    <row r="28" spans="3:4" ht="15.75" customHeight="1" x14ac:dyDescent="0.25">
      <c r="C28" s="815"/>
      <c r="D28" s="839"/>
    </row>
    <row r="29" spans="3:4" ht="15.75" customHeight="1" x14ac:dyDescent="0.25">
      <c r="C29" s="815"/>
      <c r="D29" s="839"/>
    </row>
    <row r="30" spans="3:4" ht="15.75" customHeight="1" x14ac:dyDescent="0.25">
      <c r="C30" s="833" t="s">
        <v>2137</v>
      </c>
      <c r="D30" s="828" t="s">
        <v>2290</v>
      </c>
    </row>
    <row r="31" spans="3:4" ht="29.25" customHeight="1" x14ac:dyDescent="0.25">
      <c r="C31" s="836" t="str">
        <f>+'PLAN DE DESARROLLO '!B184</f>
        <v>LINEA ESTRATEGICA MUJERES CARTAGENERAS POR SUS DERECHOS.</v>
      </c>
      <c r="D31" s="1737">
        <f>+'PLAN DE DESARROLLO '!M184</f>
        <v>0.85305728200371056</v>
      </c>
    </row>
    <row r="32" spans="3:4" ht="33.75" customHeight="1" x14ac:dyDescent="0.25">
      <c r="C32" s="24" t="str">
        <f>+'PLAN DE DESARROLLO '!B185</f>
        <v>Programa: Las Mujeres Decidimos Sobre el Ejercicio del Poder</v>
      </c>
      <c r="D32" s="1741">
        <f>+'PLAN DE DESARROLLO '!M185</f>
        <v>0.74099999999999999</v>
      </c>
    </row>
    <row r="33" spans="3:4" ht="31.5" customHeight="1" x14ac:dyDescent="0.25">
      <c r="C33" s="24" t="str">
        <f>+'PLAN DE DESARROLLO '!B186</f>
        <v>Programa: Una Vida Libre de Violencias para las Mujeres</v>
      </c>
      <c r="D33" s="1738">
        <f>+'PLAN DE DESARROLLO '!M186</f>
        <v>0.91668367346938773</v>
      </c>
    </row>
    <row r="34" spans="3:4" ht="34.5" customHeight="1" x14ac:dyDescent="0.25">
      <c r="C34" s="24" t="str">
        <f>+'PLAN DE DESARROLLO '!B187</f>
        <v>Programa: Mujer, Constructoras De Paz</v>
      </c>
      <c r="D34" s="1738">
        <f>+'PLAN DE DESARROLLO '!M187</f>
        <v>1</v>
      </c>
    </row>
    <row r="35" spans="3:4" ht="30" customHeight="1" x14ac:dyDescent="0.25">
      <c r="C35" s="24" t="str">
        <f>+'PLAN DE DESARROLLO '!B188</f>
        <v>Programa: Cartagena Libre de una Cultura Machista</v>
      </c>
      <c r="D35" s="1730">
        <f>+'PLAN DE DESARROLLO '!M188</f>
        <v>0.75454545454545452</v>
      </c>
    </row>
    <row r="36" spans="3:4" ht="15.75" customHeight="1" x14ac:dyDescent="0.25">
      <c r="C36" s="815"/>
      <c r="D36" s="839"/>
    </row>
    <row r="37" spans="3:4" ht="15.75" customHeight="1" x14ac:dyDescent="0.25">
      <c r="C37" s="815"/>
      <c r="D37" s="839"/>
    </row>
    <row r="38" spans="3:4" ht="15.75" customHeight="1" x14ac:dyDescent="0.25">
      <c r="C38" s="815"/>
      <c r="D38" s="839"/>
    </row>
    <row r="39" spans="3:4" ht="15.75" customHeight="1" x14ac:dyDescent="0.25">
      <c r="C39" s="815"/>
      <c r="D39" s="839"/>
    </row>
    <row r="40" spans="3:4" ht="15.75" customHeight="1" x14ac:dyDescent="0.25">
      <c r="C40" s="815"/>
      <c r="D40" s="839"/>
    </row>
    <row r="41" spans="3:4" ht="15.75" customHeight="1" x14ac:dyDescent="0.25">
      <c r="C41" s="833" t="s">
        <v>2137</v>
      </c>
      <c r="D41" s="828" t="s">
        <v>2291</v>
      </c>
    </row>
    <row r="42" spans="3:4" ht="50.25" customHeight="1" x14ac:dyDescent="0.25">
      <c r="C42" s="836" t="str">
        <f>+'PLAN DE DESARROLLO '!B189</f>
        <v>LINEA ESTRATEGICA: INCLUSION Y OPORTUNIDAD PARA NIÑOS, NIÑAS Y ADOLESCENTES Y FAMILIAS.</v>
      </c>
      <c r="D42" s="1755">
        <f>+'PLAN DE DESARROLLO '!M189</f>
        <v>0.80470053046947254</v>
      </c>
    </row>
    <row r="43" spans="3:4" ht="39" customHeight="1" x14ac:dyDescent="0.25">
      <c r="C43" s="24" t="str">
        <f>+'PLAN DE DESARROLLO '!B190</f>
        <v>Programa: Comprometidos con la Salvación de Nuestra Primera Infancia</v>
      </c>
      <c r="D43" s="1731">
        <f>+'PLAN DE DESARROLLO '!M190</f>
        <v>0.90749999999999997</v>
      </c>
    </row>
    <row r="44" spans="3:4" ht="44.25" customHeight="1" x14ac:dyDescent="0.25">
      <c r="C44" s="24" t="str">
        <f>+'PLAN DE DESARROLLO '!B191</f>
        <v>Programa Protección de la Infancia y la Adolescencia para la Prevención y atención de Violencias.</v>
      </c>
      <c r="D44" s="1728">
        <f>+'PLAN DE DESARROLLO '!M191</f>
        <v>0.61404347826086947</v>
      </c>
    </row>
    <row r="45" spans="3:4" ht="48.75" customHeight="1" x14ac:dyDescent="0.25">
      <c r="C45" s="24" t="str">
        <f>+'PLAN DE DESARROLLO '!B192</f>
        <v>Programa los Niños, las Niñas y Adolescentes de Cartagena Participan y Disfrutan sus Derechos.</v>
      </c>
      <c r="D45" s="1729">
        <f>+'PLAN DE DESARROLLO '!M192</f>
        <v>0.69725864361702128</v>
      </c>
    </row>
    <row r="46" spans="3:4" ht="42" customHeight="1" x14ac:dyDescent="0.25">
      <c r="C46" s="24" t="str">
        <f>+'PLAN DE DESARROLLO '!B193</f>
        <v>Programa Fortalecimiento Familiar.</v>
      </c>
      <c r="D46" s="1731">
        <f>+'PLAN DE DESARROLLO '!M193</f>
        <v>1</v>
      </c>
    </row>
    <row r="47" spans="3:4" ht="15.75" customHeight="1" x14ac:dyDescent="0.25">
      <c r="C47" s="815"/>
      <c r="D47" s="839"/>
    </row>
    <row r="48" spans="3:4" ht="15.75" customHeight="1" x14ac:dyDescent="0.25">
      <c r="C48" s="815"/>
      <c r="D48" s="839"/>
    </row>
    <row r="49" spans="3:4" ht="15.75" customHeight="1" x14ac:dyDescent="0.25">
      <c r="C49" s="815"/>
      <c r="D49" s="839"/>
    </row>
    <row r="50" spans="3:4" ht="15.75" customHeight="1" x14ac:dyDescent="0.25">
      <c r="C50" s="815"/>
      <c r="D50" s="839"/>
    </row>
    <row r="51" spans="3:4" ht="15.75" customHeight="1" x14ac:dyDescent="0.25">
      <c r="C51" s="815"/>
      <c r="D51" s="839"/>
    </row>
    <row r="52" spans="3:4" ht="15.75" customHeight="1" x14ac:dyDescent="0.25">
      <c r="C52" s="833" t="s">
        <v>2137</v>
      </c>
      <c r="D52" s="828" t="s">
        <v>2291</v>
      </c>
    </row>
    <row r="53" spans="3:4" ht="28.5" customHeight="1" x14ac:dyDescent="0.25">
      <c r="C53" s="836" t="str">
        <f>+'PLAN DE DESARROLLO '!B194</f>
        <v>LINEA ESTRATEGICA JOVENES SALVANDO A CARTAGENA</v>
      </c>
      <c r="D53" s="1740">
        <f>+'PLAN DE DESARROLLO '!M194</f>
        <v>0.65959583333333338</v>
      </c>
    </row>
    <row r="54" spans="3:4" ht="42.75" customHeight="1" x14ac:dyDescent="0.25">
      <c r="C54" s="24" t="str">
        <f>+'PLAN DE DESARROLLO '!B195</f>
        <v>Programa: Jóvenes Participando y Salvando a Cartagena</v>
      </c>
      <c r="D54" s="1741">
        <f>+'PLAN DE DESARROLLO '!M195</f>
        <v>0.71919166666666667</v>
      </c>
    </row>
    <row r="55" spans="3:4" ht="48" customHeight="1" x14ac:dyDescent="0.25">
      <c r="C55" s="24" t="str">
        <f>+'PLAN DE DESARROLLO '!B196</f>
        <v>Programa: Política Pública De Juventud</v>
      </c>
      <c r="D55" s="1741">
        <f>+'PLAN DE DESARROLLO '!M196</f>
        <v>0.6</v>
      </c>
    </row>
    <row r="56" spans="3:4" ht="15.75" customHeight="1" x14ac:dyDescent="0.25">
      <c r="C56" s="815"/>
      <c r="D56" s="839"/>
    </row>
    <row r="57" spans="3:4" ht="15.75" customHeight="1" x14ac:dyDescent="0.25">
      <c r="C57" s="815"/>
      <c r="D57" s="839"/>
    </row>
    <row r="58" spans="3:4" ht="15.75" customHeight="1" x14ac:dyDescent="0.25">
      <c r="C58" s="815"/>
      <c r="D58" s="839"/>
    </row>
    <row r="59" spans="3:4" ht="15.75" customHeight="1" x14ac:dyDescent="0.25">
      <c r="C59" s="815"/>
      <c r="D59" s="839"/>
    </row>
    <row r="60" spans="3:4" ht="15.75" customHeight="1" x14ac:dyDescent="0.25">
      <c r="C60" s="815"/>
      <c r="D60" s="839"/>
    </row>
    <row r="61" spans="3:4" ht="15.75" customHeight="1" x14ac:dyDescent="0.25">
      <c r="C61" s="833" t="s">
        <v>2137</v>
      </c>
      <c r="D61" s="828" t="s">
        <v>2291</v>
      </c>
    </row>
    <row r="62" spans="3:4" ht="47.25" customHeight="1" x14ac:dyDescent="0.25">
      <c r="C62" s="836" t="str">
        <f>+'PLAN DE DESARROLLO '!B197</f>
        <v>LINEA ESTRATEGICA EN CARTAGENA SALVAMOS NUESTROS ADULTOS MAYORES.</v>
      </c>
      <c r="D62" s="1778">
        <f>+'PLAN DE DESARROLLO '!M197</f>
        <v>0.43715972222222221</v>
      </c>
    </row>
    <row r="63" spans="3:4" ht="39" customHeight="1" x14ac:dyDescent="0.25">
      <c r="C63" s="24" t="str">
        <f>+'PLAN DE DESARROLLO '!B198</f>
        <v>Programa: Atención Integral Para Mantener a Salvo a los Adultos Mayores</v>
      </c>
      <c r="D63" s="1733">
        <f>+'PLAN DE DESARROLLO '!M198</f>
        <v>0.43715972222222221</v>
      </c>
    </row>
    <row r="64" spans="3:4" ht="15.75" customHeight="1" x14ac:dyDescent="0.25">
      <c r="C64" s="815"/>
      <c r="D64" s="839"/>
    </row>
    <row r="65" spans="3:4" ht="15.75" customHeight="1" x14ac:dyDescent="0.25">
      <c r="C65" s="815"/>
      <c r="D65" s="839"/>
    </row>
    <row r="66" spans="3:4" ht="15.75" customHeight="1" x14ac:dyDescent="0.25">
      <c r="C66" s="815"/>
      <c r="D66" s="839"/>
    </row>
    <row r="67" spans="3:4" ht="15.75" customHeight="1" x14ac:dyDescent="0.25">
      <c r="C67" s="815"/>
      <c r="D67" s="839"/>
    </row>
    <row r="68" spans="3:4" ht="15.75" customHeight="1" x14ac:dyDescent="0.25">
      <c r="C68" s="815"/>
      <c r="D68" s="839"/>
    </row>
    <row r="69" spans="3:4" ht="15.75" customHeight="1" x14ac:dyDescent="0.25">
      <c r="C69" s="833" t="s">
        <v>2137</v>
      </c>
      <c r="D69" s="828" t="s">
        <v>2290</v>
      </c>
    </row>
    <row r="70" spans="3:4" ht="47.25" customHeight="1" x14ac:dyDescent="0.25">
      <c r="C70" s="836" t="str">
        <f>+'PLAN DE DESARROLLO '!B199</f>
        <v>LÍNEA ESTRATÉGICA: TODOS POR LA PROTECCIÓN SOCIAL DE LAS PERSONAS CON DISCAPACIDAD: “RECONOCIDAS, EMPODERADAS Y RESPETADAS”.</v>
      </c>
      <c r="D70" s="1752">
        <f>+'PLAN DE DESARROLLO '!M199</f>
        <v>0.68000936329588013</v>
      </c>
    </row>
    <row r="71" spans="3:4" ht="62.25" customHeight="1" x14ac:dyDescent="0.25">
      <c r="C71" s="24" t="str">
        <f>+'PLAN DE DESARROLLO '!B200</f>
        <v>Programa: Gestión Social Integral y Articuladora por la Protección de las Personas Con Discapacidad y/o su Familia o Cuidador.</v>
      </c>
      <c r="D71" s="1730">
        <f>+'PLAN DE DESARROLLO '!M200</f>
        <v>0.5483614232209737</v>
      </c>
    </row>
    <row r="72" spans="3:4" ht="48.75" customHeight="1" x14ac:dyDescent="0.25">
      <c r="C72" s="24" t="str">
        <f>+'PLAN DE DESARROLLO '!B201</f>
        <v>Programa: Pacto o Alianza Por La Inclusión Social y Productiva de las Personas Con Discapacidad.</v>
      </c>
      <c r="D72" s="1728">
        <f>+'PLAN DE DESARROLLO '!M201</f>
        <v>0.72499999999999998</v>
      </c>
    </row>
    <row r="73" spans="3:4" ht="39.75" customHeight="1" x14ac:dyDescent="0.25">
      <c r="C73" s="24" t="str">
        <f>+'PLAN DE DESARROLLO '!B202</f>
        <v>Programa: Desarrollo Local Inclusivo de las Personas Con Discapacidad: Reconocimiento de Capacidades, Diferencias y Diversidad.</v>
      </c>
      <c r="D73" s="1728">
        <f>+'PLAN DE DESARROLLO '!M202</f>
        <v>0.76666666666666661</v>
      </c>
    </row>
    <row r="74" spans="3:4" ht="15.75" customHeight="1" x14ac:dyDescent="0.25">
      <c r="C74" s="815"/>
      <c r="D74" s="839"/>
    </row>
    <row r="75" spans="3:4" ht="15.75" customHeight="1" x14ac:dyDescent="0.25">
      <c r="C75" s="815"/>
      <c r="D75" s="839"/>
    </row>
    <row r="76" spans="3:4" ht="15.75" customHeight="1" x14ac:dyDescent="0.25">
      <c r="C76" s="815"/>
      <c r="D76" s="839"/>
    </row>
    <row r="77" spans="3:4" ht="15.75" customHeight="1" x14ac:dyDescent="0.25">
      <c r="C77" s="815"/>
      <c r="D77" s="839"/>
    </row>
    <row r="78" spans="3:4" ht="15.75" customHeight="1" x14ac:dyDescent="0.25">
      <c r="C78" s="815"/>
      <c r="D78" s="839"/>
    </row>
    <row r="79" spans="3:4" ht="15.75" customHeight="1" x14ac:dyDescent="0.25">
      <c r="C79" s="815"/>
      <c r="D79" s="839"/>
    </row>
    <row r="80" spans="3:4" ht="15.75" customHeight="1" thickBot="1" x14ac:dyDescent="0.3">
      <c r="C80" s="815"/>
      <c r="D80" s="839"/>
    </row>
    <row r="81" spans="3:4" ht="15.75" customHeight="1" thickBot="1" x14ac:dyDescent="0.3">
      <c r="C81" s="1638" t="s">
        <v>2137</v>
      </c>
      <c r="D81" s="1639" t="s">
        <v>2291</v>
      </c>
    </row>
    <row r="82" spans="3:4" ht="41.25" customHeight="1" x14ac:dyDescent="0.25">
      <c r="C82" s="1640" t="str">
        <f>+'PLAN DE DESARROLLO '!B203</f>
        <v>LINEA ESTRATEGICA TRATO HUMANITARIO AL HABITANTE DE CALLE</v>
      </c>
      <c r="D82" s="1779">
        <f>+'PLAN DE DESARROLLO '!M203</f>
        <v>0.63254901960784315</v>
      </c>
    </row>
    <row r="83" spans="3:4" ht="36.75" customHeight="1" x14ac:dyDescent="0.25">
      <c r="C83" s="1604" t="str">
        <f>+'PLAN DE DESARROLLO '!B204</f>
        <v xml:space="preserve">Programa: Habitante De Calle Con Desarrollo Humano Integral </v>
      </c>
      <c r="D83" s="1780">
        <f>+'PLAN DE DESARROLLO '!M204</f>
        <v>0.83333333333333326</v>
      </c>
    </row>
    <row r="84" spans="3:4" ht="54" customHeight="1" thickBot="1" x14ac:dyDescent="0.3">
      <c r="C84" s="1641" t="str">
        <f>+'PLAN DE DESARROLLO '!B205</f>
        <v>Programa Formación Para El Trabajo - Generación De Ingresos y Responsabilidad Social Empresarial.</v>
      </c>
      <c r="D84" s="1781">
        <f>+'PLAN DE DESARROLLO '!M205</f>
        <v>0.43176470588235299</v>
      </c>
    </row>
    <row r="85" spans="3:4" ht="15.75" customHeight="1" x14ac:dyDescent="0.25">
      <c r="C85" s="815"/>
      <c r="D85" s="839"/>
    </row>
    <row r="86" spans="3:4" ht="15.75" customHeight="1" x14ac:dyDescent="0.25">
      <c r="C86" s="815"/>
      <c r="D86" s="839"/>
    </row>
    <row r="87" spans="3:4" ht="15.75" customHeight="1" x14ac:dyDescent="0.25">
      <c r="C87" s="815"/>
      <c r="D87" s="839"/>
    </row>
    <row r="88" spans="3:4" ht="15.75" customHeight="1" x14ac:dyDescent="0.25">
      <c r="C88" s="815"/>
      <c r="D88" s="839"/>
    </row>
    <row r="89" spans="3:4" ht="15.75" customHeight="1" thickBot="1" x14ac:dyDescent="0.3">
      <c r="C89" s="815"/>
      <c r="D89" s="839"/>
    </row>
    <row r="90" spans="3:4" ht="15.75" customHeight="1" thickBot="1" x14ac:dyDescent="0.3">
      <c r="C90" s="1638" t="s">
        <v>2137</v>
      </c>
      <c r="D90" s="1639" t="s">
        <v>2290</v>
      </c>
    </row>
    <row r="91" spans="3:4" ht="55.5" customHeight="1" x14ac:dyDescent="0.25">
      <c r="C91" s="1640" t="str">
        <f>+'PLAN DE DESARROLLO '!B206</f>
        <v>LINEA ESTRATEGICA DIVERSIDAD SEXUAL Y NUEVAS IDENTIDADES DE GÉNERO.</v>
      </c>
      <c r="D91" s="1782">
        <f>+'PLAN DE DESARROLLO '!M206</f>
        <v>0.75</v>
      </c>
    </row>
    <row r="92" spans="3:4" ht="47.25" customHeight="1" thickBot="1" x14ac:dyDescent="0.3">
      <c r="C92" s="1641" t="str">
        <f>+'PLAN DE DESARROLLO '!B207</f>
        <v>Programa: Diversidad Sexual e Identidades de Género</v>
      </c>
      <c r="D92" s="1783">
        <f>+'PLAN DE DESARROLLO '!M207</f>
        <v>0.75</v>
      </c>
    </row>
    <row r="93" spans="3:4" ht="15.75" customHeight="1" x14ac:dyDescent="0.25">
      <c r="C93" s="815"/>
      <c r="D93" s="839"/>
    </row>
    <row r="94" spans="3:4" ht="15.75" customHeight="1" x14ac:dyDescent="0.25">
      <c r="C94" s="815"/>
      <c r="D94" s="839"/>
    </row>
    <row r="95" spans="3:4" ht="15.75" customHeight="1" x14ac:dyDescent="0.25">
      <c r="C95" s="815"/>
      <c r="D95" s="839"/>
    </row>
    <row r="96" spans="3:4" ht="15.75" customHeight="1" x14ac:dyDescent="0.25">
      <c r="C96" s="815"/>
      <c r="D96" s="839"/>
    </row>
    <row r="97" spans="3:4" ht="15.75" customHeight="1" x14ac:dyDescent="0.25">
      <c r="C97" s="815"/>
      <c r="D97" s="839"/>
    </row>
    <row r="98" spans="3:4" ht="15.75" customHeight="1" x14ac:dyDescent="0.25">
      <c r="C98" s="815"/>
      <c r="D98" s="839"/>
    </row>
    <row r="99" spans="3:4" ht="15.75" customHeight="1" x14ac:dyDescent="0.25">
      <c r="C99" s="815"/>
      <c r="D99" s="839"/>
    </row>
    <row r="100" spans="3:4" ht="15.75" customHeight="1" x14ac:dyDescent="0.25">
      <c r="C100" s="815"/>
      <c r="D100" s="839"/>
    </row>
    <row r="101" spans="3:4" ht="15.75" customHeight="1" x14ac:dyDescent="0.25">
      <c r="C101" s="815"/>
      <c r="D101" s="839"/>
    </row>
    <row r="102" spans="3:4" ht="15.75" customHeight="1" x14ac:dyDescent="0.25">
      <c r="C102" s="815"/>
      <c r="D102" s="839"/>
    </row>
    <row r="103" spans="3:4" ht="15.75" customHeight="1" x14ac:dyDescent="0.25">
      <c r="C103" s="815"/>
      <c r="D103" s="839"/>
    </row>
    <row r="104" spans="3:4" ht="15.75" customHeight="1" x14ac:dyDescent="0.25">
      <c r="C104" s="815"/>
      <c r="D104" s="839"/>
    </row>
    <row r="105" spans="3:4" ht="15.75" customHeight="1" x14ac:dyDescent="0.25">
      <c r="C105" s="815"/>
      <c r="D105" s="839"/>
    </row>
    <row r="106" spans="3:4" ht="15.75" customHeight="1" x14ac:dyDescent="0.25">
      <c r="C106" s="815"/>
      <c r="D106" s="839"/>
    </row>
    <row r="107" spans="3:4" ht="15.75" customHeight="1" x14ac:dyDescent="0.25">
      <c r="C107" s="815"/>
      <c r="D107" s="839"/>
    </row>
    <row r="108" spans="3:4" ht="15.75" customHeight="1" x14ac:dyDescent="0.25">
      <c r="C108" s="815"/>
      <c r="D108" s="839"/>
    </row>
    <row r="109" spans="3:4" ht="15.75" customHeight="1" x14ac:dyDescent="0.25">
      <c r="C109" s="815"/>
      <c r="D109" s="839"/>
    </row>
    <row r="110" spans="3:4" ht="15.75" customHeight="1" x14ac:dyDescent="0.25">
      <c r="C110" s="815"/>
      <c r="D110" s="839"/>
    </row>
    <row r="111" spans="3:4" ht="15.75" customHeight="1" x14ac:dyDescent="0.25">
      <c r="C111" s="815"/>
      <c r="D111" s="839"/>
    </row>
    <row r="112" spans="3:4" ht="15.75" customHeight="1" x14ac:dyDescent="0.25">
      <c r="C112" s="815"/>
      <c r="D112" s="839"/>
    </row>
    <row r="113" spans="3:4" ht="15.75" customHeight="1" x14ac:dyDescent="0.25">
      <c r="C113" s="815"/>
      <c r="D113" s="839"/>
    </row>
    <row r="114" spans="3:4" ht="15.75" customHeight="1" x14ac:dyDescent="0.25">
      <c r="C114" s="815"/>
      <c r="D114" s="839"/>
    </row>
    <row r="115" spans="3:4" ht="15.75" customHeight="1" x14ac:dyDescent="0.25">
      <c r="C115" s="815"/>
      <c r="D115" s="839"/>
    </row>
    <row r="116" spans="3:4" ht="15.75" customHeight="1" x14ac:dyDescent="0.25">
      <c r="C116" s="815"/>
      <c r="D116" s="839"/>
    </row>
    <row r="117" spans="3:4" ht="15.75" customHeight="1" x14ac:dyDescent="0.25">
      <c r="C117" s="815"/>
      <c r="D117" s="839"/>
    </row>
    <row r="118" spans="3:4" ht="15.75" customHeight="1" x14ac:dyDescent="0.25">
      <c r="C118" s="815"/>
      <c r="D118" s="839"/>
    </row>
    <row r="119" spans="3:4" ht="15.75" customHeight="1" x14ac:dyDescent="0.25">
      <c r="C119" s="815"/>
      <c r="D119" s="839"/>
    </row>
    <row r="120" spans="3:4" ht="15.75" customHeight="1" x14ac:dyDescent="0.25">
      <c r="C120" s="815"/>
      <c r="D120" s="839"/>
    </row>
    <row r="121" spans="3:4" ht="15.75" customHeight="1" x14ac:dyDescent="0.25">
      <c r="C121" s="815"/>
      <c r="D121" s="839"/>
    </row>
    <row r="122" spans="3:4" ht="15.75" customHeight="1" x14ac:dyDescent="0.25">
      <c r="C122" s="815"/>
      <c r="D122" s="839"/>
    </row>
    <row r="123" spans="3:4" ht="15.75" customHeight="1" x14ac:dyDescent="0.25">
      <c r="C123" s="815"/>
      <c r="D123" s="839"/>
    </row>
    <row r="124" spans="3:4" ht="15.75" customHeight="1" x14ac:dyDescent="0.25">
      <c r="C124" s="815"/>
      <c r="D124" s="839"/>
    </row>
    <row r="125" spans="3:4" ht="15.75" customHeight="1" x14ac:dyDescent="0.25">
      <c r="C125" s="815"/>
      <c r="D125" s="839"/>
    </row>
    <row r="126" spans="3:4" ht="15.75" customHeight="1" x14ac:dyDescent="0.25">
      <c r="C126" s="815"/>
      <c r="D126" s="839"/>
    </row>
    <row r="127" spans="3:4" ht="15.75" customHeight="1" x14ac:dyDescent="0.25">
      <c r="C127" s="815"/>
      <c r="D127" s="839"/>
    </row>
    <row r="128" spans="3:4" ht="15.75" customHeight="1" x14ac:dyDescent="0.25">
      <c r="C128" s="815"/>
      <c r="D128" s="839"/>
    </row>
    <row r="129" spans="3:4" ht="15.75" customHeight="1" x14ac:dyDescent="0.25">
      <c r="C129" s="815"/>
      <c r="D129" s="839"/>
    </row>
    <row r="130" spans="3:4" ht="15.75" customHeight="1" x14ac:dyDescent="0.25">
      <c r="C130" s="815"/>
      <c r="D130" s="839"/>
    </row>
    <row r="131" spans="3:4" ht="15.75" customHeight="1" x14ac:dyDescent="0.25">
      <c r="C131" s="815"/>
      <c r="D131" s="839"/>
    </row>
    <row r="132" spans="3:4" ht="15.75" customHeight="1" x14ac:dyDescent="0.25">
      <c r="C132" s="815"/>
      <c r="D132" s="839"/>
    </row>
    <row r="133" spans="3:4" ht="15.75" customHeight="1" x14ac:dyDescent="0.25">
      <c r="C133" s="815"/>
      <c r="D133" s="839"/>
    </row>
    <row r="134" spans="3:4" ht="15.75" customHeight="1" x14ac:dyDescent="0.25">
      <c r="C134" s="815"/>
      <c r="D134" s="839"/>
    </row>
    <row r="135" spans="3:4" ht="15.75" customHeight="1" x14ac:dyDescent="0.25">
      <c r="C135" s="815"/>
      <c r="D135" s="839"/>
    </row>
    <row r="136" spans="3:4" ht="15.75" customHeight="1" x14ac:dyDescent="0.25">
      <c r="C136" s="815"/>
      <c r="D136" s="839"/>
    </row>
    <row r="137" spans="3:4" ht="15.75" customHeight="1" x14ac:dyDescent="0.25">
      <c r="C137" s="815"/>
      <c r="D137" s="839"/>
    </row>
    <row r="138" spans="3:4" ht="15.75" customHeight="1" x14ac:dyDescent="0.25">
      <c r="C138" s="815"/>
      <c r="D138" s="839"/>
    </row>
    <row r="139" spans="3:4" ht="15.75" customHeight="1" x14ac:dyDescent="0.25">
      <c r="C139" s="815"/>
      <c r="D139" s="839"/>
    </row>
    <row r="140" spans="3:4" ht="15.75" customHeight="1" x14ac:dyDescent="0.25">
      <c r="C140" s="815"/>
      <c r="D140" s="839"/>
    </row>
    <row r="141" spans="3:4" ht="15.75" customHeight="1" x14ac:dyDescent="0.25">
      <c r="C141" s="815"/>
      <c r="D141" s="839"/>
    </row>
    <row r="142" spans="3:4" ht="15.75" customHeight="1" x14ac:dyDescent="0.25">
      <c r="C142" s="815"/>
      <c r="D142" s="839"/>
    </row>
    <row r="143" spans="3:4" ht="15.75" customHeight="1" x14ac:dyDescent="0.25">
      <c r="C143" s="815"/>
      <c r="D143" s="839"/>
    </row>
    <row r="144" spans="3:4" ht="15.75" customHeight="1" x14ac:dyDescent="0.25">
      <c r="C144" s="815"/>
      <c r="D144" s="839"/>
    </row>
    <row r="145" spans="3:4" ht="15.75" customHeight="1" x14ac:dyDescent="0.25">
      <c r="C145" s="815"/>
      <c r="D145" s="839"/>
    </row>
    <row r="146" spans="3:4" ht="15.75" customHeight="1" x14ac:dyDescent="0.25">
      <c r="C146" s="815"/>
      <c r="D146" s="839"/>
    </row>
    <row r="147" spans="3:4" ht="15.75" customHeight="1" x14ac:dyDescent="0.25">
      <c r="C147" s="815"/>
      <c r="D147" s="839"/>
    </row>
    <row r="148" spans="3:4" ht="15.75" customHeight="1" x14ac:dyDescent="0.25">
      <c r="C148" s="815"/>
      <c r="D148" s="839"/>
    </row>
    <row r="149" spans="3:4" ht="15.75" customHeight="1" x14ac:dyDescent="0.25">
      <c r="C149" s="815"/>
      <c r="D149" s="839"/>
    </row>
    <row r="150" spans="3:4" ht="15.75" customHeight="1" x14ac:dyDescent="0.25">
      <c r="C150" s="815"/>
      <c r="D150" s="839"/>
    </row>
    <row r="151" spans="3:4" ht="15.75" customHeight="1" x14ac:dyDescent="0.25">
      <c r="C151" s="815"/>
      <c r="D151" s="839"/>
    </row>
    <row r="152" spans="3:4" ht="15.75" customHeight="1" x14ac:dyDescent="0.25">
      <c r="C152" s="815"/>
      <c r="D152" s="839"/>
    </row>
    <row r="153" spans="3:4" ht="15.75" customHeight="1" x14ac:dyDescent="0.25">
      <c r="C153" s="815"/>
      <c r="D153" s="839"/>
    </row>
    <row r="154" spans="3:4" ht="15.75" customHeight="1" x14ac:dyDescent="0.25">
      <c r="C154" s="815"/>
      <c r="D154" s="839"/>
    </row>
    <row r="155" spans="3:4" ht="15.75" customHeight="1" x14ac:dyDescent="0.25">
      <c r="C155" s="815"/>
      <c r="D155" s="839"/>
    </row>
    <row r="156" spans="3:4" ht="15.75" customHeight="1" x14ac:dyDescent="0.25">
      <c r="C156" s="815"/>
      <c r="D156" s="839"/>
    </row>
    <row r="157" spans="3:4" ht="15.75" customHeight="1" x14ac:dyDescent="0.25">
      <c r="C157" s="815"/>
      <c r="D157" s="839"/>
    </row>
    <row r="158" spans="3:4" ht="15.75" customHeight="1" x14ac:dyDescent="0.25">
      <c r="C158" s="815"/>
      <c r="D158" s="839"/>
    </row>
    <row r="159" spans="3:4" ht="15.75" customHeight="1" x14ac:dyDescent="0.25">
      <c r="C159" s="815"/>
      <c r="D159" s="839"/>
    </row>
    <row r="160" spans="3:4" ht="15.75" customHeight="1" x14ac:dyDescent="0.25">
      <c r="C160" s="815"/>
      <c r="D160" s="839"/>
    </row>
    <row r="161" spans="3:4" ht="15.75" customHeight="1" x14ac:dyDescent="0.25">
      <c r="C161" s="815"/>
      <c r="D161" s="839"/>
    </row>
    <row r="162" spans="3:4" ht="15.75" customHeight="1" x14ac:dyDescent="0.25">
      <c r="C162" s="815"/>
      <c r="D162" s="839"/>
    </row>
    <row r="163" spans="3:4" ht="15.75" customHeight="1" x14ac:dyDescent="0.25">
      <c r="C163" s="815"/>
      <c r="D163" s="839"/>
    </row>
    <row r="164" spans="3:4" ht="15.75" customHeight="1" x14ac:dyDescent="0.25">
      <c r="C164" s="815"/>
      <c r="D164" s="839"/>
    </row>
    <row r="165" spans="3:4" ht="15.75" customHeight="1" x14ac:dyDescent="0.25">
      <c r="C165" s="815"/>
      <c r="D165" s="839"/>
    </row>
    <row r="166" spans="3:4" ht="15.75" customHeight="1" x14ac:dyDescent="0.25">
      <c r="C166" s="815"/>
      <c r="D166" s="839"/>
    </row>
    <row r="167" spans="3:4" ht="15.75" customHeight="1" x14ac:dyDescent="0.25">
      <c r="C167" s="815"/>
      <c r="D167" s="839"/>
    </row>
    <row r="168" spans="3:4" ht="15.75" customHeight="1" x14ac:dyDescent="0.25">
      <c r="C168" s="815"/>
      <c r="D168" s="839"/>
    </row>
    <row r="169" spans="3:4" ht="15.75" customHeight="1" x14ac:dyDescent="0.25">
      <c r="C169" s="815"/>
      <c r="D169" s="839"/>
    </row>
    <row r="170" spans="3:4" ht="15.75" customHeight="1" x14ac:dyDescent="0.25">
      <c r="C170" s="815"/>
      <c r="D170" s="839"/>
    </row>
    <row r="171" spans="3:4" ht="15.75" customHeight="1" x14ac:dyDescent="0.25">
      <c r="C171" s="815"/>
      <c r="D171" s="839"/>
    </row>
    <row r="172" spans="3:4" ht="15.75" customHeight="1" x14ac:dyDescent="0.25">
      <c r="C172" s="815"/>
      <c r="D172" s="839"/>
    </row>
    <row r="173" spans="3:4" ht="15.75" customHeight="1" x14ac:dyDescent="0.25">
      <c r="C173" s="815"/>
      <c r="D173" s="839"/>
    </row>
    <row r="174" spans="3:4" ht="15.75" customHeight="1" x14ac:dyDescent="0.25">
      <c r="C174" s="815"/>
      <c r="D174" s="839"/>
    </row>
    <row r="175" spans="3:4" ht="15.75" customHeight="1" x14ac:dyDescent="0.25">
      <c r="C175" s="815"/>
      <c r="D175" s="839"/>
    </row>
    <row r="176" spans="3:4" ht="15.75" customHeight="1" x14ac:dyDescent="0.25">
      <c r="C176" s="815"/>
      <c r="D176" s="839"/>
    </row>
    <row r="177" spans="3:4" ht="15.75" customHeight="1" x14ac:dyDescent="0.25">
      <c r="C177" s="815"/>
      <c r="D177" s="839"/>
    </row>
    <row r="178" spans="3:4" ht="15.75" customHeight="1" x14ac:dyDescent="0.25">
      <c r="C178" s="815"/>
      <c r="D178" s="839"/>
    </row>
    <row r="179" spans="3:4" ht="15.75" customHeight="1" x14ac:dyDescent="0.25">
      <c r="C179" s="815"/>
      <c r="D179" s="839"/>
    </row>
    <row r="180" spans="3:4" ht="15.75" customHeight="1" x14ac:dyDescent="0.25">
      <c r="C180" s="815"/>
      <c r="D180" s="839"/>
    </row>
    <row r="181" spans="3:4" ht="15.75" customHeight="1" x14ac:dyDescent="0.25">
      <c r="C181" s="815"/>
      <c r="D181" s="839"/>
    </row>
    <row r="182" spans="3:4" ht="15.75" customHeight="1" x14ac:dyDescent="0.25">
      <c r="C182" s="815"/>
      <c r="D182" s="839"/>
    </row>
    <row r="183" spans="3:4" ht="15.75" customHeight="1" x14ac:dyDescent="0.25">
      <c r="C183" s="815"/>
      <c r="D183" s="839"/>
    </row>
    <row r="184" spans="3:4" ht="15.75" customHeight="1" x14ac:dyDescent="0.25">
      <c r="C184" s="815"/>
      <c r="D184" s="839"/>
    </row>
    <row r="185" spans="3:4" ht="15.75" customHeight="1" x14ac:dyDescent="0.25">
      <c r="C185" s="815"/>
      <c r="D185" s="839"/>
    </row>
    <row r="186" spans="3:4" ht="15.75" customHeight="1" x14ac:dyDescent="0.25">
      <c r="C186" s="815"/>
      <c r="D186" s="839"/>
    </row>
    <row r="187" spans="3:4" ht="15.75" customHeight="1" x14ac:dyDescent="0.25">
      <c r="C187" s="815"/>
      <c r="D187" s="839"/>
    </row>
    <row r="188" spans="3:4" ht="15.75" customHeight="1" x14ac:dyDescent="0.25">
      <c r="C188" s="815"/>
      <c r="D188" s="839"/>
    </row>
    <row r="189" spans="3:4" ht="15.75" customHeight="1" x14ac:dyDescent="0.25">
      <c r="C189" s="815"/>
      <c r="D189" s="839"/>
    </row>
    <row r="190" spans="3:4" ht="15.75" customHeight="1" x14ac:dyDescent="0.25">
      <c r="C190" s="815"/>
      <c r="D190" s="839"/>
    </row>
    <row r="191" spans="3:4" ht="15.75" customHeight="1" x14ac:dyDescent="0.25">
      <c r="C191" s="815"/>
      <c r="D191" s="839"/>
    </row>
    <row r="192" spans="3:4" ht="15.75" customHeight="1" x14ac:dyDescent="0.25">
      <c r="C192" s="815"/>
      <c r="D192" s="839"/>
    </row>
    <row r="193" spans="3:4" ht="15.75" customHeight="1" x14ac:dyDescent="0.25">
      <c r="C193" s="815"/>
      <c r="D193" s="839"/>
    </row>
    <row r="194" spans="3:4" ht="15.75" customHeight="1" x14ac:dyDescent="0.25">
      <c r="C194" s="815">
        <f>+'PLAN DE DESARROLLO '!B309</f>
        <v>0</v>
      </c>
      <c r="D194" s="839">
        <f>+'PLAN DE DESARROLLO '!D309</f>
        <v>0</v>
      </c>
    </row>
    <row r="195" spans="3:4" ht="15.75" customHeight="1" x14ac:dyDescent="0.25">
      <c r="C195" s="815">
        <f>+'PLAN DE DESARROLLO '!B310</f>
        <v>0</v>
      </c>
      <c r="D195" s="839">
        <f>+'PLAN DE DESARROLLO '!D310</f>
        <v>0</v>
      </c>
    </row>
    <row r="196" spans="3:4" ht="15.75" customHeight="1" x14ac:dyDescent="0.25">
      <c r="C196" s="815">
        <f>+'PLAN DE DESARROLLO '!B311</f>
        <v>0</v>
      </c>
      <c r="D196" s="839">
        <f>+'PLAN DE DESARROLLO '!D311</f>
        <v>0</v>
      </c>
    </row>
    <row r="197" spans="3:4" ht="15.75" customHeight="1" x14ac:dyDescent="0.2"/>
    <row r="198" spans="3:4" ht="15.75" customHeight="1" x14ac:dyDescent="0.2"/>
    <row r="199" spans="3:4" ht="15.75" customHeight="1" x14ac:dyDescent="0.2"/>
    <row r="200" spans="3:4" ht="15.75" customHeight="1" x14ac:dyDescent="0.2"/>
    <row r="201" spans="3:4" ht="15.75" customHeight="1" x14ac:dyDescent="0.2"/>
    <row r="202" spans="3:4" ht="15.75" customHeight="1" x14ac:dyDescent="0.2"/>
    <row r="203" spans="3:4" ht="15.75" customHeight="1" x14ac:dyDescent="0.2"/>
    <row r="204" spans="3:4" ht="15.75" customHeight="1" x14ac:dyDescent="0.2"/>
    <row r="205" spans="3:4" ht="15.75" customHeight="1" x14ac:dyDescent="0.2"/>
    <row r="206" spans="3:4" ht="15.75" customHeight="1" x14ac:dyDescent="0.2"/>
    <row r="207" spans="3:4" ht="15.75" customHeight="1" x14ac:dyDescent="0.2"/>
    <row r="208" spans="3:4"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0866141732283472" right="0.70866141732283472" top="0.74803149606299213" bottom="0.74803149606299213" header="0" footer="0"/>
  <pageSetup paperSize="5" scale="75"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000"/>
  <sheetViews>
    <sheetView workbookViewId="0"/>
  </sheetViews>
  <sheetFormatPr baseColWidth="10" defaultColWidth="12.625" defaultRowHeight="15" customHeight="1" x14ac:dyDescent="0.2"/>
  <cols>
    <col min="1" max="2" width="9.375" customWidth="1"/>
    <col min="3" max="3" width="56" customWidth="1"/>
    <col min="4" max="4" width="14.75" customWidth="1"/>
    <col min="5" max="5" width="17.625" customWidth="1"/>
    <col min="6" max="6" width="15.375" customWidth="1"/>
    <col min="7" max="7" width="15" customWidth="1"/>
    <col min="8" max="8" width="9.375" customWidth="1"/>
  </cols>
  <sheetData>
    <row r="2" spans="2:8" x14ac:dyDescent="0.25">
      <c r="C2" s="30"/>
      <c r="D2" s="27" t="s">
        <v>2141</v>
      </c>
      <c r="E2" s="27" t="s">
        <v>2142</v>
      </c>
      <c r="F2" s="27" t="s">
        <v>2143</v>
      </c>
      <c r="G2" s="27" t="s">
        <v>2144</v>
      </c>
    </row>
    <row r="3" spans="2:8" x14ac:dyDescent="0.25">
      <c r="C3" s="24" t="s">
        <v>2040</v>
      </c>
      <c r="D3" s="39">
        <v>7.3160323152723181E-2</v>
      </c>
      <c r="E3" s="39">
        <v>5.6430243739494887E-2</v>
      </c>
      <c r="F3" s="39">
        <v>7.6490972666561657E-2</v>
      </c>
      <c r="G3" s="42">
        <v>0.13511815640270883</v>
      </c>
      <c r="H3" s="38"/>
    </row>
    <row r="4" spans="2:8" x14ac:dyDescent="0.25">
      <c r="C4" s="24" t="s">
        <v>162</v>
      </c>
      <c r="D4" s="39">
        <v>6.3070514335331757E-2</v>
      </c>
      <c r="E4" s="39">
        <v>0.10297843481969533</v>
      </c>
      <c r="F4" s="39">
        <v>0.10991219550345602</v>
      </c>
      <c r="G4" s="42">
        <v>0.16572664296749282</v>
      </c>
      <c r="H4" s="38"/>
    </row>
    <row r="5" spans="2:8" x14ac:dyDescent="0.25">
      <c r="C5" s="24" t="s">
        <v>606</v>
      </c>
      <c r="D5" s="39">
        <v>7.4538249760611922E-2</v>
      </c>
      <c r="E5" s="39">
        <v>3.9831900554262716E-2</v>
      </c>
      <c r="F5" s="39">
        <v>8.1982208824885119E-2</v>
      </c>
      <c r="G5" s="42">
        <v>0.16511045292766116</v>
      </c>
      <c r="H5" s="38"/>
    </row>
    <row r="6" spans="2:8" x14ac:dyDescent="0.25">
      <c r="C6" s="24" t="s">
        <v>1276</v>
      </c>
      <c r="D6" s="31">
        <v>2.8853367003367002E-3</v>
      </c>
      <c r="E6" s="31">
        <v>2.8853367003367002E-3</v>
      </c>
      <c r="F6" s="39">
        <v>3.6964530149984694E-2</v>
      </c>
      <c r="G6" s="42">
        <v>6.6118445370661763E-2</v>
      </c>
      <c r="H6" s="38"/>
    </row>
    <row r="7" spans="2:8" x14ac:dyDescent="0.25">
      <c r="C7" s="24" t="s">
        <v>1461</v>
      </c>
      <c r="D7" s="39">
        <v>0.10291411783195395</v>
      </c>
      <c r="E7" s="39">
        <v>6.0937149487798103E-2</v>
      </c>
      <c r="F7" s="39">
        <v>7.8077531719100868E-2</v>
      </c>
      <c r="G7" s="42">
        <v>0.16376458098887503</v>
      </c>
      <c r="H7" s="38"/>
    </row>
    <row r="8" spans="2:8" ht="30" x14ac:dyDescent="0.25">
      <c r="C8" s="24" t="s">
        <v>90</v>
      </c>
      <c r="D8" s="39">
        <v>0.12239339713538158</v>
      </c>
      <c r="E8" s="31">
        <v>7.5518397135381596E-2</v>
      </c>
      <c r="F8" s="31">
        <v>7.5518397135381596E-2</v>
      </c>
      <c r="G8" s="42">
        <v>0.11487065975885348</v>
      </c>
      <c r="H8" s="38"/>
    </row>
    <row r="11" spans="2:8" x14ac:dyDescent="0.25">
      <c r="C11" s="815" t="s">
        <v>2145</v>
      </c>
    </row>
    <row r="13" spans="2:8" x14ac:dyDescent="0.25">
      <c r="B13" s="821">
        <v>1</v>
      </c>
      <c r="C13" s="821" t="s">
        <v>2146</v>
      </c>
    </row>
    <row r="14" spans="2:8" x14ac:dyDescent="0.25">
      <c r="B14" s="821">
        <v>2</v>
      </c>
      <c r="C14" s="821" t="s">
        <v>2147</v>
      </c>
    </row>
    <row r="15" spans="2:8" x14ac:dyDescent="0.25">
      <c r="B15" s="821">
        <v>3</v>
      </c>
      <c r="C15" s="821" t="s">
        <v>2148</v>
      </c>
    </row>
    <row r="16" spans="2:8" x14ac:dyDescent="0.25">
      <c r="B16" s="821">
        <v>4</v>
      </c>
      <c r="C16" s="821" t="s">
        <v>2149</v>
      </c>
    </row>
    <row r="17" spans="2:4" x14ac:dyDescent="0.25">
      <c r="B17" s="821">
        <v>5</v>
      </c>
      <c r="C17" s="821" t="s">
        <v>2150</v>
      </c>
    </row>
    <row r="18" spans="2:4" x14ac:dyDescent="0.25">
      <c r="B18" s="821">
        <v>6</v>
      </c>
      <c r="C18" s="821" t="s">
        <v>2151</v>
      </c>
      <c r="D18" s="821" t="s">
        <v>2152</v>
      </c>
    </row>
    <row r="19" spans="2:4" x14ac:dyDescent="0.25">
      <c r="B19" s="821">
        <v>7</v>
      </c>
      <c r="C19" s="821" t="s">
        <v>2100</v>
      </c>
    </row>
    <row r="20" spans="2:4" x14ac:dyDescent="0.25">
      <c r="B20" s="821">
        <v>8</v>
      </c>
      <c r="C20" s="748" t="s">
        <v>2153</v>
      </c>
      <c r="D20" s="821" t="s">
        <v>2154</v>
      </c>
    </row>
    <row r="21" spans="2:4" ht="15.75" customHeight="1" x14ac:dyDescent="0.25">
      <c r="B21" s="821">
        <v>9</v>
      </c>
      <c r="C21" s="821" t="s">
        <v>2155</v>
      </c>
    </row>
    <row r="22" spans="2:4" ht="15.75" customHeight="1" x14ac:dyDescent="0.25">
      <c r="B22" s="821">
        <v>10</v>
      </c>
      <c r="C22" s="821" t="s">
        <v>2156</v>
      </c>
    </row>
    <row r="23" spans="2:4" ht="15.75" customHeight="1" x14ac:dyDescent="0.25">
      <c r="B23" s="821">
        <v>11</v>
      </c>
      <c r="C23" s="821" t="s">
        <v>2157</v>
      </c>
    </row>
    <row r="24" spans="2:4" ht="15.75" customHeight="1" x14ac:dyDescent="0.25">
      <c r="B24" s="821">
        <v>12</v>
      </c>
      <c r="C24" s="821" t="s">
        <v>2158</v>
      </c>
    </row>
    <row r="25" spans="2:4" ht="15.75" customHeight="1" x14ac:dyDescent="0.25">
      <c r="B25" s="821">
        <v>13</v>
      </c>
      <c r="C25" s="821" t="s">
        <v>2159</v>
      </c>
    </row>
    <row r="26" spans="2:4" ht="15.75" customHeight="1" x14ac:dyDescent="0.25">
      <c r="B26" s="821">
        <v>14</v>
      </c>
      <c r="C26" s="821" t="s">
        <v>2160</v>
      </c>
    </row>
    <row r="27" spans="2:4" ht="15.75" customHeight="1" x14ac:dyDescent="0.25">
      <c r="B27" s="821">
        <v>15</v>
      </c>
      <c r="C27" s="821" t="s">
        <v>2090</v>
      </c>
    </row>
    <row r="28" spans="2:4" ht="15.75" customHeight="1" x14ac:dyDescent="0.25">
      <c r="B28" s="821">
        <v>16</v>
      </c>
      <c r="C28" s="821" t="s">
        <v>2092</v>
      </c>
    </row>
    <row r="29" spans="2:4" ht="15.75" customHeight="1" x14ac:dyDescent="0.25">
      <c r="B29" s="821">
        <v>17</v>
      </c>
      <c r="C29" s="821" t="s">
        <v>2161</v>
      </c>
    </row>
    <row r="30" spans="2:4" ht="15.75" customHeight="1" x14ac:dyDescent="0.25">
      <c r="B30" s="821">
        <v>18</v>
      </c>
      <c r="C30" s="821" t="s">
        <v>2153</v>
      </c>
    </row>
    <row r="31" spans="2:4" ht="15.75" customHeight="1" x14ac:dyDescent="0.25">
      <c r="B31" s="821">
        <v>19</v>
      </c>
      <c r="C31" s="821" t="s">
        <v>2162</v>
      </c>
    </row>
    <row r="32" spans="2:4" ht="15.75" customHeight="1" x14ac:dyDescent="0.25">
      <c r="B32" s="821">
        <v>20</v>
      </c>
      <c r="C32" s="821" t="s">
        <v>2163</v>
      </c>
    </row>
    <row r="33" spans="2:3" ht="15.75" customHeight="1" x14ac:dyDescent="0.25">
      <c r="B33" s="821">
        <v>21</v>
      </c>
      <c r="C33" s="821" t="s">
        <v>2164</v>
      </c>
    </row>
    <row r="34" spans="2:3" ht="15.75" customHeight="1" x14ac:dyDescent="0.2"/>
    <row r="35" spans="2:3" ht="15.75" customHeight="1" x14ac:dyDescent="0.2"/>
    <row r="36" spans="2:3" ht="15.75" customHeight="1" x14ac:dyDescent="0.2"/>
    <row r="37" spans="2:3" ht="15.75" customHeight="1" x14ac:dyDescent="0.2"/>
    <row r="38" spans="2:3" ht="15.75" customHeight="1" x14ac:dyDescent="0.2"/>
    <row r="39" spans="2:3" ht="15.75" customHeight="1" x14ac:dyDescent="0.2"/>
    <row r="40" spans="2:3" ht="15.75" customHeight="1" x14ac:dyDescent="0.2"/>
    <row r="41" spans="2:3" ht="15.75" customHeight="1" x14ac:dyDescent="0.2"/>
    <row r="42" spans="2:3" ht="15.75" customHeight="1" x14ac:dyDescent="0.2"/>
    <row r="43" spans="2:3" ht="15.75" customHeight="1" x14ac:dyDescent="0.2"/>
    <row r="44" spans="2:3" ht="15.75" customHeight="1" x14ac:dyDescent="0.2"/>
    <row r="45" spans="2:3" ht="15.75" customHeight="1" x14ac:dyDescent="0.2"/>
    <row r="46" spans="2:3" ht="15.75" customHeight="1" x14ac:dyDescent="0.2"/>
    <row r="47" spans="2:3" ht="15.75" customHeight="1" x14ac:dyDescent="0.2"/>
    <row r="48" spans="2:3"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O1000"/>
  <sheetViews>
    <sheetView workbookViewId="0"/>
  </sheetViews>
  <sheetFormatPr baseColWidth="10" defaultColWidth="12.625" defaultRowHeight="15" customHeight="1" x14ac:dyDescent="0.2"/>
  <cols>
    <col min="1" max="2" width="9.375" customWidth="1"/>
    <col min="3" max="3" width="28.625" customWidth="1"/>
    <col min="4" max="4" width="26.625" customWidth="1"/>
    <col min="5" max="5" width="25.625" customWidth="1"/>
    <col min="6" max="10" width="16.875" customWidth="1"/>
    <col min="11" max="11" width="11.375" customWidth="1"/>
    <col min="12" max="15" width="9.375" customWidth="1"/>
  </cols>
  <sheetData>
    <row r="3" spans="3:15" ht="32.25" customHeight="1" x14ac:dyDescent="0.25">
      <c r="C3" s="21"/>
      <c r="D3" s="22" t="s">
        <v>84</v>
      </c>
      <c r="E3" s="23" t="s">
        <v>85</v>
      </c>
    </row>
    <row r="4" spans="3:15" ht="17.25" customHeight="1" x14ac:dyDescent="0.25">
      <c r="C4" s="24" t="s">
        <v>86</v>
      </c>
      <c r="D4" s="25">
        <v>569418.9</v>
      </c>
      <c r="E4" s="26">
        <v>9.4513168190194161E-2</v>
      </c>
    </row>
    <row r="5" spans="3:15" ht="15.75" customHeight="1" x14ac:dyDescent="0.25">
      <c r="C5" s="24" t="s">
        <v>87</v>
      </c>
      <c r="D5" s="25">
        <v>4816598.3</v>
      </c>
      <c r="E5" s="26">
        <v>0.79946760676981954</v>
      </c>
    </row>
    <row r="6" spans="3:15" ht="18.75" customHeight="1" x14ac:dyDescent="0.25">
      <c r="C6" s="24" t="s">
        <v>88</v>
      </c>
      <c r="D6" s="25">
        <v>56305.3</v>
      </c>
      <c r="E6" s="26">
        <v>9.3456544714257631E-3</v>
      </c>
    </row>
    <row r="7" spans="3:15" ht="18.75" customHeight="1" x14ac:dyDescent="0.25">
      <c r="C7" s="24" t="s">
        <v>89</v>
      </c>
      <c r="D7" s="25">
        <v>507065.59999999998</v>
      </c>
      <c r="E7" s="26">
        <v>8.4163655853821698E-2</v>
      </c>
    </row>
    <row r="8" spans="3:15" ht="44.25" customHeight="1" x14ac:dyDescent="0.25">
      <c r="C8" s="24" t="s">
        <v>90</v>
      </c>
      <c r="D8" s="25">
        <v>75369.200000000012</v>
      </c>
      <c r="E8" s="26">
        <v>1.2509914714738802E-2</v>
      </c>
    </row>
    <row r="11" spans="3:15" ht="24" customHeight="1" x14ac:dyDescent="0.2">
      <c r="C11" s="1803" t="s">
        <v>91</v>
      </c>
      <c r="D11" s="1804"/>
      <c r="E11" s="1804"/>
      <c r="F11" s="1804"/>
      <c r="G11" s="1804"/>
      <c r="H11" s="1804"/>
      <c r="I11" s="1804"/>
      <c r="J11" s="1804"/>
      <c r="K11" s="1805"/>
    </row>
    <row r="12" spans="3:15" ht="45" x14ac:dyDescent="0.25">
      <c r="C12" s="27" t="s">
        <v>92</v>
      </c>
      <c r="D12" s="27" t="s">
        <v>93</v>
      </c>
      <c r="E12" s="28" t="s">
        <v>94</v>
      </c>
      <c r="F12" s="28" t="s">
        <v>95</v>
      </c>
      <c r="G12" s="28" t="s">
        <v>96</v>
      </c>
      <c r="H12" s="28" t="s">
        <v>97</v>
      </c>
      <c r="I12" s="29" t="s">
        <v>98</v>
      </c>
      <c r="J12" s="27" t="s">
        <v>99</v>
      </c>
      <c r="K12" s="28" t="s">
        <v>100</v>
      </c>
    </row>
    <row r="13" spans="3:15" x14ac:dyDescent="0.25">
      <c r="C13" s="30">
        <f>+'PLAN DE DESARROLLO '!Q5</f>
        <v>0</v>
      </c>
      <c r="D13" s="31">
        <f>+'PLAN DE DESARROLLO '!R5</f>
        <v>0</v>
      </c>
      <c r="E13" s="32" t="e">
        <f>+D13/$D$20</f>
        <v>#DIV/0!</v>
      </c>
      <c r="F13" s="33">
        <v>0.4</v>
      </c>
      <c r="G13" s="33">
        <v>0.3</v>
      </c>
      <c r="H13" s="33">
        <v>0.1</v>
      </c>
      <c r="I13" s="33">
        <v>0.1</v>
      </c>
      <c r="J13" s="34">
        <v>0.1</v>
      </c>
      <c r="K13" s="35" t="e">
        <f>+((D13*F13)+(G13*D13)+(H13*D13)+(I13*D13)+(J13*D13))*E13</f>
        <v>#DIV/0!</v>
      </c>
      <c r="M13" s="36">
        <v>6.25E-2</v>
      </c>
      <c r="N13" s="37">
        <f>+F13*M13</f>
        <v>2.5000000000000001E-2</v>
      </c>
      <c r="O13" s="38"/>
    </row>
    <row r="14" spans="3:15" x14ac:dyDescent="0.25">
      <c r="C14" s="30">
        <f>+'PLAN DE DESARROLLO '!Q6</f>
        <v>0</v>
      </c>
      <c r="D14" s="39">
        <f>+'PLAN DE DESARROLLO '!R6</f>
        <v>0</v>
      </c>
      <c r="E14" s="32" t="e">
        <f>+D14/$D$20</f>
        <v>#DIV/0!</v>
      </c>
      <c r="F14" s="33">
        <v>0.4</v>
      </c>
      <c r="G14" s="33">
        <v>0.3</v>
      </c>
      <c r="H14" s="33">
        <v>0.1</v>
      </c>
      <c r="I14" s="33">
        <v>0.1</v>
      </c>
      <c r="J14" s="34">
        <v>0.1</v>
      </c>
      <c r="K14" s="35" t="e">
        <f>+((D14*F14)+(G14*D14)+(H14*D14)+(I14*D14)+(J14*D14))*E14</f>
        <v>#DIV/0!</v>
      </c>
      <c r="M14" s="36">
        <v>6.25E-2</v>
      </c>
      <c r="N14" s="37">
        <f>+F14*M14</f>
        <v>2.5000000000000001E-2</v>
      </c>
      <c r="O14" s="38"/>
    </row>
    <row r="15" spans="3:15" x14ac:dyDescent="0.25">
      <c r="C15" s="30">
        <f>+'PLAN DE DESARROLLO '!Q7</f>
        <v>0</v>
      </c>
      <c r="D15" s="31">
        <f>+'PLAN DE DESARROLLO '!R7</f>
        <v>0</v>
      </c>
      <c r="E15" s="32" t="e">
        <f>+D15/$D$20</f>
        <v>#DIV/0!</v>
      </c>
      <c r="F15" s="33">
        <v>0.4</v>
      </c>
      <c r="G15" s="33">
        <v>0.3</v>
      </c>
      <c r="H15" s="33">
        <v>0.1</v>
      </c>
      <c r="I15" s="33">
        <v>0.1</v>
      </c>
      <c r="J15" s="34">
        <v>0.1</v>
      </c>
      <c r="K15" s="40" t="e">
        <f>+((D15*F15)+(G15*D15)+(H15*D15)+(I15*D15)+(J15*D15))*E15</f>
        <v>#DIV/0!</v>
      </c>
      <c r="M15" s="36">
        <v>6.25E-2</v>
      </c>
      <c r="N15" s="37">
        <f>+F15*M15</f>
        <v>2.5000000000000001E-2</v>
      </c>
      <c r="O15" s="38"/>
    </row>
    <row r="16" spans="3:15" x14ac:dyDescent="0.25">
      <c r="C16" s="30">
        <f>+'PLAN DE DESARROLLO '!Q8</f>
        <v>0</v>
      </c>
      <c r="D16" s="31">
        <f>+'PLAN DE DESARROLLO '!R8</f>
        <v>0</v>
      </c>
      <c r="E16" s="32" t="e">
        <f>+D16/$D$20</f>
        <v>#DIV/0!</v>
      </c>
      <c r="F16" s="33">
        <v>0.4</v>
      </c>
      <c r="G16" s="33">
        <v>0.3</v>
      </c>
      <c r="H16" s="33">
        <v>0.1</v>
      </c>
      <c r="I16" s="33">
        <v>0.1</v>
      </c>
      <c r="J16" s="34">
        <v>0.1</v>
      </c>
      <c r="K16" s="35" t="e">
        <f>+((D16*F16)+(G16*D16)+(H16*D16)+(I16*D16)+(J16*D16))*E16</f>
        <v>#DIV/0!</v>
      </c>
      <c r="M16" s="36">
        <v>6.25E-2</v>
      </c>
      <c r="N16" s="37">
        <f>+F16*M16</f>
        <v>2.5000000000000001E-2</v>
      </c>
      <c r="O16" s="38"/>
    </row>
    <row r="17" spans="3:15" x14ac:dyDescent="0.25">
      <c r="C17" s="30">
        <f>+'PLAN DE DESARROLLO '!Q9</f>
        <v>0</v>
      </c>
      <c r="D17" s="31">
        <f>+'PLAN DE DESARROLLO '!R9</f>
        <v>0</v>
      </c>
      <c r="E17" s="32" t="e">
        <f>+D17/$D$20</f>
        <v>#DIV/0!</v>
      </c>
      <c r="F17" s="33">
        <v>0.4</v>
      </c>
      <c r="G17" s="33">
        <v>0.3</v>
      </c>
      <c r="H17" s="33">
        <v>0.1</v>
      </c>
      <c r="I17" s="33">
        <v>0.1</v>
      </c>
      <c r="J17" s="34">
        <v>0.1</v>
      </c>
      <c r="K17" s="35" t="e">
        <f>+((D17*F17)+(G17*D17)+(H17*D17)+(I17*D17)+(J17*D17))*E17</f>
        <v>#DIV/0!</v>
      </c>
      <c r="M17" s="36">
        <v>6.25E-2</v>
      </c>
      <c r="N17" s="37">
        <f>+F17*M17</f>
        <v>2.5000000000000001E-2</v>
      </c>
      <c r="O17" s="38"/>
    </row>
    <row r="18" spans="3:15" x14ac:dyDescent="0.25">
      <c r="C18" s="24">
        <f>+'PLAN DE DESARROLLO '!Q4</f>
        <v>0</v>
      </c>
      <c r="D18" s="41">
        <f>AVERAGE(D13:D17)</f>
        <v>0</v>
      </c>
      <c r="E18" s="30"/>
      <c r="F18" s="42"/>
      <c r="G18" s="42"/>
      <c r="H18" s="42"/>
      <c r="I18" s="42"/>
      <c r="J18" s="42"/>
      <c r="K18" s="43" t="e">
        <f>SUM(K13:K17)</f>
        <v>#DIV/0!</v>
      </c>
      <c r="M18" s="36"/>
      <c r="N18" s="44">
        <f>SUM(N13:N17)</f>
        <v>0.125</v>
      </c>
      <c r="O18" s="38"/>
    </row>
    <row r="20" spans="3:15" x14ac:dyDescent="0.25">
      <c r="D20" s="36">
        <f>+D13+D14+D15+D16+D17</f>
        <v>0</v>
      </c>
      <c r="M20" s="44">
        <f>+SUM(M13:M17)</f>
        <v>0.3125</v>
      </c>
    </row>
    <row r="21" spans="3:15" ht="15.75" customHeight="1" x14ac:dyDescent="0.2"/>
    <row r="22" spans="3:15" ht="15.75" customHeight="1" x14ac:dyDescent="0.25">
      <c r="D22" s="30"/>
      <c r="E22" s="45" t="s">
        <v>101</v>
      </c>
      <c r="F22" s="45" t="s">
        <v>102</v>
      </c>
      <c r="G22" s="45"/>
      <c r="H22" s="45"/>
      <c r="I22" s="45"/>
      <c r="J22" s="45"/>
      <c r="K22" s="46" t="s">
        <v>103</v>
      </c>
    </row>
    <row r="23" spans="3:15" ht="15.75" customHeight="1" x14ac:dyDescent="0.25">
      <c r="D23" s="47" t="s">
        <v>104</v>
      </c>
      <c r="E23" s="47" t="s">
        <v>105</v>
      </c>
      <c r="F23" s="47">
        <v>4</v>
      </c>
      <c r="G23" s="47"/>
      <c r="H23" s="47"/>
      <c r="I23" s="47"/>
      <c r="J23" s="47"/>
      <c r="K23" s="48">
        <f>+F23/$F$28</f>
        <v>0.4</v>
      </c>
    </row>
    <row r="24" spans="3:15" ht="15.75" customHeight="1" x14ac:dyDescent="0.25">
      <c r="D24" s="47" t="s">
        <v>106</v>
      </c>
      <c r="E24" s="47" t="s">
        <v>107</v>
      </c>
      <c r="F24" s="47">
        <v>3</v>
      </c>
      <c r="G24" s="47"/>
      <c r="H24" s="47"/>
      <c r="I24" s="47"/>
      <c r="J24" s="47"/>
      <c r="K24" s="48">
        <f>+F24/$F$28</f>
        <v>0.3</v>
      </c>
    </row>
    <row r="25" spans="3:15" ht="15.75" customHeight="1" x14ac:dyDescent="0.25">
      <c r="D25" s="47" t="s">
        <v>108</v>
      </c>
      <c r="E25" s="47" t="s">
        <v>109</v>
      </c>
      <c r="F25" s="47">
        <v>1</v>
      </c>
      <c r="G25" s="47"/>
      <c r="H25" s="47"/>
      <c r="I25" s="47"/>
      <c r="J25" s="47"/>
      <c r="K25" s="48">
        <f>+F25/$F$28</f>
        <v>0.1</v>
      </c>
    </row>
    <row r="26" spans="3:15" ht="15.75" customHeight="1" x14ac:dyDescent="0.25">
      <c r="D26" s="47" t="s">
        <v>110</v>
      </c>
      <c r="E26" s="47" t="s">
        <v>111</v>
      </c>
      <c r="F26" s="47">
        <v>1</v>
      </c>
      <c r="G26" s="47"/>
      <c r="H26" s="47"/>
      <c r="I26" s="47"/>
      <c r="J26" s="47"/>
      <c r="K26" s="48">
        <f>+F26/$F$28</f>
        <v>0.1</v>
      </c>
    </row>
    <row r="27" spans="3:15" ht="15.75" customHeight="1" x14ac:dyDescent="0.25">
      <c r="D27" s="47" t="s">
        <v>112</v>
      </c>
      <c r="E27" s="47" t="s">
        <v>113</v>
      </c>
      <c r="F27" s="47">
        <v>1</v>
      </c>
      <c r="G27" s="47"/>
      <c r="H27" s="47"/>
      <c r="I27" s="47"/>
      <c r="J27" s="47"/>
      <c r="K27" s="48">
        <f>+F27/$F$28</f>
        <v>0.1</v>
      </c>
    </row>
    <row r="28" spans="3:15" ht="15.75" customHeight="1" x14ac:dyDescent="0.25">
      <c r="D28" s="30"/>
      <c r="E28" s="30"/>
      <c r="F28" s="47">
        <f>SUM(F23:F27)</f>
        <v>10</v>
      </c>
      <c r="G28" s="47"/>
      <c r="H28" s="47"/>
      <c r="I28" s="47"/>
      <c r="J28" s="47"/>
      <c r="K28" s="30"/>
    </row>
    <row r="29" spans="3:15" ht="15.75" customHeight="1" x14ac:dyDescent="0.2"/>
    <row r="30" spans="3:15" ht="15.75" customHeight="1" x14ac:dyDescent="0.2"/>
    <row r="31" spans="3:15" ht="15.75" customHeight="1" x14ac:dyDescent="0.2"/>
    <row r="32" spans="3:15"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C11:K11"/>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X417"/>
  <sheetViews>
    <sheetView zoomScaleNormal="100" workbookViewId="0">
      <pane xSplit="23" ySplit="1" topLeftCell="BA210" activePane="bottomRight" state="frozen"/>
      <selection pane="topRight" activeCell="X1" sqref="X1"/>
      <selection pane="bottomLeft" activeCell="A2" sqref="A2"/>
      <selection pane="bottomRight" activeCell="BM211" sqref="BM211"/>
    </sheetView>
  </sheetViews>
  <sheetFormatPr baseColWidth="10" defaultColWidth="12.625" defaultRowHeight="15" customHeight="1" x14ac:dyDescent="0.2"/>
  <cols>
    <col min="1" max="1" width="5" customWidth="1"/>
    <col min="2" max="2" width="6.75" customWidth="1"/>
    <col min="3" max="3" width="34.25" hidden="1" customWidth="1"/>
    <col min="4" max="4" width="26.375" hidden="1" customWidth="1"/>
    <col min="5" max="5" width="70.375" hidden="1" customWidth="1"/>
    <col min="6" max="6" width="81" hidden="1" customWidth="1"/>
    <col min="7" max="7" width="75.375" hidden="1" customWidth="1"/>
    <col min="8" max="8" width="81.625" hidden="1" customWidth="1"/>
    <col min="9" max="9" width="75.375" hidden="1" customWidth="1"/>
    <col min="10" max="10" width="81.625" hidden="1" customWidth="1"/>
    <col min="11" max="11" width="75.375" hidden="1" customWidth="1"/>
    <col min="12" max="12" width="81" hidden="1" customWidth="1"/>
    <col min="13" max="13" width="0.375" customWidth="1"/>
    <col min="14" max="14" width="0.625" customWidth="1"/>
    <col min="15" max="15" width="49.375" hidden="1" customWidth="1"/>
    <col min="16" max="16" width="0.25" hidden="1" customWidth="1"/>
    <col min="17" max="17" width="0.125" hidden="1" customWidth="1"/>
    <col min="18" max="18" width="48.125" hidden="1" customWidth="1"/>
    <col min="19" max="19" width="0.375" customWidth="1"/>
    <col min="20" max="20" width="12.75" customWidth="1"/>
    <col min="21" max="21" width="0.625" hidden="1" customWidth="1"/>
    <col min="22" max="22" width="9.875" hidden="1" customWidth="1"/>
    <col min="23" max="23" width="17.625" style="1439" customWidth="1"/>
    <col min="24" max="24" width="12.75" customWidth="1"/>
    <col min="25" max="25" width="13.625" customWidth="1"/>
    <col min="26" max="26" width="16.25" customWidth="1"/>
    <col min="27" max="27" width="11.625" customWidth="1"/>
    <col min="28" max="28" width="0.125" customWidth="1"/>
    <col min="29" max="29" width="10.625" customWidth="1"/>
    <col min="30" max="30" width="12" customWidth="1"/>
    <col min="31" max="31" width="16.25" customWidth="1"/>
    <col min="32" max="32" width="13.125" customWidth="1"/>
    <col min="33" max="33" width="14.125" customWidth="1"/>
    <col min="34" max="34" width="17.75" customWidth="1"/>
    <col min="35" max="35" width="13.75" customWidth="1"/>
    <col min="36" max="36" width="15.5" customWidth="1"/>
    <col min="37" max="37" width="0.125" customWidth="1"/>
    <col min="38" max="38" width="13" customWidth="1"/>
    <col min="39" max="39" width="14.25" customWidth="1"/>
    <col min="40" max="40" width="17.25" customWidth="1"/>
    <col min="41" max="41" width="16.75" customWidth="1"/>
    <col min="42" max="42" width="14.25" customWidth="1"/>
    <col min="43" max="43" width="16.5" customWidth="1"/>
    <col min="44" max="44" width="13.5" customWidth="1"/>
    <col min="45" max="45" width="17" customWidth="1"/>
    <col min="46" max="46" width="14.625" customWidth="1"/>
    <col min="47" max="47" width="14.25" customWidth="1"/>
    <col min="48" max="48" width="13.5" customWidth="1"/>
    <col min="49" max="49" width="14.125" customWidth="1"/>
    <col min="50" max="50" width="14.75" customWidth="1"/>
    <col min="51" max="51" width="9" customWidth="1"/>
    <col min="52" max="52" width="10.75" customWidth="1"/>
    <col min="53" max="53" width="9.25" customWidth="1"/>
    <col min="54" max="54" width="8.125" customWidth="1"/>
    <col min="55" max="55" width="7.5" hidden="1" customWidth="1"/>
    <col min="56" max="56" width="8.875" customWidth="1"/>
    <col min="57" max="57" width="8.75" hidden="1" customWidth="1"/>
    <col min="58" max="58" width="9.875" customWidth="1"/>
    <col min="59" max="59" width="9.625" customWidth="1"/>
    <col min="60" max="60" width="12.5" customWidth="1"/>
    <col min="61" max="61" width="9.25" customWidth="1"/>
    <col min="62" max="62" width="12.75" customWidth="1"/>
    <col min="63" max="63" width="10.125" customWidth="1"/>
    <col min="64" max="64" width="9.625" customWidth="1"/>
    <col min="65" max="65" width="14.375" customWidth="1"/>
    <col min="66" max="66" width="39.75" hidden="1" customWidth="1"/>
    <col min="67" max="67" width="35.25" hidden="1" customWidth="1"/>
    <col min="68" max="68" width="19.125" hidden="1" customWidth="1"/>
    <col min="69" max="69" width="35.25" hidden="1" customWidth="1"/>
    <col min="70" max="70" width="19.125" hidden="1" customWidth="1"/>
    <col min="71" max="71" width="38.5" hidden="1" customWidth="1"/>
    <col min="72" max="72" width="19.125" hidden="1" customWidth="1"/>
    <col min="73" max="73" width="37.375" hidden="1" customWidth="1"/>
    <col min="74" max="74" width="19.125" hidden="1" customWidth="1"/>
    <col min="75" max="75" width="38.375" hidden="1" customWidth="1"/>
    <col min="76" max="76" width="41.375" hidden="1" customWidth="1"/>
    <col min="77" max="77" width="41.875" hidden="1" customWidth="1"/>
    <col min="78" max="78" width="38.125" hidden="1" customWidth="1"/>
    <col min="79" max="79" width="14.125" hidden="1" customWidth="1"/>
    <col min="80" max="80" width="25.25" hidden="1" customWidth="1"/>
    <col min="81" max="81" width="22.25" hidden="1" customWidth="1"/>
    <col min="82" max="82" width="24.625" hidden="1" customWidth="1"/>
    <col min="83" max="83" width="29" hidden="1" customWidth="1"/>
    <col min="84" max="84" width="15.5" hidden="1" customWidth="1"/>
    <col min="85" max="85" width="20.5" hidden="1" customWidth="1"/>
    <col min="86" max="86" width="19.875" hidden="1" customWidth="1"/>
    <col min="87" max="87" width="29.75" hidden="1" customWidth="1"/>
    <col min="88" max="88" width="19.875" hidden="1" customWidth="1"/>
    <col min="89" max="89" width="32.75" hidden="1" customWidth="1"/>
    <col min="90" max="90" width="29" hidden="1" customWidth="1"/>
    <col min="91" max="91" width="36.125" hidden="1" customWidth="1"/>
    <col min="92" max="92" width="34.875" hidden="1" customWidth="1"/>
    <col min="93" max="93" width="26.625" hidden="1" customWidth="1"/>
    <col min="94" max="94" width="24.25" hidden="1" customWidth="1"/>
    <col min="95" max="95" width="23.875" hidden="1" customWidth="1"/>
    <col min="96" max="96" width="22.75" hidden="1" customWidth="1"/>
    <col min="97" max="97" width="21.25" hidden="1" customWidth="1"/>
    <col min="98" max="98" width="21.875" hidden="1" customWidth="1"/>
    <col min="99" max="99" width="27.25" hidden="1" customWidth="1"/>
    <col min="100" max="100" width="27.625" hidden="1" customWidth="1"/>
    <col min="101" max="101" width="5.875" hidden="1" customWidth="1"/>
    <col min="102" max="102" width="6.625" hidden="1" customWidth="1"/>
  </cols>
  <sheetData>
    <row r="1" spans="1:102" s="1308" customFormat="1" ht="65.25" customHeight="1" x14ac:dyDescent="0.2">
      <c r="A1" s="1300" t="s">
        <v>92</v>
      </c>
      <c r="B1" s="1300" t="s">
        <v>114</v>
      </c>
      <c r="C1" s="1300" t="s">
        <v>115</v>
      </c>
      <c r="D1" s="1300" t="s">
        <v>116</v>
      </c>
      <c r="E1" s="1300" t="s">
        <v>117</v>
      </c>
      <c r="F1" s="1300" t="s">
        <v>118</v>
      </c>
      <c r="G1" s="1300" t="s">
        <v>119</v>
      </c>
      <c r="H1" s="1300" t="s">
        <v>120</v>
      </c>
      <c r="I1" s="1300" t="s">
        <v>121</v>
      </c>
      <c r="J1" s="1300" t="s">
        <v>122</v>
      </c>
      <c r="K1" s="1300" t="s">
        <v>123</v>
      </c>
      <c r="L1" s="1300" t="s">
        <v>124</v>
      </c>
      <c r="M1" s="1300" t="s">
        <v>12</v>
      </c>
      <c r="N1" s="1300" t="s">
        <v>13</v>
      </c>
      <c r="O1" s="1300" t="s">
        <v>14</v>
      </c>
      <c r="P1" s="1300" t="s">
        <v>15</v>
      </c>
      <c r="Q1" s="1300" t="s">
        <v>16</v>
      </c>
      <c r="R1" s="1300" t="s">
        <v>17</v>
      </c>
      <c r="S1" s="1300" t="s">
        <v>18</v>
      </c>
      <c r="T1" s="1301" t="s">
        <v>125</v>
      </c>
      <c r="U1" s="1301" t="s">
        <v>126</v>
      </c>
      <c r="V1" s="1301" t="s">
        <v>116</v>
      </c>
      <c r="W1" s="1423" t="s">
        <v>127</v>
      </c>
      <c r="X1" s="1300" t="s">
        <v>128</v>
      </c>
      <c r="Y1" s="1300" t="s">
        <v>129</v>
      </c>
      <c r="Z1" s="1300" t="s">
        <v>130</v>
      </c>
      <c r="AA1" s="1302" t="s">
        <v>131</v>
      </c>
      <c r="AB1" s="1300" t="s">
        <v>132</v>
      </c>
      <c r="AC1" s="1300" t="s">
        <v>133</v>
      </c>
      <c r="AD1" s="1302" t="s">
        <v>134</v>
      </c>
      <c r="AE1" s="1300" t="s">
        <v>135</v>
      </c>
      <c r="AF1" s="1300" t="s">
        <v>136</v>
      </c>
      <c r="AG1" s="1300" t="s">
        <v>26</v>
      </c>
      <c r="AH1" s="1300" t="s">
        <v>137</v>
      </c>
      <c r="AI1" s="1300" t="s">
        <v>28</v>
      </c>
      <c r="AJ1" s="1300" t="s">
        <v>29</v>
      </c>
      <c r="AK1" s="1300" t="s">
        <v>30</v>
      </c>
      <c r="AL1" s="1300" t="s">
        <v>31</v>
      </c>
      <c r="AM1" s="1300" t="s">
        <v>32</v>
      </c>
      <c r="AN1" s="1303" t="s">
        <v>130</v>
      </c>
      <c r="AO1" s="1303" t="s">
        <v>138</v>
      </c>
      <c r="AP1" s="1303" t="s">
        <v>26</v>
      </c>
      <c r="AQ1" s="1303" t="s">
        <v>139</v>
      </c>
      <c r="AR1" s="1303" t="s">
        <v>26</v>
      </c>
      <c r="AS1" s="1303" t="s">
        <v>140</v>
      </c>
      <c r="AT1" s="1303" t="s">
        <v>26</v>
      </c>
      <c r="AU1" s="1303" t="s">
        <v>141</v>
      </c>
      <c r="AV1" s="1303" t="s">
        <v>26</v>
      </c>
      <c r="AW1" s="1303" t="s">
        <v>38</v>
      </c>
      <c r="AX1" s="1303" t="s">
        <v>39</v>
      </c>
      <c r="AY1" s="1303" t="s">
        <v>40</v>
      </c>
      <c r="AZ1" s="1303" t="s">
        <v>41</v>
      </c>
      <c r="BA1" s="1304" t="s">
        <v>131</v>
      </c>
      <c r="BB1" s="1304" t="s">
        <v>142</v>
      </c>
      <c r="BC1" s="1304" t="s">
        <v>26</v>
      </c>
      <c r="BD1" s="1304" t="s">
        <v>143</v>
      </c>
      <c r="BE1" s="1304" t="s">
        <v>26</v>
      </c>
      <c r="BF1" s="1304" t="s">
        <v>144</v>
      </c>
      <c r="BG1" s="1651" t="s">
        <v>26</v>
      </c>
      <c r="BH1" s="1652" t="s">
        <v>145</v>
      </c>
      <c r="BI1" s="1652" t="s">
        <v>26</v>
      </c>
      <c r="BJ1" s="1304" t="s">
        <v>47</v>
      </c>
      <c r="BK1" s="1304" t="s">
        <v>48</v>
      </c>
      <c r="BL1" s="1304" t="s">
        <v>49</v>
      </c>
      <c r="BM1" s="1304" t="s">
        <v>50</v>
      </c>
      <c r="BN1" s="1300" t="s">
        <v>146</v>
      </c>
      <c r="BO1" s="1300" t="s">
        <v>147</v>
      </c>
      <c r="BP1" s="1305" t="s">
        <v>26</v>
      </c>
      <c r="BQ1" s="1300" t="s">
        <v>148</v>
      </c>
      <c r="BR1" s="1305" t="s">
        <v>26</v>
      </c>
      <c r="BS1" s="1300" t="s">
        <v>149</v>
      </c>
      <c r="BT1" s="1305" t="s">
        <v>26</v>
      </c>
      <c r="BU1" s="1300" t="s">
        <v>150</v>
      </c>
      <c r="BV1" s="1305" t="s">
        <v>26</v>
      </c>
      <c r="BW1" s="1306" t="s">
        <v>56</v>
      </c>
      <c r="BX1" s="1306" t="s">
        <v>57</v>
      </c>
      <c r="BY1" s="1306" t="s">
        <v>58</v>
      </c>
      <c r="BZ1" s="1306" t="s">
        <v>59</v>
      </c>
      <c r="CA1" s="1300" t="s">
        <v>151</v>
      </c>
      <c r="CB1" s="1300" t="s">
        <v>152</v>
      </c>
      <c r="CC1" s="1300" t="s">
        <v>153</v>
      </c>
      <c r="CD1" s="1300" t="s">
        <v>154</v>
      </c>
      <c r="CE1" s="1300" t="s">
        <v>155</v>
      </c>
      <c r="CF1" s="1301" t="s">
        <v>156</v>
      </c>
      <c r="CG1" s="1301" t="s">
        <v>157</v>
      </c>
      <c r="CH1" s="1300" t="s">
        <v>158</v>
      </c>
      <c r="CI1" s="1307" t="s">
        <v>68</v>
      </c>
      <c r="CJ1" s="1300" t="s">
        <v>159</v>
      </c>
      <c r="CK1" s="1307" t="s">
        <v>70</v>
      </c>
      <c r="CL1" s="1307" t="s">
        <v>71</v>
      </c>
      <c r="CM1" s="1307" t="s">
        <v>72</v>
      </c>
      <c r="CN1" s="1307" t="s">
        <v>73</v>
      </c>
      <c r="CO1" s="1300" t="s">
        <v>160</v>
      </c>
      <c r="CP1" s="1300" t="s">
        <v>161</v>
      </c>
      <c r="CQ1" s="1300" t="s">
        <v>76</v>
      </c>
      <c r="CR1" s="1300" t="s">
        <v>77</v>
      </c>
      <c r="CS1" s="1300" t="s">
        <v>78</v>
      </c>
      <c r="CT1" s="1300" t="s">
        <v>79</v>
      </c>
      <c r="CU1" s="1300" t="s">
        <v>80</v>
      </c>
      <c r="CV1" s="1300" t="s">
        <v>81</v>
      </c>
      <c r="CW1" s="1300" t="s">
        <v>82</v>
      </c>
      <c r="CX1" s="1300" t="s">
        <v>83</v>
      </c>
    </row>
    <row r="2" spans="1:102" s="1299" customFormat="1" ht="32.25" customHeight="1" x14ac:dyDescent="0.2">
      <c r="A2" s="1810" t="s">
        <v>162</v>
      </c>
      <c r="B2" s="1814" t="s">
        <v>163</v>
      </c>
      <c r="C2" s="1287"/>
      <c r="D2" s="1288"/>
      <c r="E2" s="1287"/>
      <c r="F2" s="1287"/>
      <c r="G2" s="1287"/>
      <c r="H2" s="1287"/>
      <c r="I2" s="1287"/>
      <c r="J2" s="1287"/>
      <c r="K2" s="1287"/>
      <c r="L2" s="1287"/>
      <c r="M2" s="1287"/>
      <c r="N2" s="1287"/>
      <c r="O2" s="1287"/>
      <c r="P2" s="1287"/>
      <c r="Q2" s="1287"/>
      <c r="R2" s="1287"/>
      <c r="S2" s="1287"/>
      <c r="T2" s="1809" t="s">
        <v>164</v>
      </c>
      <c r="U2" s="1258" t="s">
        <v>165</v>
      </c>
      <c r="V2" s="1289">
        <v>46843</v>
      </c>
      <c r="W2" s="1424" t="s">
        <v>166</v>
      </c>
      <c r="X2" s="1290">
        <v>100000</v>
      </c>
      <c r="Y2" s="1288">
        <v>8333</v>
      </c>
      <c r="Z2" s="1288">
        <v>20000</v>
      </c>
      <c r="AA2" s="1288">
        <v>25000</v>
      </c>
      <c r="AB2" s="1291">
        <f>+Y2/X2</f>
        <v>8.3330000000000001E-2</v>
      </c>
      <c r="AC2" s="1291">
        <f>+Z2/X2</f>
        <v>0.2</v>
      </c>
      <c r="AD2" s="1291">
        <f t="shared" ref="AD2:AD7" si="0">+AA2/X2</f>
        <v>0.25</v>
      </c>
      <c r="AE2" s="1288">
        <v>650</v>
      </c>
      <c r="AF2" s="1288">
        <v>650</v>
      </c>
      <c r="AG2" s="1288"/>
      <c r="AH2" s="1288">
        <v>4583</v>
      </c>
      <c r="AI2" s="1288"/>
      <c r="AJ2" s="1288">
        <f>+AH2</f>
        <v>4583</v>
      </c>
      <c r="AK2" s="1292">
        <f>+AJ2/Y2</f>
        <v>0.54998199927997116</v>
      </c>
      <c r="AL2" s="1288">
        <f>+AJ2</f>
        <v>4583</v>
      </c>
      <c r="AM2" s="1292">
        <f>+AL2/X2</f>
        <v>4.5830000000000003E-2</v>
      </c>
      <c r="AN2" s="1293">
        <v>22000</v>
      </c>
      <c r="AO2" s="1288">
        <v>50</v>
      </c>
      <c r="AP2" s="1288"/>
      <c r="AQ2" s="1288">
        <v>3999</v>
      </c>
      <c r="AR2" s="1288"/>
      <c r="AS2" s="1288">
        <v>2811</v>
      </c>
      <c r="AT2" s="1288"/>
      <c r="AU2" s="1288">
        <v>3514</v>
      </c>
      <c r="AV2" s="1288"/>
      <c r="AW2" s="1288">
        <f>+AO2+AQ2+AS2+AU2</f>
        <v>10374</v>
      </c>
      <c r="AX2" s="1291">
        <f>+AW2/AN2</f>
        <v>0.47154545454545455</v>
      </c>
      <c r="AY2" s="1288">
        <f>+AW2+AL2</f>
        <v>14957</v>
      </c>
      <c r="AZ2" s="1292">
        <f>+AY2/X2</f>
        <v>0.14957000000000001</v>
      </c>
      <c r="BA2" s="1288">
        <v>35000</v>
      </c>
      <c r="BB2" s="1288">
        <v>230</v>
      </c>
      <c r="BC2" s="1288"/>
      <c r="BD2" s="1288">
        <v>21113</v>
      </c>
      <c r="BE2" s="1288"/>
      <c r="BF2" s="1288">
        <v>3124</v>
      </c>
      <c r="BG2" s="1288"/>
      <c r="BH2" s="1288">
        <v>30447</v>
      </c>
      <c r="BI2" s="1288"/>
      <c r="BJ2" s="1288">
        <f>+BB2+BD2+BF2+BH2</f>
        <v>54914</v>
      </c>
      <c r="BK2" s="1294">
        <v>1</v>
      </c>
      <c r="BL2" s="1288">
        <f t="shared" ref="BL2:BL7" si="1">+BJ2+AY2</f>
        <v>69871</v>
      </c>
      <c r="BM2" s="1295">
        <f t="shared" ref="BM2:BM7" si="2">IFERROR(IF((+BL2/X2)&gt;100%,100%,(+BL2/X2)),"NP")</f>
        <v>0.69871000000000005</v>
      </c>
      <c r="BN2" s="1288"/>
      <c r="BO2" s="1288"/>
      <c r="BP2" s="1288"/>
      <c r="BQ2" s="1288"/>
      <c r="BR2" s="1288"/>
      <c r="BS2" s="1288"/>
      <c r="BT2" s="1288"/>
      <c r="BU2" s="1288"/>
      <c r="BV2" s="1288"/>
      <c r="BW2" s="1288"/>
      <c r="BX2" s="1288"/>
      <c r="BY2" s="1288"/>
      <c r="BZ2" s="1288"/>
      <c r="CA2" s="1288"/>
      <c r="CB2" s="1287"/>
      <c r="CC2" s="1296"/>
      <c r="CD2" s="1297"/>
      <c r="CE2" s="1288"/>
      <c r="CF2" s="1298"/>
      <c r="CG2" s="1298"/>
      <c r="CH2" s="1287"/>
      <c r="CI2" s="1287"/>
      <c r="CJ2" s="1287"/>
      <c r="CK2" s="1287"/>
      <c r="CL2" s="1287"/>
      <c r="CM2" s="1287"/>
      <c r="CN2" s="1287"/>
      <c r="CO2" s="1288"/>
      <c r="CP2" s="1288"/>
      <c r="CQ2" s="1287"/>
      <c r="CR2" s="1287"/>
      <c r="CS2" s="1287"/>
      <c r="CT2" s="1287"/>
      <c r="CU2" s="1287"/>
      <c r="CV2" s="1287"/>
      <c r="CW2" s="1287"/>
      <c r="CX2" s="1287"/>
    </row>
    <row r="3" spans="1:102" ht="37.5" customHeight="1" x14ac:dyDescent="0.2">
      <c r="A3" s="1811"/>
      <c r="B3" s="1807"/>
      <c r="C3" s="49"/>
      <c r="D3" s="50"/>
      <c r="E3" s="49"/>
      <c r="F3" s="49"/>
      <c r="G3" s="49"/>
      <c r="H3" s="49"/>
      <c r="I3" s="49"/>
      <c r="J3" s="49"/>
      <c r="K3" s="49"/>
      <c r="L3" s="49"/>
      <c r="M3" s="49"/>
      <c r="N3" s="49"/>
      <c r="O3" s="49"/>
      <c r="P3" s="49"/>
      <c r="Q3" s="49"/>
      <c r="R3" s="49"/>
      <c r="S3" s="49"/>
      <c r="T3" s="1807"/>
      <c r="U3" s="51" t="s">
        <v>167</v>
      </c>
      <c r="V3" s="51">
        <v>0</v>
      </c>
      <c r="W3" s="1425" t="s">
        <v>168</v>
      </c>
      <c r="X3" s="50">
        <v>1</v>
      </c>
      <c r="Y3" s="50">
        <v>1</v>
      </c>
      <c r="Z3" s="50"/>
      <c r="AA3" s="54">
        <v>0.25</v>
      </c>
      <c r="AB3" s="54">
        <f>+Y3/X3</f>
        <v>1</v>
      </c>
      <c r="AC3" s="54"/>
      <c r="AD3" s="54">
        <f t="shared" si="0"/>
        <v>0.25</v>
      </c>
      <c r="AE3" s="50">
        <v>1</v>
      </c>
      <c r="AF3" s="50">
        <v>1</v>
      </c>
      <c r="AG3" s="50"/>
      <c r="AH3" s="50">
        <v>1</v>
      </c>
      <c r="AI3" s="50"/>
      <c r="AJ3" s="50">
        <f>+AH3</f>
        <v>1</v>
      </c>
      <c r="AK3" s="55">
        <f>+AJ3/Y3</f>
        <v>1</v>
      </c>
      <c r="AL3" s="50">
        <f>+AJ3</f>
        <v>1</v>
      </c>
      <c r="AM3" s="55">
        <v>0.5</v>
      </c>
      <c r="AN3" s="54">
        <v>0.25</v>
      </c>
      <c r="AO3" s="54">
        <v>0.21</v>
      </c>
      <c r="AP3" s="50"/>
      <c r="AQ3" s="54">
        <v>0.25</v>
      </c>
      <c r="AR3" s="50"/>
      <c r="AS3" s="54">
        <v>0.24</v>
      </c>
      <c r="AT3" s="50"/>
      <c r="AU3" s="54">
        <v>0.3</v>
      </c>
      <c r="AV3" s="50"/>
      <c r="AW3" s="54">
        <f>+AO3+AQ3+AS3+AU3</f>
        <v>1</v>
      </c>
      <c r="AX3" s="54">
        <f>+AW3</f>
        <v>1</v>
      </c>
      <c r="AY3" s="55">
        <v>0.49</v>
      </c>
      <c r="AZ3" s="54">
        <f>+AY3</f>
        <v>0.49</v>
      </c>
      <c r="BA3" s="54">
        <v>0.25</v>
      </c>
      <c r="BB3" s="54">
        <v>0.1</v>
      </c>
      <c r="BC3" s="50"/>
      <c r="BD3" s="50">
        <v>7.6999999999999999E-2</v>
      </c>
      <c r="BE3" s="50"/>
      <c r="BF3" s="50">
        <v>7.4999999999999997E-2</v>
      </c>
      <c r="BG3" s="1288"/>
      <c r="BH3" s="50">
        <v>0.01</v>
      </c>
      <c r="BI3" s="50"/>
      <c r="BJ3" s="55">
        <f>+BB3+BD3+BF3+BH3</f>
        <v>0.26200000000000001</v>
      </c>
      <c r="BK3" s="54">
        <v>1</v>
      </c>
      <c r="BL3" s="54">
        <f t="shared" si="1"/>
        <v>0.752</v>
      </c>
      <c r="BM3" s="58">
        <f t="shared" si="2"/>
        <v>0.752</v>
      </c>
      <c r="BN3" s="50"/>
      <c r="BO3" s="50"/>
      <c r="BP3" s="50"/>
      <c r="BQ3" s="50"/>
      <c r="BR3" s="50"/>
      <c r="BS3" s="50"/>
      <c r="BT3" s="50"/>
      <c r="BU3" s="50"/>
      <c r="BV3" s="50"/>
      <c r="BW3" s="50"/>
      <c r="BX3" s="50"/>
      <c r="BY3" s="50"/>
      <c r="BZ3" s="50"/>
      <c r="CA3" s="50"/>
      <c r="CB3" s="49"/>
      <c r="CC3" s="59"/>
      <c r="CD3" s="60"/>
      <c r="CE3" s="50"/>
      <c r="CF3" s="61"/>
      <c r="CG3" s="61"/>
      <c r="CH3" s="49"/>
      <c r="CI3" s="49"/>
      <c r="CJ3" s="49"/>
      <c r="CK3" s="49"/>
      <c r="CL3" s="49"/>
      <c r="CM3" s="49"/>
      <c r="CN3" s="49"/>
      <c r="CO3" s="50"/>
      <c r="CP3" s="50"/>
      <c r="CQ3" s="49"/>
      <c r="CR3" s="49"/>
      <c r="CS3" s="49"/>
      <c r="CT3" s="49"/>
      <c r="CU3" s="49"/>
      <c r="CV3" s="49"/>
      <c r="CW3" s="49"/>
      <c r="CX3" s="49"/>
    </row>
    <row r="4" spans="1:102" ht="41.25" customHeight="1" x14ac:dyDescent="0.2">
      <c r="A4" s="1811"/>
      <c r="B4" s="1807"/>
      <c r="C4" s="49"/>
      <c r="D4" s="50"/>
      <c r="E4" s="49"/>
      <c r="F4" s="49"/>
      <c r="G4" s="49"/>
      <c r="H4" s="49"/>
      <c r="I4" s="49"/>
      <c r="J4" s="49"/>
      <c r="K4" s="49"/>
      <c r="L4" s="49"/>
      <c r="M4" s="49"/>
      <c r="N4" s="49"/>
      <c r="O4" s="49"/>
      <c r="P4" s="49"/>
      <c r="Q4" s="49"/>
      <c r="R4" s="49"/>
      <c r="S4" s="49"/>
      <c r="T4" s="1807"/>
      <c r="U4" s="51" t="s">
        <v>169</v>
      </c>
      <c r="V4" s="51">
        <v>40</v>
      </c>
      <c r="W4" s="1425" t="s">
        <v>170</v>
      </c>
      <c r="X4" s="50">
        <v>40</v>
      </c>
      <c r="Y4" s="50">
        <v>5</v>
      </c>
      <c r="Z4" s="50">
        <v>10</v>
      </c>
      <c r="AA4" s="50">
        <v>10</v>
      </c>
      <c r="AB4" s="54">
        <f>+Y4/X4</f>
        <v>0.125</v>
      </c>
      <c r="AC4" s="54">
        <f>+Z4/X4</f>
        <v>0.25</v>
      </c>
      <c r="AD4" s="54">
        <f t="shared" si="0"/>
        <v>0.25</v>
      </c>
      <c r="AE4" s="50">
        <v>5</v>
      </c>
      <c r="AF4" s="50">
        <v>5</v>
      </c>
      <c r="AG4" s="50"/>
      <c r="AH4" s="50">
        <v>6</v>
      </c>
      <c r="AI4" s="50"/>
      <c r="AJ4" s="50">
        <f>+AH4</f>
        <v>6</v>
      </c>
      <c r="AK4" s="55">
        <v>1</v>
      </c>
      <c r="AL4" s="50">
        <f>+AJ4</f>
        <v>6</v>
      </c>
      <c r="AM4" s="55">
        <f>+AL4/X4</f>
        <v>0.15</v>
      </c>
      <c r="AN4" s="50">
        <v>10</v>
      </c>
      <c r="AO4" s="50">
        <v>0</v>
      </c>
      <c r="AP4" s="50"/>
      <c r="AQ4" s="50">
        <v>4</v>
      </c>
      <c r="AR4" s="50"/>
      <c r="AS4" s="50">
        <v>12</v>
      </c>
      <c r="AT4" s="50"/>
      <c r="AU4" s="50">
        <v>7</v>
      </c>
      <c r="AV4" s="50"/>
      <c r="AW4" s="50">
        <f>+AO4+AQ4+AS4+AU4</f>
        <v>23</v>
      </c>
      <c r="AX4" s="54">
        <v>1</v>
      </c>
      <c r="AY4" s="50">
        <f>+AW4+AL4</f>
        <v>29</v>
      </c>
      <c r="AZ4" s="54">
        <f>+AY4/X4</f>
        <v>0.72499999999999998</v>
      </c>
      <c r="BA4" s="50">
        <v>10</v>
      </c>
      <c r="BB4" s="50">
        <v>4</v>
      </c>
      <c r="BC4" s="50"/>
      <c r="BD4" s="50">
        <v>4</v>
      </c>
      <c r="BE4" s="50"/>
      <c r="BF4" s="50">
        <v>2</v>
      </c>
      <c r="BG4" s="50"/>
      <c r="BH4" s="50">
        <v>0</v>
      </c>
      <c r="BI4" s="50"/>
      <c r="BJ4" s="50">
        <f>+BB4+BD4+BF4+BG4</f>
        <v>10</v>
      </c>
      <c r="BK4" s="57">
        <v>1</v>
      </c>
      <c r="BL4" s="50">
        <f t="shared" si="1"/>
        <v>39</v>
      </c>
      <c r="BM4" s="230">
        <f t="shared" si="2"/>
        <v>0.97499999999999998</v>
      </c>
      <c r="BN4" s="50"/>
      <c r="BO4" s="50"/>
      <c r="BP4" s="50"/>
      <c r="BQ4" s="50"/>
      <c r="BR4" s="50"/>
      <c r="BS4" s="50"/>
      <c r="BT4" s="50"/>
      <c r="BU4" s="50"/>
      <c r="BV4" s="50"/>
      <c r="BW4" s="50"/>
      <c r="BX4" s="50"/>
      <c r="BY4" s="50"/>
      <c r="BZ4" s="50"/>
      <c r="CA4" s="50"/>
      <c r="CB4" s="49"/>
      <c r="CC4" s="59"/>
      <c r="CD4" s="60"/>
      <c r="CE4" s="50"/>
      <c r="CF4" s="61"/>
      <c r="CG4" s="61"/>
      <c r="CH4" s="49"/>
      <c r="CI4" s="49"/>
      <c r="CJ4" s="49"/>
      <c r="CK4" s="49"/>
      <c r="CL4" s="49"/>
      <c r="CM4" s="49"/>
      <c r="CN4" s="49"/>
      <c r="CO4" s="50"/>
      <c r="CP4" s="50"/>
      <c r="CQ4" s="49"/>
      <c r="CR4" s="49"/>
      <c r="CS4" s="49"/>
      <c r="CT4" s="49"/>
      <c r="CU4" s="49"/>
      <c r="CV4" s="49"/>
      <c r="CW4" s="49"/>
      <c r="CX4" s="49"/>
    </row>
    <row r="5" spans="1:102" ht="87.75" customHeight="1" x14ac:dyDescent="0.2">
      <c r="A5" s="1811"/>
      <c r="B5" s="1807"/>
      <c r="C5" s="49"/>
      <c r="D5" s="50"/>
      <c r="E5" s="49"/>
      <c r="F5" s="49"/>
      <c r="G5" s="49"/>
      <c r="H5" s="49"/>
      <c r="I5" s="49"/>
      <c r="J5" s="49"/>
      <c r="K5" s="49"/>
      <c r="L5" s="49"/>
      <c r="M5" s="49"/>
      <c r="N5" s="49"/>
      <c r="O5" s="49"/>
      <c r="P5" s="49"/>
      <c r="Q5" s="49"/>
      <c r="R5" s="49"/>
      <c r="S5" s="49"/>
      <c r="T5" s="1807"/>
      <c r="U5" s="51" t="s">
        <v>171</v>
      </c>
      <c r="V5" s="51">
        <v>73</v>
      </c>
      <c r="W5" s="1425" t="s">
        <v>172</v>
      </c>
      <c r="X5" s="50">
        <v>150</v>
      </c>
      <c r="Y5" s="50">
        <v>10</v>
      </c>
      <c r="Z5" s="50">
        <v>20</v>
      </c>
      <c r="AA5" s="50">
        <v>30</v>
      </c>
      <c r="AB5" s="54">
        <f>+Y5/X5</f>
        <v>6.6666666666666666E-2</v>
      </c>
      <c r="AC5" s="54">
        <f>+Z5/X5</f>
        <v>0.13333333333333333</v>
      </c>
      <c r="AD5" s="54">
        <f t="shared" si="0"/>
        <v>0.2</v>
      </c>
      <c r="AE5" s="50">
        <v>6</v>
      </c>
      <c r="AF5" s="50">
        <v>6</v>
      </c>
      <c r="AG5" s="50"/>
      <c r="AH5" s="50">
        <v>7</v>
      </c>
      <c r="AI5" s="50"/>
      <c r="AJ5" s="50">
        <f>+AH5</f>
        <v>7</v>
      </c>
      <c r="AK5" s="55">
        <f>+AJ5/Y5</f>
        <v>0.7</v>
      </c>
      <c r="AL5" s="50">
        <f>+AJ5</f>
        <v>7</v>
      </c>
      <c r="AM5" s="55">
        <f>+AL5/X5</f>
        <v>4.6666666666666669E-2</v>
      </c>
      <c r="AN5" s="50">
        <v>20</v>
      </c>
      <c r="AO5" s="50">
        <v>4</v>
      </c>
      <c r="AP5" s="50"/>
      <c r="AQ5" s="50">
        <v>3</v>
      </c>
      <c r="AR5" s="50"/>
      <c r="AS5" s="50">
        <v>3</v>
      </c>
      <c r="AT5" s="50"/>
      <c r="AU5" s="50">
        <v>1</v>
      </c>
      <c r="AV5" s="50"/>
      <c r="AW5" s="50">
        <f>+AO5+AQ5+AS5+AU5</f>
        <v>11</v>
      </c>
      <c r="AX5" s="54">
        <f>+AW5/AN5</f>
        <v>0.55000000000000004</v>
      </c>
      <c r="AY5" s="50">
        <f>+AW5+AJ5</f>
        <v>18</v>
      </c>
      <c r="AZ5" s="54">
        <f>+AY5/X5</f>
        <v>0.12</v>
      </c>
      <c r="BA5" s="50">
        <v>30</v>
      </c>
      <c r="BB5" s="50">
        <v>7</v>
      </c>
      <c r="BC5" s="50"/>
      <c r="BD5" s="50">
        <v>3</v>
      </c>
      <c r="BE5" s="50"/>
      <c r="BF5" s="50">
        <v>20</v>
      </c>
      <c r="BG5" s="50"/>
      <c r="BH5" s="50">
        <v>0</v>
      </c>
      <c r="BI5" s="50"/>
      <c r="BJ5" s="50">
        <f>+BB5+BD5+BF5</f>
        <v>30</v>
      </c>
      <c r="BK5" s="57">
        <f>+BJ5/BA5</f>
        <v>1</v>
      </c>
      <c r="BL5" s="50">
        <f t="shared" si="1"/>
        <v>48</v>
      </c>
      <c r="BM5" s="58">
        <f t="shared" si="2"/>
        <v>0.32</v>
      </c>
      <c r="BN5" s="50"/>
      <c r="BO5" s="50"/>
      <c r="BP5" s="50"/>
      <c r="BQ5" s="50"/>
      <c r="BR5" s="50"/>
      <c r="BS5" s="50"/>
      <c r="BT5" s="50"/>
      <c r="BU5" s="50"/>
      <c r="BV5" s="50"/>
      <c r="BW5" s="50"/>
      <c r="BX5" s="50"/>
      <c r="BY5" s="50"/>
      <c r="BZ5" s="50"/>
      <c r="CA5" s="50"/>
      <c r="CB5" s="49"/>
      <c r="CC5" s="59"/>
      <c r="CD5" s="60"/>
      <c r="CE5" s="50"/>
      <c r="CF5" s="61"/>
      <c r="CG5" s="61"/>
      <c r="CH5" s="49"/>
      <c r="CI5" s="49"/>
      <c r="CJ5" s="49"/>
      <c r="CK5" s="49"/>
      <c r="CL5" s="49"/>
      <c r="CM5" s="49"/>
      <c r="CN5" s="49"/>
      <c r="CO5" s="50"/>
      <c r="CP5" s="50"/>
      <c r="CQ5" s="49"/>
      <c r="CR5" s="49"/>
      <c r="CS5" s="49"/>
      <c r="CT5" s="49"/>
      <c r="CU5" s="49"/>
      <c r="CV5" s="49"/>
      <c r="CW5" s="49"/>
      <c r="CX5" s="49"/>
    </row>
    <row r="6" spans="1:102" ht="55.5" customHeight="1" x14ac:dyDescent="0.2">
      <c r="A6" s="1811"/>
      <c r="B6" s="1807"/>
      <c r="C6" s="62"/>
      <c r="D6" s="63"/>
      <c r="E6" s="62"/>
      <c r="F6" s="62"/>
      <c r="G6" s="62"/>
      <c r="H6" s="62"/>
      <c r="I6" s="62"/>
      <c r="J6" s="62"/>
      <c r="K6" s="62"/>
      <c r="L6" s="62"/>
      <c r="M6" s="62"/>
      <c r="N6" s="62"/>
      <c r="O6" s="62"/>
      <c r="P6" s="62"/>
      <c r="Q6" s="62"/>
      <c r="R6" s="62"/>
      <c r="S6" s="62"/>
      <c r="T6" s="1807"/>
      <c r="U6" s="51" t="s">
        <v>173</v>
      </c>
      <c r="V6" s="51">
        <v>0</v>
      </c>
      <c r="W6" s="1425" t="s">
        <v>174</v>
      </c>
      <c r="X6" s="63">
        <v>3</v>
      </c>
      <c r="Y6" s="64">
        <v>0.5</v>
      </c>
      <c r="Z6" s="64">
        <v>1</v>
      </c>
      <c r="AA6" s="64">
        <v>1</v>
      </c>
      <c r="AB6" s="65">
        <f>+Y6/X6</f>
        <v>0.16666666666666666</v>
      </c>
      <c r="AC6" s="54">
        <f>+Z6/X6</f>
        <v>0.33333333333333331</v>
      </c>
      <c r="AD6" s="54">
        <f t="shared" si="0"/>
        <v>0.33333333333333331</v>
      </c>
      <c r="AE6" s="65">
        <v>0.5</v>
      </c>
      <c r="AF6" s="65">
        <v>0.5</v>
      </c>
      <c r="AG6" s="65"/>
      <c r="AH6" s="65">
        <v>0.6</v>
      </c>
      <c r="AI6" s="65"/>
      <c r="AJ6" s="54">
        <f>+AH6</f>
        <v>0.6</v>
      </c>
      <c r="AK6" s="66">
        <v>1</v>
      </c>
      <c r="AL6" s="65">
        <f>+AJ6</f>
        <v>0.6</v>
      </c>
      <c r="AM6" s="66">
        <v>0.3</v>
      </c>
      <c r="AN6" s="64">
        <v>1</v>
      </c>
      <c r="AO6" s="65">
        <v>0.36</v>
      </c>
      <c r="AP6" s="63"/>
      <c r="AQ6" s="65">
        <v>0.09</v>
      </c>
      <c r="AR6" s="63"/>
      <c r="AS6" s="65">
        <v>0.25</v>
      </c>
      <c r="AT6" s="63"/>
      <c r="AU6" s="65">
        <v>0.3</v>
      </c>
      <c r="AV6" s="63"/>
      <c r="AW6" s="54">
        <f>+AO6+AQ6+AS6+AU6</f>
        <v>1</v>
      </c>
      <c r="AX6" s="54">
        <f>+AW6/AN6</f>
        <v>1</v>
      </c>
      <c r="AY6" s="67">
        <v>1.75</v>
      </c>
      <c r="AZ6" s="65">
        <f>+AY6/3</f>
        <v>0.58333333333333337</v>
      </c>
      <c r="BA6" s="63">
        <v>1</v>
      </c>
      <c r="BB6" s="63">
        <v>0.2</v>
      </c>
      <c r="BC6" s="63"/>
      <c r="BD6" s="63">
        <v>0.4</v>
      </c>
      <c r="BE6" s="63"/>
      <c r="BF6" s="63">
        <v>0.15</v>
      </c>
      <c r="BG6" s="63"/>
      <c r="BH6" s="63">
        <v>0</v>
      </c>
      <c r="BI6" s="63"/>
      <c r="BJ6" s="50">
        <f>+BB6+BD6+BF6</f>
        <v>0.75000000000000011</v>
      </c>
      <c r="BK6" s="57">
        <f>+BJ6/BA6</f>
        <v>0.75000000000000011</v>
      </c>
      <c r="BL6" s="67">
        <f t="shared" si="1"/>
        <v>2.5</v>
      </c>
      <c r="BM6" s="58">
        <f t="shared" si="2"/>
        <v>0.83333333333333337</v>
      </c>
      <c r="BN6" s="63"/>
      <c r="BO6" s="63"/>
      <c r="BP6" s="63"/>
      <c r="BQ6" s="63"/>
      <c r="BR6" s="63"/>
      <c r="BS6" s="63"/>
      <c r="BT6" s="63"/>
      <c r="BU6" s="63"/>
      <c r="BV6" s="63"/>
      <c r="BW6" s="63"/>
      <c r="BX6" s="63"/>
      <c r="BY6" s="63"/>
      <c r="BZ6" s="63"/>
      <c r="CA6" s="63"/>
      <c r="CB6" s="62"/>
      <c r="CC6" s="68"/>
      <c r="CD6" s="69"/>
      <c r="CE6" s="63"/>
      <c r="CF6" s="70"/>
      <c r="CG6" s="70"/>
      <c r="CH6" s="62"/>
      <c r="CI6" s="62"/>
      <c r="CJ6" s="62"/>
      <c r="CK6" s="62"/>
      <c r="CL6" s="62"/>
      <c r="CM6" s="62"/>
      <c r="CN6" s="62"/>
      <c r="CO6" s="63"/>
      <c r="CP6" s="63"/>
      <c r="CQ6" s="62"/>
      <c r="CR6" s="62"/>
      <c r="CS6" s="62"/>
      <c r="CT6" s="62"/>
      <c r="CU6" s="62"/>
      <c r="CV6" s="62"/>
      <c r="CW6" s="62"/>
      <c r="CX6" s="62"/>
    </row>
    <row r="7" spans="1:102" ht="59.25" customHeight="1" x14ac:dyDescent="0.2">
      <c r="A7" s="1811"/>
      <c r="B7" s="1807"/>
      <c r="C7" s="49"/>
      <c r="D7" s="50"/>
      <c r="E7" s="49"/>
      <c r="F7" s="49"/>
      <c r="G7" s="49"/>
      <c r="H7" s="49"/>
      <c r="I7" s="49"/>
      <c r="J7" s="49"/>
      <c r="K7" s="49"/>
      <c r="L7" s="49"/>
      <c r="M7" s="49"/>
      <c r="N7" s="49"/>
      <c r="O7" s="49"/>
      <c r="P7" s="49"/>
      <c r="Q7" s="49"/>
      <c r="R7" s="49"/>
      <c r="S7" s="49"/>
      <c r="T7" s="1807"/>
      <c r="U7" s="51" t="s">
        <v>175</v>
      </c>
      <c r="V7" s="51">
        <v>0</v>
      </c>
      <c r="W7" s="1425" t="s">
        <v>176</v>
      </c>
      <c r="X7" s="50">
        <v>2</v>
      </c>
      <c r="Y7" s="50" t="s">
        <v>177</v>
      </c>
      <c r="Z7" s="50">
        <v>1</v>
      </c>
      <c r="AA7" s="50">
        <v>1</v>
      </c>
      <c r="AB7" s="54"/>
      <c r="AC7" s="54">
        <f>+Z7/X7</f>
        <v>0.5</v>
      </c>
      <c r="AD7" s="54">
        <f t="shared" si="0"/>
        <v>0.5</v>
      </c>
      <c r="AE7" s="50"/>
      <c r="AF7" s="50"/>
      <c r="AG7" s="50"/>
      <c r="AH7" s="50"/>
      <c r="AI7" s="50"/>
      <c r="AJ7" s="50"/>
      <c r="AK7" s="55"/>
      <c r="AL7" s="50"/>
      <c r="AM7" s="55"/>
      <c r="AN7" s="50">
        <v>1</v>
      </c>
      <c r="AO7" s="54">
        <v>0.5</v>
      </c>
      <c r="AP7" s="54"/>
      <c r="AQ7" s="54">
        <v>0.25</v>
      </c>
      <c r="AR7" s="54"/>
      <c r="AS7" s="54">
        <v>0</v>
      </c>
      <c r="AT7" s="54"/>
      <c r="AU7" s="54">
        <v>0</v>
      </c>
      <c r="AV7" s="54"/>
      <c r="AW7" s="54">
        <f>+AO7+AQ7</f>
        <v>0.75</v>
      </c>
      <c r="AX7" s="54">
        <f>+AW7/AN7</f>
        <v>0.75</v>
      </c>
      <c r="AY7" s="67">
        <v>0.75</v>
      </c>
      <c r="AZ7" s="55">
        <f>+AY7/2</f>
        <v>0.375</v>
      </c>
      <c r="BA7" s="50">
        <v>0</v>
      </c>
      <c r="BB7" s="50">
        <v>0</v>
      </c>
      <c r="BC7" s="50"/>
      <c r="BD7" s="50"/>
      <c r="BE7" s="50"/>
      <c r="BF7" s="50"/>
      <c r="BG7" s="50"/>
      <c r="BH7" s="50"/>
      <c r="BI7" s="50"/>
      <c r="BJ7" s="50"/>
      <c r="BK7" s="57"/>
      <c r="BL7" s="67">
        <f t="shared" si="1"/>
        <v>0.75</v>
      </c>
      <c r="BM7" s="58">
        <f t="shared" si="2"/>
        <v>0.375</v>
      </c>
      <c r="BN7" s="50"/>
      <c r="BO7" s="50"/>
      <c r="BP7" s="50"/>
      <c r="BQ7" s="50"/>
      <c r="BR7" s="50"/>
      <c r="BS7" s="50"/>
      <c r="BT7" s="50"/>
      <c r="BU7" s="50"/>
      <c r="BV7" s="50"/>
      <c r="BW7" s="50"/>
      <c r="BX7" s="50"/>
      <c r="BY7" s="50"/>
      <c r="BZ7" s="50"/>
      <c r="CA7" s="50"/>
      <c r="CB7" s="49"/>
      <c r="CC7" s="59"/>
      <c r="CD7" s="60"/>
      <c r="CE7" s="50"/>
      <c r="CF7" s="61"/>
      <c r="CG7" s="61"/>
      <c r="CH7" s="49"/>
      <c r="CI7" s="49"/>
      <c r="CJ7" s="49"/>
      <c r="CK7" s="49"/>
      <c r="CL7" s="49"/>
      <c r="CM7" s="49"/>
      <c r="CN7" s="49"/>
      <c r="CO7" s="50"/>
      <c r="CP7" s="50"/>
      <c r="CQ7" s="49"/>
      <c r="CR7" s="49"/>
      <c r="CS7" s="49"/>
      <c r="CT7" s="49"/>
      <c r="CU7" s="49"/>
      <c r="CV7" s="49"/>
      <c r="CW7" s="49"/>
      <c r="CX7" s="49"/>
    </row>
    <row r="8" spans="1:102" ht="37.5" customHeight="1" x14ac:dyDescent="0.2">
      <c r="A8" s="1811"/>
      <c r="B8" s="1807"/>
      <c r="C8" s="49"/>
      <c r="D8" s="50"/>
      <c r="E8" s="49"/>
      <c r="F8" s="49"/>
      <c r="G8" s="49"/>
      <c r="H8" s="49"/>
      <c r="I8" s="49"/>
      <c r="J8" s="49"/>
      <c r="K8" s="49"/>
      <c r="L8" s="49"/>
      <c r="M8" s="49"/>
      <c r="N8" s="49"/>
      <c r="O8" s="49"/>
      <c r="P8" s="49"/>
      <c r="Q8" s="49"/>
      <c r="R8" s="49"/>
      <c r="S8" s="49"/>
      <c r="T8" s="1808"/>
      <c r="U8" s="71"/>
      <c r="V8" s="71"/>
      <c r="W8" s="1426"/>
      <c r="X8" s="72"/>
      <c r="Y8" s="72"/>
      <c r="Z8" s="72"/>
      <c r="AA8" s="72"/>
      <c r="AB8" s="73">
        <f>AVERAGE(AB2:AB7)</f>
        <v>0.28833266666666668</v>
      </c>
      <c r="AC8" s="73">
        <f>AVERAGE(AC2:AC7)</f>
        <v>0.28333333333333333</v>
      </c>
      <c r="AD8" s="73">
        <f>AVERAGE(AD2:AD7)</f>
        <v>0.29722222222222222</v>
      </c>
      <c r="AE8" s="72"/>
      <c r="AF8" s="72"/>
      <c r="AG8" s="72"/>
      <c r="AH8" s="72"/>
      <c r="AI8" s="72"/>
      <c r="AJ8" s="72"/>
      <c r="AK8" s="73">
        <f>AVERAGE(AK2:AK7)</f>
        <v>0.84999639985599418</v>
      </c>
      <c r="AL8" s="74"/>
      <c r="AM8" s="73">
        <f>AVERAGE(AM2:AM7)</f>
        <v>0.20849933333333331</v>
      </c>
      <c r="AN8" s="72"/>
      <c r="AO8" s="72"/>
      <c r="AP8" s="72"/>
      <c r="AQ8" s="72"/>
      <c r="AR8" s="72"/>
      <c r="AS8" s="72"/>
      <c r="AT8" s="72"/>
      <c r="AU8" s="72"/>
      <c r="AV8" s="72"/>
      <c r="AW8" s="72"/>
      <c r="AX8" s="73">
        <f>AVERAGE(AX2:AX7)</f>
        <v>0.79525757575757572</v>
      </c>
      <c r="AY8" s="72"/>
      <c r="AZ8" s="73">
        <f>AVERAGE(AZ2:AZ7)</f>
        <v>0.40715055555555563</v>
      </c>
      <c r="BA8" s="72"/>
      <c r="BB8" s="72"/>
      <c r="BC8" s="72"/>
      <c r="BD8" s="72"/>
      <c r="BE8" s="72"/>
      <c r="BF8" s="72"/>
      <c r="BG8" s="72"/>
      <c r="BH8" s="72"/>
      <c r="BI8" s="72"/>
      <c r="BJ8" s="72"/>
      <c r="BK8" s="73">
        <f>AVERAGE(BK2:BK7)</f>
        <v>0.95</v>
      </c>
      <c r="BL8" s="72"/>
      <c r="BM8" s="73">
        <f>AVERAGE(BM2:BM7)</f>
        <v>0.65900722222222219</v>
      </c>
      <c r="BN8" s="72"/>
      <c r="BO8" s="72"/>
      <c r="BP8" s="72"/>
      <c r="BQ8" s="72"/>
      <c r="BR8" s="72"/>
      <c r="BS8" s="72"/>
      <c r="BT8" s="72"/>
      <c r="BU8" s="72"/>
      <c r="BV8" s="72"/>
      <c r="BW8" s="72"/>
      <c r="BX8" s="72"/>
      <c r="BY8" s="72"/>
      <c r="BZ8" s="72"/>
      <c r="CA8" s="72"/>
      <c r="CB8" s="75"/>
      <c r="CC8" s="76"/>
      <c r="CD8" s="77"/>
      <c r="CE8" s="72"/>
      <c r="CF8" s="78"/>
      <c r="CG8" s="78"/>
      <c r="CH8" s="75"/>
      <c r="CI8" s="75"/>
      <c r="CJ8" s="75"/>
      <c r="CK8" s="75"/>
      <c r="CL8" s="75"/>
      <c r="CM8" s="75"/>
      <c r="CN8" s="75"/>
      <c r="CO8" s="72"/>
      <c r="CP8" s="72"/>
      <c r="CQ8" s="75"/>
      <c r="CR8" s="75"/>
      <c r="CS8" s="75"/>
      <c r="CT8" s="75"/>
      <c r="CU8" s="75"/>
      <c r="CV8" s="75"/>
      <c r="CW8" s="75"/>
      <c r="CX8" s="75"/>
    </row>
    <row r="9" spans="1:102" ht="27.75" customHeight="1" x14ac:dyDescent="0.2">
      <c r="A9" s="1811"/>
      <c r="B9" s="1807"/>
      <c r="C9" s="62"/>
      <c r="D9" s="63"/>
      <c r="E9" s="62"/>
      <c r="F9" s="62"/>
      <c r="G9" s="62"/>
      <c r="H9" s="62"/>
      <c r="I9" s="62"/>
      <c r="J9" s="62"/>
      <c r="K9" s="62"/>
      <c r="L9" s="62"/>
      <c r="M9" s="62"/>
      <c r="N9" s="62"/>
      <c r="O9" s="62"/>
      <c r="P9" s="62"/>
      <c r="Q9" s="62"/>
      <c r="R9" s="62"/>
      <c r="S9" s="62"/>
      <c r="T9" s="1809" t="s">
        <v>178</v>
      </c>
      <c r="U9" s="51" t="s">
        <v>179</v>
      </c>
      <c r="V9" s="51">
        <v>0</v>
      </c>
      <c r="W9" s="1425" t="s">
        <v>180</v>
      </c>
      <c r="X9" s="63">
        <v>1</v>
      </c>
      <c r="Y9" s="65">
        <v>0.17</v>
      </c>
      <c r="Z9" s="79">
        <v>0.5</v>
      </c>
      <c r="AA9" s="65">
        <v>0.5</v>
      </c>
      <c r="AB9" s="65">
        <f>+Y9/X9</f>
        <v>0.17</v>
      </c>
      <c r="AC9" s="65">
        <f>+Z9/X9</f>
        <v>0.5</v>
      </c>
      <c r="AD9" s="54">
        <v>0.12</v>
      </c>
      <c r="AE9" s="65">
        <v>0.17</v>
      </c>
      <c r="AF9" s="65">
        <v>0.17</v>
      </c>
      <c r="AG9" s="63"/>
      <c r="AH9" s="65">
        <v>0.17</v>
      </c>
      <c r="AI9" s="63"/>
      <c r="AJ9" s="65">
        <f>+AH9</f>
        <v>0.17</v>
      </c>
      <c r="AK9" s="65">
        <v>1</v>
      </c>
      <c r="AL9" s="65">
        <f>+AJ9</f>
        <v>0.17</v>
      </c>
      <c r="AM9" s="65">
        <f>+AL9/X9</f>
        <v>0.17</v>
      </c>
      <c r="AN9" s="50">
        <v>0.5</v>
      </c>
      <c r="AO9" s="65">
        <v>0.19</v>
      </c>
      <c r="AP9" s="63"/>
      <c r="AQ9" s="65">
        <v>0.08</v>
      </c>
      <c r="AR9" s="63"/>
      <c r="AS9" s="65">
        <v>0.25</v>
      </c>
      <c r="AT9" s="63"/>
      <c r="AU9" s="65">
        <v>0.16</v>
      </c>
      <c r="AV9" s="63"/>
      <c r="AW9" s="54">
        <f>+AO9+AQ9+AU9+AS9</f>
        <v>0.68</v>
      </c>
      <c r="AX9" s="54">
        <v>1</v>
      </c>
      <c r="AY9" s="54">
        <f>+AW9+AJ9</f>
        <v>0.85000000000000009</v>
      </c>
      <c r="AZ9" s="54">
        <f>+AY9/X9</f>
        <v>0.85000000000000009</v>
      </c>
      <c r="BA9" s="65">
        <v>0.1</v>
      </c>
      <c r="BB9" s="65">
        <v>0.03</v>
      </c>
      <c r="BC9" s="63"/>
      <c r="BD9" s="65">
        <v>0.02</v>
      </c>
      <c r="BE9" s="63"/>
      <c r="BF9" s="65">
        <v>0.01</v>
      </c>
      <c r="BG9" s="63"/>
      <c r="BH9" s="65">
        <v>0.01</v>
      </c>
      <c r="BI9" s="63"/>
      <c r="BJ9" s="54">
        <f>+BB9+BD9+BF9+1%+BH9</f>
        <v>0.08</v>
      </c>
      <c r="BK9" s="57">
        <f>+BJ9/BA9</f>
        <v>0.79999999999999993</v>
      </c>
      <c r="BL9" s="54">
        <f>+BJ9+AY9</f>
        <v>0.93</v>
      </c>
      <c r="BM9" s="58">
        <f>IFERROR(IF((+BL9/X9)&gt;100%,100%,(+BL9/X9)),"NP")</f>
        <v>0.93</v>
      </c>
      <c r="BN9" s="63"/>
      <c r="BO9" s="63"/>
      <c r="BP9" s="63"/>
      <c r="BQ9" s="63"/>
      <c r="BR9" s="63"/>
      <c r="BS9" s="63"/>
      <c r="BT9" s="63"/>
      <c r="BU9" s="63"/>
      <c r="BV9" s="63"/>
      <c r="BW9" s="63"/>
      <c r="BX9" s="63"/>
      <c r="BY9" s="63"/>
      <c r="BZ9" s="63"/>
      <c r="CA9" s="63"/>
      <c r="CB9" s="62"/>
      <c r="CC9" s="68"/>
      <c r="CD9" s="69"/>
      <c r="CE9" s="63"/>
      <c r="CF9" s="70"/>
      <c r="CG9" s="70"/>
      <c r="CH9" s="62"/>
      <c r="CI9" s="62"/>
      <c r="CJ9" s="62"/>
      <c r="CK9" s="62"/>
      <c r="CL9" s="62"/>
      <c r="CM9" s="62"/>
      <c r="CN9" s="62"/>
      <c r="CO9" s="63"/>
      <c r="CP9" s="63"/>
      <c r="CQ9" s="62"/>
      <c r="CR9" s="62"/>
      <c r="CS9" s="62"/>
      <c r="CT9" s="62"/>
      <c r="CU9" s="62"/>
      <c r="CV9" s="62"/>
      <c r="CW9" s="62"/>
      <c r="CX9" s="62"/>
    </row>
    <row r="10" spans="1:102" ht="39" customHeight="1" x14ac:dyDescent="0.2">
      <c r="A10" s="1811"/>
      <c r="B10" s="1807"/>
      <c r="C10" s="49"/>
      <c r="D10" s="50"/>
      <c r="E10" s="49"/>
      <c r="F10" s="49"/>
      <c r="G10" s="49"/>
      <c r="H10" s="49"/>
      <c r="I10" s="49"/>
      <c r="J10" s="49"/>
      <c r="K10" s="49"/>
      <c r="L10" s="49"/>
      <c r="M10" s="49"/>
      <c r="N10" s="49"/>
      <c r="O10" s="49"/>
      <c r="P10" s="49"/>
      <c r="Q10" s="49"/>
      <c r="R10" s="49"/>
      <c r="S10" s="49"/>
      <c r="T10" s="1807"/>
      <c r="U10" s="51" t="s">
        <v>2197</v>
      </c>
      <c r="V10" s="51">
        <v>0</v>
      </c>
      <c r="W10" s="1425" t="s">
        <v>181</v>
      </c>
      <c r="X10" s="50">
        <v>1</v>
      </c>
      <c r="Y10" s="50" t="s">
        <v>177</v>
      </c>
      <c r="Z10" s="50"/>
      <c r="AA10" s="50">
        <v>1</v>
      </c>
      <c r="AB10" s="50"/>
      <c r="AC10" s="65"/>
      <c r="AD10" s="54"/>
      <c r="AE10" s="50"/>
      <c r="AF10" s="50"/>
      <c r="AG10" s="50"/>
      <c r="AH10" s="50"/>
      <c r="AI10" s="50"/>
      <c r="AJ10" s="50"/>
      <c r="AK10" s="50"/>
      <c r="AL10" s="50"/>
      <c r="AM10" s="54"/>
      <c r="AN10" s="65" t="s">
        <v>177</v>
      </c>
      <c r="AO10" s="54">
        <v>0.05</v>
      </c>
      <c r="AP10" s="50"/>
      <c r="AQ10" s="54">
        <v>0.05</v>
      </c>
      <c r="AR10" s="50"/>
      <c r="AS10" s="54">
        <v>0</v>
      </c>
      <c r="AT10" s="50"/>
      <c r="AU10" s="54">
        <v>0</v>
      </c>
      <c r="AV10" s="50"/>
      <c r="AW10" s="54">
        <f>+AO10</f>
        <v>0.05</v>
      </c>
      <c r="AX10" s="54"/>
      <c r="AY10" s="54">
        <f>+AW10+AJ10</f>
        <v>0.05</v>
      </c>
      <c r="AZ10" s="54">
        <f>+AY10/X10</f>
        <v>0.05</v>
      </c>
      <c r="BA10" s="50">
        <v>1</v>
      </c>
      <c r="BB10" s="50">
        <v>0</v>
      </c>
      <c r="BC10" s="50"/>
      <c r="BD10" s="50"/>
      <c r="BE10" s="50"/>
      <c r="BF10" s="50"/>
      <c r="BG10" s="50"/>
      <c r="BH10" s="50">
        <v>0</v>
      </c>
      <c r="BI10" s="50"/>
      <c r="BJ10" s="50">
        <f>+BB10</f>
        <v>0</v>
      </c>
      <c r="BK10" s="57">
        <v>0</v>
      </c>
      <c r="BL10" s="54">
        <f>+BJ10+AY10</f>
        <v>0.05</v>
      </c>
      <c r="BM10" s="58">
        <f>IFERROR(IF((+BL10/X10)&gt;100%,100%,(+BL10/X10)),"NP")</f>
        <v>0.05</v>
      </c>
      <c r="BN10" s="50"/>
      <c r="BO10" s="50"/>
      <c r="BP10" s="50"/>
      <c r="BQ10" s="50"/>
      <c r="BR10" s="50"/>
      <c r="BS10" s="50"/>
      <c r="BT10" s="50"/>
      <c r="BU10" s="50"/>
      <c r="BV10" s="50"/>
      <c r="BW10" s="50"/>
      <c r="BX10" s="50"/>
      <c r="BY10" s="50"/>
      <c r="BZ10" s="50"/>
      <c r="CA10" s="50"/>
      <c r="CB10" s="49"/>
      <c r="CC10" s="59"/>
      <c r="CD10" s="60"/>
      <c r="CE10" s="50"/>
      <c r="CF10" s="61"/>
      <c r="CG10" s="61"/>
      <c r="CH10" s="49"/>
      <c r="CI10" s="49"/>
      <c r="CJ10" s="49"/>
      <c r="CK10" s="49"/>
      <c r="CL10" s="49"/>
      <c r="CM10" s="49"/>
      <c r="CN10" s="49"/>
      <c r="CO10" s="50"/>
      <c r="CP10" s="50"/>
      <c r="CQ10" s="49"/>
      <c r="CR10" s="49"/>
      <c r="CS10" s="49"/>
      <c r="CT10" s="49"/>
      <c r="CU10" s="49"/>
      <c r="CV10" s="49"/>
      <c r="CW10" s="49"/>
      <c r="CX10" s="49"/>
    </row>
    <row r="11" spans="1:102" ht="34.5" customHeight="1" x14ac:dyDescent="0.2">
      <c r="A11" s="1811"/>
      <c r="B11" s="1807"/>
      <c r="C11" s="62"/>
      <c r="D11" s="63"/>
      <c r="E11" s="62"/>
      <c r="F11" s="62"/>
      <c r="G11" s="62"/>
      <c r="H11" s="62"/>
      <c r="I11" s="62"/>
      <c r="J11" s="62"/>
      <c r="K11" s="62"/>
      <c r="L11" s="62"/>
      <c r="M11" s="62"/>
      <c r="N11" s="62"/>
      <c r="O11" s="62"/>
      <c r="P11" s="62"/>
      <c r="Q11" s="62"/>
      <c r="R11" s="62"/>
      <c r="S11" s="62"/>
      <c r="T11" s="1807"/>
      <c r="U11" s="51" t="s">
        <v>182</v>
      </c>
      <c r="V11" s="51">
        <v>0</v>
      </c>
      <c r="W11" s="1425" t="s">
        <v>183</v>
      </c>
      <c r="X11" s="63">
        <v>1</v>
      </c>
      <c r="Y11" s="65">
        <v>0.17</v>
      </c>
      <c r="Z11" s="80">
        <v>0.5</v>
      </c>
      <c r="AA11" s="65">
        <v>0.5</v>
      </c>
      <c r="AB11" s="65">
        <f>+Y11/X11</f>
        <v>0.17</v>
      </c>
      <c r="AC11" s="65">
        <f>+Z11/X11</f>
        <v>0.5</v>
      </c>
      <c r="AD11" s="54">
        <v>0.38</v>
      </c>
      <c r="AE11" s="65">
        <v>0.17</v>
      </c>
      <c r="AF11" s="65">
        <v>0.17</v>
      </c>
      <c r="AG11" s="63"/>
      <c r="AH11" s="65">
        <v>0.17</v>
      </c>
      <c r="AI11" s="63"/>
      <c r="AJ11" s="65">
        <f>+AH11</f>
        <v>0.17</v>
      </c>
      <c r="AK11" s="65">
        <v>1</v>
      </c>
      <c r="AL11" s="65">
        <f>+AJ11</f>
        <v>0.17</v>
      </c>
      <c r="AM11" s="65">
        <f>+AL11/X11</f>
        <v>0.17</v>
      </c>
      <c r="AN11" s="50">
        <v>0.5</v>
      </c>
      <c r="AO11" s="65">
        <v>0.3</v>
      </c>
      <c r="AP11" s="63"/>
      <c r="AQ11" s="65">
        <v>0.15</v>
      </c>
      <c r="AR11" s="63"/>
      <c r="AS11" s="65">
        <v>0</v>
      </c>
      <c r="AT11" s="63"/>
      <c r="AU11" s="65">
        <v>0</v>
      </c>
      <c r="AV11" s="63"/>
      <c r="AW11" s="54">
        <f>+AO11+AQ11+AS11</f>
        <v>0.44999999999999996</v>
      </c>
      <c r="AX11" s="54">
        <f>+AW11/AN11</f>
        <v>0.89999999999999991</v>
      </c>
      <c r="AY11" s="54">
        <f>+AW11+AJ11</f>
        <v>0.62</v>
      </c>
      <c r="AZ11" s="54">
        <f>+AY11/X11</f>
        <v>0.62</v>
      </c>
      <c r="BA11" s="65">
        <v>0.2</v>
      </c>
      <c r="BB11" s="63">
        <v>0</v>
      </c>
      <c r="BC11" s="63"/>
      <c r="BD11" s="63">
        <v>0</v>
      </c>
      <c r="BE11" s="63"/>
      <c r="BF11" s="65">
        <v>0.12</v>
      </c>
      <c r="BG11" s="63"/>
      <c r="BH11" s="63">
        <v>0</v>
      </c>
      <c r="BI11" s="63"/>
      <c r="BJ11" s="54">
        <f>+BF11</f>
        <v>0.12</v>
      </c>
      <c r="BK11" s="57">
        <f t="shared" ref="BK11:BK16" si="3">+BJ11/BA11</f>
        <v>0.6</v>
      </c>
      <c r="BL11" s="54">
        <f>+BJ11+AY11</f>
        <v>0.74</v>
      </c>
      <c r="BM11" s="57">
        <f t="shared" ref="BM11:BM17" si="4">+BL11/X11</f>
        <v>0.74</v>
      </c>
      <c r="BN11" s="63"/>
      <c r="BO11" s="63"/>
      <c r="BP11" s="63"/>
      <c r="BQ11" s="63"/>
      <c r="BR11" s="63"/>
      <c r="BS11" s="63"/>
      <c r="BT11" s="63"/>
      <c r="BU11" s="63"/>
      <c r="BV11" s="63"/>
      <c r="BW11" s="63"/>
      <c r="BX11" s="63"/>
      <c r="BY11" s="63"/>
      <c r="BZ11" s="63"/>
      <c r="CA11" s="63"/>
      <c r="CB11" s="62"/>
      <c r="CC11" s="68"/>
      <c r="CD11" s="69"/>
      <c r="CE11" s="63"/>
      <c r="CF11" s="70"/>
      <c r="CG11" s="70"/>
      <c r="CH11" s="62"/>
      <c r="CI11" s="62"/>
      <c r="CJ11" s="62"/>
      <c r="CK11" s="62"/>
      <c r="CL11" s="62"/>
      <c r="CM11" s="62"/>
      <c r="CN11" s="62"/>
      <c r="CO11" s="63"/>
      <c r="CP11" s="63"/>
      <c r="CQ11" s="62"/>
      <c r="CR11" s="62"/>
      <c r="CS11" s="62"/>
      <c r="CT11" s="62"/>
      <c r="CU11" s="62"/>
      <c r="CV11" s="62"/>
      <c r="CW11" s="62"/>
      <c r="CX11" s="62"/>
    </row>
    <row r="12" spans="1:102" ht="33" customHeight="1" x14ac:dyDescent="0.2">
      <c r="A12" s="1811"/>
      <c r="B12" s="1807"/>
      <c r="C12" s="62"/>
      <c r="D12" s="63"/>
      <c r="E12" s="62"/>
      <c r="F12" s="62"/>
      <c r="G12" s="62"/>
      <c r="H12" s="62"/>
      <c r="I12" s="62"/>
      <c r="J12" s="62"/>
      <c r="K12" s="62"/>
      <c r="L12" s="62"/>
      <c r="M12" s="62"/>
      <c r="N12" s="62"/>
      <c r="O12" s="62"/>
      <c r="P12" s="62"/>
      <c r="Q12" s="62"/>
      <c r="R12" s="62"/>
      <c r="S12" s="62"/>
      <c r="T12" s="1807"/>
      <c r="U12" s="51" t="s">
        <v>184</v>
      </c>
      <c r="V12" s="81"/>
      <c r="W12" s="1425" t="s">
        <v>185</v>
      </c>
      <c r="X12" s="63">
        <v>1</v>
      </c>
      <c r="Y12" s="65">
        <v>0.5</v>
      </c>
      <c r="Z12" s="79">
        <v>0</v>
      </c>
      <c r="AA12" s="79">
        <v>1</v>
      </c>
      <c r="AB12" s="65">
        <f>+Y12/X12</f>
        <v>0.5</v>
      </c>
      <c r="AC12" s="65"/>
      <c r="AD12" s="54">
        <v>0.5</v>
      </c>
      <c r="AE12" s="65">
        <v>0.5</v>
      </c>
      <c r="AF12" s="65">
        <v>0.5</v>
      </c>
      <c r="AG12" s="63"/>
      <c r="AH12" s="65">
        <v>0.5</v>
      </c>
      <c r="AI12" s="63"/>
      <c r="AJ12" s="65">
        <f>+AH12</f>
        <v>0.5</v>
      </c>
      <c r="AK12" s="65">
        <v>1</v>
      </c>
      <c r="AL12" s="65">
        <f>+AJ12</f>
        <v>0.5</v>
      </c>
      <c r="AM12" s="65">
        <f>+AL12/X12</f>
        <v>0.5</v>
      </c>
      <c r="AN12" s="65" t="s">
        <v>177</v>
      </c>
      <c r="AO12" s="65"/>
      <c r="AP12" s="63"/>
      <c r="AQ12" s="63"/>
      <c r="AR12" s="63"/>
      <c r="AS12" s="63"/>
      <c r="AT12" s="63"/>
      <c r="AU12" s="63"/>
      <c r="AV12" s="63"/>
      <c r="AW12" s="54"/>
      <c r="AX12" s="65"/>
      <c r="AY12" s="65">
        <f>AJ12</f>
        <v>0.5</v>
      </c>
      <c r="AZ12" s="65">
        <f>+AM12</f>
        <v>0.5</v>
      </c>
      <c r="BA12" s="63">
        <v>1</v>
      </c>
      <c r="BB12" s="63">
        <v>0</v>
      </c>
      <c r="BC12" s="63"/>
      <c r="BD12" s="65">
        <v>0.05</v>
      </c>
      <c r="BE12" s="63"/>
      <c r="BF12" s="63">
        <v>0</v>
      </c>
      <c r="BG12" s="63"/>
      <c r="BH12" s="63">
        <v>0</v>
      </c>
      <c r="BI12" s="63"/>
      <c r="BJ12" s="54">
        <f>+BD12</f>
        <v>0.05</v>
      </c>
      <c r="BK12" s="57">
        <f t="shared" si="3"/>
        <v>0.05</v>
      </c>
      <c r="BL12" s="54">
        <f>+BJ12+AY12</f>
        <v>0.55000000000000004</v>
      </c>
      <c r="BM12" s="57">
        <f t="shared" si="4"/>
        <v>0.55000000000000004</v>
      </c>
      <c r="BN12" s="63"/>
      <c r="BO12" s="63"/>
      <c r="BP12" s="63"/>
      <c r="BQ12" s="63"/>
      <c r="BR12" s="63"/>
      <c r="BS12" s="63"/>
      <c r="BT12" s="63"/>
      <c r="BU12" s="63"/>
      <c r="BV12" s="63"/>
      <c r="BW12" s="63"/>
      <c r="BX12" s="63"/>
      <c r="BY12" s="63"/>
      <c r="BZ12" s="63"/>
      <c r="CA12" s="63"/>
      <c r="CB12" s="62"/>
      <c r="CC12" s="68"/>
      <c r="CD12" s="69"/>
      <c r="CE12" s="63"/>
      <c r="CF12" s="70"/>
      <c r="CG12" s="70"/>
      <c r="CH12" s="62"/>
      <c r="CI12" s="62"/>
      <c r="CJ12" s="62"/>
      <c r="CK12" s="62"/>
      <c r="CL12" s="62"/>
      <c r="CM12" s="62"/>
      <c r="CN12" s="62"/>
      <c r="CO12" s="63"/>
      <c r="CP12" s="63"/>
      <c r="CQ12" s="62"/>
      <c r="CR12" s="62"/>
      <c r="CS12" s="62"/>
      <c r="CT12" s="62"/>
      <c r="CU12" s="62"/>
      <c r="CV12" s="62"/>
      <c r="CW12" s="62"/>
      <c r="CX12" s="62"/>
    </row>
    <row r="13" spans="1:102" ht="52.5" customHeight="1" x14ac:dyDescent="0.2">
      <c r="A13" s="1811"/>
      <c r="B13" s="1807"/>
      <c r="C13" s="49"/>
      <c r="D13" s="50"/>
      <c r="E13" s="49"/>
      <c r="F13" s="49"/>
      <c r="G13" s="49"/>
      <c r="H13" s="49"/>
      <c r="I13" s="49"/>
      <c r="J13" s="49"/>
      <c r="K13" s="49"/>
      <c r="L13" s="49"/>
      <c r="M13" s="49"/>
      <c r="N13" s="49"/>
      <c r="O13" s="49"/>
      <c r="P13" s="49"/>
      <c r="Q13" s="49"/>
      <c r="R13" s="49"/>
      <c r="S13" s="49"/>
      <c r="T13" s="1807"/>
      <c r="U13" s="82" t="s">
        <v>186</v>
      </c>
      <c r="V13" s="51" t="s">
        <v>187</v>
      </c>
      <c r="W13" s="1425" t="s">
        <v>188</v>
      </c>
      <c r="X13" s="50">
        <v>4</v>
      </c>
      <c r="Y13" s="50">
        <v>1</v>
      </c>
      <c r="Z13" s="50">
        <v>1</v>
      </c>
      <c r="AA13" s="50">
        <v>1</v>
      </c>
      <c r="AB13" s="54">
        <f>+Y13/X13</f>
        <v>0.25</v>
      </c>
      <c r="AC13" s="65">
        <v>0.23</v>
      </c>
      <c r="AD13" s="54">
        <f>+AA13/X13</f>
        <v>0.25</v>
      </c>
      <c r="AE13" s="54">
        <v>0.3</v>
      </c>
      <c r="AF13" s="54">
        <v>0.3</v>
      </c>
      <c r="AG13" s="54"/>
      <c r="AH13" s="50">
        <v>1</v>
      </c>
      <c r="AI13" s="54"/>
      <c r="AJ13" s="65">
        <f>+AH13</f>
        <v>1</v>
      </c>
      <c r="AK13" s="54">
        <f>+AJ13/Y13</f>
        <v>1</v>
      </c>
      <c r="AL13" s="54">
        <f>+AJ13</f>
        <v>1</v>
      </c>
      <c r="AM13" s="54">
        <f>+AL13/X13</f>
        <v>0.25</v>
      </c>
      <c r="AN13" s="50">
        <v>1</v>
      </c>
      <c r="AO13" s="54">
        <v>0.2</v>
      </c>
      <c r="AP13" s="50"/>
      <c r="AQ13" s="54">
        <v>0.35</v>
      </c>
      <c r="AR13" s="50"/>
      <c r="AS13" s="54">
        <v>0.15</v>
      </c>
      <c r="AT13" s="50"/>
      <c r="AU13" s="54">
        <v>0.3</v>
      </c>
      <c r="AV13" s="50"/>
      <c r="AW13" s="54">
        <f>+AO13+AQ13+AS13+AU13</f>
        <v>1</v>
      </c>
      <c r="AX13" s="54">
        <f>+AW13/AN13</f>
        <v>1</v>
      </c>
      <c r="AY13" s="83">
        <v>2</v>
      </c>
      <c r="AZ13" s="54">
        <f>+AY13/X13</f>
        <v>0.5</v>
      </c>
      <c r="BA13" s="50">
        <v>1</v>
      </c>
      <c r="BB13" s="50">
        <v>0.13</v>
      </c>
      <c r="BC13" s="50"/>
      <c r="BD13" s="50">
        <v>0</v>
      </c>
      <c r="BE13" s="50"/>
      <c r="BF13" s="50">
        <v>0.17</v>
      </c>
      <c r="BG13" s="50"/>
      <c r="BH13" s="50">
        <v>0.04</v>
      </c>
      <c r="BI13" s="50"/>
      <c r="BJ13" s="50">
        <f>+BB13+BF13+BH13</f>
        <v>0.34</v>
      </c>
      <c r="BK13" s="57">
        <f t="shared" si="3"/>
        <v>0.34</v>
      </c>
      <c r="BL13" s="50">
        <f>BJ13+2</f>
        <v>2.34</v>
      </c>
      <c r="BM13" s="57">
        <f t="shared" si="4"/>
        <v>0.58499999999999996</v>
      </c>
      <c r="BN13" s="50"/>
      <c r="BO13" s="50"/>
      <c r="BP13" s="50"/>
      <c r="BQ13" s="50"/>
      <c r="BR13" s="50"/>
      <c r="BS13" s="50"/>
      <c r="BT13" s="50"/>
      <c r="BU13" s="50"/>
      <c r="BV13" s="50"/>
      <c r="BW13" s="50"/>
      <c r="BX13" s="50"/>
      <c r="BY13" s="50"/>
      <c r="BZ13" s="50"/>
      <c r="CA13" s="50"/>
      <c r="CB13" s="49"/>
      <c r="CC13" s="59"/>
      <c r="CD13" s="60"/>
      <c r="CE13" s="50"/>
      <c r="CF13" s="61"/>
      <c r="CG13" s="61"/>
      <c r="CH13" s="49"/>
      <c r="CI13" s="49"/>
      <c r="CJ13" s="49"/>
      <c r="CK13" s="49"/>
      <c r="CL13" s="49"/>
      <c r="CM13" s="49"/>
      <c r="CN13" s="49"/>
      <c r="CO13" s="50"/>
      <c r="CP13" s="50"/>
      <c r="CQ13" s="49"/>
      <c r="CR13" s="49"/>
      <c r="CS13" s="49"/>
      <c r="CT13" s="49"/>
      <c r="CU13" s="49"/>
      <c r="CV13" s="49"/>
      <c r="CW13" s="49"/>
      <c r="CX13" s="49"/>
    </row>
    <row r="14" spans="1:102" ht="49.5" customHeight="1" x14ac:dyDescent="0.2">
      <c r="A14" s="1811"/>
      <c r="B14" s="1807"/>
      <c r="C14" s="62"/>
      <c r="D14" s="63"/>
      <c r="E14" s="62"/>
      <c r="F14" s="62"/>
      <c r="G14" s="62"/>
      <c r="H14" s="62"/>
      <c r="I14" s="62"/>
      <c r="J14" s="62"/>
      <c r="K14" s="62"/>
      <c r="L14" s="62"/>
      <c r="M14" s="62"/>
      <c r="N14" s="62"/>
      <c r="O14" s="62"/>
      <c r="P14" s="62"/>
      <c r="Q14" s="62"/>
      <c r="R14" s="62"/>
      <c r="S14" s="62"/>
      <c r="T14" s="1807"/>
      <c r="U14" s="51" t="s">
        <v>189</v>
      </c>
      <c r="V14" s="51">
        <v>0</v>
      </c>
      <c r="W14" s="1425" t="s">
        <v>190</v>
      </c>
      <c r="X14" s="63">
        <v>3</v>
      </c>
      <c r="Y14" s="65">
        <v>0.3</v>
      </c>
      <c r="Z14" s="63">
        <v>0</v>
      </c>
      <c r="AA14" s="63">
        <v>1</v>
      </c>
      <c r="AB14" s="65">
        <f>+Y14/X14</f>
        <v>9.9999999999999992E-2</v>
      </c>
      <c r="AC14" s="65"/>
      <c r="AD14" s="54">
        <f>+AA14/X14</f>
        <v>0.33333333333333331</v>
      </c>
      <c r="AE14" s="65">
        <v>0.3</v>
      </c>
      <c r="AF14" s="65">
        <v>0.3</v>
      </c>
      <c r="AG14" s="65"/>
      <c r="AH14" s="65">
        <v>0.3</v>
      </c>
      <c r="AI14" s="65"/>
      <c r="AJ14" s="65">
        <v>0.23</v>
      </c>
      <c r="AK14" s="65">
        <v>1</v>
      </c>
      <c r="AL14" s="65">
        <f>+AJ14</f>
        <v>0.23</v>
      </c>
      <c r="AM14" s="65">
        <v>0.3</v>
      </c>
      <c r="AN14" s="63">
        <v>1</v>
      </c>
      <c r="AO14" s="65">
        <v>0.22</v>
      </c>
      <c r="AP14" s="63"/>
      <c r="AQ14" s="65">
        <v>0.06</v>
      </c>
      <c r="AR14" s="63"/>
      <c r="AS14" s="65">
        <v>0.22</v>
      </c>
      <c r="AT14" s="63"/>
      <c r="AU14" s="65">
        <v>0.5</v>
      </c>
      <c r="AV14" s="63"/>
      <c r="AW14" s="54">
        <f>+AO14+AQ14+AU14+AS14</f>
        <v>1</v>
      </c>
      <c r="AX14" s="54">
        <f>+AW14/AN14</f>
        <v>1</v>
      </c>
      <c r="AY14" s="1151">
        <v>1.2</v>
      </c>
      <c r="AZ14" s="54">
        <v>0.4</v>
      </c>
      <c r="BA14" s="63">
        <v>1</v>
      </c>
      <c r="BB14" s="63">
        <v>0.8</v>
      </c>
      <c r="BC14" s="63"/>
      <c r="BD14" s="63">
        <v>0.11</v>
      </c>
      <c r="BE14" s="63"/>
      <c r="BF14" s="63">
        <v>0.02</v>
      </c>
      <c r="BG14" s="63"/>
      <c r="BH14" s="63">
        <v>1.7</v>
      </c>
      <c r="BI14" s="63"/>
      <c r="BJ14" s="50">
        <f>+BB14+BD14+BF14+BH14</f>
        <v>2.63</v>
      </c>
      <c r="BK14" s="57">
        <v>1</v>
      </c>
      <c r="BL14" s="50">
        <f>1.2+BJ14</f>
        <v>3.83</v>
      </c>
      <c r="BM14" s="57">
        <v>1</v>
      </c>
      <c r="BN14" s="63"/>
      <c r="BO14" s="63"/>
      <c r="BP14" s="63"/>
      <c r="BQ14" s="63"/>
      <c r="BR14" s="63"/>
      <c r="BS14" s="63"/>
      <c r="BT14" s="63"/>
      <c r="BU14" s="63"/>
      <c r="BV14" s="63"/>
      <c r="BW14" s="63"/>
      <c r="BX14" s="63"/>
      <c r="BY14" s="63"/>
      <c r="BZ14" s="63"/>
      <c r="CA14" s="63"/>
      <c r="CB14" s="62"/>
      <c r="CC14" s="68"/>
      <c r="CD14" s="69"/>
      <c r="CE14" s="63"/>
      <c r="CF14" s="70"/>
      <c r="CG14" s="70"/>
      <c r="CH14" s="62"/>
      <c r="CI14" s="62"/>
      <c r="CJ14" s="62"/>
      <c r="CK14" s="62"/>
      <c r="CL14" s="62"/>
      <c r="CM14" s="62"/>
      <c r="CN14" s="62"/>
      <c r="CO14" s="63"/>
      <c r="CP14" s="63"/>
      <c r="CQ14" s="62"/>
      <c r="CR14" s="62"/>
      <c r="CS14" s="62"/>
      <c r="CT14" s="62"/>
      <c r="CU14" s="62"/>
      <c r="CV14" s="62"/>
      <c r="CW14" s="62"/>
      <c r="CX14" s="62"/>
    </row>
    <row r="15" spans="1:102" ht="37.5" customHeight="1" x14ac:dyDescent="0.2">
      <c r="A15" s="1811"/>
      <c r="B15" s="1807"/>
      <c r="C15" s="62"/>
      <c r="D15" s="63"/>
      <c r="E15" s="62"/>
      <c r="F15" s="62"/>
      <c r="G15" s="62"/>
      <c r="H15" s="62"/>
      <c r="I15" s="62"/>
      <c r="J15" s="62"/>
      <c r="K15" s="62"/>
      <c r="L15" s="62"/>
      <c r="M15" s="62"/>
      <c r="N15" s="62"/>
      <c r="O15" s="62"/>
      <c r="P15" s="62"/>
      <c r="Q15" s="62"/>
      <c r="R15" s="62"/>
      <c r="S15" s="62"/>
      <c r="T15" s="1807"/>
      <c r="U15" s="51" t="s">
        <v>191</v>
      </c>
      <c r="V15" s="51">
        <v>0</v>
      </c>
      <c r="W15" s="1425" t="s">
        <v>192</v>
      </c>
      <c r="X15" s="63">
        <v>3</v>
      </c>
      <c r="Y15" s="65">
        <v>0.1</v>
      </c>
      <c r="Z15" s="50">
        <v>1</v>
      </c>
      <c r="AA15" s="50">
        <v>1</v>
      </c>
      <c r="AB15" s="65">
        <f>+Y15/X15</f>
        <v>3.3333333333333333E-2</v>
      </c>
      <c r="AC15" s="65">
        <f>+Z15/X15</f>
        <v>0.33333333333333331</v>
      </c>
      <c r="AD15" s="54">
        <f>+AA15/X15</f>
        <v>0.33333333333333331</v>
      </c>
      <c r="AE15" s="65">
        <v>0.1</v>
      </c>
      <c r="AF15" s="65">
        <v>0.1</v>
      </c>
      <c r="AG15" s="65"/>
      <c r="AH15" s="65">
        <v>0.1</v>
      </c>
      <c r="AI15" s="65"/>
      <c r="AJ15" s="65">
        <f>+AH15</f>
        <v>0.1</v>
      </c>
      <c r="AK15" s="65">
        <v>1</v>
      </c>
      <c r="AL15" s="65">
        <f>+AJ15</f>
        <v>0.1</v>
      </c>
      <c r="AM15" s="65">
        <v>0.1</v>
      </c>
      <c r="AN15" s="50">
        <v>1</v>
      </c>
      <c r="AO15" s="65">
        <v>0.1</v>
      </c>
      <c r="AP15" s="63"/>
      <c r="AQ15" s="65">
        <v>0.36</v>
      </c>
      <c r="AR15" s="63"/>
      <c r="AS15" s="65">
        <v>0.24</v>
      </c>
      <c r="AT15" s="63"/>
      <c r="AU15" s="65">
        <v>0.1</v>
      </c>
      <c r="AV15" s="63"/>
      <c r="AW15" s="54">
        <f>+AO15+AQ15+AS15+AU15</f>
        <v>0.79999999999999993</v>
      </c>
      <c r="AX15" s="54">
        <f>+AW15/AN15</f>
        <v>0.79999999999999993</v>
      </c>
      <c r="AY15" s="50">
        <v>1.1000000000000001</v>
      </c>
      <c r="AZ15" s="54">
        <f>+AY15/X15</f>
        <v>0.3666666666666667</v>
      </c>
      <c r="BA15" s="1270">
        <v>1</v>
      </c>
      <c r="BB15" s="63">
        <v>0.52</v>
      </c>
      <c r="BC15" s="63"/>
      <c r="BD15" s="63">
        <v>0.28000000000000003</v>
      </c>
      <c r="BE15" s="63"/>
      <c r="BF15" s="63">
        <v>0.03</v>
      </c>
      <c r="BG15" s="63"/>
      <c r="BH15" s="63">
        <v>4.4999999999999998E-2</v>
      </c>
      <c r="BI15" s="63"/>
      <c r="BJ15" s="50">
        <f>+BB15+BD15+BF15+BH15</f>
        <v>0.87500000000000011</v>
      </c>
      <c r="BK15" s="57">
        <f t="shared" si="3"/>
        <v>0.87500000000000011</v>
      </c>
      <c r="BL15" s="63">
        <f>+BJ15+AY15</f>
        <v>1.9750000000000001</v>
      </c>
      <c r="BM15" s="57">
        <f t="shared" si="4"/>
        <v>0.65833333333333333</v>
      </c>
      <c r="BN15" s="63"/>
      <c r="BO15" s="63"/>
      <c r="BP15" s="63"/>
      <c r="BQ15" s="63"/>
      <c r="BR15" s="63"/>
      <c r="BS15" s="63"/>
      <c r="BT15" s="63"/>
      <c r="BU15" s="63"/>
      <c r="BV15" s="63"/>
      <c r="BW15" s="63"/>
      <c r="BX15" s="63"/>
      <c r="BY15" s="63"/>
      <c r="BZ15" s="63"/>
      <c r="CA15" s="63"/>
      <c r="CB15" s="62"/>
      <c r="CC15" s="68"/>
      <c r="CD15" s="69"/>
      <c r="CE15" s="63"/>
      <c r="CF15" s="70"/>
      <c r="CG15" s="70"/>
      <c r="CH15" s="62"/>
      <c r="CI15" s="62"/>
      <c r="CJ15" s="62"/>
      <c r="CK15" s="62"/>
      <c r="CL15" s="62"/>
      <c r="CM15" s="62"/>
      <c r="CN15" s="62"/>
      <c r="CO15" s="63"/>
      <c r="CP15" s="63"/>
      <c r="CQ15" s="62"/>
      <c r="CR15" s="62"/>
      <c r="CS15" s="62"/>
      <c r="CT15" s="62"/>
      <c r="CU15" s="62"/>
      <c r="CV15" s="62"/>
      <c r="CW15" s="62"/>
      <c r="CX15" s="62"/>
    </row>
    <row r="16" spans="1:102" ht="48.75" customHeight="1" x14ac:dyDescent="0.2">
      <c r="A16" s="1811"/>
      <c r="B16" s="1807"/>
      <c r="C16" s="49"/>
      <c r="D16" s="50"/>
      <c r="E16" s="49"/>
      <c r="F16" s="49"/>
      <c r="G16" s="49"/>
      <c r="H16" s="49"/>
      <c r="I16" s="49"/>
      <c r="J16" s="49"/>
      <c r="K16" s="49"/>
      <c r="L16" s="49"/>
      <c r="M16" s="49"/>
      <c r="N16" s="49"/>
      <c r="O16" s="49"/>
      <c r="P16" s="49"/>
      <c r="Q16" s="49"/>
      <c r="R16" s="49"/>
      <c r="S16" s="49"/>
      <c r="T16" s="1807"/>
      <c r="U16" s="51" t="s">
        <v>193</v>
      </c>
      <c r="V16" s="51">
        <v>0</v>
      </c>
      <c r="W16" s="1425" t="s">
        <v>194</v>
      </c>
      <c r="X16" s="50">
        <v>3</v>
      </c>
      <c r="Y16" s="50" t="s">
        <v>177</v>
      </c>
      <c r="Z16" s="50">
        <v>1</v>
      </c>
      <c r="AA16" s="50">
        <v>1</v>
      </c>
      <c r="AB16" s="50"/>
      <c r="AC16" s="65">
        <f>+Z16/X16</f>
        <v>0.33333333333333331</v>
      </c>
      <c r="AD16" s="54">
        <f>+AA16/X16</f>
        <v>0.33333333333333331</v>
      </c>
      <c r="AE16" s="50"/>
      <c r="AF16" s="50"/>
      <c r="AG16" s="50"/>
      <c r="AH16" s="50"/>
      <c r="AI16" s="50"/>
      <c r="AJ16" s="50"/>
      <c r="AK16" s="50"/>
      <c r="AL16" s="50"/>
      <c r="AM16" s="54"/>
      <c r="AN16" s="50">
        <v>1</v>
      </c>
      <c r="AO16" s="54">
        <v>0</v>
      </c>
      <c r="AP16" s="50"/>
      <c r="AQ16" s="54">
        <v>0.05</v>
      </c>
      <c r="AR16" s="50"/>
      <c r="AS16" s="54">
        <v>0.05</v>
      </c>
      <c r="AT16" s="50"/>
      <c r="AU16" s="54">
        <v>0.4</v>
      </c>
      <c r="AV16" s="50"/>
      <c r="AW16" s="54">
        <f>+AO16+AQ16+AS16+AU16</f>
        <v>0.5</v>
      </c>
      <c r="AX16" s="54">
        <f>+AW16/AN16</f>
        <v>0.5</v>
      </c>
      <c r="AY16" s="83">
        <f>+AW16+AJ16</f>
        <v>0.5</v>
      </c>
      <c r="AZ16" s="54">
        <f>+AY16/X16</f>
        <v>0.16666666666666666</v>
      </c>
      <c r="BA16" s="50">
        <v>1</v>
      </c>
      <c r="BB16" s="50">
        <v>0.33</v>
      </c>
      <c r="BC16" s="50"/>
      <c r="BD16" s="50">
        <v>0</v>
      </c>
      <c r="BE16" s="50"/>
      <c r="BF16" s="50">
        <v>0</v>
      </c>
      <c r="BG16" s="50"/>
      <c r="BH16" s="50">
        <v>0</v>
      </c>
      <c r="BI16" s="50"/>
      <c r="BJ16" s="50">
        <f>+BB16</f>
        <v>0.33</v>
      </c>
      <c r="BK16" s="57">
        <f t="shared" si="3"/>
        <v>0.33</v>
      </c>
      <c r="BL16" s="84">
        <f>AY16+BJ16</f>
        <v>0.83000000000000007</v>
      </c>
      <c r="BM16" s="57">
        <f t="shared" si="4"/>
        <v>0.27666666666666667</v>
      </c>
      <c r="BN16" s="50"/>
      <c r="BO16" s="50"/>
      <c r="BP16" s="50"/>
      <c r="BQ16" s="50"/>
      <c r="BR16" s="50"/>
      <c r="BS16" s="50"/>
      <c r="BT16" s="50"/>
      <c r="BU16" s="50"/>
      <c r="BV16" s="50"/>
      <c r="BW16" s="50"/>
      <c r="BX16" s="50"/>
      <c r="BY16" s="50"/>
      <c r="BZ16" s="50"/>
      <c r="CA16" s="50"/>
      <c r="CB16" s="49"/>
      <c r="CC16" s="59"/>
      <c r="CD16" s="60"/>
      <c r="CE16" s="50"/>
      <c r="CF16" s="61"/>
      <c r="CG16" s="61"/>
      <c r="CH16" s="49"/>
      <c r="CI16" s="49"/>
      <c r="CJ16" s="49"/>
      <c r="CK16" s="49"/>
      <c r="CL16" s="49"/>
      <c r="CM16" s="49"/>
      <c r="CN16" s="49"/>
      <c r="CO16" s="50"/>
      <c r="CP16" s="50"/>
      <c r="CQ16" s="49"/>
      <c r="CR16" s="49"/>
      <c r="CS16" s="49"/>
      <c r="CT16" s="49"/>
      <c r="CU16" s="49"/>
      <c r="CV16" s="49"/>
      <c r="CW16" s="49"/>
      <c r="CX16" s="49"/>
    </row>
    <row r="17" spans="1:102" ht="47.25" customHeight="1" x14ac:dyDescent="0.2">
      <c r="A17" s="1811"/>
      <c r="B17" s="1807"/>
      <c r="C17" s="49"/>
      <c r="D17" s="50"/>
      <c r="E17" s="49"/>
      <c r="F17" s="49"/>
      <c r="G17" s="49"/>
      <c r="H17" s="49"/>
      <c r="I17" s="49"/>
      <c r="J17" s="49"/>
      <c r="K17" s="49"/>
      <c r="L17" s="49"/>
      <c r="M17" s="49"/>
      <c r="N17" s="49"/>
      <c r="O17" s="49"/>
      <c r="P17" s="49"/>
      <c r="Q17" s="49"/>
      <c r="R17" s="49"/>
      <c r="S17" s="49"/>
      <c r="T17" s="1807"/>
      <c r="U17" s="51" t="s">
        <v>195</v>
      </c>
      <c r="V17" s="51">
        <v>0</v>
      </c>
      <c r="W17" s="1425" t="s">
        <v>196</v>
      </c>
      <c r="X17" s="50">
        <v>1</v>
      </c>
      <c r="Y17" s="50" t="s">
        <v>177</v>
      </c>
      <c r="Z17" s="50">
        <v>1</v>
      </c>
      <c r="AA17" s="50">
        <v>1</v>
      </c>
      <c r="AB17" s="50"/>
      <c r="AC17" s="65">
        <f>+Z17/X17</f>
        <v>1</v>
      </c>
      <c r="AD17" s="54">
        <v>0.87</v>
      </c>
      <c r="AE17" s="50"/>
      <c r="AF17" s="50"/>
      <c r="AG17" s="50"/>
      <c r="AH17" s="50"/>
      <c r="AI17" s="50"/>
      <c r="AJ17" s="50"/>
      <c r="AK17" s="50"/>
      <c r="AL17" s="50"/>
      <c r="AM17" s="50"/>
      <c r="AN17" s="65" t="s">
        <v>177</v>
      </c>
      <c r="AO17" s="54"/>
      <c r="AP17" s="50"/>
      <c r="AQ17" s="54"/>
      <c r="AR17" s="50"/>
      <c r="AS17" s="54"/>
      <c r="AT17" s="50"/>
      <c r="AU17" s="54"/>
      <c r="AV17" s="50"/>
      <c r="AW17" s="54"/>
      <c r="AX17" s="54">
        <v>1</v>
      </c>
      <c r="AY17" s="54"/>
      <c r="AZ17" s="54"/>
      <c r="BA17" s="50">
        <v>1</v>
      </c>
      <c r="BB17" s="50">
        <v>0.13</v>
      </c>
      <c r="BC17" s="50"/>
      <c r="BD17" s="50"/>
      <c r="BE17" s="50"/>
      <c r="BF17" s="1154">
        <v>0.1323</v>
      </c>
      <c r="BG17" s="50"/>
      <c r="BH17" s="54">
        <v>0.01</v>
      </c>
      <c r="BI17" s="50"/>
      <c r="BJ17" s="54">
        <f>+BF17+BH17</f>
        <v>0.14230000000000001</v>
      </c>
      <c r="BK17" s="57">
        <f>+BJ17</f>
        <v>0.14230000000000001</v>
      </c>
      <c r="BL17" s="65">
        <f>+BJ17+AY17</f>
        <v>0.14230000000000001</v>
      </c>
      <c r="BM17" s="57">
        <f t="shared" si="4"/>
        <v>0.14230000000000001</v>
      </c>
      <c r="BN17" s="50"/>
      <c r="BO17" s="50"/>
      <c r="BP17" s="50"/>
      <c r="BQ17" s="50"/>
      <c r="BR17" s="50"/>
      <c r="BS17" s="50"/>
      <c r="BT17" s="50"/>
      <c r="BU17" s="50"/>
      <c r="BV17" s="50"/>
      <c r="BW17" s="50"/>
      <c r="BX17" s="50"/>
      <c r="BY17" s="50"/>
      <c r="BZ17" s="50"/>
      <c r="CA17" s="50"/>
      <c r="CB17" s="49"/>
      <c r="CC17" s="59"/>
      <c r="CD17" s="60"/>
      <c r="CE17" s="50"/>
      <c r="CF17" s="61"/>
      <c r="CG17" s="61"/>
      <c r="CH17" s="49"/>
      <c r="CI17" s="49"/>
      <c r="CJ17" s="49"/>
      <c r="CK17" s="49"/>
      <c r="CL17" s="49"/>
      <c r="CM17" s="49"/>
      <c r="CN17" s="49"/>
      <c r="CO17" s="50"/>
      <c r="CP17" s="50"/>
      <c r="CQ17" s="49"/>
      <c r="CR17" s="49"/>
      <c r="CS17" s="49"/>
      <c r="CT17" s="49"/>
      <c r="CU17" s="49"/>
      <c r="CV17" s="49"/>
      <c r="CW17" s="49"/>
      <c r="CX17" s="49"/>
    </row>
    <row r="18" spans="1:102" ht="12" customHeight="1" x14ac:dyDescent="0.2">
      <c r="A18" s="1811"/>
      <c r="B18" s="1807"/>
      <c r="C18" s="49"/>
      <c r="D18" s="50"/>
      <c r="E18" s="49"/>
      <c r="F18" s="49"/>
      <c r="G18" s="49"/>
      <c r="H18" s="49"/>
      <c r="I18" s="49"/>
      <c r="J18" s="49"/>
      <c r="K18" s="49"/>
      <c r="L18" s="49"/>
      <c r="M18" s="49"/>
      <c r="N18" s="49"/>
      <c r="O18" s="49"/>
      <c r="P18" s="49"/>
      <c r="Q18" s="49"/>
      <c r="R18" s="49"/>
      <c r="S18" s="49"/>
      <c r="T18" s="1808"/>
      <c r="U18" s="85"/>
      <c r="V18" s="85"/>
      <c r="W18" s="1427"/>
      <c r="X18" s="72"/>
      <c r="Y18" s="72"/>
      <c r="Z18" s="72"/>
      <c r="AA18" s="72"/>
      <c r="AB18" s="86">
        <f>AVERAGE(AB9:AB17)</f>
        <v>0.20388888888888893</v>
      </c>
      <c r="AC18" s="86">
        <f>AVERAGE(AC9:AC17)</f>
        <v>0.48277777777777775</v>
      </c>
      <c r="AD18" s="86">
        <f>AVERAGE(AD9:AD17)</f>
        <v>0.39</v>
      </c>
      <c r="AE18" s="72"/>
      <c r="AF18" s="72"/>
      <c r="AG18" s="72"/>
      <c r="AH18" s="72"/>
      <c r="AI18" s="72"/>
      <c r="AJ18" s="72"/>
      <c r="AK18" s="86">
        <f>AVERAGE(AK9:AK17)</f>
        <v>1</v>
      </c>
      <c r="AL18" s="74"/>
      <c r="AM18" s="73">
        <f>AVERAGE(AM12:AM17)</f>
        <v>0.28750000000000003</v>
      </c>
      <c r="AN18" s="72"/>
      <c r="AO18" s="86"/>
      <c r="AP18" s="72"/>
      <c r="AQ18" s="72"/>
      <c r="AR18" s="72"/>
      <c r="AS18" s="72"/>
      <c r="AT18" s="50"/>
      <c r="AU18" s="50"/>
      <c r="AV18" s="50"/>
      <c r="AW18" s="72"/>
      <c r="AX18" s="86">
        <f>AVERAGE(AX9:AX17)</f>
        <v>0.88571428571428579</v>
      </c>
      <c r="AY18" s="72"/>
      <c r="AZ18" s="86">
        <f>AVERAGE(AZ9:AZ17)</f>
        <v>0.43166666666666664</v>
      </c>
      <c r="BA18" s="50"/>
      <c r="BB18" s="50"/>
      <c r="BC18" s="50"/>
      <c r="BD18" s="50"/>
      <c r="BE18" s="50"/>
      <c r="BF18" s="50"/>
      <c r="BG18" s="50"/>
      <c r="BH18" s="50"/>
      <c r="BI18" s="50"/>
      <c r="BJ18" s="50"/>
      <c r="BK18" s="73">
        <f>AVERAGE(BK9:BK17)</f>
        <v>0.4597</v>
      </c>
      <c r="BL18" s="50"/>
      <c r="BM18" s="73">
        <f>AVERAGE(BM9:BM17)</f>
        <v>0.54803333333333326</v>
      </c>
      <c r="BN18" s="50"/>
      <c r="BO18" s="50"/>
      <c r="BP18" s="50"/>
      <c r="BQ18" s="50"/>
      <c r="BR18" s="50"/>
      <c r="BS18" s="50"/>
      <c r="BT18" s="50"/>
      <c r="BU18" s="50"/>
      <c r="BV18" s="50"/>
      <c r="BW18" s="50"/>
      <c r="BX18" s="50"/>
      <c r="BY18" s="50"/>
      <c r="BZ18" s="50"/>
      <c r="CA18" s="50"/>
      <c r="CB18" s="49"/>
      <c r="CC18" s="59"/>
      <c r="CD18" s="60"/>
      <c r="CE18" s="50"/>
      <c r="CF18" s="61"/>
      <c r="CG18" s="61"/>
      <c r="CH18" s="49"/>
      <c r="CI18" s="49"/>
      <c r="CJ18" s="49"/>
      <c r="CK18" s="49"/>
      <c r="CL18" s="49"/>
      <c r="CM18" s="49"/>
      <c r="CN18" s="49"/>
      <c r="CO18" s="50"/>
      <c r="CP18" s="50"/>
      <c r="CQ18" s="49"/>
      <c r="CR18" s="49"/>
      <c r="CS18" s="49"/>
      <c r="CT18" s="49"/>
      <c r="CU18" s="49"/>
      <c r="CV18" s="49"/>
      <c r="CW18" s="49"/>
      <c r="CX18" s="49"/>
    </row>
    <row r="19" spans="1:102" ht="51" customHeight="1" x14ac:dyDescent="0.2">
      <c r="A19" s="1811"/>
      <c r="B19" s="1807"/>
      <c r="C19" s="49"/>
      <c r="D19" s="50"/>
      <c r="E19" s="49"/>
      <c r="F19" s="49"/>
      <c r="G19" s="49"/>
      <c r="H19" s="49"/>
      <c r="I19" s="49"/>
      <c r="J19" s="49"/>
      <c r="K19" s="49"/>
      <c r="L19" s="49"/>
      <c r="M19" s="49"/>
      <c r="N19" s="49"/>
      <c r="O19" s="49"/>
      <c r="P19" s="49"/>
      <c r="Q19" s="49"/>
      <c r="R19" s="49"/>
      <c r="S19" s="49"/>
      <c r="T19" s="1809" t="s">
        <v>197</v>
      </c>
      <c r="U19" s="51" t="s">
        <v>198</v>
      </c>
      <c r="V19" s="51">
        <v>3</v>
      </c>
      <c r="W19" s="1425" t="s">
        <v>199</v>
      </c>
      <c r="X19" s="50">
        <v>10</v>
      </c>
      <c r="Y19" s="50">
        <v>2</v>
      </c>
      <c r="Z19" s="56">
        <v>3</v>
      </c>
      <c r="AA19" s="56">
        <v>2</v>
      </c>
      <c r="AB19" s="54">
        <f>+Y19/X19</f>
        <v>0.2</v>
      </c>
      <c r="AC19" s="54">
        <f>+Z19/X19</f>
        <v>0.3</v>
      </c>
      <c r="AD19" s="54">
        <f>+AA19/X19</f>
        <v>0.2</v>
      </c>
      <c r="AE19" s="50">
        <v>1</v>
      </c>
      <c r="AF19" s="50">
        <v>1</v>
      </c>
      <c r="AG19" s="50"/>
      <c r="AH19" s="50">
        <v>1</v>
      </c>
      <c r="AI19" s="50"/>
      <c r="AJ19" s="50">
        <f>+AH19</f>
        <v>1</v>
      </c>
      <c r="AK19" s="54">
        <f>+AJ19/Y19</f>
        <v>0.5</v>
      </c>
      <c r="AL19" s="50">
        <f>+AJ19</f>
        <v>1</v>
      </c>
      <c r="AM19" s="54">
        <f>+AL19/X19</f>
        <v>0.1</v>
      </c>
      <c r="AN19" s="56">
        <v>3</v>
      </c>
      <c r="AO19" s="50">
        <v>0</v>
      </c>
      <c r="AP19" s="50"/>
      <c r="AQ19" s="50">
        <v>0</v>
      </c>
      <c r="AR19" s="50"/>
      <c r="AS19" s="87">
        <v>1</v>
      </c>
      <c r="AT19" s="87"/>
      <c r="AU19" s="87">
        <v>1</v>
      </c>
      <c r="AV19" s="50"/>
      <c r="AW19" s="88">
        <v>2</v>
      </c>
      <c r="AX19" s="54">
        <v>1</v>
      </c>
      <c r="AY19" s="88">
        <f>+AW19+AL19</f>
        <v>3</v>
      </c>
      <c r="AZ19" s="54">
        <f>+AY19/X19</f>
        <v>0.3</v>
      </c>
      <c r="BA19" s="50">
        <v>2</v>
      </c>
      <c r="BB19" s="50">
        <v>2</v>
      </c>
      <c r="BC19" s="50"/>
      <c r="BD19" s="50">
        <v>0</v>
      </c>
      <c r="BE19" s="50"/>
      <c r="BF19" s="50">
        <v>0</v>
      </c>
      <c r="BG19" s="50"/>
      <c r="BH19" s="50">
        <v>0</v>
      </c>
      <c r="BI19" s="50"/>
      <c r="BJ19" s="50">
        <f>+BB19</f>
        <v>2</v>
      </c>
      <c r="BK19" s="57">
        <f>+BJ19/BA19</f>
        <v>1</v>
      </c>
      <c r="BL19" s="80">
        <f>+BJ19+AY19</f>
        <v>5</v>
      </c>
      <c r="BM19" s="57">
        <f>+BL19/X19</f>
        <v>0.5</v>
      </c>
      <c r="BN19" s="50"/>
      <c r="BO19" s="50"/>
      <c r="BP19" s="50"/>
      <c r="BQ19" s="50"/>
      <c r="BR19" s="50"/>
      <c r="BS19" s="50"/>
      <c r="BT19" s="50"/>
      <c r="BU19" s="50"/>
      <c r="BV19" s="50"/>
      <c r="BW19" s="50"/>
      <c r="BX19" s="50"/>
      <c r="BY19" s="50"/>
      <c r="BZ19" s="50"/>
      <c r="CA19" s="50"/>
      <c r="CB19" s="49"/>
      <c r="CC19" s="59"/>
      <c r="CD19" s="60"/>
      <c r="CE19" s="50"/>
      <c r="CF19" s="61"/>
      <c r="CG19" s="61"/>
      <c r="CH19" s="49"/>
      <c r="CI19" s="49"/>
      <c r="CJ19" s="49"/>
      <c r="CK19" s="49"/>
      <c r="CL19" s="49"/>
      <c r="CM19" s="49"/>
      <c r="CN19" s="49"/>
      <c r="CO19" s="50"/>
      <c r="CP19" s="50"/>
      <c r="CQ19" s="49"/>
      <c r="CR19" s="49"/>
      <c r="CS19" s="49"/>
      <c r="CT19" s="49"/>
      <c r="CU19" s="49"/>
      <c r="CV19" s="49"/>
      <c r="CW19" s="49"/>
      <c r="CX19" s="49"/>
    </row>
    <row r="20" spans="1:102" ht="41.25" customHeight="1" x14ac:dyDescent="0.2">
      <c r="A20" s="1811"/>
      <c r="B20" s="1807"/>
      <c r="C20" s="62"/>
      <c r="D20" s="63"/>
      <c r="E20" s="62"/>
      <c r="F20" s="62"/>
      <c r="G20" s="62"/>
      <c r="H20" s="62"/>
      <c r="I20" s="62"/>
      <c r="J20" s="62"/>
      <c r="K20" s="62"/>
      <c r="L20" s="62"/>
      <c r="M20" s="62"/>
      <c r="N20" s="62"/>
      <c r="O20" s="62"/>
      <c r="P20" s="62"/>
      <c r="Q20" s="62"/>
      <c r="R20" s="62"/>
      <c r="S20" s="62"/>
      <c r="T20" s="1807"/>
      <c r="U20" s="51" t="s">
        <v>200</v>
      </c>
      <c r="V20" s="51" t="s">
        <v>201</v>
      </c>
      <c r="W20" s="1425" t="s">
        <v>202</v>
      </c>
      <c r="X20" s="63">
        <v>1</v>
      </c>
      <c r="Y20" s="65">
        <v>0.25</v>
      </c>
      <c r="Z20" s="79">
        <v>1</v>
      </c>
      <c r="AA20" s="89">
        <v>0.05</v>
      </c>
      <c r="AB20" s="65">
        <f>+Y20/X20</f>
        <v>0.25</v>
      </c>
      <c r="AC20" s="54">
        <f>+Z20/X20</f>
        <v>1</v>
      </c>
      <c r="AD20" s="54"/>
      <c r="AE20" s="65">
        <v>0.25</v>
      </c>
      <c r="AF20" s="65">
        <v>0.25</v>
      </c>
      <c r="AG20" s="65"/>
      <c r="AH20" s="65">
        <v>0.3</v>
      </c>
      <c r="AI20" s="65"/>
      <c r="AJ20" s="54">
        <f>+AH20</f>
        <v>0.3</v>
      </c>
      <c r="AK20" s="65">
        <v>1</v>
      </c>
      <c r="AL20" s="65">
        <f>+AJ20</f>
        <v>0.3</v>
      </c>
      <c r="AM20" s="65">
        <f>+AL20/X20</f>
        <v>0.3</v>
      </c>
      <c r="AN20" s="79">
        <v>1</v>
      </c>
      <c r="AO20" s="63">
        <v>0.1</v>
      </c>
      <c r="AP20" s="63"/>
      <c r="AQ20" s="63">
        <v>0</v>
      </c>
      <c r="AR20" s="63"/>
      <c r="AS20" s="65">
        <v>0.5</v>
      </c>
      <c r="AT20" s="63"/>
      <c r="AU20" s="65">
        <v>0.3</v>
      </c>
      <c r="AV20" s="63"/>
      <c r="AW20" s="67">
        <f>+AS20+AU20</f>
        <v>0.8</v>
      </c>
      <c r="AX20" s="54">
        <f>+AW20/AN20</f>
        <v>0.8</v>
      </c>
      <c r="AY20" s="67">
        <f>+AX20</f>
        <v>0.8</v>
      </c>
      <c r="AZ20" s="54">
        <v>1</v>
      </c>
      <c r="BA20" s="63">
        <v>0.05</v>
      </c>
      <c r="BB20" s="63">
        <v>2.5000000000000001E-3</v>
      </c>
      <c r="BC20" s="63"/>
      <c r="BD20" s="63">
        <v>5.0000000000000001E-3</v>
      </c>
      <c r="BE20" s="63"/>
      <c r="BF20" s="63">
        <v>5.0000000000000001E-3</v>
      </c>
      <c r="BG20" s="63"/>
      <c r="BH20" s="63">
        <v>0.05</v>
      </c>
      <c r="BI20" s="63"/>
      <c r="BJ20" s="50">
        <f>+BB20+BD20+BF20+BH20</f>
        <v>6.25E-2</v>
      </c>
      <c r="BK20" s="57">
        <v>1</v>
      </c>
      <c r="BL20" s="89">
        <f>+BJ20+AY20</f>
        <v>0.86250000000000004</v>
      </c>
      <c r="BM20" s="57">
        <v>1</v>
      </c>
      <c r="BN20" s="63"/>
      <c r="BO20" s="63"/>
      <c r="BP20" s="63"/>
      <c r="BQ20" s="63"/>
      <c r="BR20" s="63"/>
      <c r="BS20" s="63"/>
      <c r="BT20" s="63"/>
      <c r="BU20" s="63"/>
      <c r="BV20" s="63"/>
      <c r="BW20" s="63"/>
      <c r="BX20" s="63"/>
      <c r="BY20" s="63"/>
      <c r="BZ20" s="63"/>
      <c r="CA20" s="63"/>
      <c r="CB20" s="62"/>
      <c r="CC20" s="68"/>
      <c r="CD20" s="69"/>
      <c r="CE20" s="63"/>
      <c r="CF20" s="70"/>
      <c r="CG20" s="70"/>
      <c r="CH20" s="62"/>
      <c r="CI20" s="62"/>
      <c r="CJ20" s="62"/>
      <c r="CK20" s="62"/>
      <c r="CL20" s="62"/>
      <c r="CM20" s="62"/>
      <c r="CN20" s="62"/>
      <c r="CO20" s="63"/>
      <c r="CP20" s="63"/>
      <c r="CQ20" s="62"/>
      <c r="CR20" s="62"/>
      <c r="CS20" s="62"/>
      <c r="CT20" s="62"/>
      <c r="CU20" s="62"/>
      <c r="CV20" s="62"/>
      <c r="CW20" s="62"/>
      <c r="CX20" s="62"/>
    </row>
    <row r="21" spans="1:102" ht="41.25" customHeight="1" x14ac:dyDescent="0.2">
      <c r="A21" s="1811"/>
      <c r="B21" s="1807"/>
      <c r="C21" s="49"/>
      <c r="D21" s="50"/>
      <c r="E21" s="49"/>
      <c r="F21" s="49"/>
      <c r="G21" s="49"/>
      <c r="H21" s="49"/>
      <c r="I21" s="49"/>
      <c r="J21" s="49"/>
      <c r="K21" s="49"/>
      <c r="L21" s="49"/>
      <c r="M21" s="49"/>
      <c r="N21" s="49"/>
      <c r="O21" s="49"/>
      <c r="P21" s="49"/>
      <c r="Q21" s="49"/>
      <c r="R21" s="49"/>
      <c r="S21" s="49"/>
      <c r="T21" s="1807"/>
      <c r="U21" s="51" t="s">
        <v>203</v>
      </c>
      <c r="V21" s="51">
        <v>0</v>
      </c>
      <c r="W21" s="1425" t="s">
        <v>204</v>
      </c>
      <c r="X21" s="50">
        <v>4</v>
      </c>
      <c r="Y21" s="50">
        <v>1</v>
      </c>
      <c r="Z21" s="56">
        <v>1</v>
      </c>
      <c r="AA21" s="56">
        <v>1</v>
      </c>
      <c r="AB21" s="54">
        <f>+Y21/X21</f>
        <v>0.25</v>
      </c>
      <c r="AC21" s="54">
        <f>+Z21/X21</f>
        <v>0.25</v>
      </c>
      <c r="AD21" s="54">
        <f>+AA21/X21</f>
        <v>0.25</v>
      </c>
      <c r="AE21" s="54">
        <v>0.5</v>
      </c>
      <c r="AF21" s="54">
        <v>0.5</v>
      </c>
      <c r="AG21" s="54"/>
      <c r="AH21" s="50">
        <v>1</v>
      </c>
      <c r="AI21" s="54"/>
      <c r="AJ21" s="50">
        <f>+AH21</f>
        <v>1</v>
      </c>
      <c r="AK21" s="54">
        <f>+AJ21/Y21</f>
        <v>1</v>
      </c>
      <c r="AL21" s="54">
        <f>+AJ21</f>
        <v>1</v>
      </c>
      <c r="AM21" s="54">
        <f>+AL21/X21</f>
        <v>0.25</v>
      </c>
      <c r="AN21" s="56">
        <v>1</v>
      </c>
      <c r="AO21" s="50">
        <v>0.25</v>
      </c>
      <c r="AP21" s="50"/>
      <c r="AQ21" s="54">
        <v>0.5</v>
      </c>
      <c r="AR21" s="50"/>
      <c r="AS21" s="50">
        <v>7.0000000000000001E-3</v>
      </c>
      <c r="AT21" s="50"/>
      <c r="AU21" s="50">
        <v>0.24</v>
      </c>
      <c r="AV21" s="50"/>
      <c r="AW21" s="54">
        <f>+AO21+AQ21+AS21+AU21</f>
        <v>0.997</v>
      </c>
      <c r="AX21" s="54">
        <f>+AW21/AN21</f>
        <v>0.997</v>
      </c>
      <c r="AY21" s="67">
        <v>2</v>
      </c>
      <c r="AZ21" s="54">
        <f>+AY21/X21</f>
        <v>0.5</v>
      </c>
      <c r="BA21" s="50">
        <v>1</v>
      </c>
      <c r="BB21" s="50">
        <v>0.19</v>
      </c>
      <c r="BC21" s="50"/>
      <c r="BD21" s="50">
        <v>0.19</v>
      </c>
      <c r="BE21" s="50"/>
      <c r="BF21" s="50">
        <v>0.19</v>
      </c>
      <c r="BG21" s="50"/>
      <c r="BH21" s="50">
        <v>0.43</v>
      </c>
      <c r="BI21" s="50"/>
      <c r="BJ21" s="50">
        <f>+BB21+BD21+BF21+BH21</f>
        <v>1</v>
      </c>
      <c r="BK21" s="57">
        <f>+BJ21/BA21</f>
        <v>1</v>
      </c>
      <c r="BL21" s="84">
        <f>BJ21+2</f>
        <v>3</v>
      </c>
      <c r="BM21" s="57">
        <f>+BL21/X21</f>
        <v>0.75</v>
      </c>
      <c r="BN21" s="50"/>
      <c r="BO21" s="50"/>
      <c r="BP21" s="50"/>
      <c r="BQ21" s="50"/>
      <c r="BR21" s="50"/>
      <c r="BS21" s="50"/>
      <c r="BT21" s="50"/>
      <c r="BU21" s="50"/>
      <c r="BV21" s="50"/>
      <c r="BW21" s="50"/>
      <c r="BX21" s="50"/>
      <c r="BY21" s="50"/>
      <c r="BZ21" s="50"/>
      <c r="CA21" s="50"/>
      <c r="CB21" s="49"/>
      <c r="CC21" s="59"/>
      <c r="CD21" s="60"/>
      <c r="CE21" s="50"/>
      <c r="CF21" s="61"/>
      <c r="CG21" s="61"/>
      <c r="CH21" s="49"/>
      <c r="CI21" s="49"/>
      <c r="CJ21" s="49"/>
      <c r="CK21" s="49"/>
      <c r="CL21" s="49"/>
      <c r="CM21" s="49"/>
      <c r="CN21" s="49"/>
      <c r="CO21" s="50"/>
      <c r="CP21" s="50"/>
      <c r="CQ21" s="49"/>
      <c r="CR21" s="49"/>
      <c r="CS21" s="49"/>
      <c r="CT21" s="49"/>
      <c r="CU21" s="49"/>
      <c r="CV21" s="49"/>
      <c r="CW21" s="49"/>
      <c r="CX21" s="49"/>
    </row>
    <row r="22" spans="1:102" ht="60.75" customHeight="1" x14ac:dyDescent="0.2">
      <c r="A22" s="1811"/>
      <c r="B22" s="1807"/>
      <c r="C22" s="49"/>
      <c r="D22" s="50"/>
      <c r="E22" s="49"/>
      <c r="F22" s="49"/>
      <c r="G22" s="49"/>
      <c r="H22" s="49"/>
      <c r="I22" s="49"/>
      <c r="J22" s="49"/>
      <c r="K22" s="49"/>
      <c r="L22" s="49"/>
      <c r="M22" s="49"/>
      <c r="N22" s="49"/>
      <c r="O22" s="49"/>
      <c r="P22" s="49"/>
      <c r="Q22" s="49"/>
      <c r="R22" s="49"/>
      <c r="S22" s="49"/>
      <c r="T22" s="1807"/>
      <c r="U22" s="51" t="s">
        <v>205</v>
      </c>
      <c r="V22" s="51">
        <v>0</v>
      </c>
      <c r="W22" s="1425" t="s">
        <v>206</v>
      </c>
      <c r="X22" s="50">
        <v>3</v>
      </c>
      <c r="Y22" s="50" t="s">
        <v>177</v>
      </c>
      <c r="Z22" s="50">
        <v>0</v>
      </c>
      <c r="AA22" s="50">
        <v>3</v>
      </c>
      <c r="AB22" s="50"/>
      <c r="AC22" s="54"/>
      <c r="AD22" s="54">
        <v>0.92</v>
      </c>
      <c r="AE22" s="50"/>
      <c r="AF22" s="50"/>
      <c r="AG22" s="50"/>
      <c r="AH22" s="50"/>
      <c r="AI22" s="50"/>
      <c r="AJ22" s="50"/>
      <c r="AK22" s="50"/>
      <c r="AL22" s="50"/>
      <c r="AM22" s="50"/>
      <c r="AN22" s="50"/>
      <c r="AO22" s="50"/>
      <c r="AP22" s="50"/>
      <c r="AQ22" s="50"/>
      <c r="AR22" s="50"/>
      <c r="AS22" s="50"/>
      <c r="AT22" s="50"/>
      <c r="AU22" s="50"/>
      <c r="AV22" s="50"/>
      <c r="AW22" s="88">
        <f>+AO22</f>
        <v>0</v>
      </c>
      <c r="AX22" s="54"/>
      <c r="AY22" s="88">
        <f>+AW22+AL22</f>
        <v>0</v>
      </c>
      <c r="AZ22" s="54"/>
      <c r="BA22" s="50">
        <v>3</v>
      </c>
      <c r="BB22" s="50">
        <v>0.23</v>
      </c>
      <c r="BC22" s="50"/>
      <c r="BD22" s="50">
        <v>0.46</v>
      </c>
      <c r="BE22" s="50"/>
      <c r="BF22" s="50">
        <v>0.3</v>
      </c>
      <c r="BG22" s="50"/>
      <c r="BH22" s="50">
        <v>0.44</v>
      </c>
      <c r="BI22" s="50"/>
      <c r="BJ22" s="50">
        <f>+BB22+BD22+BF22+BH22</f>
        <v>1.43</v>
      </c>
      <c r="BK22" s="57">
        <f>+BJ22/BA22</f>
        <v>0.47666666666666663</v>
      </c>
      <c r="BL22" s="80">
        <f>+BJ22+AY22</f>
        <v>1.43</v>
      </c>
      <c r="BM22" s="57">
        <f>+BL22/X22</f>
        <v>0.47666666666666663</v>
      </c>
      <c r="BN22" s="50"/>
      <c r="BO22" s="50"/>
      <c r="BP22" s="50"/>
      <c r="BQ22" s="50"/>
      <c r="BR22" s="50"/>
      <c r="BS22" s="50"/>
      <c r="BT22" s="50"/>
      <c r="BU22" s="50"/>
      <c r="BV22" s="50"/>
      <c r="BW22" s="50"/>
      <c r="BX22" s="50"/>
      <c r="BY22" s="50"/>
      <c r="BZ22" s="50"/>
      <c r="CA22" s="50"/>
      <c r="CB22" s="49"/>
      <c r="CC22" s="59"/>
      <c r="CD22" s="60"/>
      <c r="CE22" s="50"/>
      <c r="CF22" s="61"/>
      <c r="CG22" s="61"/>
      <c r="CH22" s="49"/>
      <c r="CI22" s="49"/>
      <c r="CJ22" s="49"/>
      <c r="CK22" s="49"/>
      <c r="CL22" s="49"/>
      <c r="CM22" s="49"/>
      <c r="CN22" s="49"/>
      <c r="CO22" s="50"/>
      <c r="CP22" s="50"/>
      <c r="CQ22" s="49"/>
      <c r="CR22" s="49"/>
      <c r="CS22" s="49"/>
      <c r="CT22" s="49"/>
      <c r="CU22" s="49"/>
      <c r="CV22" s="49"/>
      <c r="CW22" s="49"/>
      <c r="CX22" s="49"/>
    </row>
    <row r="23" spans="1:102" ht="39.75" customHeight="1" x14ac:dyDescent="0.2">
      <c r="A23" s="1811"/>
      <c r="B23" s="1807"/>
      <c r="C23" s="49"/>
      <c r="D23" s="50"/>
      <c r="E23" s="49"/>
      <c r="F23" s="49"/>
      <c r="G23" s="49"/>
      <c r="H23" s="49"/>
      <c r="I23" s="49"/>
      <c r="J23" s="49"/>
      <c r="K23" s="49"/>
      <c r="L23" s="49"/>
      <c r="M23" s="49"/>
      <c r="N23" s="49"/>
      <c r="O23" s="49"/>
      <c r="P23" s="49"/>
      <c r="Q23" s="49"/>
      <c r="R23" s="49"/>
      <c r="S23" s="49"/>
      <c r="T23" s="1807"/>
      <c r="U23" s="51" t="s">
        <v>207</v>
      </c>
      <c r="V23" s="51">
        <v>0</v>
      </c>
      <c r="W23" s="1425" t="s">
        <v>208</v>
      </c>
      <c r="X23" s="50">
        <v>1</v>
      </c>
      <c r="Y23" s="50" t="s">
        <v>177</v>
      </c>
      <c r="Z23" s="50">
        <v>0.5</v>
      </c>
      <c r="AA23" s="54">
        <v>0.25</v>
      </c>
      <c r="AB23" s="50"/>
      <c r="AC23" s="54">
        <f>+Z23/X23</f>
        <v>0.5</v>
      </c>
      <c r="AD23" s="54">
        <f>+AA23/X23</f>
        <v>0.25</v>
      </c>
      <c r="AE23" s="50"/>
      <c r="AF23" s="50"/>
      <c r="AG23" s="50"/>
      <c r="AH23" s="50"/>
      <c r="AI23" s="50"/>
      <c r="AJ23" s="50"/>
      <c r="AK23" s="50"/>
      <c r="AL23" s="50"/>
      <c r="AM23" s="50"/>
      <c r="AN23" s="50">
        <v>0.3</v>
      </c>
      <c r="AO23" s="57">
        <v>0.105</v>
      </c>
      <c r="AP23" s="50"/>
      <c r="AQ23" s="57">
        <v>0</v>
      </c>
      <c r="AR23" s="50"/>
      <c r="AS23" s="54">
        <v>0.245</v>
      </c>
      <c r="AT23" s="50"/>
      <c r="AU23" s="54">
        <v>0.11</v>
      </c>
      <c r="AV23" s="50"/>
      <c r="AW23" s="54">
        <f>+AO23+AS23+AU23</f>
        <v>0.45999999999999996</v>
      </c>
      <c r="AX23" s="54">
        <v>1</v>
      </c>
      <c r="AY23" s="54">
        <f>+AW23+AJ23</f>
        <v>0.45999999999999996</v>
      </c>
      <c r="AZ23" s="54">
        <f>+AY23/X23</f>
        <v>0.45999999999999996</v>
      </c>
      <c r="BA23" s="54">
        <v>0.25</v>
      </c>
      <c r="BB23" s="50">
        <v>0</v>
      </c>
      <c r="BC23" s="50"/>
      <c r="BD23" s="50">
        <v>0</v>
      </c>
      <c r="BE23" s="50"/>
      <c r="BF23" s="50">
        <v>0.2</v>
      </c>
      <c r="BG23" s="50"/>
      <c r="BH23" s="50">
        <v>0.04</v>
      </c>
      <c r="BI23" s="50"/>
      <c r="BJ23" s="50">
        <f>+BF23+BH23</f>
        <v>0.24000000000000002</v>
      </c>
      <c r="BK23" s="57">
        <f>+BJ23/BA23</f>
        <v>0.96000000000000008</v>
      </c>
      <c r="BL23" s="65">
        <f>+BJ23+AY23</f>
        <v>0.7</v>
      </c>
      <c r="BM23" s="57">
        <f>+BL23/X23</f>
        <v>0.7</v>
      </c>
      <c r="BN23" s="50"/>
      <c r="BO23" s="50"/>
      <c r="BP23" s="50"/>
      <c r="BQ23" s="50"/>
      <c r="BR23" s="50"/>
      <c r="BS23" s="50"/>
      <c r="BT23" s="50"/>
      <c r="BU23" s="50"/>
      <c r="BV23" s="50"/>
      <c r="BW23" s="50"/>
      <c r="BX23" s="50"/>
      <c r="BY23" s="50"/>
      <c r="BZ23" s="50"/>
      <c r="CA23" s="50"/>
      <c r="CB23" s="49"/>
      <c r="CC23" s="59"/>
      <c r="CD23" s="60"/>
      <c r="CE23" s="50"/>
      <c r="CF23" s="61"/>
      <c r="CG23" s="61"/>
      <c r="CH23" s="49"/>
      <c r="CI23" s="49"/>
      <c r="CJ23" s="49"/>
      <c r="CK23" s="49"/>
      <c r="CL23" s="49"/>
      <c r="CM23" s="49"/>
      <c r="CN23" s="49"/>
      <c r="CO23" s="50"/>
      <c r="CP23" s="50"/>
      <c r="CQ23" s="49"/>
      <c r="CR23" s="49"/>
      <c r="CS23" s="49"/>
      <c r="CT23" s="49"/>
      <c r="CU23" s="49"/>
      <c r="CV23" s="49"/>
      <c r="CW23" s="49"/>
      <c r="CX23" s="49"/>
    </row>
    <row r="24" spans="1:102" ht="12.75" customHeight="1" x14ac:dyDescent="0.2">
      <c r="A24" s="1811"/>
      <c r="B24" s="1807"/>
      <c r="C24" s="49"/>
      <c r="D24" s="50"/>
      <c r="E24" s="49"/>
      <c r="F24" s="49"/>
      <c r="G24" s="49"/>
      <c r="H24" s="49"/>
      <c r="I24" s="49"/>
      <c r="J24" s="49"/>
      <c r="K24" s="49"/>
      <c r="L24" s="49"/>
      <c r="M24" s="49"/>
      <c r="N24" s="49"/>
      <c r="O24" s="49"/>
      <c r="P24" s="49"/>
      <c r="Q24" s="49"/>
      <c r="R24" s="49"/>
      <c r="S24" s="49"/>
      <c r="T24" s="1808"/>
      <c r="U24" s="85"/>
      <c r="V24" s="85"/>
      <c r="W24" s="1427"/>
      <c r="X24" s="72"/>
      <c r="Y24" s="72"/>
      <c r="Z24" s="72"/>
      <c r="AA24" s="72"/>
      <c r="AB24" s="86">
        <f>AVERAGE(AB19:AB23)</f>
        <v>0.23333333333333331</v>
      </c>
      <c r="AC24" s="86">
        <f>AVERAGE(AC19:AC23)</f>
        <v>0.51249999999999996</v>
      </c>
      <c r="AD24" s="86">
        <f>AVERAGE(AD19:AD23)</f>
        <v>0.40500000000000003</v>
      </c>
      <c r="AE24" s="72"/>
      <c r="AF24" s="72"/>
      <c r="AG24" s="72"/>
      <c r="AH24" s="72"/>
      <c r="AI24" s="72"/>
      <c r="AJ24" s="72"/>
      <c r="AK24" s="86">
        <f>AVERAGE(AK19:AK23)</f>
        <v>0.83333333333333337</v>
      </c>
      <c r="AL24" s="74"/>
      <c r="AM24" s="86">
        <f>AVERAGE(AM19:AM23)</f>
        <v>0.21666666666666667</v>
      </c>
      <c r="AN24" s="72"/>
      <c r="AO24" s="72"/>
      <c r="AP24" s="72"/>
      <c r="AQ24" s="72"/>
      <c r="AR24" s="72"/>
      <c r="AS24" s="72"/>
      <c r="AT24" s="72"/>
      <c r="AU24" s="72"/>
      <c r="AV24" s="72"/>
      <c r="AW24" s="72"/>
      <c r="AX24" s="86">
        <f>AVERAGE(AX19:AX23)</f>
        <v>0.94925000000000004</v>
      </c>
      <c r="AY24" s="72"/>
      <c r="AZ24" s="86">
        <f>AVERAGE(AZ19:AZ23)</f>
        <v>0.56499999999999995</v>
      </c>
      <c r="BA24" s="50"/>
      <c r="BB24" s="50"/>
      <c r="BC24" s="50"/>
      <c r="BD24" s="50"/>
      <c r="BE24" s="50"/>
      <c r="BF24" s="50"/>
      <c r="BG24" s="50"/>
      <c r="BH24" s="50"/>
      <c r="BI24" s="50"/>
      <c r="BJ24" s="50"/>
      <c r="BK24" s="73">
        <f>AVERAGE(BK19:BK23)</f>
        <v>0.88733333333333331</v>
      </c>
      <c r="BL24" s="50"/>
      <c r="BM24" s="73">
        <f>AVERAGE(BM19:BM23)</f>
        <v>0.68533333333333335</v>
      </c>
      <c r="BN24" s="50"/>
      <c r="BO24" s="50"/>
      <c r="BP24" s="50"/>
      <c r="BQ24" s="50"/>
      <c r="BR24" s="50"/>
      <c r="BS24" s="50"/>
      <c r="BT24" s="50"/>
      <c r="BU24" s="50"/>
      <c r="BV24" s="50"/>
      <c r="BW24" s="50"/>
      <c r="BX24" s="50"/>
      <c r="BY24" s="50"/>
      <c r="BZ24" s="50"/>
      <c r="CA24" s="50"/>
      <c r="CB24" s="49"/>
      <c r="CC24" s="59"/>
      <c r="CD24" s="60"/>
      <c r="CE24" s="50"/>
      <c r="CF24" s="61"/>
      <c r="CG24" s="61"/>
      <c r="CH24" s="49"/>
      <c r="CI24" s="49"/>
      <c r="CJ24" s="49"/>
      <c r="CK24" s="49"/>
      <c r="CL24" s="49"/>
      <c r="CM24" s="49"/>
      <c r="CN24" s="49"/>
      <c r="CO24" s="50"/>
      <c r="CP24" s="50"/>
      <c r="CQ24" s="49"/>
      <c r="CR24" s="49"/>
      <c r="CS24" s="49"/>
      <c r="CT24" s="49"/>
      <c r="CU24" s="49"/>
      <c r="CV24" s="49"/>
      <c r="CW24" s="49"/>
      <c r="CX24" s="49"/>
    </row>
    <row r="25" spans="1:102" ht="39.75" customHeight="1" x14ac:dyDescent="0.2">
      <c r="A25" s="1811"/>
      <c r="B25" s="1807"/>
      <c r="C25" s="49"/>
      <c r="D25" s="50"/>
      <c r="E25" s="49"/>
      <c r="F25" s="49"/>
      <c r="G25" s="49"/>
      <c r="H25" s="49"/>
      <c r="I25" s="49"/>
      <c r="J25" s="49"/>
      <c r="K25" s="49"/>
      <c r="L25" s="49"/>
      <c r="M25" s="49"/>
      <c r="N25" s="49"/>
      <c r="O25" s="49"/>
      <c r="P25" s="49"/>
      <c r="Q25" s="49"/>
      <c r="R25" s="49"/>
      <c r="S25" s="49"/>
      <c r="T25" s="1815" t="s">
        <v>209</v>
      </c>
      <c r="U25" s="51" t="s">
        <v>210</v>
      </c>
      <c r="V25" s="51">
        <v>0</v>
      </c>
      <c r="W25" s="1425" t="s">
        <v>211</v>
      </c>
      <c r="X25" s="50">
        <v>25</v>
      </c>
      <c r="Y25" s="50">
        <v>4</v>
      </c>
      <c r="Z25" s="50">
        <v>7</v>
      </c>
      <c r="AA25" s="50">
        <v>7</v>
      </c>
      <c r="AB25" s="54">
        <f t="shared" ref="AB25:AB34" si="5">+Y25/X25</f>
        <v>0.16</v>
      </c>
      <c r="AC25" s="54">
        <f t="shared" ref="AC25:AC34" si="6">+Z25/X25</f>
        <v>0.28000000000000003</v>
      </c>
      <c r="AD25" s="54">
        <f t="shared" ref="AD25:AD35" si="7">+AA25/X25</f>
        <v>0.28000000000000003</v>
      </c>
      <c r="AE25" s="50">
        <v>1</v>
      </c>
      <c r="AF25" s="50">
        <v>1</v>
      </c>
      <c r="AG25" s="50"/>
      <c r="AH25" s="50">
        <v>4</v>
      </c>
      <c r="AI25" s="50"/>
      <c r="AJ25" s="50">
        <f t="shared" ref="AJ25:AJ34" si="8">+AH25</f>
        <v>4</v>
      </c>
      <c r="AK25" s="54">
        <f>+AJ25/Y25</f>
        <v>1</v>
      </c>
      <c r="AL25" s="50">
        <f>+AJ25</f>
        <v>4</v>
      </c>
      <c r="AM25" s="54">
        <f t="shared" ref="AM25:AM34" si="9">+AL25/X25</f>
        <v>0.16</v>
      </c>
      <c r="AN25" s="50">
        <v>7</v>
      </c>
      <c r="AO25" s="50">
        <v>0.70000000000000007</v>
      </c>
      <c r="AP25" s="50"/>
      <c r="AQ25" s="50">
        <v>0</v>
      </c>
      <c r="AR25" s="50"/>
      <c r="AS25" s="50">
        <v>5.3</v>
      </c>
      <c r="AT25" s="50"/>
      <c r="AU25" s="50">
        <v>1</v>
      </c>
      <c r="AV25" s="50"/>
      <c r="AW25" s="50">
        <f>+AO25+AQ25+AS25+AU25</f>
        <v>7</v>
      </c>
      <c r="AX25" s="54">
        <f>+AW25/AN25</f>
        <v>1</v>
      </c>
      <c r="AY25" s="50">
        <f t="shared" ref="AY25:AY34" si="10">+AW25+AL25</f>
        <v>11</v>
      </c>
      <c r="AZ25" s="55">
        <f t="shared" ref="AZ25:AZ32" si="11">+AY25/X25</f>
        <v>0.44</v>
      </c>
      <c r="BA25" s="50">
        <v>7</v>
      </c>
      <c r="BB25" s="50">
        <v>7</v>
      </c>
      <c r="BC25" s="50"/>
      <c r="BD25" s="50">
        <v>0</v>
      </c>
      <c r="BE25" s="50"/>
      <c r="BF25" s="50">
        <v>0</v>
      </c>
      <c r="BG25" s="50"/>
      <c r="BH25" s="50">
        <v>0</v>
      </c>
      <c r="BI25" s="50"/>
      <c r="BJ25" s="50">
        <f t="shared" ref="BJ25:BJ32" si="12">+BB25</f>
        <v>7</v>
      </c>
      <c r="BK25" s="57">
        <f t="shared" ref="BK25:BK35" si="13">+BJ25/BA25</f>
        <v>1</v>
      </c>
      <c r="BL25" s="63">
        <f t="shared" ref="BL25:BL35" si="14">+BJ25+AY25</f>
        <v>18</v>
      </c>
      <c r="BM25" s="57">
        <f t="shared" ref="BM25:BM34" si="15">+BL25/X25</f>
        <v>0.72</v>
      </c>
      <c r="BN25" s="50"/>
      <c r="BO25" s="50"/>
      <c r="BP25" s="50"/>
      <c r="BQ25" s="50"/>
      <c r="BR25" s="50"/>
      <c r="BS25" s="50"/>
      <c r="BT25" s="50"/>
      <c r="BU25" s="50"/>
      <c r="BV25" s="50"/>
      <c r="BW25" s="50"/>
      <c r="BX25" s="50"/>
      <c r="BY25" s="50"/>
      <c r="BZ25" s="50"/>
      <c r="CA25" s="50"/>
      <c r="CB25" s="49"/>
      <c r="CC25" s="59"/>
      <c r="CD25" s="60"/>
      <c r="CE25" s="50"/>
      <c r="CF25" s="61"/>
      <c r="CG25" s="61"/>
      <c r="CH25" s="49"/>
      <c r="CI25" s="49"/>
      <c r="CJ25" s="49"/>
      <c r="CK25" s="49"/>
      <c r="CL25" s="49"/>
      <c r="CM25" s="49"/>
      <c r="CN25" s="49"/>
      <c r="CO25" s="50"/>
      <c r="CP25" s="50"/>
      <c r="CQ25" s="49"/>
      <c r="CR25" s="49"/>
      <c r="CS25" s="49"/>
      <c r="CT25" s="49"/>
      <c r="CU25" s="49"/>
      <c r="CV25" s="49"/>
      <c r="CW25" s="49"/>
      <c r="CX25" s="49"/>
    </row>
    <row r="26" spans="1:102" ht="63" customHeight="1" x14ac:dyDescent="0.2">
      <c r="A26" s="1811"/>
      <c r="B26" s="1807"/>
      <c r="C26" s="49"/>
      <c r="D26" s="50"/>
      <c r="E26" s="49"/>
      <c r="F26" s="49"/>
      <c r="G26" s="49"/>
      <c r="H26" s="49"/>
      <c r="I26" s="49"/>
      <c r="J26" s="49"/>
      <c r="K26" s="49"/>
      <c r="L26" s="49"/>
      <c r="M26" s="49"/>
      <c r="N26" s="49"/>
      <c r="O26" s="49"/>
      <c r="P26" s="49"/>
      <c r="Q26" s="49"/>
      <c r="R26" s="49"/>
      <c r="S26" s="49"/>
      <c r="T26" s="1807"/>
      <c r="U26" s="51" t="s">
        <v>212</v>
      </c>
      <c r="V26" s="51">
        <v>0</v>
      </c>
      <c r="W26" s="1425" t="s">
        <v>213</v>
      </c>
      <c r="X26" s="50">
        <v>20</v>
      </c>
      <c r="Y26" s="50">
        <v>4</v>
      </c>
      <c r="Z26" s="50">
        <v>4</v>
      </c>
      <c r="AA26" s="50">
        <v>6</v>
      </c>
      <c r="AB26" s="54">
        <f t="shared" si="5"/>
        <v>0.2</v>
      </c>
      <c r="AC26" s="54">
        <f t="shared" si="6"/>
        <v>0.2</v>
      </c>
      <c r="AD26" s="54">
        <v>0.25</v>
      </c>
      <c r="AE26" s="50">
        <v>0</v>
      </c>
      <c r="AF26" s="50">
        <v>0</v>
      </c>
      <c r="AG26" s="50"/>
      <c r="AH26" s="50">
        <v>4</v>
      </c>
      <c r="AI26" s="50"/>
      <c r="AJ26" s="50">
        <f t="shared" si="8"/>
        <v>4</v>
      </c>
      <c r="AK26" s="54">
        <f>+AJ26/Y26</f>
        <v>1</v>
      </c>
      <c r="AL26" s="50">
        <f>+AJ26</f>
        <v>4</v>
      </c>
      <c r="AM26" s="54">
        <f t="shared" si="9"/>
        <v>0.2</v>
      </c>
      <c r="AN26" s="50">
        <v>4</v>
      </c>
      <c r="AO26" s="50">
        <v>0</v>
      </c>
      <c r="AP26" s="50"/>
      <c r="AQ26" s="50">
        <v>2</v>
      </c>
      <c r="AR26" s="50"/>
      <c r="AS26" s="50">
        <v>3</v>
      </c>
      <c r="AT26" s="50"/>
      <c r="AU26" s="50">
        <v>0</v>
      </c>
      <c r="AV26" s="50"/>
      <c r="AW26" s="50">
        <f>+AO26+AQ26+AS26</f>
        <v>5</v>
      </c>
      <c r="AX26" s="54">
        <v>1</v>
      </c>
      <c r="AY26" s="50">
        <f t="shared" si="10"/>
        <v>9</v>
      </c>
      <c r="AZ26" s="55">
        <f t="shared" si="11"/>
        <v>0.45</v>
      </c>
      <c r="BA26" s="50">
        <v>6</v>
      </c>
      <c r="BB26" s="50">
        <v>6</v>
      </c>
      <c r="BC26" s="50"/>
      <c r="BD26" s="50">
        <v>0</v>
      </c>
      <c r="BE26" s="50"/>
      <c r="BF26" s="50">
        <v>0</v>
      </c>
      <c r="BG26" s="50"/>
      <c r="BH26" s="50">
        <v>0</v>
      </c>
      <c r="BI26" s="50"/>
      <c r="BJ26" s="50">
        <f t="shared" si="12"/>
        <v>6</v>
      </c>
      <c r="BK26" s="57">
        <f t="shared" si="13"/>
        <v>1</v>
      </c>
      <c r="BL26" s="63">
        <f t="shared" si="14"/>
        <v>15</v>
      </c>
      <c r="BM26" s="57">
        <f t="shared" si="15"/>
        <v>0.75</v>
      </c>
      <c r="BN26" s="50"/>
      <c r="BO26" s="50"/>
      <c r="BP26" s="50"/>
      <c r="BQ26" s="50"/>
      <c r="BR26" s="50"/>
      <c r="BS26" s="50"/>
      <c r="BT26" s="50"/>
      <c r="BU26" s="50"/>
      <c r="BV26" s="50"/>
      <c r="BW26" s="50"/>
      <c r="BX26" s="50"/>
      <c r="BY26" s="50"/>
      <c r="BZ26" s="50"/>
      <c r="CA26" s="50"/>
      <c r="CB26" s="49"/>
      <c r="CC26" s="59"/>
      <c r="CD26" s="60"/>
      <c r="CE26" s="50"/>
      <c r="CF26" s="61"/>
      <c r="CG26" s="61"/>
      <c r="CH26" s="49"/>
      <c r="CI26" s="49"/>
      <c r="CJ26" s="49"/>
      <c r="CK26" s="49"/>
      <c r="CL26" s="49"/>
      <c r="CM26" s="49"/>
      <c r="CN26" s="49"/>
      <c r="CO26" s="50"/>
      <c r="CP26" s="50"/>
      <c r="CQ26" s="49"/>
      <c r="CR26" s="49"/>
      <c r="CS26" s="49"/>
      <c r="CT26" s="49"/>
      <c r="CU26" s="49"/>
      <c r="CV26" s="49"/>
      <c r="CW26" s="49"/>
      <c r="CX26" s="49"/>
    </row>
    <row r="27" spans="1:102" ht="54.75" customHeight="1" x14ac:dyDescent="0.2">
      <c r="A27" s="1811"/>
      <c r="B27" s="1807"/>
      <c r="C27" s="49"/>
      <c r="D27" s="50"/>
      <c r="E27" s="49"/>
      <c r="F27" s="49"/>
      <c r="G27" s="49"/>
      <c r="H27" s="49"/>
      <c r="I27" s="49"/>
      <c r="J27" s="49"/>
      <c r="K27" s="49"/>
      <c r="L27" s="49"/>
      <c r="M27" s="49"/>
      <c r="N27" s="49"/>
      <c r="O27" s="49"/>
      <c r="P27" s="49"/>
      <c r="Q27" s="49"/>
      <c r="R27" s="49"/>
      <c r="S27" s="49"/>
      <c r="T27" s="1807"/>
      <c r="U27" s="51" t="s">
        <v>214</v>
      </c>
      <c r="V27" s="51">
        <v>28</v>
      </c>
      <c r="W27" s="1428" t="s">
        <v>215</v>
      </c>
      <c r="X27" s="50">
        <v>120</v>
      </c>
      <c r="Y27" s="50">
        <v>15</v>
      </c>
      <c r="Z27" s="50">
        <v>35</v>
      </c>
      <c r="AA27" s="50">
        <v>35</v>
      </c>
      <c r="AB27" s="54">
        <f t="shared" si="5"/>
        <v>0.125</v>
      </c>
      <c r="AC27" s="54">
        <f t="shared" si="6"/>
        <v>0.29166666666666669</v>
      </c>
      <c r="AD27" s="54">
        <f t="shared" si="7"/>
        <v>0.29166666666666669</v>
      </c>
      <c r="AE27" s="50">
        <v>13</v>
      </c>
      <c r="AF27" s="50">
        <v>13</v>
      </c>
      <c r="AG27" s="50"/>
      <c r="AH27" s="50">
        <v>17</v>
      </c>
      <c r="AI27" s="50"/>
      <c r="AJ27" s="50">
        <f t="shared" si="8"/>
        <v>17</v>
      </c>
      <c r="AK27" s="54">
        <v>1</v>
      </c>
      <c r="AL27" s="50">
        <f>+AJ27</f>
        <v>17</v>
      </c>
      <c r="AM27" s="54">
        <f t="shared" si="9"/>
        <v>0.14166666666666666</v>
      </c>
      <c r="AN27" s="50">
        <v>35</v>
      </c>
      <c r="AO27" s="50">
        <v>3.5</v>
      </c>
      <c r="AP27" s="50"/>
      <c r="AQ27" s="50">
        <v>17</v>
      </c>
      <c r="AR27" s="50"/>
      <c r="AS27" s="50"/>
      <c r="AT27" s="50"/>
      <c r="AU27" s="50">
        <v>15</v>
      </c>
      <c r="AV27" s="50"/>
      <c r="AW27" s="50">
        <f>+AO27+AQ27+AU27</f>
        <v>35.5</v>
      </c>
      <c r="AX27" s="54">
        <v>1</v>
      </c>
      <c r="AY27" s="50">
        <f t="shared" si="10"/>
        <v>52.5</v>
      </c>
      <c r="AZ27" s="55">
        <f t="shared" si="11"/>
        <v>0.4375</v>
      </c>
      <c r="BA27" s="50">
        <v>35</v>
      </c>
      <c r="BB27" s="50">
        <v>27</v>
      </c>
      <c r="BC27" s="50"/>
      <c r="BD27" s="50">
        <v>8</v>
      </c>
      <c r="BE27" s="50"/>
      <c r="BF27" s="50">
        <v>0</v>
      </c>
      <c r="BG27" s="50"/>
      <c r="BH27" s="50">
        <v>0</v>
      </c>
      <c r="BI27" s="50"/>
      <c r="BJ27" s="50">
        <f>+BB27+BD27</f>
        <v>35</v>
      </c>
      <c r="BK27" s="57">
        <f t="shared" si="13"/>
        <v>1</v>
      </c>
      <c r="BL27" s="63">
        <f t="shared" si="14"/>
        <v>87.5</v>
      </c>
      <c r="BM27" s="57">
        <f t="shared" si="15"/>
        <v>0.72916666666666663</v>
      </c>
      <c r="BN27" s="50"/>
      <c r="BO27" s="50"/>
      <c r="BP27" s="50"/>
      <c r="BQ27" s="50"/>
      <c r="BR27" s="50"/>
      <c r="BS27" s="50"/>
      <c r="BT27" s="50"/>
      <c r="BU27" s="50"/>
      <c r="BV27" s="50"/>
      <c r="BW27" s="50"/>
      <c r="BX27" s="50"/>
      <c r="BY27" s="50"/>
      <c r="BZ27" s="50"/>
      <c r="CA27" s="50"/>
      <c r="CB27" s="49"/>
      <c r="CC27" s="59"/>
      <c r="CD27" s="60"/>
      <c r="CE27" s="50"/>
      <c r="CF27" s="61"/>
      <c r="CG27" s="61"/>
      <c r="CH27" s="49"/>
      <c r="CI27" s="49"/>
      <c r="CJ27" s="49"/>
      <c r="CK27" s="49"/>
      <c r="CL27" s="49"/>
      <c r="CM27" s="49"/>
      <c r="CN27" s="49"/>
      <c r="CO27" s="50"/>
      <c r="CP27" s="50"/>
      <c r="CQ27" s="49"/>
      <c r="CR27" s="49"/>
      <c r="CS27" s="49"/>
      <c r="CT27" s="49"/>
      <c r="CU27" s="49"/>
      <c r="CV27" s="49"/>
      <c r="CW27" s="49"/>
      <c r="CX27" s="49"/>
    </row>
    <row r="28" spans="1:102" ht="73.5" customHeight="1" x14ac:dyDescent="0.2">
      <c r="A28" s="1811"/>
      <c r="B28" s="1807"/>
      <c r="C28" s="49"/>
      <c r="D28" s="50"/>
      <c r="E28" s="49"/>
      <c r="F28" s="49"/>
      <c r="G28" s="49"/>
      <c r="H28" s="49"/>
      <c r="I28" s="49"/>
      <c r="J28" s="49"/>
      <c r="K28" s="49"/>
      <c r="L28" s="49"/>
      <c r="M28" s="49"/>
      <c r="N28" s="49"/>
      <c r="O28" s="49"/>
      <c r="P28" s="49"/>
      <c r="Q28" s="49"/>
      <c r="R28" s="49"/>
      <c r="S28" s="49"/>
      <c r="T28" s="1807"/>
      <c r="U28" s="51" t="s">
        <v>216</v>
      </c>
      <c r="V28" s="51">
        <v>9</v>
      </c>
      <c r="W28" s="1428" t="s">
        <v>217</v>
      </c>
      <c r="X28" s="50">
        <v>9</v>
      </c>
      <c r="Y28" s="50">
        <v>5</v>
      </c>
      <c r="Z28" s="50">
        <v>2</v>
      </c>
      <c r="AA28" s="50">
        <v>1</v>
      </c>
      <c r="AB28" s="54">
        <f t="shared" si="5"/>
        <v>0.55555555555555558</v>
      </c>
      <c r="AC28" s="54">
        <f t="shared" si="6"/>
        <v>0.22222222222222221</v>
      </c>
      <c r="AD28" s="54"/>
      <c r="AE28" s="50">
        <v>5</v>
      </c>
      <c r="AF28" s="50">
        <v>5</v>
      </c>
      <c r="AG28" s="50"/>
      <c r="AH28" s="50">
        <v>5</v>
      </c>
      <c r="AI28" s="50"/>
      <c r="AJ28" s="50">
        <f t="shared" si="8"/>
        <v>5</v>
      </c>
      <c r="AK28" s="54">
        <f>+AJ28/Y28</f>
        <v>1</v>
      </c>
      <c r="AL28" s="50">
        <f>+AJ28</f>
        <v>5</v>
      </c>
      <c r="AM28" s="54">
        <f t="shared" si="9"/>
        <v>0.55555555555555558</v>
      </c>
      <c r="AN28" s="50">
        <v>2</v>
      </c>
      <c r="AO28" s="50">
        <v>1</v>
      </c>
      <c r="AP28" s="50"/>
      <c r="AQ28" s="50">
        <v>1</v>
      </c>
      <c r="AR28" s="50"/>
      <c r="AS28" s="50">
        <v>2</v>
      </c>
      <c r="AT28" s="50"/>
      <c r="AU28" s="50">
        <v>1</v>
      </c>
      <c r="AV28" s="50"/>
      <c r="AW28" s="50">
        <f>+AO28+AQ28+AU28</f>
        <v>3</v>
      </c>
      <c r="AX28" s="54">
        <v>1</v>
      </c>
      <c r="AY28" s="50">
        <f t="shared" si="10"/>
        <v>8</v>
      </c>
      <c r="AZ28" s="55">
        <f t="shared" si="11"/>
        <v>0.88888888888888884</v>
      </c>
      <c r="BA28" s="50">
        <v>1</v>
      </c>
      <c r="BB28" s="50">
        <v>1</v>
      </c>
      <c r="BC28" s="50"/>
      <c r="BD28" s="50">
        <v>0</v>
      </c>
      <c r="BE28" s="50"/>
      <c r="BF28" s="50">
        <v>0</v>
      </c>
      <c r="BG28" s="50"/>
      <c r="BH28" s="50">
        <v>0</v>
      </c>
      <c r="BI28" s="50"/>
      <c r="BJ28" s="50">
        <f t="shared" si="12"/>
        <v>1</v>
      </c>
      <c r="BK28" s="57">
        <f t="shared" si="13"/>
        <v>1</v>
      </c>
      <c r="BL28" s="63">
        <f t="shared" si="14"/>
        <v>9</v>
      </c>
      <c r="BM28" s="57">
        <f t="shared" si="15"/>
        <v>1</v>
      </c>
      <c r="BN28" s="50"/>
      <c r="BO28" s="50"/>
      <c r="BP28" s="50"/>
      <c r="BQ28" s="50"/>
      <c r="BR28" s="50"/>
      <c r="BS28" s="50"/>
      <c r="BT28" s="50"/>
      <c r="BU28" s="50"/>
      <c r="BV28" s="50"/>
      <c r="BW28" s="50"/>
      <c r="BX28" s="50"/>
      <c r="BY28" s="50"/>
      <c r="BZ28" s="50"/>
      <c r="CA28" s="50"/>
      <c r="CB28" s="49"/>
      <c r="CC28" s="59"/>
      <c r="CD28" s="60"/>
      <c r="CE28" s="50"/>
      <c r="CF28" s="61"/>
      <c r="CG28" s="61"/>
      <c r="CH28" s="49"/>
      <c r="CI28" s="49"/>
      <c r="CJ28" s="49"/>
      <c r="CK28" s="49"/>
      <c r="CL28" s="49"/>
      <c r="CM28" s="49"/>
      <c r="CN28" s="49"/>
      <c r="CO28" s="50"/>
      <c r="CP28" s="50"/>
      <c r="CQ28" s="49"/>
      <c r="CR28" s="49"/>
      <c r="CS28" s="49"/>
      <c r="CT28" s="49"/>
      <c r="CU28" s="49"/>
      <c r="CV28" s="49"/>
      <c r="CW28" s="49"/>
      <c r="CX28" s="49"/>
    </row>
    <row r="29" spans="1:102" ht="62.25" customHeight="1" x14ac:dyDescent="0.2">
      <c r="A29" s="1811"/>
      <c r="B29" s="1807"/>
      <c r="C29" s="49"/>
      <c r="D29" s="50"/>
      <c r="E29" s="49"/>
      <c r="F29" s="49"/>
      <c r="G29" s="49"/>
      <c r="H29" s="49"/>
      <c r="I29" s="49"/>
      <c r="J29" s="49"/>
      <c r="K29" s="49"/>
      <c r="L29" s="49"/>
      <c r="M29" s="49"/>
      <c r="N29" s="49"/>
      <c r="O29" s="49"/>
      <c r="P29" s="49"/>
      <c r="Q29" s="49"/>
      <c r="R29" s="49"/>
      <c r="S29" s="49"/>
      <c r="T29" s="1807"/>
      <c r="U29" s="51" t="s">
        <v>218</v>
      </c>
      <c r="V29" s="51">
        <v>2</v>
      </c>
      <c r="W29" s="1428" t="s">
        <v>219</v>
      </c>
      <c r="X29" s="50">
        <v>6</v>
      </c>
      <c r="Y29" s="50">
        <v>2</v>
      </c>
      <c r="Z29" s="50">
        <v>1</v>
      </c>
      <c r="AA29" s="50">
        <v>1</v>
      </c>
      <c r="AB29" s="54">
        <f t="shared" si="5"/>
        <v>0.33333333333333331</v>
      </c>
      <c r="AC29" s="54">
        <f t="shared" si="6"/>
        <v>0.16666666666666666</v>
      </c>
      <c r="AD29" s="54">
        <f t="shared" si="7"/>
        <v>0.16666666666666666</v>
      </c>
      <c r="AE29" s="50">
        <v>0</v>
      </c>
      <c r="AF29" s="50">
        <v>0</v>
      </c>
      <c r="AG29" s="50"/>
      <c r="AH29" s="50">
        <v>4</v>
      </c>
      <c r="AI29" s="50"/>
      <c r="AJ29" s="50">
        <f t="shared" si="8"/>
        <v>4</v>
      </c>
      <c r="AK29" s="54">
        <v>1</v>
      </c>
      <c r="AL29" s="50">
        <v>2</v>
      </c>
      <c r="AM29" s="54">
        <f t="shared" si="9"/>
        <v>0.33333333333333331</v>
      </c>
      <c r="AN29" s="50">
        <v>1</v>
      </c>
      <c r="AO29" s="50">
        <v>0</v>
      </c>
      <c r="AP29" s="50"/>
      <c r="AQ29" s="50">
        <v>0</v>
      </c>
      <c r="AR29" s="50"/>
      <c r="AS29" s="50"/>
      <c r="AT29" s="50"/>
      <c r="AU29" s="50">
        <v>1</v>
      </c>
      <c r="AV29" s="50"/>
      <c r="AW29" s="50">
        <f>+AU29</f>
        <v>1</v>
      </c>
      <c r="AX29" s="54">
        <f>+AW29/AN29</f>
        <v>1</v>
      </c>
      <c r="AY29" s="90">
        <f t="shared" si="10"/>
        <v>3</v>
      </c>
      <c r="AZ29" s="55">
        <f t="shared" si="11"/>
        <v>0.5</v>
      </c>
      <c r="BA29" s="50">
        <v>1</v>
      </c>
      <c r="BB29" s="50">
        <v>0</v>
      </c>
      <c r="BC29" s="50"/>
      <c r="BD29" s="50">
        <v>0</v>
      </c>
      <c r="BE29" s="50"/>
      <c r="BF29" s="50">
        <v>0</v>
      </c>
      <c r="BG29" s="50"/>
      <c r="BH29" s="50">
        <v>1</v>
      </c>
      <c r="BI29" s="50"/>
      <c r="BJ29" s="50">
        <f>+BH29</f>
        <v>1</v>
      </c>
      <c r="BK29" s="57">
        <f t="shared" si="13"/>
        <v>1</v>
      </c>
      <c r="BL29" s="91">
        <f t="shared" si="14"/>
        <v>4</v>
      </c>
      <c r="BM29" s="57">
        <f t="shared" si="15"/>
        <v>0.66666666666666663</v>
      </c>
      <c r="BN29" s="50"/>
      <c r="BO29" s="50"/>
      <c r="BP29" s="50"/>
      <c r="BQ29" s="50"/>
      <c r="BR29" s="50"/>
      <c r="BS29" s="50"/>
      <c r="BT29" s="50"/>
      <c r="BU29" s="50"/>
      <c r="BV29" s="50"/>
      <c r="BW29" s="50"/>
      <c r="BX29" s="50"/>
      <c r="BY29" s="50"/>
      <c r="BZ29" s="50"/>
      <c r="CA29" s="50"/>
      <c r="CB29" s="49"/>
      <c r="CC29" s="59"/>
      <c r="CD29" s="60"/>
      <c r="CE29" s="50"/>
      <c r="CF29" s="61"/>
      <c r="CG29" s="61"/>
      <c r="CH29" s="49"/>
      <c r="CI29" s="49"/>
      <c r="CJ29" s="49"/>
      <c r="CK29" s="49"/>
      <c r="CL29" s="49"/>
      <c r="CM29" s="49"/>
      <c r="CN29" s="49"/>
      <c r="CO29" s="50"/>
      <c r="CP29" s="50"/>
      <c r="CQ29" s="49"/>
      <c r="CR29" s="49"/>
      <c r="CS29" s="49"/>
      <c r="CT29" s="49"/>
      <c r="CU29" s="49"/>
      <c r="CV29" s="49"/>
      <c r="CW29" s="49"/>
      <c r="CX29" s="49"/>
    </row>
    <row r="30" spans="1:102" ht="60" customHeight="1" x14ac:dyDescent="0.2">
      <c r="A30" s="1811"/>
      <c r="B30" s="1807"/>
      <c r="C30" s="49"/>
      <c r="D30" s="50"/>
      <c r="E30" s="49"/>
      <c r="F30" s="49"/>
      <c r="G30" s="49"/>
      <c r="H30" s="49"/>
      <c r="I30" s="49"/>
      <c r="J30" s="49"/>
      <c r="K30" s="49"/>
      <c r="L30" s="49"/>
      <c r="M30" s="49"/>
      <c r="N30" s="49"/>
      <c r="O30" s="49"/>
      <c r="P30" s="49"/>
      <c r="Q30" s="49"/>
      <c r="R30" s="49"/>
      <c r="S30" s="49"/>
      <c r="T30" s="1807"/>
      <c r="U30" s="51" t="s">
        <v>220</v>
      </c>
      <c r="V30" s="51">
        <v>5</v>
      </c>
      <c r="W30" s="1425" t="s">
        <v>221</v>
      </c>
      <c r="X30" s="50">
        <v>20</v>
      </c>
      <c r="Y30" s="50">
        <v>5</v>
      </c>
      <c r="Z30" s="50">
        <v>5</v>
      </c>
      <c r="AA30" s="50">
        <v>5</v>
      </c>
      <c r="AB30" s="54">
        <f t="shared" si="5"/>
        <v>0.25</v>
      </c>
      <c r="AC30" s="54">
        <f t="shared" si="6"/>
        <v>0.25</v>
      </c>
      <c r="AD30" s="54">
        <f t="shared" si="7"/>
        <v>0.25</v>
      </c>
      <c r="AE30" s="50">
        <v>4</v>
      </c>
      <c r="AF30" s="50">
        <v>4</v>
      </c>
      <c r="AG30" s="50"/>
      <c r="AH30" s="50">
        <v>4</v>
      </c>
      <c r="AI30" s="50"/>
      <c r="AJ30" s="50">
        <f t="shared" si="8"/>
        <v>4</v>
      </c>
      <c r="AK30" s="54">
        <f>+AJ30/Y30</f>
        <v>0.8</v>
      </c>
      <c r="AL30" s="50">
        <v>5</v>
      </c>
      <c r="AM30" s="54">
        <f t="shared" si="9"/>
        <v>0.25</v>
      </c>
      <c r="AN30" s="50">
        <v>5</v>
      </c>
      <c r="AO30" s="50">
        <v>0.5</v>
      </c>
      <c r="AP30" s="50"/>
      <c r="AQ30" s="67">
        <v>0.3</v>
      </c>
      <c r="AR30" s="50"/>
      <c r="AS30" s="50"/>
      <c r="AT30" s="50"/>
      <c r="AU30" s="50">
        <v>4.2</v>
      </c>
      <c r="AV30" s="50"/>
      <c r="AW30" s="92">
        <f>+AO30+AQ30+AU30</f>
        <v>5</v>
      </c>
      <c r="AX30" s="54">
        <v>1</v>
      </c>
      <c r="AY30" s="92">
        <f t="shared" si="10"/>
        <v>10</v>
      </c>
      <c r="AZ30" s="55">
        <f t="shared" si="11"/>
        <v>0.5</v>
      </c>
      <c r="BA30" s="50">
        <v>5</v>
      </c>
      <c r="BB30" s="50">
        <v>5</v>
      </c>
      <c r="BC30" s="50"/>
      <c r="BD30" s="50">
        <v>0</v>
      </c>
      <c r="BE30" s="50"/>
      <c r="BF30" s="50">
        <v>0</v>
      </c>
      <c r="BG30" s="50"/>
      <c r="BH30" s="50">
        <v>0</v>
      </c>
      <c r="BI30" s="50"/>
      <c r="BJ30" s="50">
        <f t="shared" si="12"/>
        <v>5</v>
      </c>
      <c r="BK30" s="57">
        <f t="shared" si="13"/>
        <v>1</v>
      </c>
      <c r="BL30" s="93">
        <f t="shared" si="14"/>
        <v>15</v>
      </c>
      <c r="BM30" s="57">
        <f t="shared" si="15"/>
        <v>0.75</v>
      </c>
      <c r="BN30" s="50"/>
      <c r="BO30" s="50"/>
      <c r="BP30" s="50"/>
      <c r="BQ30" s="50"/>
      <c r="BR30" s="50"/>
      <c r="BS30" s="50"/>
      <c r="BT30" s="50"/>
      <c r="BU30" s="50"/>
      <c r="BV30" s="50"/>
      <c r="BW30" s="50"/>
      <c r="BX30" s="50"/>
      <c r="BY30" s="50"/>
      <c r="BZ30" s="50"/>
      <c r="CA30" s="50"/>
      <c r="CB30" s="49"/>
      <c r="CC30" s="59"/>
      <c r="CD30" s="60"/>
      <c r="CE30" s="50"/>
      <c r="CF30" s="61"/>
      <c r="CG30" s="61"/>
      <c r="CH30" s="49"/>
      <c r="CI30" s="49"/>
      <c r="CJ30" s="49"/>
      <c r="CK30" s="49"/>
      <c r="CL30" s="49"/>
      <c r="CM30" s="49"/>
      <c r="CN30" s="49"/>
      <c r="CO30" s="50"/>
      <c r="CP30" s="50"/>
      <c r="CQ30" s="49"/>
      <c r="CR30" s="49"/>
      <c r="CS30" s="49"/>
      <c r="CT30" s="49"/>
      <c r="CU30" s="49"/>
      <c r="CV30" s="49"/>
      <c r="CW30" s="49"/>
      <c r="CX30" s="49"/>
    </row>
    <row r="31" spans="1:102" ht="40.5" customHeight="1" x14ac:dyDescent="0.2">
      <c r="A31" s="1811"/>
      <c r="B31" s="1807"/>
      <c r="C31" s="49"/>
      <c r="D31" s="50"/>
      <c r="E31" s="49"/>
      <c r="F31" s="49"/>
      <c r="G31" s="49"/>
      <c r="H31" s="49"/>
      <c r="I31" s="49"/>
      <c r="J31" s="49"/>
      <c r="K31" s="49"/>
      <c r="L31" s="49"/>
      <c r="M31" s="49"/>
      <c r="N31" s="49"/>
      <c r="O31" s="49"/>
      <c r="P31" s="49"/>
      <c r="Q31" s="49"/>
      <c r="R31" s="49"/>
      <c r="S31" s="49"/>
      <c r="T31" s="1807"/>
      <c r="U31" s="51" t="s">
        <v>222</v>
      </c>
      <c r="V31" s="51">
        <v>0</v>
      </c>
      <c r="W31" s="1425" t="s">
        <v>223</v>
      </c>
      <c r="X31" s="50">
        <v>5</v>
      </c>
      <c r="Y31" s="50">
        <v>1</v>
      </c>
      <c r="Z31" s="50">
        <v>1</v>
      </c>
      <c r="AA31" s="50">
        <v>2</v>
      </c>
      <c r="AB31" s="54">
        <f t="shared" si="5"/>
        <v>0.2</v>
      </c>
      <c r="AC31" s="54">
        <f t="shared" si="6"/>
        <v>0.2</v>
      </c>
      <c r="AD31" s="54">
        <v>0.2</v>
      </c>
      <c r="AE31" s="50">
        <v>1</v>
      </c>
      <c r="AF31" s="50">
        <v>1</v>
      </c>
      <c r="AG31" s="50"/>
      <c r="AH31" s="50">
        <v>1</v>
      </c>
      <c r="AI31" s="50"/>
      <c r="AJ31" s="50">
        <f t="shared" si="8"/>
        <v>1</v>
      </c>
      <c r="AK31" s="54">
        <f>+AJ31/Y31</f>
        <v>1</v>
      </c>
      <c r="AL31" s="50">
        <f>+AJ31</f>
        <v>1</v>
      </c>
      <c r="AM31" s="54">
        <f t="shared" si="9"/>
        <v>0.2</v>
      </c>
      <c r="AN31" s="50">
        <v>1</v>
      </c>
      <c r="AO31" s="50">
        <v>0</v>
      </c>
      <c r="AP31" s="50"/>
      <c r="AQ31" s="67">
        <v>0.7</v>
      </c>
      <c r="AR31" s="50"/>
      <c r="AS31" s="50"/>
      <c r="AT31" s="50"/>
      <c r="AU31" s="50">
        <v>0.3</v>
      </c>
      <c r="AV31" s="50"/>
      <c r="AW31" s="92">
        <f>+AO31+AQ31+AU31</f>
        <v>1</v>
      </c>
      <c r="AX31" s="54">
        <v>1</v>
      </c>
      <c r="AY31" s="92">
        <f t="shared" si="10"/>
        <v>2</v>
      </c>
      <c r="AZ31" s="55">
        <f t="shared" si="11"/>
        <v>0.4</v>
      </c>
      <c r="BA31" s="50">
        <v>2</v>
      </c>
      <c r="BB31" s="50">
        <v>3</v>
      </c>
      <c r="BC31" s="50"/>
      <c r="BD31" s="50">
        <v>0</v>
      </c>
      <c r="BE31" s="50"/>
      <c r="BF31" s="50">
        <v>0</v>
      </c>
      <c r="BG31" s="50"/>
      <c r="BH31" s="50">
        <v>0</v>
      </c>
      <c r="BI31" s="50"/>
      <c r="BJ31" s="50">
        <f t="shared" si="12"/>
        <v>3</v>
      </c>
      <c r="BK31" s="57">
        <v>1</v>
      </c>
      <c r="BL31" s="93">
        <f t="shared" si="14"/>
        <v>5</v>
      </c>
      <c r="BM31" s="57">
        <f t="shared" si="15"/>
        <v>1</v>
      </c>
      <c r="BN31" s="50"/>
      <c r="BO31" s="50"/>
      <c r="BP31" s="50"/>
      <c r="BQ31" s="50"/>
      <c r="BR31" s="50"/>
      <c r="BS31" s="50"/>
      <c r="BT31" s="50"/>
      <c r="BU31" s="50"/>
      <c r="BV31" s="50"/>
      <c r="BW31" s="50"/>
      <c r="BX31" s="50"/>
      <c r="BY31" s="50"/>
      <c r="BZ31" s="50"/>
      <c r="CA31" s="50"/>
      <c r="CB31" s="49"/>
      <c r="CC31" s="59"/>
      <c r="CD31" s="60"/>
      <c r="CE31" s="50"/>
      <c r="CF31" s="61"/>
      <c r="CG31" s="61"/>
      <c r="CH31" s="49"/>
      <c r="CI31" s="49"/>
      <c r="CJ31" s="49"/>
      <c r="CK31" s="49"/>
      <c r="CL31" s="49"/>
      <c r="CM31" s="49"/>
      <c r="CN31" s="49"/>
      <c r="CO31" s="50"/>
      <c r="CP31" s="50"/>
      <c r="CQ31" s="49"/>
      <c r="CR31" s="49"/>
      <c r="CS31" s="49"/>
      <c r="CT31" s="49"/>
      <c r="CU31" s="49"/>
      <c r="CV31" s="49"/>
      <c r="CW31" s="49"/>
      <c r="CX31" s="49"/>
    </row>
    <row r="32" spans="1:102" ht="39.75" customHeight="1" x14ac:dyDescent="0.2">
      <c r="A32" s="1811"/>
      <c r="B32" s="1807"/>
      <c r="C32" s="49"/>
      <c r="D32" s="50"/>
      <c r="E32" s="49"/>
      <c r="F32" s="49"/>
      <c r="G32" s="49"/>
      <c r="H32" s="49"/>
      <c r="I32" s="49"/>
      <c r="J32" s="49"/>
      <c r="K32" s="49"/>
      <c r="L32" s="49"/>
      <c r="M32" s="49"/>
      <c r="N32" s="49"/>
      <c r="O32" s="49"/>
      <c r="P32" s="49"/>
      <c r="Q32" s="49"/>
      <c r="R32" s="49"/>
      <c r="S32" s="49"/>
      <c r="T32" s="1807"/>
      <c r="U32" s="51" t="s">
        <v>224</v>
      </c>
      <c r="V32" s="51">
        <v>0</v>
      </c>
      <c r="W32" s="1425" t="s">
        <v>225</v>
      </c>
      <c r="X32" s="50">
        <v>4</v>
      </c>
      <c r="Y32" s="50">
        <v>1</v>
      </c>
      <c r="Z32" s="50">
        <v>1</v>
      </c>
      <c r="AA32" s="50">
        <v>1</v>
      </c>
      <c r="AB32" s="54">
        <f t="shared" si="5"/>
        <v>0.25</v>
      </c>
      <c r="AC32" s="54">
        <f t="shared" si="6"/>
        <v>0.25</v>
      </c>
      <c r="AD32" s="54">
        <f t="shared" si="7"/>
        <v>0.25</v>
      </c>
      <c r="AE32" s="50">
        <v>1</v>
      </c>
      <c r="AF32" s="50">
        <v>1</v>
      </c>
      <c r="AG32" s="50"/>
      <c r="AH32" s="50">
        <v>1</v>
      </c>
      <c r="AI32" s="50"/>
      <c r="AJ32" s="50">
        <f t="shared" si="8"/>
        <v>1</v>
      </c>
      <c r="AK32" s="54">
        <f>+AJ32/Y32</f>
        <v>1</v>
      </c>
      <c r="AL32" s="50">
        <f>+AJ32</f>
        <v>1</v>
      </c>
      <c r="AM32" s="54">
        <f t="shared" si="9"/>
        <v>0.25</v>
      </c>
      <c r="AN32" s="50">
        <v>1</v>
      </c>
      <c r="AO32" s="50">
        <v>0</v>
      </c>
      <c r="AP32" s="50"/>
      <c r="AQ32" s="67">
        <v>0.1</v>
      </c>
      <c r="AR32" s="67"/>
      <c r="AS32" s="67">
        <v>0.1</v>
      </c>
      <c r="AT32" s="50"/>
      <c r="AU32" s="50">
        <v>0.8</v>
      </c>
      <c r="AV32" s="50"/>
      <c r="AW32" s="54">
        <f>+AS32+AQ32+AU32</f>
        <v>1</v>
      </c>
      <c r="AX32" s="54">
        <f>+AW32/AN32</f>
        <v>1</v>
      </c>
      <c r="AY32" s="90">
        <f t="shared" si="10"/>
        <v>2</v>
      </c>
      <c r="AZ32" s="55">
        <f t="shared" si="11"/>
        <v>0.5</v>
      </c>
      <c r="BA32" s="50">
        <v>1</v>
      </c>
      <c r="BB32" s="50">
        <v>1</v>
      </c>
      <c r="BC32" s="50"/>
      <c r="BD32" s="50">
        <v>0</v>
      </c>
      <c r="BE32" s="50"/>
      <c r="BF32" s="50">
        <v>0</v>
      </c>
      <c r="BG32" s="50"/>
      <c r="BH32" s="50">
        <v>0</v>
      </c>
      <c r="BI32" s="50"/>
      <c r="BJ32" s="50">
        <f t="shared" si="12"/>
        <v>1</v>
      </c>
      <c r="BK32" s="57">
        <v>1</v>
      </c>
      <c r="BL32" s="91">
        <f t="shared" si="14"/>
        <v>3</v>
      </c>
      <c r="BM32" s="57">
        <f>+BL32/X32</f>
        <v>0.75</v>
      </c>
      <c r="BN32" s="50"/>
      <c r="BO32" s="50"/>
      <c r="BP32" s="50"/>
      <c r="BQ32" s="50"/>
      <c r="BR32" s="50"/>
      <c r="BS32" s="50"/>
      <c r="BT32" s="50"/>
      <c r="BU32" s="50"/>
      <c r="BV32" s="50"/>
      <c r="BW32" s="50"/>
      <c r="BX32" s="50"/>
      <c r="BY32" s="50"/>
      <c r="BZ32" s="50"/>
      <c r="CA32" s="50"/>
      <c r="CB32" s="49"/>
      <c r="CC32" s="59"/>
      <c r="CD32" s="60"/>
      <c r="CE32" s="50"/>
      <c r="CF32" s="61"/>
      <c r="CG32" s="61"/>
      <c r="CH32" s="49"/>
      <c r="CI32" s="49"/>
      <c r="CJ32" s="49"/>
      <c r="CK32" s="49"/>
      <c r="CL32" s="49"/>
      <c r="CM32" s="49"/>
      <c r="CN32" s="49"/>
      <c r="CO32" s="50"/>
      <c r="CP32" s="50"/>
      <c r="CQ32" s="49"/>
      <c r="CR32" s="49"/>
      <c r="CS32" s="49"/>
      <c r="CT32" s="49"/>
      <c r="CU32" s="49"/>
      <c r="CV32" s="49"/>
      <c r="CW32" s="49"/>
      <c r="CX32" s="49"/>
    </row>
    <row r="33" spans="1:102" ht="34.5" customHeight="1" x14ac:dyDescent="0.2">
      <c r="A33" s="1811"/>
      <c r="B33" s="1807"/>
      <c r="C33" s="49"/>
      <c r="D33" s="50"/>
      <c r="E33" s="49"/>
      <c r="F33" s="49"/>
      <c r="G33" s="49"/>
      <c r="H33" s="49"/>
      <c r="I33" s="49"/>
      <c r="J33" s="49"/>
      <c r="K33" s="49"/>
      <c r="L33" s="49"/>
      <c r="M33" s="49"/>
      <c r="N33" s="49"/>
      <c r="O33" s="49"/>
      <c r="P33" s="49"/>
      <c r="Q33" s="49"/>
      <c r="R33" s="49"/>
      <c r="S33" s="49"/>
      <c r="T33" s="1807"/>
      <c r="U33" s="51" t="s">
        <v>226</v>
      </c>
      <c r="V33" s="51">
        <v>1</v>
      </c>
      <c r="W33" s="1425" t="s">
        <v>227</v>
      </c>
      <c r="X33" s="50">
        <v>4</v>
      </c>
      <c r="Y33" s="50">
        <v>1</v>
      </c>
      <c r="Z33" s="50">
        <v>1</v>
      </c>
      <c r="AA33" s="50">
        <v>2</v>
      </c>
      <c r="AB33" s="54">
        <f t="shared" si="5"/>
        <v>0.25</v>
      </c>
      <c r="AC33" s="54">
        <f t="shared" si="6"/>
        <v>0.25</v>
      </c>
      <c r="AD33" s="54"/>
      <c r="AE33" s="50">
        <v>1</v>
      </c>
      <c r="AF33" s="50">
        <v>1</v>
      </c>
      <c r="AG33" s="50"/>
      <c r="AH33" s="50">
        <v>1</v>
      </c>
      <c r="AI33" s="50"/>
      <c r="AJ33" s="50">
        <f t="shared" si="8"/>
        <v>1</v>
      </c>
      <c r="AK33" s="54">
        <f>+AJ33/Y33</f>
        <v>1</v>
      </c>
      <c r="AL33" s="50">
        <f>+AJ33</f>
        <v>1</v>
      </c>
      <c r="AM33" s="54">
        <f t="shared" si="9"/>
        <v>0.25</v>
      </c>
      <c r="AN33" s="50">
        <v>1</v>
      </c>
      <c r="AO33" s="50">
        <v>0.13</v>
      </c>
      <c r="AP33" s="50"/>
      <c r="AQ33" s="88">
        <v>0.67</v>
      </c>
      <c r="AR33" s="50"/>
      <c r="AS33" s="50">
        <v>0.04</v>
      </c>
      <c r="AT33" s="50"/>
      <c r="AU33" s="50">
        <v>0.16</v>
      </c>
      <c r="AV33" s="50"/>
      <c r="AW33" s="67">
        <f>+AS33+AQ33+AO33+AU33</f>
        <v>1</v>
      </c>
      <c r="AX33" s="54">
        <f>+AW33/AN33</f>
        <v>1</v>
      </c>
      <c r="AY33" s="90">
        <f t="shared" si="10"/>
        <v>2</v>
      </c>
      <c r="AZ33" s="55">
        <v>0.5</v>
      </c>
      <c r="BA33" s="50">
        <v>2</v>
      </c>
      <c r="BB33" s="50">
        <v>1</v>
      </c>
      <c r="BC33" s="50"/>
      <c r="BD33" s="50">
        <v>0</v>
      </c>
      <c r="BE33" s="50"/>
      <c r="BF33" s="50">
        <v>0</v>
      </c>
      <c r="BG33" s="50"/>
      <c r="BH33" s="50">
        <v>1</v>
      </c>
      <c r="BI33" s="50"/>
      <c r="BJ33" s="50">
        <f>+BB33+BH33</f>
        <v>2</v>
      </c>
      <c r="BK33" s="57">
        <f t="shared" si="13"/>
        <v>1</v>
      </c>
      <c r="BL33" s="91">
        <f t="shared" si="14"/>
        <v>4</v>
      </c>
      <c r="BM33" s="57">
        <f t="shared" si="15"/>
        <v>1</v>
      </c>
      <c r="BN33" s="50"/>
      <c r="BO33" s="50"/>
      <c r="BP33" s="50"/>
      <c r="BQ33" s="50"/>
      <c r="BR33" s="50"/>
      <c r="BS33" s="50"/>
      <c r="BT33" s="50"/>
      <c r="BU33" s="50"/>
      <c r="BV33" s="50"/>
      <c r="BW33" s="50"/>
      <c r="BX33" s="50"/>
      <c r="BY33" s="50"/>
      <c r="BZ33" s="50"/>
      <c r="CA33" s="50"/>
      <c r="CB33" s="49"/>
      <c r="CC33" s="59"/>
      <c r="CD33" s="60"/>
      <c r="CE33" s="50"/>
      <c r="CF33" s="61"/>
      <c r="CG33" s="61"/>
      <c r="CH33" s="49"/>
      <c r="CI33" s="49"/>
      <c r="CJ33" s="49"/>
      <c r="CK33" s="49"/>
      <c r="CL33" s="49"/>
      <c r="CM33" s="49"/>
      <c r="CN33" s="49"/>
      <c r="CO33" s="50"/>
      <c r="CP33" s="50"/>
      <c r="CQ33" s="49"/>
      <c r="CR33" s="49"/>
      <c r="CS33" s="49"/>
      <c r="CT33" s="49"/>
      <c r="CU33" s="49"/>
      <c r="CV33" s="49"/>
      <c r="CW33" s="49"/>
      <c r="CX33" s="49"/>
    </row>
    <row r="34" spans="1:102" ht="39.75" customHeight="1" x14ac:dyDescent="0.2">
      <c r="A34" s="1811"/>
      <c r="B34" s="1807"/>
      <c r="C34" s="62"/>
      <c r="D34" s="63"/>
      <c r="E34" s="62"/>
      <c r="F34" s="62"/>
      <c r="G34" s="62"/>
      <c r="H34" s="62"/>
      <c r="I34" s="62"/>
      <c r="J34" s="62"/>
      <c r="K34" s="62"/>
      <c r="L34" s="62"/>
      <c r="M34" s="62"/>
      <c r="N34" s="62"/>
      <c r="O34" s="62"/>
      <c r="P34" s="62"/>
      <c r="Q34" s="62"/>
      <c r="R34" s="62"/>
      <c r="S34" s="62"/>
      <c r="T34" s="1807"/>
      <c r="U34" s="51" t="s">
        <v>228</v>
      </c>
      <c r="V34" s="51">
        <v>2</v>
      </c>
      <c r="W34" s="1425" t="s">
        <v>229</v>
      </c>
      <c r="X34" s="63">
        <v>4</v>
      </c>
      <c r="Y34" s="63">
        <v>1</v>
      </c>
      <c r="Z34" s="63">
        <v>3</v>
      </c>
      <c r="AA34" s="63">
        <v>2</v>
      </c>
      <c r="AB34" s="65">
        <f t="shared" si="5"/>
        <v>0.25</v>
      </c>
      <c r="AC34" s="54">
        <f t="shared" si="6"/>
        <v>0.75</v>
      </c>
      <c r="AD34" s="54">
        <v>0.25</v>
      </c>
      <c r="AE34" s="63">
        <v>1</v>
      </c>
      <c r="AF34" s="63">
        <v>1</v>
      </c>
      <c r="AG34" s="63"/>
      <c r="AH34" s="63">
        <v>1</v>
      </c>
      <c r="AI34" s="63"/>
      <c r="AJ34" s="50">
        <f t="shared" si="8"/>
        <v>1</v>
      </c>
      <c r="AK34" s="65">
        <v>1</v>
      </c>
      <c r="AL34" s="63">
        <f>+AJ34</f>
        <v>1</v>
      </c>
      <c r="AM34" s="65">
        <f t="shared" si="9"/>
        <v>0.25</v>
      </c>
      <c r="AN34" s="63">
        <v>1</v>
      </c>
      <c r="AO34" s="63">
        <v>0.25</v>
      </c>
      <c r="AP34" s="63"/>
      <c r="AQ34" s="89">
        <v>0.55000000000000004</v>
      </c>
      <c r="AR34" s="63"/>
      <c r="AS34" s="63">
        <v>0.03</v>
      </c>
      <c r="AT34" s="63"/>
      <c r="AU34" s="63">
        <v>0.17</v>
      </c>
      <c r="AV34" s="63"/>
      <c r="AW34" s="54">
        <f>+AO34+AQ34+AS34+AU34</f>
        <v>1</v>
      </c>
      <c r="AX34" s="54">
        <f>+AW34/AN34</f>
        <v>1</v>
      </c>
      <c r="AY34" s="90">
        <f t="shared" si="10"/>
        <v>2</v>
      </c>
      <c r="AZ34" s="55">
        <f>+AY34/X34</f>
        <v>0.5</v>
      </c>
      <c r="BA34" s="50">
        <v>2</v>
      </c>
      <c r="BB34" s="50">
        <v>1</v>
      </c>
      <c r="BC34" s="50"/>
      <c r="BD34" s="50">
        <v>0</v>
      </c>
      <c r="BE34" s="50"/>
      <c r="BF34" s="50">
        <v>0</v>
      </c>
      <c r="BG34" s="50"/>
      <c r="BH34" s="50">
        <v>1</v>
      </c>
      <c r="BI34" s="50"/>
      <c r="BJ34" s="50">
        <f>+BB34+BH34</f>
        <v>2</v>
      </c>
      <c r="BK34" s="57">
        <f t="shared" si="13"/>
        <v>1</v>
      </c>
      <c r="BL34" s="91">
        <f t="shared" si="14"/>
        <v>4</v>
      </c>
      <c r="BM34" s="57">
        <f t="shared" si="15"/>
        <v>1</v>
      </c>
      <c r="BN34" s="63"/>
      <c r="BO34" s="63"/>
      <c r="BP34" s="63"/>
      <c r="BQ34" s="63"/>
      <c r="BR34" s="63"/>
      <c r="BS34" s="63"/>
      <c r="BT34" s="63"/>
      <c r="BU34" s="63"/>
      <c r="BV34" s="63"/>
      <c r="BW34" s="63"/>
      <c r="BX34" s="63"/>
      <c r="BY34" s="63"/>
      <c r="BZ34" s="63"/>
      <c r="CA34" s="63"/>
      <c r="CB34" s="62"/>
      <c r="CC34" s="68"/>
      <c r="CD34" s="69"/>
      <c r="CE34" s="63"/>
      <c r="CF34" s="70"/>
      <c r="CG34" s="70"/>
      <c r="CH34" s="62"/>
      <c r="CI34" s="62"/>
      <c r="CJ34" s="62"/>
      <c r="CK34" s="62"/>
      <c r="CL34" s="62"/>
      <c r="CM34" s="62"/>
      <c r="CN34" s="62"/>
      <c r="CO34" s="63"/>
      <c r="CP34" s="63"/>
      <c r="CQ34" s="62"/>
      <c r="CR34" s="62"/>
      <c r="CS34" s="62"/>
      <c r="CT34" s="62"/>
      <c r="CU34" s="62"/>
      <c r="CV34" s="62"/>
      <c r="CW34" s="62"/>
      <c r="CX34" s="62"/>
    </row>
    <row r="35" spans="1:102" ht="38.25" customHeight="1" x14ac:dyDescent="0.2">
      <c r="A35" s="1811"/>
      <c r="B35" s="1807"/>
      <c r="C35" s="49"/>
      <c r="D35" s="50"/>
      <c r="E35" s="49"/>
      <c r="F35" s="49"/>
      <c r="G35" s="49"/>
      <c r="H35" s="49"/>
      <c r="I35" s="49"/>
      <c r="J35" s="49"/>
      <c r="K35" s="49"/>
      <c r="L35" s="49"/>
      <c r="M35" s="49"/>
      <c r="N35" s="49"/>
      <c r="O35" s="49"/>
      <c r="P35" s="49"/>
      <c r="Q35" s="49"/>
      <c r="R35" s="49"/>
      <c r="S35" s="49"/>
      <c r="T35" s="1807"/>
      <c r="U35" s="51" t="s">
        <v>230</v>
      </c>
      <c r="V35" s="51">
        <v>0</v>
      </c>
      <c r="W35" s="1425" t="s">
        <v>231</v>
      </c>
      <c r="X35" s="50">
        <v>1</v>
      </c>
      <c r="Y35" s="50" t="s">
        <v>177</v>
      </c>
      <c r="Z35" s="50"/>
      <c r="AA35" s="50">
        <v>1</v>
      </c>
      <c r="AB35" s="50"/>
      <c r="AC35" s="50"/>
      <c r="AD35" s="54">
        <f t="shared" si="7"/>
        <v>1</v>
      </c>
      <c r="AE35" s="50"/>
      <c r="AF35" s="50"/>
      <c r="AG35" s="50"/>
      <c r="AH35" s="50"/>
      <c r="AI35" s="50"/>
      <c r="AJ35" s="50"/>
      <c r="AK35" s="54"/>
      <c r="AL35" s="50"/>
      <c r="AM35" s="54"/>
      <c r="AN35" s="50"/>
      <c r="AO35" s="50"/>
      <c r="AP35" s="50"/>
      <c r="AQ35" s="50"/>
      <c r="AR35" s="50"/>
      <c r="AS35" s="50"/>
      <c r="AT35" s="50"/>
      <c r="AU35" s="50"/>
      <c r="AV35" s="50"/>
      <c r="AW35" s="50"/>
      <c r="AX35" s="54"/>
      <c r="AY35" s="50"/>
      <c r="AZ35" s="50"/>
      <c r="BA35" s="50">
        <v>1</v>
      </c>
      <c r="BB35" s="50">
        <v>0</v>
      </c>
      <c r="BC35" s="50"/>
      <c r="BD35" s="50"/>
      <c r="BE35" s="50"/>
      <c r="BF35" s="50">
        <v>0.52</v>
      </c>
      <c r="BG35" s="50"/>
      <c r="BH35" s="50">
        <v>0.48</v>
      </c>
      <c r="BI35" s="50"/>
      <c r="BJ35" s="50">
        <f>+BF35+BH35</f>
        <v>1</v>
      </c>
      <c r="BK35" s="57">
        <f t="shared" si="13"/>
        <v>1</v>
      </c>
      <c r="BL35" s="63">
        <f t="shared" si="14"/>
        <v>1</v>
      </c>
      <c r="BM35" s="57">
        <f>+BL35</f>
        <v>1</v>
      </c>
      <c r="BN35" s="50"/>
      <c r="BO35" s="50"/>
      <c r="BP35" s="50"/>
      <c r="BQ35" s="50"/>
      <c r="BR35" s="50"/>
      <c r="BS35" s="50"/>
      <c r="BT35" s="50"/>
      <c r="BU35" s="50"/>
      <c r="BV35" s="50"/>
      <c r="BW35" s="50"/>
      <c r="BX35" s="50"/>
      <c r="BY35" s="50"/>
      <c r="BZ35" s="50"/>
      <c r="CA35" s="50"/>
      <c r="CB35" s="49"/>
      <c r="CC35" s="59"/>
      <c r="CD35" s="60"/>
      <c r="CE35" s="50"/>
      <c r="CF35" s="61"/>
      <c r="CG35" s="61"/>
      <c r="CH35" s="49"/>
      <c r="CI35" s="49"/>
      <c r="CJ35" s="49"/>
      <c r="CK35" s="49"/>
      <c r="CL35" s="49"/>
      <c r="CM35" s="49"/>
      <c r="CN35" s="49"/>
      <c r="CO35" s="50"/>
      <c r="CP35" s="50"/>
      <c r="CQ35" s="49"/>
      <c r="CR35" s="49"/>
      <c r="CS35" s="49"/>
      <c r="CT35" s="49"/>
      <c r="CU35" s="49"/>
      <c r="CV35" s="49"/>
      <c r="CW35" s="49"/>
      <c r="CX35" s="49"/>
    </row>
    <row r="36" spans="1:102" ht="24" customHeight="1" x14ac:dyDescent="0.2">
      <c r="A36" s="1811"/>
      <c r="B36" s="1807"/>
      <c r="C36" s="49"/>
      <c r="D36" s="50"/>
      <c r="E36" s="49"/>
      <c r="F36" s="49"/>
      <c r="G36" s="49"/>
      <c r="H36" s="49"/>
      <c r="I36" s="49"/>
      <c r="J36" s="49"/>
      <c r="K36" s="49"/>
      <c r="L36" s="49"/>
      <c r="M36" s="49"/>
      <c r="N36" s="49"/>
      <c r="O36" s="49"/>
      <c r="P36" s="49"/>
      <c r="Q36" s="49"/>
      <c r="R36" s="49"/>
      <c r="S36" s="49"/>
      <c r="T36" s="1808"/>
      <c r="U36" s="85"/>
      <c r="V36" s="85"/>
      <c r="W36" s="1427"/>
      <c r="X36" s="72"/>
      <c r="Y36" s="72"/>
      <c r="Z36" s="72"/>
      <c r="AA36" s="72"/>
      <c r="AB36" s="86">
        <f>AVERAGE(AB25:AB35)</f>
        <v>0.25738888888888889</v>
      </c>
      <c r="AC36" s="86">
        <f>AVERAGE(AC25:AC35)</f>
        <v>0.28605555555555556</v>
      </c>
      <c r="AD36" s="86">
        <f>AVERAGE(AD25:AD35)</f>
        <v>0.32648148148148148</v>
      </c>
      <c r="AE36" s="72"/>
      <c r="AF36" s="72"/>
      <c r="AG36" s="72"/>
      <c r="AH36" s="72"/>
      <c r="AI36" s="72"/>
      <c r="AJ36" s="72"/>
      <c r="AK36" s="86">
        <f>AVERAGE(AK25:AK35)</f>
        <v>0.98000000000000009</v>
      </c>
      <c r="AL36" s="74"/>
      <c r="AM36" s="73">
        <f>AVERAGE(AM25:AM35)</f>
        <v>0.25905555555555554</v>
      </c>
      <c r="AN36" s="72"/>
      <c r="AO36" s="72"/>
      <c r="AP36" s="72"/>
      <c r="AQ36" s="72"/>
      <c r="AR36" s="72"/>
      <c r="AS36" s="72"/>
      <c r="AT36" s="72"/>
      <c r="AU36" s="72"/>
      <c r="AV36" s="72"/>
      <c r="AW36" s="72"/>
      <c r="AX36" s="86">
        <f>AVERAGE(AX25:AX35)</f>
        <v>1</v>
      </c>
      <c r="AY36" s="94"/>
      <c r="AZ36" s="86">
        <f>AVERAGE(AZ25:AZ35)</f>
        <v>0.51163888888888887</v>
      </c>
      <c r="BA36" s="72"/>
      <c r="BB36" s="72"/>
      <c r="BC36" s="50"/>
      <c r="BD36" s="50"/>
      <c r="BE36" s="50"/>
      <c r="BF36" s="50"/>
      <c r="BG36" s="50"/>
      <c r="BH36" s="50"/>
      <c r="BI36" s="50"/>
      <c r="BJ36" s="50"/>
      <c r="BK36" s="86">
        <f>AVERAGE(BK25:BK35)</f>
        <v>1</v>
      </c>
      <c r="BL36" s="50"/>
      <c r="BM36" s="86">
        <f>AVERAGE(BM25:BM35)</f>
        <v>0.85143939393939394</v>
      </c>
      <c r="BN36" s="50"/>
      <c r="BO36" s="50"/>
      <c r="BP36" s="50"/>
      <c r="BQ36" s="50"/>
      <c r="BR36" s="50"/>
      <c r="BS36" s="50"/>
      <c r="BT36" s="50"/>
      <c r="BU36" s="50"/>
      <c r="BV36" s="50"/>
      <c r="BW36" s="50"/>
      <c r="BX36" s="50"/>
      <c r="BY36" s="50"/>
      <c r="BZ36" s="50"/>
      <c r="CA36" s="50"/>
      <c r="CB36" s="49"/>
      <c r="CC36" s="59"/>
      <c r="CD36" s="60"/>
      <c r="CE36" s="50"/>
      <c r="CF36" s="61"/>
      <c r="CG36" s="61"/>
      <c r="CH36" s="49"/>
      <c r="CI36" s="49"/>
      <c r="CJ36" s="49"/>
      <c r="CK36" s="49"/>
      <c r="CL36" s="49"/>
      <c r="CM36" s="49"/>
      <c r="CN36" s="49"/>
      <c r="CO36" s="50"/>
      <c r="CP36" s="50"/>
      <c r="CQ36" s="49"/>
      <c r="CR36" s="49"/>
      <c r="CS36" s="49"/>
      <c r="CT36" s="49"/>
      <c r="CU36" s="49"/>
      <c r="CV36" s="49"/>
      <c r="CW36" s="49"/>
      <c r="CX36" s="49"/>
    </row>
    <row r="37" spans="1:102" ht="44.25" customHeight="1" x14ac:dyDescent="0.2">
      <c r="A37" s="1811"/>
      <c r="B37" s="1807"/>
      <c r="C37" s="49"/>
      <c r="D37" s="50"/>
      <c r="E37" s="49"/>
      <c r="F37" s="49"/>
      <c r="G37" s="49"/>
      <c r="H37" s="49"/>
      <c r="I37" s="49"/>
      <c r="J37" s="49"/>
      <c r="K37" s="49"/>
      <c r="L37" s="49"/>
      <c r="M37" s="49"/>
      <c r="N37" s="49"/>
      <c r="O37" s="49"/>
      <c r="P37" s="49"/>
      <c r="Q37" s="49"/>
      <c r="R37" s="49"/>
      <c r="S37" s="49"/>
      <c r="T37" s="1809" t="s">
        <v>232</v>
      </c>
      <c r="U37" s="51" t="s">
        <v>233</v>
      </c>
      <c r="V37" s="51">
        <v>2</v>
      </c>
      <c r="W37" s="1425" t="s">
        <v>2229</v>
      </c>
      <c r="X37" s="50">
        <v>4</v>
      </c>
      <c r="Y37" s="50">
        <v>1</v>
      </c>
      <c r="Z37" s="50">
        <v>1</v>
      </c>
      <c r="AA37" s="50">
        <v>1</v>
      </c>
      <c r="AB37" s="54">
        <v>0.33</v>
      </c>
      <c r="AC37" s="54">
        <v>0.33</v>
      </c>
      <c r="AD37" s="54">
        <f>+AA37/X37</f>
        <v>0.25</v>
      </c>
      <c r="AE37" s="54">
        <v>0.3</v>
      </c>
      <c r="AF37" s="54">
        <v>0.3</v>
      </c>
      <c r="AG37" s="54"/>
      <c r="AH37" s="54">
        <v>0.6</v>
      </c>
      <c r="AI37" s="54"/>
      <c r="AJ37" s="54">
        <f>+AH37</f>
        <v>0.6</v>
      </c>
      <c r="AK37" s="54">
        <f>+AJ37/Y37</f>
        <v>0.6</v>
      </c>
      <c r="AL37" s="95">
        <v>0.6</v>
      </c>
      <c r="AM37" s="54">
        <f>+AL37/X37</f>
        <v>0.15</v>
      </c>
      <c r="AN37" s="50">
        <v>1</v>
      </c>
      <c r="AO37" s="50">
        <f>+AN37*0.4</f>
        <v>0.4</v>
      </c>
      <c r="AP37" s="50"/>
      <c r="AQ37" s="50">
        <v>0.08</v>
      </c>
      <c r="AR37" s="50"/>
      <c r="AS37" s="50">
        <v>7.0000000000000007E-2</v>
      </c>
      <c r="AT37" s="50"/>
      <c r="AU37" s="50">
        <v>0.4</v>
      </c>
      <c r="AV37" s="50"/>
      <c r="AW37" s="54">
        <f>+AO37+AQ37+AS37+AU37</f>
        <v>0.95000000000000007</v>
      </c>
      <c r="AX37" s="54">
        <f>+AW37/AN37</f>
        <v>0.95000000000000007</v>
      </c>
      <c r="AY37" s="90">
        <f>+AW37+AL37</f>
        <v>1.55</v>
      </c>
      <c r="AZ37" s="55">
        <f>+AY37/X37</f>
        <v>0.38750000000000001</v>
      </c>
      <c r="BA37" s="50">
        <v>1</v>
      </c>
      <c r="BB37" s="50">
        <v>0.34</v>
      </c>
      <c r="BC37" s="50"/>
      <c r="BD37" s="50">
        <v>0.34</v>
      </c>
      <c r="BE37" s="50"/>
      <c r="BF37" s="50">
        <v>0.1</v>
      </c>
      <c r="BG37" s="50"/>
      <c r="BH37" s="50">
        <v>0.17</v>
      </c>
      <c r="BI37" s="50"/>
      <c r="BJ37" s="50">
        <f>+BB37+BD37+BF37+BH37</f>
        <v>0.95000000000000007</v>
      </c>
      <c r="BK37" s="57">
        <f>+BJ37/BA37</f>
        <v>0.95000000000000007</v>
      </c>
      <c r="BL37" s="91">
        <f>+BJ37+AY37</f>
        <v>2.5</v>
      </c>
      <c r="BM37" s="57">
        <f>+BL37/X37</f>
        <v>0.625</v>
      </c>
      <c r="BN37" s="50"/>
      <c r="BO37" s="50"/>
      <c r="BP37" s="50"/>
      <c r="BQ37" s="50"/>
      <c r="BR37" s="50"/>
      <c r="BS37" s="50"/>
      <c r="BT37" s="50"/>
      <c r="BU37" s="50"/>
      <c r="BV37" s="50"/>
      <c r="BW37" s="50"/>
      <c r="BX37" s="50"/>
      <c r="BY37" s="50"/>
      <c r="BZ37" s="50"/>
      <c r="CA37" s="50"/>
      <c r="CB37" s="49"/>
      <c r="CC37" s="59"/>
      <c r="CD37" s="60"/>
      <c r="CE37" s="50"/>
      <c r="CF37" s="61"/>
      <c r="CG37" s="61"/>
      <c r="CH37" s="49"/>
      <c r="CI37" s="49"/>
      <c r="CJ37" s="49"/>
      <c r="CK37" s="49"/>
      <c r="CL37" s="49"/>
      <c r="CM37" s="49"/>
      <c r="CN37" s="49"/>
      <c r="CO37" s="50"/>
      <c r="CP37" s="50"/>
      <c r="CQ37" s="49"/>
      <c r="CR37" s="49"/>
      <c r="CS37" s="49"/>
      <c r="CT37" s="49"/>
      <c r="CU37" s="49"/>
      <c r="CV37" s="49"/>
      <c r="CW37" s="49"/>
      <c r="CX37" s="49"/>
    </row>
    <row r="38" spans="1:102" ht="59.25" customHeight="1" x14ac:dyDescent="0.2">
      <c r="A38" s="1811"/>
      <c r="B38" s="1807"/>
      <c r="C38" s="49"/>
      <c r="D38" s="50"/>
      <c r="E38" s="49"/>
      <c r="F38" s="49"/>
      <c r="G38" s="49"/>
      <c r="H38" s="49"/>
      <c r="I38" s="49"/>
      <c r="J38" s="49"/>
      <c r="K38" s="49"/>
      <c r="L38" s="49"/>
      <c r="M38" s="49"/>
      <c r="N38" s="49"/>
      <c r="O38" s="49"/>
      <c r="P38" s="49"/>
      <c r="Q38" s="49"/>
      <c r="R38" s="49"/>
      <c r="S38" s="49"/>
      <c r="T38" s="1807"/>
      <c r="U38" s="51" t="s">
        <v>234</v>
      </c>
      <c r="V38" s="51">
        <v>1</v>
      </c>
      <c r="W38" s="1425" t="s">
        <v>235</v>
      </c>
      <c r="X38" s="50">
        <v>4</v>
      </c>
      <c r="Y38" s="50">
        <v>1</v>
      </c>
      <c r="Z38" s="50">
        <v>1</v>
      </c>
      <c r="AA38" s="50">
        <v>1</v>
      </c>
      <c r="AB38" s="54">
        <f>+Y38/X38</f>
        <v>0.25</v>
      </c>
      <c r="AC38" s="54">
        <f>+Z38/X38</f>
        <v>0.25</v>
      </c>
      <c r="AD38" s="54">
        <f>+AA38/X38</f>
        <v>0.25</v>
      </c>
      <c r="AE38" s="50">
        <v>0</v>
      </c>
      <c r="AF38" s="50">
        <v>0</v>
      </c>
      <c r="AG38" s="50"/>
      <c r="AH38" s="50">
        <v>0</v>
      </c>
      <c r="AI38" s="50"/>
      <c r="AJ38" s="54">
        <f>+AH38</f>
        <v>0</v>
      </c>
      <c r="AK38" s="54">
        <f>+AJ38/Y38</f>
        <v>0</v>
      </c>
      <c r="AL38" s="96">
        <f>+AJ38</f>
        <v>0</v>
      </c>
      <c r="AM38" s="54">
        <f>+AL38/X38</f>
        <v>0</v>
      </c>
      <c r="AN38" s="50">
        <v>1</v>
      </c>
      <c r="AO38" s="50">
        <f>+AN38*0.14</f>
        <v>0.14000000000000001</v>
      </c>
      <c r="AP38" s="50"/>
      <c r="AQ38" s="50">
        <v>0.08</v>
      </c>
      <c r="AR38" s="50"/>
      <c r="AS38" s="50">
        <v>0.28000000000000003</v>
      </c>
      <c r="AT38" s="50"/>
      <c r="AU38" s="50">
        <v>0.25</v>
      </c>
      <c r="AV38" s="50"/>
      <c r="AW38" s="54">
        <f>+AO38+AQ38+AS38+AU38</f>
        <v>0.75</v>
      </c>
      <c r="AX38" s="54">
        <f>+AW38/AN38</f>
        <v>0.75</v>
      </c>
      <c r="AY38" s="90">
        <f>+AW38+AL38</f>
        <v>0.75</v>
      </c>
      <c r="AZ38" s="55">
        <f>+AY38/X38</f>
        <v>0.1875</v>
      </c>
      <c r="BA38" s="50">
        <v>1</v>
      </c>
      <c r="BB38" s="50">
        <v>0.08</v>
      </c>
      <c r="BC38" s="50"/>
      <c r="BD38" s="50">
        <v>7.0000000000000007E-2</v>
      </c>
      <c r="BE38" s="50"/>
      <c r="BF38" s="50">
        <v>0.04</v>
      </c>
      <c r="BG38" s="50"/>
      <c r="BH38" s="50">
        <v>0.3</v>
      </c>
      <c r="BI38" s="50"/>
      <c r="BJ38" s="50">
        <f>+BB38+BD38+BF38+BH38</f>
        <v>0.49</v>
      </c>
      <c r="BK38" s="57">
        <f>+BJ38/BA38</f>
        <v>0.49</v>
      </c>
      <c r="BL38" s="91">
        <f>+BJ38+AY38</f>
        <v>1.24</v>
      </c>
      <c r="BM38" s="57">
        <f>+BL38/X38</f>
        <v>0.31</v>
      </c>
      <c r="BN38" s="50"/>
      <c r="BO38" s="50"/>
      <c r="BP38" s="50"/>
      <c r="BQ38" s="50"/>
      <c r="BR38" s="50"/>
      <c r="BS38" s="50"/>
      <c r="BT38" s="50"/>
      <c r="BU38" s="50"/>
      <c r="BV38" s="50"/>
      <c r="BW38" s="50"/>
      <c r="BX38" s="50"/>
      <c r="BY38" s="50"/>
      <c r="BZ38" s="50"/>
      <c r="CA38" s="50"/>
      <c r="CB38" s="49"/>
      <c r="CC38" s="59"/>
      <c r="CD38" s="60"/>
      <c r="CE38" s="50"/>
      <c r="CF38" s="61"/>
      <c r="CG38" s="61"/>
      <c r="CH38" s="49"/>
      <c r="CI38" s="49"/>
      <c r="CJ38" s="49"/>
      <c r="CK38" s="49"/>
      <c r="CL38" s="49"/>
      <c r="CM38" s="49"/>
      <c r="CN38" s="49"/>
      <c r="CO38" s="50"/>
      <c r="CP38" s="50"/>
      <c r="CQ38" s="49"/>
      <c r="CR38" s="49"/>
      <c r="CS38" s="49"/>
      <c r="CT38" s="49"/>
      <c r="CU38" s="49"/>
      <c r="CV38" s="49"/>
      <c r="CW38" s="49"/>
      <c r="CX38" s="49"/>
    </row>
    <row r="39" spans="1:102" ht="51" customHeight="1" x14ac:dyDescent="0.2">
      <c r="A39" s="1811"/>
      <c r="B39" s="1807"/>
      <c r="C39" s="49"/>
      <c r="D39" s="50"/>
      <c r="E39" s="49"/>
      <c r="F39" s="49"/>
      <c r="G39" s="49"/>
      <c r="H39" s="49"/>
      <c r="I39" s="49"/>
      <c r="J39" s="49"/>
      <c r="K39" s="49"/>
      <c r="L39" s="49"/>
      <c r="M39" s="49"/>
      <c r="N39" s="49"/>
      <c r="O39" s="49"/>
      <c r="P39" s="49"/>
      <c r="Q39" s="49"/>
      <c r="R39" s="49"/>
      <c r="S39" s="49"/>
      <c r="T39" s="1807"/>
      <c r="U39" s="51" t="s">
        <v>236</v>
      </c>
      <c r="V39" s="51">
        <v>1</v>
      </c>
      <c r="W39" s="1425" t="s">
        <v>237</v>
      </c>
      <c r="X39" s="50">
        <v>2</v>
      </c>
      <c r="Y39" s="50" t="s">
        <v>177</v>
      </c>
      <c r="Z39" s="50">
        <v>1</v>
      </c>
      <c r="AA39" s="50">
        <v>1</v>
      </c>
      <c r="AB39" s="54"/>
      <c r="AC39" s="54">
        <f>+Z39/X39</f>
        <v>0.5</v>
      </c>
      <c r="AD39" s="54">
        <v>0.27</v>
      </c>
      <c r="AE39" s="50"/>
      <c r="AF39" s="50"/>
      <c r="AG39" s="50"/>
      <c r="AH39" s="50"/>
      <c r="AI39" s="50"/>
      <c r="AJ39" s="50"/>
      <c r="AK39" s="54"/>
      <c r="AL39" s="50"/>
      <c r="AM39" s="54"/>
      <c r="AN39" s="50">
        <v>1</v>
      </c>
      <c r="AO39" s="50">
        <v>0.25</v>
      </c>
      <c r="AP39" s="50"/>
      <c r="AQ39" s="50">
        <v>0.1</v>
      </c>
      <c r="AR39" s="50"/>
      <c r="AS39" s="50">
        <v>0.1</v>
      </c>
      <c r="AT39" s="50"/>
      <c r="AU39" s="50">
        <v>0.4</v>
      </c>
      <c r="AV39" s="50"/>
      <c r="AW39" s="54">
        <f>+AO39+AQ39+AS39+AU39</f>
        <v>0.85</v>
      </c>
      <c r="AX39" s="54">
        <f>+AW39/AN39</f>
        <v>0.85</v>
      </c>
      <c r="AY39" s="90">
        <f>+AW39+AL391+0.3</f>
        <v>1.1499999999999999</v>
      </c>
      <c r="AZ39" s="55">
        <f>+AY39/X39</f>
        <v>0.57499999999999996</v>
      </c>
      <c r="BA39" s="50">
        <v>1</v>
      </c>
      <c r="BB39" s="50">
        <v>0.31</v>
      </c>
      <c r="BC39" s="50"/>
      <c r="BD39" s="50">
        <v>0.37</v>
      </c>
      <c r="BE39" s="50"/>
      <c r="BF39" s="50">
        <v>0.12</v>
      </c>
      <c r="BG39" s="50"/>
      <c r="BH39" s="50">
        <v>0</v>
      </c>
      <c r="BI39" s="50"/>
      <c r="BJ39" s="50">
        <f>+BB39+BD39+BF39</f>
        <v>0.79999999999999993</v>
      </c>
      <c r="BK39" s="57">
        <f>+BJ39/BA39</f>
        <v>0.79999999999999993</v>
      </c>
      <c r="BL39" s="91">
        <f>+BJ39+AY39</f>
        <v>1.9499999999999997</v>
      </c>
      <c r="BM39" s="57">
        <f>+BL39/X39</f>
        <v>0.97499999999999987</v>
      </c>
      <c r="BN39" s="50"/>
      <c r="BO39" s="50"/>
      <c r="BP39" s="50"/>
      <c r="BQ39" s="50"/>
      <c r="BR39" s="50"/>
      <c r="BS39" s="50"/>
      <c r="BT39" s="50"/>
      <c r="BU39" s="50"/>
      <c r="BV39" s="50"/>
      <c r="BW39" s="50"/>
      <c r="BX39" s="50"/>
      <c r="BY39" s="50"/>
      <c r="BZ39" s="50"/>
      <c r="CA39" s="50"/>
      <c r="CB39" s="49"/>
      <c r="CC39" s="59"/>
      <c r="CD39" s="60"/>
      <c r="CE39" s="50"/>
      <c r="CF39" s="61"/>
      <c r="CG39" s="61"/>
      <c r="CH39" s="49"/>
      <c r="CI39" s="49"/>
      <c r="CJ39" s="49"/>
      <c r="CK39" s="49"/>
      <c r="CL39" s="49"/>
      <c r="CM39" s="49"/>
      <c r="CN39" s="49"/>
      <c r="CO39" s="50"/>
      <c r="CP39" s="50"/>
      <c r="CQ39" s="49"/>
      <c r="CR39" s="49"/>
      <c r="CS39" s="49"/>
      <c r="CT39" s="49"/>
      <c r="CU39" s="49"/>
      <c r="CV39" s="49"/>
      <c r="CW39" s="49"/>
      <c r="CX39" s="49"/>
    </row>
    <row r="40" spans="1:102" ht="30.75" customHeight="1" x14ac:dyDescent="0.2">
      <c r="A40" s="1811"/>
      <c r="B40" s="1807"/>
      <c r="C40" s="49"/>
      <c r="D40" s="50"/>
      <c r="E40" s="49"/>
      <c r="F40" s="49"/>
      <c r="G40" s="49"/>
      <c r="H40" s="49"/>
      <c r="I40" s="49"/>
      <c r="J40" s="49"/>
      <c r="K40" s="49"/>
      <c r="L40" s="49"/>
      <c r="M40" s="49"/>
      <c r="N40" s="49"/>
      <c r="O40" s="49"/>
      <c r="P40" s="49"/>
      <c r="Q40" s="49"/>
      <c r="R40" s="49"/>
      <c r="S40" s="49"/>
      <c r="T40" s="1808"/>
      <c r="U40" s="85"/>
      <c r="V40" s="85"/>
      <c r="W40" s="1427"/>
      <c r="X40" s="72"/>
      <c r="Y40" s="72"/>
      <c r="Z40" s="72"/>
      <c r="AA40" s="72"/>
      <c r="AB40" s="86">
        <f>AVERAGE(AB37:AB39)</f>
        <v>0.29000000000000004</v>
      </c>
      <c r="AC40" s="86">
        <f>AVERAGE(AC37:AC39)</f>
        <v>0.36000000000000004</v>
      </c>
      <c r="AD40" s="86">
        <f>AVERAGE(AD37:AD39)</f>
        <v>0.25666666666666665</v>
      </c>
      <c r="AE40" s="72"/>
      <c r="AF40" s="72"/>
      <c r="AG40" s="72"/>
      <c r="AH40" s="72"/>
      <c r="AI40" s="72"/>
      <c r="AJ40" s="72"/>
      <c r="AK40" s="86">
        <f>AVERAGE(AK37:AK39)</f>
        <v>0.3</v>
      </c>
      <c r="AL40" s="74"/>
      <c r="AM40" s="86">
        <f>AVERAGE(AM37:AM39)</f>
        <v>7.4999999999999997E-2</v>
      </c>
      <c r="AN40" s="72"/>
      <c r="AO40" s="72"/>
      <c r="AP40" s="72"/>
      <c r="AQ40" s="72"/>
      <c r="AR40" s="72"/>
      <c r="AS40" s="72"/>
      <c r="AT40" s="72"/>
      <c r="AU40" s="72"/>
      <c r="AV40" s="72"/>
      <c r="AW40" s="72"/>
      <c r="AX40" s="97">
        <f>AVERAGE(AX37:AX39)</f>
        <v>0.85000000000000009</v>
      </c>
      <c r="AY40" s="98"/>
      <c r="AZ40" s="86">
        <f>AVERAGE(AZ37:AZ39)</f>
        <v>0.3833333333333333</v>
      </c>
      <c r="BA40" s="72"/>
      <c r="BB40" s="72"/>
      <c r="BC40" s="50"/>
      <c r="BD40" s="50"/>
      <c r="BE40" s="50"/>
      <c r="BF40" s="50"/>
      <c r="BG40" s="50"/>
      <c r="BH40" s="50"/>
      <c r="BI40" s="50"/>
      <c r="BJ40" s="50"/>
      <c r="BK40" s="73">
        <f>AVERAGE(BK37:BK39)</f>
        <v>0.74666666666666659</v>
      </c>
      <c r="BL40" s="50"/>
      <c r="BM40" s="73">
        <f>AVERAGE(BM37:BM39)</f>
        <v>0.6366666666666666</v>
      </c>
      <c r="BN40" s="50"/>
      <c r="BO40" s="50"/>
      <c r="BP40" s="50"/>
      <c r="BQ40" s="50"/>
      <c r="BR40" s="50"/>
      <c r="BS40" s="50"/>
      <c r="BT40" s="50"/>
      <c r="BU40" s="50"/>
      <c r="BV40" s="50"/>
      <c r="BW40" s="50"/>
      <c r="BX40" s="50"/>
      <c r="BY40" s="50"/>
      <c r="BZ40" s="50"/>
      <c r="CA40" s="50"/>
      <c r="CB40" s="49"/>
      <c r="CC40" s="59"/>
      <c r="CD40" s="60"/>
      <c r="CE40" s="50"/>
      <c r="CF40" s="61"/>
      <c r="CG40" s="61"/>
      <c r="CH40" s="49"/>
      <c r="CI40" s="49"/>
      <c r="CJ40" s="49"/>
      <c r="CK40" s="49"/>
      <c r="CL40" s="49"/>
      <c r="CM40" s="49"/>
      <c r="CN40" s="49"/>
      <c r="CO40" s="50"/>
      <c r="CP40" s="50"/>
      <c r="CQ40" s="49"/>
      <c r="CR40" s="49"/>
      <c r="CS40" s="49"/>
      <c r="CT40" s="49"/>
      <c r="CU40" s="49"/>
      <c r="CV40" s="49"/>
      <c r="CW40" s="49"/>
      <c r="CX40" s="49"/>
    </row>
    <row r="41" spans="1:102" ht="39" customHeight="1" x14ac:dyDescent="0.2">
      <c r="A41" s="1811"/>
      <c r="B41" s="1807"/>
      <c r="C41" s="49"/>
      <c r="D41" s="50"/>
      <c r="E41" s="49"/>
      <c r="F41" s="49"/>
      <c r="G41" s="49"/>
      <c r="H41" s="49"/>
      <c r="I41" s="49"/>
      <c r="J41" s="49"/>
      <c r="K41" s="49"/>
      <c r="L41" s="49"/>
      <c r="M41" s="49"/>
      <c r="N41" s="49"/>
      <c r="O41" s="49"/>
      <c r="P41" s="49"/>
      <c r="Q41" s="49"/>
      <c r="R41" s="49"/>
      <c r="S41" s="49"/>
      <c r="T41" s="1809" t="s">
        <v>238</v>
      </c>
      <c r="U41" s="51" t="s">
        <v>239</v>
      </c>
      <c r="V41" s="51">
        <v>54</v>
      </c>
      <c r="W41" s="1425" t="s">
        <v>240</v>
      </c>
      <c r="X41" s="50">
        <v>90</v>
      </c>
      <c r="Y41" s="50">
        <v>15</v>
      </c>
      <c r="Z41" s="50">
        <v>25</v>
      </c>
      <c r="AA41" s="50">
        <v>30</v>
      </c>
      <c r="AB41" s="54">
        <f>+Y41/X41</f>
        <v>0.16666666666666666</v>
      </c>
      <c r="AC41" s="54">
        <f>+Z41/X41</f>
        <v>0.27777777777777779</v>
      </c>
      <c r="AD41" s="54">
        <f>+AA41/X41</f>
        <v>0.33333333333333331</v>
      </c>
      <c r="AE41" s="50">
        <v>10</v>
      </c>
      <c r="AF41" s="50">
        <v>10</v>
      </c>
      <c r="AG41" s="50"/>
      <c r="AH41" s="50">
        <v>10</v>
      </c>
      <c r="AI41" s="50"/>
      <c r="AJ41" s="50">
        <f>+AH41</f>
        <v>10</v>
      </c>
      <c r="AK41" s="54">
        <f>+AJ41/Y41</f>
        <v>0.66666666666666663</v>
      </c>
      <c r="AL41" s="50">
        <v>17</v>
      </c>
      <c r="AM41" s="54">
        <f>+AL41/X41</f>
        <v>0.18888888888888888</v>
      </c>
      <c r="AN41" s="50">
        <v>25</v>
      </c>
      <c r="AO41" s="50">
        <v>0</v>
      </c>
      <c r="AP41" s="50"/>
      <c r="AQ41" s="50">
        <v>0.5</v>
      </c>
      <c r="AR41" s="50"/>
      <c r="AS41" s="50">
        <v>29</v>
      </c>
      <c r="AT41" s="50"/>
      <c r="AU41" s="50">
        <v>2.5</v>
      </c>
      <c r="AV41" s="50"/>
      <c r="AW41" s="88">
        <f>+AO41+AQ41+AS41+AU41</f>
        <v>32</v>
      </c>
      <c r="AX41" s="54">
        <v>1</v>
      </c>
      <c r="AY41" s="90">
        <f>+AW41+AL41</f>
        <v>49</v>
      </c>
      <c r="AZ41" s="55">
        <f>+AY41/X41</f>
        <v>0.5444444444444444</v>
      </c>
      <c r="BA41" s="50">
        <v>30</v>
      </c>
      <c r="BB41" s="50">
        <v>9</v>
      </c>
      <c r="BC41" s="50"/>
      <c r="BD41" s="50">
        <v>5</v>
      </c>
      <c r="BE41" s="50"/>
      <c r="BF41" s="50">
        <v>21</v>
      </c>
      <c r="BG41" s="50"/>
      <c r="BH41" s="50">
        <v>0</v>
      </c>
      <c r="BI41" s="50"/>
      <c r="BJ41" s="50">
        <f>+BB41+BD41+BF41</f>
        <v>35</v>
      </c>
      <c r="BK41" s="57">
        <v>1</v>
      </c>
      <c r="BL41" s="91">
        <f>+BJ41+AY41</f>
        <v>84</v>
      </c>
      <c r="BM41" s="57">
        <f>+BL41/X41</f>
        <v>0.93333333333333335</v>
      </c>
      <c r="BN41" s="50"/>
      <c r="BO41" s="50"/>
      <c r="BP41" s="50"/>
      <c r="BQ41" s="50"/>
      <c r="BR41" s="50"/>
      <c r="BS41" s="50"/>
      <c r="BT41" s="50"/>
      <c r="BU41" s="50"/>
      <c r="BV41" s="50"/>
      <c r="BW41" s="50"/>
      <c r="BX41" s="50"/>
      <c r="BY41" s="50"/>
      <c r="BZ41" s="50"/>
      <c r="CA41" s="50"/>
      <c r="CB41" s="49"/>
      <c r="CC41" s="59"/>
      <c r="CD41" s="60"/>
      <c r="CE41" s="50"/>
      <c r="CF41" s="61"/>
      <c r="CG41" s="61"/>
      <c r="CH41" s="49"/>
      <c r="CI41" s="49"/>
      <c r="CJ41" s="49"/>
      <c r="CK41" s="49"/>
      <c r="CL41" s="49"/>
      <c r="CM41" s="49"/>
      <c r="CN41" s="49"/>
      <c r="CO41" s="50"/>
      <c r="CP41" s="50"/>
      <c r="CQ41" s="49"/>
      <c r="CR41" s="49"/>
      <c r="CS41" s="49"/>
      <c r="CT41" s="49"/>
      <c r="CU41" s="49"/>
      <c r="CV41" s="49"/>
      <c r="CW41" s="49"/>
      <c r="CX41" s="49"/>
    </row>
    <row r="42" spans="1:102" ht="37.5" customHeight="1" x14ac:dyDescent="0.2">
      <c r="A42" s="1811"/>
      <c r="B42" s="1807"/>
      <c r="C42" s="49"/>
      <c r="D42" s="50"/>
      <c r="E42" s="49"/>
      <c r="F42" s="49"/>
      <c r="G42" s="49"/>
      <c r="H42" s="49"/>
      <c r="I42" s="49"/>
      <c r="J42" s="49"/>
      <c r="K42" s="49"/>
      <c r="L42" s="49"/>
      <c r="M42" s="49"/>
      <c r="N42" s="49"/>
      <c r="O42" s="49"/>
      <c r="P42" s="49"/>
      <c r="Q42" s="49"/>
      <c r="R42" s="49"/>
      <c r="S42" s="49"/>
      <c r="T42" s="1807"/>
      <c r="U42" s="51" t="s">
        <v>241</v>
      </c>
      <c r="V42" s="51">
        <v>30</v>
      </c>
      <c r="W42" s="1425" t="s">
        <v>242</v>
      </c>
      <c r="X42" s="50">
        <v>90</v>
      </c>
      <c r="Y42" s="50">
        <v>15</v>
      </c>
      <c r="Z42" s="50">
        <v>25</v>
      </c>
      <c r="AA42" s="50">
        <v>30</v>
      </c>
      <c r="AB42" s="54">
        <f>+Y42/X42</f>
        <v>0.16666666666666666</v>
      </c>
      <c r="AC42" s="54">
        <f>+Z42/X42</f>
        <v>0.27777777777777779</v>
      </c>
      <c r="AD42" s="54">
        <f>+AA42/X42</f>
        <v>0.33333333333333331</v>
      </c>
      <c r="AE42" s="50">
        <v>10</v>
      </c>
      <c r="AF42" s="50">
        <v>10</v>
      </c>
      <c r="AG42" s="50"/>
      <c r="AH42" s="50">
        <v>10</v>
      </c>
      <c r="AI42" s="50"/>
      <c r="AJ42" s="50">
        <f>+AH42</f>
        <v>10</v>
      </c>
      <c r="AK42" s="54">
        <f>+AJ42/Y42</f>
        <v>0.66666666666666663</v>
      </c>
      <c r="AL42" s="50">
        <f>+AJ42</f>
        <v>10</v>
      </c>
      <c r="AM42" s="54">
        <f>+AL42/X42</f>
        <v>0.1111111111111111</v>
      </c>
      <c r="AN42" s="50">
        <v>25</v>
      </c>
      <c r="AO42" s="50">
        <v>0</v>
      </c>
      <c r="AP42" s="50"/>
      <c r="AQ42" s="50">
        <v>0.25</v>
      </c>
      <c r="AR42" s="50"/>
      <c r="AS42" s="50">
        <v>25</v>
      </c>
      <c r="AT42" s="50"/>
      <c r="AU42" s="50">
        <v>4.5</v>
      </c>
      <c r="AV42" s="50"/>
      <c r="AW42" s="56">
        <f>+AO42+AQ42+AS42+AU42</f>
        <v>29.75</v>
      </c>
      <c r="AX42" s="54">
        <v>1</v>
      </c>
      <c r="AY42" s="90">
        <v>38</v>
      </c>
      <c r="AZ42" s="55">
        <f>+AY42/X42</f>
        <v>0.42222222222222222</v>
      </c>
      <c r="BA42" s="50">
        <v>30</v>
      </c>
      <c r="BB42" s="50">
        <v>0</v>
      </c>
      <c r="BC42" s="50"/>
      <c r="BD42" s="50">
        <v>5</v>
      </c>
      <c r="BE42" s="50"/>
      <c r="BF42" s="50">
        <v>25</v>
      </c>
      <c r="BG42" s="50"/>
      <c r="BH42" s="50">
        <v>0</v>
      </c>
      <c r="BI42" s="50"/>
      <c r="BJ42" s="50">
        <f>+BD42+BF42</f>
        <v>30</v>
      </c>
      <c r="BK42" s="57">
        <f>+BJ42/BA42</f>
        <v>1</v>
      </c>
      <c r="BL42" s="91">
        <f>+BJ42+AY42</f>
        <v>68</v>
      </c>
      <c r="BM42" s="55">
        <f>+BL42/X42</f>
        <v>0.75555555555555554</v>
      </c>
      <c r="BN42" s="50"/>
      <c r="BO42" s="50"/>
      <c r="BP42" s="50"/>
      <c r="BQ42" s="50"/>
      <c r="BR42" s="50"/>
      <c r="BS42" s="50"/>
      <c r="BT42" s="50"/>
      <c r="BU42" s="50"/>
      <c r="BV42" s="50"/>
      <c r="BW42" s="50"/>
      <c r="BX42" s="50"/>
      <c r="BY42" s="50"/>
      <c r="BZ42" s="50"/>
      <c r="CA42" s="50"/>
      <c r="CB42" s="49"/>
      <c r="CC42" s="59"/>
      <c r="CD42" s="60"/>
      <c r="CE42" s="50"/>
      <c r="CF42" s="61"/>
      <c r="CG42" s="61"/>
      <c r="CH42" s="49"/>
      <c r="CI42" s="49"/>
      <c r="CJ42" s="49"/>
      <c r="CK42" s="49"/>
      <c r="CL42" s="49"/>
      <c r="CM42" s="49"/>
      <c r="CN42" s="49"/>
      <c r="CO42" s="50"/>
      <c r="CP42" s="50"/>
      <c r="CQ42" s="49"/>
      <c r="CR42" s="49"/>
      <c r="CS42" s="49"/>
      <c r="CT42" s="49"/>
      <c r="CU42" s="49"/>
      <c r="CV42" s="49"/>
      <c r="CW42" s="49"/>
      <c r="CX42" s="49"/>
    </row>
    <row r="43" spans="1:102" ht="38.25" customHeight="1" x14ac:dyDescent="0.2">
      <c r="A43" s="1811"/>
      <c r="B43" s="1807"/>
      <c r="C43" s="49"/>
      <c r="D43" s="50"/>
      <c r="E43" s="49"/>
      <c r="F43" s="49"/>
      <c r="G43" s="49"/>
      <c r="H43" s="49"/>
      <c r="I43" s="49"/>
      <c r="J43" s="49"/>
      <c r="K43" s="49"/>
      <c r="L43" s="49"/>
      <c r="M43" s="49"/>
      <c r="N43" s="49"/>
      <c r="O43" s="49"/>
      <c r="P43" s="49"/>
      <c r="Q43" s="49"/>
      <c r="R43" s="49"/>
      <c r="S43" s="49"/>
      <c r="T43" s="1807"/>
      <c r="U43" s="51" t="s">
        <v>243</v>
      </c>
      <c r="V43" s="51">
        <v>2</v>
      </c>
      <c r="W43" s="1425" t="s">
        <v>244</v>
      </c>
      <c r="X43" s="50">
        <v>3</v>
      </c>
      <c r="Y43" s="50" t="s">
        <v>177</v>
      </c>
      <c r="Z43" s="50">
        <v>1</v>
      </c>
      <c r="AA43" s="50">
        <v>1</v>
      </c>
      <c r="AB43" s="54"/>
      <c r="AC43" s="54">
        <f>+Z43/X43</f>
        <v>0.33333333333333331</v>
      </c>
      <c r="AD43" s="54">
        <f>+AA43/X43</f>
        <v>0.33333333333333331</v>
      </c>
      <c r="AE43" s="50"/>
      <c r="AF43" s="50"/>
      <c r="AG43" s="50"/>
      <c r="AH43" s="50"/>
      <c r="AI43" s="50"/>
      <c r="AJ43" s="50"/>
      <c r="AK43" s="54"/>
      <c r="AL43" s="50"/>
      <c r="AM43" s="54"/>
      <c r="AN43" s="50">
        <v>1</v>
      </c>
      <c r="AO43" s="50">
        <v>0</v>
      </c>
      <c r="AP43" s="50"/>
      <c r="AQ43" s="50">
        <v>0</v>
      </c>
      <c r="AR43" s="50"/>
      <c r="AS43" s="50">
        <v>1</v>
      </c>
      <c r="AT43" s="50"/>
      <c r="AU43" s="50">
        <v>0</v>
      </c>
      <c r="AV43" s="50"/>
      <c r="AW43" s="50">
        <f>+AS43</f>
        <v>1</v>
      </c>
      <c r="AX43" s="54">
        <f>+AW43/AN43</f>
        <v>1</v>
      </c>
      <c r="AY43" s="50">
        <f>+AW43+AL43</f>
        <v>1</v>
      </c>
      <c r="AZ43" s="54">
        <f>+AY43/X43</f>
        <v>0.33333333333333331</v>
      </c>
      <c r="BA43" s="50">
        <v>1</v>
      </c>
      <c r="BB43" s="50">
        <v>0</v>
      </c>
      <c r="BC43" s="50"/>
      <c r="BD43" s="50">
        <v>0</v>
      </c>
      <c r="BE43" s="50"/>
      <c r="BF43" s="50">
        <v>1</v>
      </c>
      <c r="BG43" s="50"/>
      <c r="BH43" s="50">
        <v>0</v>
      </c>
      <c r="BI43" s="50"/>
      <c r="BJ43" s="50">
        <f>+BF43</f>
        <v>1</v>
      </c>
      <c r="BK43" s="57">
        <f>+BJ43/BA43</f>
        <v>1</v>
      </c>
      <c r="BL43" s="63">
        <f>+BJ43+AY43</f>
        <v>2</v>
      </c>
      <c r="BM43" s="57">
        <f>+BL43/X43</f>
        <v>0.66666666666666663</v>
      </c>
      <c r="BN43" s="50"/>
      <c r="BO43" s="50"/>
      <c r="BP43" s="50"/>
      <c r="BQ43" s="50"/>
      <c r="BR43" s="50"/>
      <c r="BS43" s="50"/>
      <c r="BT43" s="50"/>
      <c r="BU43" s="50"/>
      <c r="BV43" s="50"/>
      <c r="BW43" s="50"/>
      <c r="BX43" s="50"/>
      <c r="BY43" s="50"/>
      <c r="BZ43" s="50"/>
      <c r="CA43" s="50"/>
      <c r="CB43" s="49"/>
      <c r="CC43" s="59"/>
      <c r="CD43" s="60"/>
      <c r="CE43" s="50"/>
      <c r="CF43" s="61"/>
      <c r="CG43" s="61"/>
      <c r="CH43" s="49"/>
      <c r="CI43" s="49"/>
      <c r="CJ43" s="49"/>
      <c r="CK43" s="49"/>
      <c r="CL43" s="49"/>
      <c r="CM43" s="49"/>
      <c r="CN43" s="49"/>
      <c r="CO43" s="50"/>
      <c r="CP43" s="50"/>
      <c r="CQ43" s="49"/>
      <c r="CR43" s="49"/>
      <c r="CS43" s="49"/>
      <c r="CT43" s="49"/>
      <c r="CU43" s="49"/>
      <c r="CV43" s="49"/>
      <c r="CW43" s="49"/>
      <c r="CX43" s="49"/>
    </row>
    <row r="44" spans="1:102" ht="41.25" customHeight="1" x14ac:dyDescent="0.2">
      <c r="A44" s="1811"/>
      <c r="B44" s="1807"/>
      <c r="C44" s="49"/>
      <c r="D44" s="50"/>
      <c r="E44" s="49"/>
      <c r="F44" s="49"/>
      <c r="G44" s="49"/>
      <c r="H44" s="49"/>
      <c r="I44" s="49"/>
      <c r="J44" s="49"/>
      <c r="K44" s="49"/>
      <c r="L44" s="49"/>
      <c r="M44" s="49"/>
      <c r="N44" s="49"/>
      <c r="O44" s="49"/>
      <c r="P44" s="49"/>
      <c r="Q44" s="49"/>
      <c r="R44" s="49"/>
      <c r="S44" s="49"/>
      <c r="T44" s="1807"/>
      <c r="U44" s="51" t="s">
        <v>245</v>
      </c>
      <c r="V44" s="51">
        <v>10</v>
      </c>
      <c r="W44" s="1425" t="s">
        <v>246</v>
      </c>
      <c r="X44" s="50">
        <v>41</v>
      </c>
      <c r="Y44" s="50">
        <v>7</v>
      </c>
      <c r="Z44" s="50">
        <v>7</v>
      </c>
      <c r="AA44" s="50">
        <v>15</v>
      </c>
      <c r="AB44" s="54">
        <f>+Y44/X44</f>
        <v>0.17073170731707318</v>
      </c>
      <c r="AC44" s="54">
        <f>+Z44/X44</f>
        <v>0.17073170731707318</v>
      </c>
      <c r="AD44" s="54">
        <f>+AA44/X44</f>
        <v>0.36585365853658536</v>
      </c>
      <c r="AE44" s="50">
        <v>6</v>
      </c>
      <c r="AF44" s="50">
        <v>6</v>
      </c>
      <c r="AG44" s="50"/>
      <c r="AH44" s="50">
        <v>6</v>
      </c>
      <c r="AI44" s="50"/>
      <c r="AJ44" s="50">
        <f>+AH44</f>
        <v>6</v>
      </c>
      <c r="AK44" s="54">
        <f>+AJ44/Y44</f>
        <v>0.8571428571428571</v>
      </c>
      <c r="AL44" s="50">
        <v>6</v>
      </c>
      <c r="AM44" s="54">
        <f>+AL44/X44</f>
        <v>0.14634146341463414</v>
      </c>
      <c r="AN44" s="50">
        <v>7</v>
      </c>
      <c r="AO44" s="50">
        <v>2</v>
      </c>
      <c r="AP44" s="50"/>
      <c r="AQ44" s="50">
        <v>5</v>
      </c>
      <c r="AR44" s="50"/>
      <c r="AS44" s="50">
        <v>2</v>
      </c>
      <c r="AT44" s="50"/>
      <c r="AU44" s="50">
        <v>1</v>
      </c>
      <c r="AV44" s="50"/>
      <c r="AW44" s="50">
        <f>+AO44+AQ44+AS44+AU44</f>
        <v>10</v>
      </c>
      <c r="AX44" s="54">
        <v>1</v>
      </c>
      <c r="AY44" s="90">
        <f>+AW44+AL44</f>
        <v>16</v>
      </c>
      <c r="AZ44" s="55">
        <f>+AY44/X44</f>
        <v>0.3902439024390244</v>
      </c>
      <c r="BA44" s="50">
        <v>15</v>
      </c>
      <c r="BB44" s="50">
        <v>0</v>
      </c>
      <c r="BC44" s="50"/>
      <c r="BD44" s="50">
        <v>5</v>
      </c>
      <c r="BE44" s="50"/>
      <c r="BF44" s="50">
        <v>14</v>
      </c>
      <c r="BG44" s="50"/>
      <c r="BH44" s="50">
        <v>0</v>
      </c>
      <c r="BI44" s="50"/>
      <c r="BJ44" s="50">
        <f>+BD44+BF44</f>
        <v>19</v>
      </c>
      <c r="BK44" s="57">
        <v>1</v>
      </c>
      <c r="BL44" s="91">
        <f>+BJ44+AY44</f>
        <v>35</v>
      </c>
      <c r="BM44" s="57">
        <f>+BL44/X44</f>
        <v>0.85365853658536583</v>
      </c>
      <c r="BN44" s="50"/>
      <c r="BO44" s="50"/>
      <c r="BP44" s="50"/>
      <c r="BQ44" s="50"/>
      <c r="BR44" s="50"/>
      <c r="BS44" s="50"/>
      <c r="BT44" s="50"/>
      <c r="BU44" s="50"/>
      <c r="BV44" s="50"/>
      <c r="BW44" s="50"/>
      <c r="BX44" s="50"/>
      <c r="BY44" s="50"/>
      <c r="BZ44" s="50"/>
      <c r="CA44" s="50"/>
      <c r="CB44" s="49"/>
      <c r="CC44" s="59"/>
      <c r="CD44" s="60"/>
      <c r="CE44" s="50"/>
      <c r="CF44" s="61"/>
      <c r="CG44" s="61"/>
      <c r="CH44" s="49"/>
      <c r="CI44" s="49"/>
      <c r="CJ44" s="49"/>
      <c r="CK44" s="49"/>
      <c r="CL44" s="49"/>
      <c r="CM44" s="49"/>
      <c r="CN44" s="49"/>
      <c r="CO44" s="50"/>
      <c r="CP44" s="50"/>
      <c r="CQ44" s="49"/>
      <c r="CR44" s="49"/>
      <c r="CS44" s="49"/>
      <c r="CT44" s="49"/>
      <c r="CU44" s="49"/>
      <c r="CV44" s="49"/>
      <c r="CW44" s="49"/>
      <c r="CX44" s="49"/>
    </row>
    <row r="45" spans="1:102" ht="12.75" customHeight="1" x14ac:dyDescent="0.2">
      <c r="A45" s="1811"/>
      <c r="B45" s="1807"/>
      <c r="C45" s="49"/>
      <c r="D45" s="50"/>
      <c r="E45" s="49"/>
      <c r="F45" s="49"/>
      <c r="G45" s="49"/>
      <c r="H45" s="49"/>
      <c r="I45" s="49"/>
      <c r="J45" s="49"/>
      <c r="K45" s="49"/>
      <c r="L45" s="49"/>
      <c r="M45" s="49"/>
      <c r="N45" s="49"/>
      <c r="O45" s="49"/>
      <c r="P45" s="49"/>
      <c r="Q45" s="49"/>
      <c r="R45" s="49"/>
      <c r="S45" s="49"/>
      <c r="T45" s="1808"/>
      <c r="U45" s="85"/>
      <c r="V45" s="85"/>
      <c r="W45" s="1427"/>
      <c r="X45" s="72"/>
      <c r="Y45" s="72"/>
      <c r="Z45" s="72"/>
      <c r="AA45" s="72"/>
      <c r="AB45" s="86">
        <f>AVERAGE(AB41:AB44)</f>
        <v>0.16802168021680217</v>
      </c>
      <c r="AC45" s="86">
        <f>AVERAGE(AC41:AC44)</f>
        <v>0.26490514905149048</v>
      </c>
      <c r="AD45" s="86">
        <f>AVERAGE(AD41:AD44)</f>
        <v>0.34146341463414631</v>
      </c>
      <c r="AE45" s="72"/>
      <c r="AF45" s="72"/>
      <c r="AG45" s="72"/>
      <c r="AH45" s="72"/>
      <c r="AI45" s="72"/>
      <c r="AJ45" s="72"/>
      <c r="AK45" s="86">
        <f>AVERAGE(AK41:AK44)</f>
        <v>0.73015873015873012</v>
      </c>
      <c r="AL45" s="72"/>
      <c r="AM45" s="86">
        <f>AVERAGE(AM41:AM44)</f>
        <v>0.14878048780487804</v>
      </c>
      <c r="AN45" s="72"/>
      <c r="AO45" s="72"/>
      <c r="AP45" s="72"/>
      <c r="AQ45" s="72"/>
      <c r="AR45" s="72"/>
      <c r="AS45" s="72"/>
      <c r="AT45" s="72"/>
      <c r="AU45" s="72"/>
      <c r="AV45" s="72"/>
      <c r="AW45" s="72"/>
      <c r="AX45" s="86">
        <f>AVERAGE(AX41:AX44)</f>
        <v>1</v>
      </c>
      <c r="AY45" s="74"/>
      <c r="AZ45" s="86">
        <f>AVERAGE(AZ41:AZ44)</f>
        <v>0.42256097560975603</v>
      </c>
      <c r="BA45" s="72"/>
      <c r="BB45" s="72"/>
      <c r="BC45" s="50"/>
      <c r="BD45" s="50"/>
      <c r="BE45" s="50"/>
      <c r="BF45" s="50"/>
      <c r="BG45" s="50"/>
      <c r="BH45" s="50"/>
      <c r="BI45" s="50"/>
      <c r="BJ45" s="50"/>
      <c r="BK45" s="86">
        <f>AVERAGE(BK41:BK44)</f>
        <v>1</v>
      </c>
      <c r="BL45" s="50"/>
      <c r="BM45" s="73">
        <f>AVERAGE(BM41:BM44)</f>
        <v>0.80230352303523034</v>
      </c>
      <c r="BN45" s="50"/>
      <c r="BO45" s="50"/>
      <c r="BP45" s="50"/>
      <c r="BQ45" s="50"/>
      <c r="BR45" s="50"/>
      <c r="BS45" s="50"/>
      <c r="BT45" s="50"/>
      <c r="BU45" s="50"/>
      <c r="BV45" s="50"/>
      <c r="BW45" s="50"/>
      <c r="BX45" s="50"/>
      <c r="BY45" s="50"/>
      <c r="BZ45" s="50"/>
      <c r="CA45" s="50"/>
      <c r="CB45" s="49"/>
      <c r="CC45" s="59"/>
      <c r="CD45" s="60"/>
      <c r="CE45" s="50"/>
      <c r="CF45" s="61"/>
      <c r="CG45" s="61"/>
      <c r="CH45" s="49"/>
      <c r="CI45" s="49"/>
      <c r="CJ45" s="49"/>
      <c r="CK45" s="49"/>
      <c r="CL45" s="49"/>
      <c r="CM45" s="49"/>
      <c r="CN45" s="49"/>
      <c r="CO45" s="50"/>
      <c r="CP45" s="50"/>
      <c r="CQ45" s="49"/>
      <c r="CR45" s="49"/>
      <c r="CS45" s="49"/>
      <c r="CT45" s="49"/>
      <c r="CU45" s="49"/>
      <c r="CV45" s="49"/>
      <c r="CW45" s="49"/>
      <c r="CX45" s="49"/>
    </row>
    <row r="46" spans="1:102" ht="51" customHeight="1" x14ac:dyDescent="0.2">
      <c r="A46" s="1811"/>
      <c r="B46" s="1807"/>
      <c r="C46" s="62"/>
      <c r="D46" s="63"/>
      <c r="E46" s="62"/>
      <c r="F46" s="62"/>
      <c r="G46" s="62"/>
      <c r="H46" s="62"/>
      <c r="I46" s="62"/>
      <c r="J46" s="62"/>
      <c r="K46" s="62"/>
      <c r="L46" s="62"/>
      <c r="M46" s="62"/>
      <c r="N46" s="62"/>
      <c r="O46" s="62"/>
      <c r="P46" s="62"/>
      <c r="Q46" s="62"/>
      <c r="R46" s="62"/>
      <c r="S46" s="62"/>
      <c r="T46" s="1809" t="s">
        <v>247</v>
      </c>
      <c r="U46" s="51" t="s">
        <v>248</v>
      </c>
      <c r="V46" s="51">
        <v>0</v>
      </c>
      <c r="W46" s="1425" t="s">
        <v>249</v>
      </c>
      <c r="X46" s="63">
        <v>1</v>
      </c>
      <c r="Y46" s="65">
        <v>0.1</v>
      </c>
      <c r="Z46" s="63">
        <v>0.5</v>
      </c>
      <c r="AA46" s="63">
        <v>1</v>
      </c>
      <c r="AB46" s="65">
        <v>0.1</v>
      </c>
      <c r="AC46" s="65">
        <f>+Z46/X46</f>
        <v>0.5</v>
      </c>
      <c r="AD46" s="54">
        <v>0.2</v>
      </c>
      <c r="AE46" s="65">
        <v>0.1</v>
      </c>
      <c r="AF46" s="65">
        <v>0.1</v>
      </c>
      <c r="AG46" s="65"/>
      <c r="AH46" s="65">
        <v>0.1</v>
      </c>
      <c r="AI46" s="65"/>
      <c r="AJ46" s="54">
        <f>+AH46</f>
        <v>0.1</v>
      </c>
      <c r="AK46" s="65">
        <v>1</v>
      </c>
      <c r="AL46" s="89">
        <v>0.1</v>
      </c>
      <c r="AM46" s="65">
        <f>+AL46/X46</f>
        <v>0.1</v>
      </c>
      <c r="AN46" s="63">
        <v>0.5</v>
      </c>
      <c r="AO46" s="63">
        <v>0.3</v>
      </c>
      <c r="AP46" s="63"/>
      <c r="AQ46" s="63">
        <v>0</v>
      </c>
      <c r="AR46" s="63"/>
      <c r="AS46" s="63">
        <v>0.1</v>
      </c>
      <c r="AT46" s="63"/>
      <c r="AU46" s="63">
        <v>0.1</v>
      </c>
      <c r="AV46" s="63"/>
      <c r="AW46" s="50">
        <f>+AO46+AQ46+AS46+AU46</f>
        <v>0.5</v>
      </c>
      <c r="AX46" s="54">
        <f>+AW46/AN46</f>
        <v>1</v>
      </c>
      <c r="AY46" s="90">
        <f>+AW46+AL46</f>
        <v>0.6</v>
      </c>
      <c r="AZ46" s="55">
        <f>+AY46/X46</f>
        <v>0.6</v>
      </c>
      <c r="BA46" s="63">
        <v>1</v>
      </c>
      <c r="BB46" s="63">
        <v>0.2</v>
      </c>
      <c r="BC46" s="63"/>
      <c r="BD46" s="63">
        <v>0.1</v>
      </c>
      <c r="BE46" s="63"/>
      <c r="BF46" s="63">
        <v>0.7</v>
      </c>
      <c r="BG46" s="63"/>
      <c r="BH46" s="63">
        <f>+BF46</f>
        <v>0.7</v>
      </c>
      <c r="BI46" s="63"/>
      <c r="BJ46" s="50">
        <f>+BH46</f>
        <v>0.7</v>
      </c>
      <c r="BK46" s="57">
        <f>+BJ46</f>
        <v>0.7</v>
      </c>
      <c r="BL46" s="91">
        <f>+BJ46+AY46</f>
        <v>1.2999999999999998</v>
      </c>
      <c r="BM46" s="57">
        <v>1</v>
      </c>
      <c r="BN46" s="63"/>
      <c r="BO46" s="63"/>
      <c r="BP46" s="63"/>
      <c r="BQ46" s="63"/>
      <c r="BR46" s="63"/>
      <c r="BS46" s="63"/>
      <c r="BT46" s="63"/>
      <c r="BU46" s="63"/>
      <c r="BV46" s="63"/>
      <c r="BW46" s="63"/>
      <c r="BX46" s="63"/>
      <c r="BY46" s="63"/>
      <c r="BZ46" s="63"/>
      <c r="CA46" s="63"/>
      <c r="CB46" s="62"/>
      <c r="CC46" s="68"/>
      <c r="CD46" s="69"/>
      <c r="CE46" s="63"/>
      <c r="CF46" s="70"/>
      <c r="CG46" s="70"/>
      <c r="CH46" s="62"/>
      <c r="CI46" s="62"/>
      <c r="CJ46" s="62"/>
      <c r="CK46" s="62"/>
      <c r="CL46" s="62"/>
      <c r="CM46" s="62"/>
      <c r="CN46" s="62"/>
      <c r="CO46" s="63"/>
      <c r="CP46" s="63"/>
      <c r="CQ46" s="62"/>
      <c r="CR46" s="62"/>
      <c r="CS46" s="62"/>
      <c r="CT46" s="62"/>
      <c r="CU46" s="62"/>
      <c r="CV46" s="62"/>
      <c r="CW46" s="62"/>
      <c r="CX46" s="62"/>
    </row>
    <row r="47" spans="1:102" ht="42" customHeight="1" x14ac:dyDescent="0.2">
      <c r="A47" s="1811"/>
      <c r="B47" s="1807"/>
      <c r="C47" s="62"/>
      <c r="D47" s="63"/>
      <c r="E47" s="62"/>
      <c r="F47" s="62"/>
      <c r="G47" s="62"/>
      <c r="H47" s="62"/>
      <c r="I47" s="62"/>
      <c r="J47" s="62"/>
      <c r="K47" s="62"/>
      <c r="L47" s="62"/>
      <c r="M47" s="62"/>
      <c r="N47" s="62"/>
      <c r="O47" s="62"/>
      <c r="P47" s="62"/>
      <c r="Q47" s="62"/>
      <c r="R47" s="62"/>
      <c r="S47" s="62"/>
      <c r="T47" s="1807"/>
      <c r="U47" s="51" t="s">
        <v>250</v>
      </c>
      <c r="V47" s="51">
        <v>0</v>
      </c>
      <c r="W47" s="1425" t="s">
        <v>251</v>
      </c>
      <c r="X47" s="63">
        <v>7</v>
      </c>
      <c r="Y47" s="63">
        <v>2</v>
      </c>
      <c r="Z47" s="63">
        <v>2</v>
      </c>
      <c r="AA47" s="63">
        <v>1</v>
      </c>
      <c r="AB47" s="65">
        <f>+Y47/X47</f>
        <v>0.2857142857142857</v>
      </c>
      <c r="AC47" s="65">
        <f>+Z47/X47</f>
        <v>0.2857142857142857</v>
      </c>
      <c r="AD47" s="54">
        <f>+AA47/X47</f>
        <v>0.14285714285714285</v>
      </c>
      <c r="AE47" s="65">
        <v>0.4</v>
      </c>
      <c r="AF47" s="65">
        <v>0.4</v>
      </c>
      <c r="AG47" s="63"/>
      <c r="AH47" s="65">
        <v>0.4</v>
      </c>
      <c r="AI47" s="63"/>
      <c r="AJ47" s="54">
        <f>+AH47</f>
        <v>0.4</v>
      </c>
      <c r="AK47" s="65">
        <f>+AJ47/Y47</f>
        <v>0.2</v>
      </c>
      <c r="AL47" s="99">
        <v>1</v>
      </c>
      <c r="AM47" s="65">
        <f>+AL47/7</f>
        <v>0.14285714285714285</v>
      </c>
      <c r="AN47" s="63">
        <v>2</v>
      </c>
      <c r="AO47" s="63">
        <v>0.3</v>
      </c>
      <c r="AP47" s="63"/>
      <c r="AQ47" s="63">
        <v>0.4</v>
      </c>
      <c r="AR47" s="63"/>
      <c r="AS47" s="63">
        <v>0.1</v>
      </c>
      <c r="AT47" s="63"/>
      <c r="AU47" s="63">
        <v>0.2</v>
      </c>
      <c r="AV47" s="63"/>
      <c r="AW47" s="50">
        <f>+AU47+AS47+AQ47+AO47</f>
        <v>1</v>
      </c>
      <c r="AX47" s="54">
        <v>1</v>
      </c>
      <c r="AY47" s="90">
        <f>+AW47+AL47</f>
        <v>2</v>
      </c>
      <c r="AZ47" s="55">
        <f>+AY47/X47</f>
        <v>0.2857142857142857</v>
      </c>
      <c r="BA47" s="63">
        <v>1</v>
      </c>
      <c r="BB47" s="63">
        <v>0.1</v>
      </c>
      <c r="BC47" s="63"/>
      <c r="BD47" s="63">
        <v>0.2</v>
      </c>
      <c r="BE47" s="63"/>
      <c r="BF47" s="63">
        <v>0.1</v>
      </c>
      <c r="BG47" s="63"/>
      <c r="BH47" s="63">
        <v>3.7</v>
      </c>
      <c r="BI47" s="63"/>
      <c r="BJ47" s="50">
        <f>+BB47+BD47+BF47+BH47</f>
        <v>4.1000000000000005</v>
      </c>
      <c r="BK47" s="57">
        <v>1</v>
      </c>
      <c r="BL47" s="91">
        <f>+BJ47+AY47</f>
        <v>6.1000000000000005</v>
      </c>
      <c r="BM47" s="57">
        <f>+BL47/X47</f>
        <v>0.87142857142857155</v>
      </c>
      <c r="BN47" s="63"/>
      <c r="BO47" s="63"/>
      <c r="BP47" s="63"/>
      <c r="BQ47" s="63"/>
      <c r="BR47" s="63"/>
      <c r="BS47" s="63"/>
      <c r="BT47" s="63"/>
      <c r="BU47" s="63"/>
      <c r="BV47" s="63"/>
      <c r="BW47" s="63"/>
      <c r="BX47" s="63"/>
      <c r="BY47" s="63"/>
      <c r="BZ47" s="63"/>
      <c r="CA47" s="63"/>
      <c r="CB47" s="62"/>
      <c r="CC47" s="68"/>
      <c r="CD47" s="69"/>
      <c r="CE47" s="63"/>
      <c r="CF47" s="70"/>
      <c r="CG47" s="70"/>
      <c r="CH47" s="62"/>
      <c r="CI47" s="62"/>
      <c r="CJ47" s="62"/>
      <c r="CK47" s="62"/>
      <c r="CL47" s="62"/>
      <c r="CM47" s="62"/>
      <c r="CN47" s="62"/>
      <c r="CO47" s="63"/>
      <c r="CP47" s="63"/>
      <c r="CQ47" s="62"/>
      <c r="CR47" s="62"/>
      <c r="CS47" s="62"/>
      <c r="CT47" s="62"/>
      <c r="CU47" s="62"/>
      <c r="CV47" s="62"/>
      <c r="CW47" s="62"/>
      <c r="CX47" s="62"/>
    </row>
    <row r="48" spans="1:102" ht="39" customHeight="1" x14ac:dyDescent="0.2">
      <c r="A48" s="1811"/>
      <c r="B48" s="1807"/>
      <c r="C48" s="62"/>
      <c r="D48" s="63"/>
      <c r="E48" s="62"/>
      <c r="F48" s="62"/>
      <c r="G48" s="62"/>
      <c r="H48" s="62"/>
      <c r="I48" s="62"/>
      <c r="J48" s="62"/>
      <c r="K48" s="62"/>
      <c r="L48" s="62"/>
      <c r="M48" s="62"/>
      <c r="N48" s="62"/>
      <c r="O48" s="62"/>
      <c r="P48" s="62"/>
      <c r="Q48" s="62"/>
      <c r="R48" s="62"/>
      <c r="S48" s="62"/>
      <c r="T48" s="1807"/>
      <c r="U48" s="51" t="s">
        <v>252</v>
      </c>
      <c r="V48" s="51">
        <v>0</v>
      </c>
      <c r="W48" s="1425" t="s">
        <v>253</v>
      </c>
      <c r="X48" s="63">
        <v>1</v>
      </c>
      <c r="Y48" s="63">
        <v>1</v>
      </c>
      <c r="Z48" s="63">
        <v>0.3</v>
      </c>
      <c r="AA48" s="63">
        <v>1</v>
      </c>
      <c r="AB48" s="65">
        <v>0.25</v>
      </c>
      <c r="AC48" s="65">
        <f>+Z48/X48</f>
        <v>0.3</v>
      </c>
      <c r="AD48" s="54"/>
      <c r="AE48" s="63">
        <v>1</v>
      </c>
      <c r="AF48" s="63">
        <v>1</v>
      </c>
      <c r="AG48" s="63"/>
      <c r="AH48" s="100">
        <f>+Y48</f>
        <v>1</v>
      </c>
      <c r="AI48" s="63"/>
      <c r="AJ48" s="100">
        <f>+AH48</f>
        <v>1</v>
      </c>
      <c r="AK48" s="65">
        <v>1</v>
      </c>
      <c r="AL48" s="99">
        <f>+AJ48</f>
        <v>1</v>
      </c>
      <c r="AM48" s="65">
        <v>0.25</v>
      </c>
      <c r="AN48" s="63">
        <v>0.3</v>
      </c>
      <c r="AO48" s="63">
        <v>0.1</v>
      </c>
      <c r="AP48" s="63"/>
      <c r="AQ48" s="63">
        <v>0.1</v>
      </c>
      <c r="AR48" s="63"/>
      <c r="AS48" s="63">
        <v>0.55000000000000004</v>
      </c>
      <c r="AT48" s="63"/>
      <c r="AU48" s="63">
        <v>0.05</v>
      </c>
      <c r="AV48" s="63"/>
      <c r="AW48" s="50">
        <f>+AO48+AQ48+AS48+AU48</f>
        <v>0.8</v>
      </c>
      <c r="AX48" s="54">
        <f>+AW48/AL48</f>
        <v>0.8</v>
      </c>
      <c r="AY48" s="90">
        <v>0.95</v>
      </c>
      <c r="AZ48" s="55">
        <f>+AY48</f>
        <v>0.95</v>
      </c>
      <c r="BA48" s="63">
        <v>1</v>
      </c>
      <c r="BB48" s="63">
        <v>0.45</v>
      </c>
      <c r="BC48" s="63"/>
      <c r="BD48" s="63">
        <v>0.15</v>
      </c>
      <c r="BE48" s="63"/>
      <c r="BF48" s="63">
        <v>0</v>
      </c>
      <c r="BG48" s="63"/>
      <c r="BH48" s="63">
        <v>0</v>
      </c>
      <c r="BI48" s="63"/>
      <c r="BJ48" s="50">
        <f>+BB48+BD48+BF48</f>
        <v>0.6</v>
      </c>
      <c r="BK48" s="57">
        <f>+BJ48/BA48</f>
        <v>0.6</v>
      </c>
      <c r="BL48" s="91">
        <f>+BJ48+AY48</f>
        <v>1.5499999999999998</v>
      </c>
      <c r="BM48" s="57">
        <v>1</v>
      </c>
      <c r="BN48" s="63"/>
      <c r="BO48" s="63"/>
      <c r="BP48" s="63"/>
      <c r="BQ48" s="63"/>
      <c r="BR48" s="63"/>
      <c r="BS48" s="63"/>
      <c r="BT48" s="63"/>
      <c r="BU48" s="63"/>
      <c r="BV48" s="63"/>
      <c r="BW48" s="63"/>
      <c r="BX48" s="63"/>
      <c r="BY48" s="63"/>
      <c r="BZ48" s="63"/>
      <c r="CA48" s="63"/>
      <c r="CB48" s="62"/>
      <c r="CC48" s="68"/>
      <c r="CD48" s="69"/>
      <c r="CE48" s="63"/>
      <c r="CF48" s="70"/>
      <c r="CG48" s="70"/>
      <c r="CH48" s="62"/>
      <c r="CI48" s="62"/>
      <c r="CJ48" s="62"/>
      <c r="CK48" s="62"/>
      <c r="CL48" s="62"/>
      <c r="CM48" s="62"/>
      <c r="CN48" s="62"/>
      <c r="CO48" s="63"/>
      <c r="CP48" s="63"/>
      <c r="CQ48" s="62"/>
      <c r="CR48" s="62"/>
      <c r="CS48" s="62"/>
      <c r="CT48" s="62"/>
      <c r="CU48" s="62"/>
      <c r="CV48" s="62"/>
      <c r="CW48" s="62"/>
      <c r="CX48" s="62"/>
    </row>
    <row r="49" spans="1:102" ht="48.75" customHeight="1" x14ac:dyDescent="0.2">
      <c r="A49" s="1811"/>
      <c r="B49" s="1807"/>
      <c r="C49" s="49"/>
      <c r="D49" s="50"/>
      <c r="E49" s="49"/>
      <c r="F49" s="49"/>
      <c r="G49" s="49"/>
      <c r="H49" s="49"/>
      <c r="I49" s="49"/>
      <c r="J49" s="49"/>
      <c r="K49" s="49"/>
      <c r="L49" s="49"/>
      <c r="M49" s="49"/>
      <c r="N49" s="49"/>
      <c r="O49" s="49"/>
      <c r="P49" s="49"/>
      <c r="Q49" s="49"/>
      <c r="R49" s="49"/>
      <c r="S49" s="49"/>
      <c r="T49" s="1807"/>
      <c r="U49" s="51" t="s">
        <v>254</v>
      </c>
      <c r="V49" s="101">
        <v>0.25</v>
      </c>
      <c r="W49" s="1425" t="s">
        <v>255</v>
      </c>
      <c r="X49" s="54">
        <v>1</v>
      </c>
      <c r="Y49" s="54">
        <v>0.05</v>
      </c>
      <c r="Z49" s="54">
        <v>0.3</v>
      </c>
      <c r="AA49" s="54">
        <v>0.01</v>
      </c>
      <c r="AB49" s="54">
        <f>+Y49/X49</f>
        <v>0.05</v>
      </c>
      <c r="AC49" s="65">
        <f>+Z49/X49</f>
        <v>0.3</v>
      </c>
      <c r="AD49" s="54">
        <f>+AA49/X49</f>
        <v>0.01</v>
      </c>
      <c r="AE49" s="54">
        <v>0.05</v>
      </c>
      <c r="AF49" s="54">
        <v>0.1</v>
      </c>
      <c r="AG49" s="50"/>
      <c r="AH49" s="54">
        <v>0.25</v>
      </c>
      <c r="AI49" s="50"/>
      <c r="AJ49" s="54">
        <f>+AH49</f>
        <v>0.25</v>
      </c>
      <c r="AK49" s="54">
        <v>1</v>
      </c>
      <c r="AL49" s="67">
        <v>0.1</v>
      </c>
      <c r="AM49" s="54">
        <f>+AL49/X49</f>
        <v>0.1</v>
      </c>
      <c r="AN49" s="54">
        <v>0.3</v>
      </c>
      <c r="AO49" s="50">
        <v>0.2</v>
      </c>
      <c r="AP49" s="50"/>
      <c r="AQ49" s="50">
        <v>0.4</v>
      </c>
      <c r="AR49" s="50"/>
      <c r="AS49" s="50">
        <v>0.1</v>
      </c>
      <c r="AT49" s="50"/>
      <c r="AU49" s="50">
        <v>0.2</v>
      </c>
      <c r="AV49" s="50"/>
      <c r="AW49" s="50">
        <f>+AO49+AQ49+AS49+AU49</f>
        <v>0.90000000000000013</v>
      </c>
      <c r="AX49" s="54">
        <v>1</v>
      </c>
      <c r="AY49" s="90">
        <f>+AW49+AL49</f>
        <v>1.0000000000000002</v>
      </c>
      <c r="AZ49" s="55">
        <f>+AY49/X49</f>
        <v>1.0000000000000002</v>
      </c>
      <c r="BA49" s="50">
        <v>1</v>
      </c>
      <c r="BB49" s="50">
        <v>0.3</v>
      </c>
      <c r="BC49" s="50"/>
      <c r="BD49" s="50">
        <v>0.26</v>
      </c>
      <c r="BE49" s="50"/>
      <c r="BF49" s="50">
        <v>0.44</v>
      </c>
      <c r="BG49" s="50"/>
      <c r="BH49" s="50">
        <v>0.38</v>
      </c>
      <c r="BI49" s="50"/>
      <c r="BJ49" s="50">
        <f>+BB49+BD49+BF49+BH49</f>
        <v>1.38</v>
      </c>
      <c r="BK49" s="57">
        <v>0.94</v>
      </c>
      <c r="BL49" s="91">
        <f>+BJ49+AY49</f>
        <v>2.38</v>
      </c>
      <c r="BM49" s="57">
        <v>1</v>
      </c>
      <c r="BN49" s="50"/>
      <c r="BO49" s="50"/>
      <c r="BP49" s="50"/>
      <c r="BQ49" s="50"/>
      <c r="BR49" s="50"/>
      <c r="BS49" s="50"/>
      <c r="BT49" s="50"/>
      <c r="BU49" s="50"/>
      <c r="BV49" s="50"/>
      <c r="BW49" s="50"/>
      <c r="BX49" s="50"/>
      <c r="BY49" s="50"/>
      <c r="BZ49" s="50"/>
      <c r="CA49" s="50"/>
      <c r="CB49" s="49"/>
      <c r="CC49" s="59"/>
      <c r="CD49" s="60"/>
      <c r="CE49" s="50"/>
      <c r="CF49" s="61"/>
      <c r="CG49" s="61"/>
      <c r="CH49" s="49"/>
      <c r="CI49" s="49"/>
      <c r="CJ49" s="49"/>
      <c r="CK49" s="49"/>
      <c r="CL49" s="49"/>
      <c r="CM49" s="49"/>
      <c r="CN49" s="49"/>
      <c r="CO49" s="50"/>
      <c r="CP49" s="50"/>
      <c r="CQ49" s="49"/>
      <c r="CR49" s="49"/>
      <c r="CS49" s="49"/>
      <c r="CT49" s="49"/>
      <c r="CU49" s="49"/>
      <c r="CV49" s="49"/>
      <c r="CW49" s="49"/>
      <c r="CX49" s="49"/>
    </row>
    <row r="50" spans="1:102" ht="21" customHeight="1" x14ac:dyDescent="0.2">
      <c r="A50" s="1811"/>
      <c r="B50" s="1807"/>
      <c r="C50" s="49"/>
      <c r="D50" s="50"/>
      <c r="E50" s="49"/>
      <c r="F50" s="49"/>
      <c r="G50" s="49"/>
      <c r="H50" s="49"/>
      <c r="I50" s="49"/>
      <c r="J50" s="49"/>
      <c r="K50" s="49"/>
      <c r="L50" s="49"/>
      <c r="M50" s="49"/>
      <c r="N50" s="49"/>
      <c r="O50" s="49"/>
      <c r="P50" s="49"/>
      <c r="Q50" s="49"/>
      <c r="R50" s="49"/>
      <c r="S50" s="49"/>
      <c r="T50" s="1808"/>
      <c r="U50" s="85"/>
      <c r="V50" s="102"/>
      <c r="W50" s="1427"/>
      <c r="X50" s="72"/>
      <c r="Y50" s="72"/>
      <c r="Z50" s="72"/>
      <c r="AA50" s="72"/>
      <c r="AB50" s="86">
        <f>AVERAGE(AB46:AB49)</f>
        <v>0.17142857142857143</v>
      </c>
      <c r="AC50" s="86">
        <f>AVERAGE(AC46:AC49)</f>
        <v>0.34642857142857142</v>
      </c>
      <c r="AD50" s="86">
        <f>AVERAGE(AD46:AD49)</f>
        <v>0.11761904761904762</v>
      </c>
      <c r="AE50" s="72"/>
      <c r="AF50" s="72"/>
      <c r="AG50" s="72"/>
      <c r="AH50" s="72"/>
      <c r="AI50" s="72"/>
      <c r="AJ50" s="72"/>
      <c r="AK50" s="86">
        <f>AVERAGE(AK46:AK49)</f>
        <v>0.8</v>
      </c>
      <c r="AL50" s="72"/>
      <c r="AM50" s="86">
        <f>AVERAGE(AM46:AM49)</f>
        <v>0.14821428571428572</v>
      </c>
      <c r="AN50" s="72"/>
      <c r="AO50" s="72"/>
      <c r="AP50" s="72"/>
      <c r="AQ50" s="72"/>
      <c r="AR50" s="72"/>
      <c r="AS50" s="72"/>
      <c r="AT50" s="72"/>
      <c r="AU50" s="72"/>
      <c r="AV50" s="72"/>
      <c r="AW50" s="72"/>
      <c r="AX50" s="86">
        <f>AVERAGE(AX46:AX49)</f>
        <v>0.95</v>
      </c>
      <c r="AY50" s="86"/>
      <c r="AZ50" s="86">
        <f>AVERAGE(AZ46:AZ49)</f>
        <v>0.70892857142857146</v>
      </c>
      <c r="BA50" s="72"/>
      <c r="BB50" s="72"/>
      <c r="BC50" s="72"/>
      <c r="BD50" s="72"/>
      <c r="BE50" s="72"/>
      <c r="BF50" s="72"/>
      <c r="BG50" s="72"/>
      <c r="BH50" s="72"/>
      <c r="BI50" s="72"/>
      <c r="BJ50" s="72"/>
      <c r="BK50" s="73">
        <f>AVERAGE(BK46:BK49)</f>
        <v>0.80999999999999994</v>
      </c>
      <c r="BL50" s="50"/>
      <c r="BM50" s="73">
        <f>AVERAGE(BM46:BM49)</f>
        <v>0.96785714285714286</v>
      </c>
      <c r="BN50" s="50"/>
      <c r="BO50" s="50"/>
      <c r="BP50" s="50"/>
      <c r="BQ50" s="50"/>
      <c r="BR50" s="50"/>
      <c r="BS50" s="50"/>
      <c r="BT50" s="50"/>
      <c r="BU50" s="50"/>
      <c r="BV50" s="50"/>
      <c r="BW50" s="50"/>
      <c r="BX50" s="50"/>
      <c r="BY50" s="50"/>
      <c r="BZ50" s="50"/>
      <c r="CA50" s="50"/>
      <c r="CB50" s="49"/>
      <c r="CC50" s="59"/>
      <c r="CD50" s="60"/>
      <c r="CE50" s="50"/>
      <c r="CF50" s="61"/>
      <c r="CG50" s="61"/>
      <c r="CH50" s="49"/>
      <c r="CI50" s="49"/>
      <c r="CJ50" s="49"/>
      <c r="CK50" s="49"/>
      <c r="CL50" s="49"/>
      <c r="CM50" s="49"/>
      <c r="CN50" s="49"/>
      <c r="CO50" s="50"/>
      <c r="CP50" s="50"/>
      <c r="CQ50" s="49"/>
      <c r="CR50" s="49"/>
      <c r="CS50" s="49"/>
      <c r="CT50" s="49"/>
      <c r="CU50" s="49"/>
      <c r="CV50" s="49"/>
      <c r="CW50" s="49"/>
      <c r="CX50" s="49"/>
    </row>
    <row r="51" spans="1:102" ht="30.75" customHeight="1" x14ac:dyDescent="0.2">
      <c r="A51" s="1811"/>
      <c r="B51" s="1807"/>
      <c r="C51" s="49"/>
      <c r="D51" s="50"/>
      <c r="E51" s="49"/>
      <c r="F51" s="49"/>
      <c r="G51" s="49"/>
      <c r="H51" s="49"/>
      <c r="I51" s="49"/>
      <c r="J51" s="49"/>
      <c r="K51" s="49"/>
      <c r="L51" s="49"/>
      <c r="M51" s="49"/>
      <c r="N51" s="49"/>
      <c r="O51" s="49"/>
      <c r="P51" s="49"/>
      <c r="Q51" s="49"/>
      <c r="R51" s="49"/>
      <c r="S51" s="49"/>
      <c r="T51" s="1809" t="s">
        <v>256</v>
      </c>
      <c r="U51" s="51" t="s">
        <v>257</v>
      </c>
      <c r="V51" s="51" t="s">
        <v>258</v>
      </c>
      <c r="W51" s="1425" t="s">
        <v>259</v>
      </c>
      <c r="X51" s="50">
        <f>7000-2350</f>
        <v>4650</v>
      </c>
      <c r="Y51" s="83">
        <v>150</v>
      </c>
      <c r="Z51" s="83">
        <v>750</v>
      </c>
      <c r="AA51" s="83">
        <v>900</v>
      </c>
      <c r="AB51" s="54">
        <f>+Y51/X51</f>
        <v>3.2258064516129031E-2</v>
      </c>
      <c r="AC51" s="54">
        <f>+Z51/X51</f>
        <v>0.16129032258064516</v>
      </c>
      <c r="AD51" s="54">
        <f>AA51/X51</f>
        <v>0.19354838709677419</v>
      </c>
      <c r="AE51" s="61">
        <v>0</v>
      </c>
      <c r="AF51" s="61">
        <v>0</v>
      </c>
      <c r="AG51" s="50"/>
      <c r="AH51" s="50">
        <v>0</v>
      </c>
      <c r="AI51" s="50"/>
      <c r="AJ51" s="50">
        <f>+AE51+AH51</f>
        <v>0</v>
      </c>
      <c r="AK51" s="54">
        <f>+AJ51/Y51</f>
        <v>0</v>
      </c>
      <c r="AL51" s="50">
        <f>+AJ51</f>
        <v>0</v>
      </c>
      <c r="AM51" s="54">
        <f t="shared" ref="AM51:AM56" si="16">+AL51/X51</f>
        <v>0</v>
      </c>
      <c r="AN51" s="83">
        <v>750</v>
      </c>
      <c r="AO51" s="50">
        <v>0</v>
      </c>
      <c r="AP51" s="50"/>
      <c r="AQ51" s="50"/>
      <c r="AR51" s="50"/>
      <c r="AS51" s="50"/>
      <c r="AT51" s="50"/>
      <c r="AU51" s="50">
        <v>800</v>
      </c>
      <c r="AV51" s="50"/>
      <c r="AW51" s="50">
        <f>+AU51</f>
        <v>800</v>
      </c>
      <c r="AX51" s="54">
        <v>1</v>
      </c>
      <c r="AY51" s="50">
        <f>+AW51+AL51</f>
        <v>800</v>
      </c>
      <c r="AZ51" s="65">
        <v>0.17</v>
      </c>
      <c r="BA51" s="83">
        <f>AA51</f>
        <v>900</v>
      </c>
      <c r="BB51" s="50">
        <v>0</v>
      </c>
      <c r="BC51" s="50"/>
      <c r="BD51" s="50">
        <v>1391</v>
      </c>
      <c r="BE51" s="50"/>
      <c r="BF51" s="50">
        <v>551</v>
      </c>
      <c r="BG51" s="50"/>
      <c r="BH51" s="50">
        <v>661</v>
      </c>
      <c r="BI51" s="50"/>
      <c r="BJ51" s="50">
        <f>+BD51+BF51+BH51</f>
        <v>2603</v>
      </c>
      <c r="BK51" s="57">
        <v>1</v>
      </c>
      <c r="BL51" s="50">
        <f>BJ51+AY51</f>
        <v>3403</v>
      </c>
      <c r="BM51" s="65">
        <f>BL51/X51</f>
        <v>0.7318279569892473</v>
      </c>
      <c r="BN51" s="50"/>
      <c r="BO51" s="50"/>
      <c r="BP51" s="50"/>
      <c r="BQ51" s="50"/>
      <c r="BR51" s="50"/>
      <c r="BS51" s="50"/>
      <c r="BT51" s="50"/>
      <c r="BU51" s="50"/>
      <c r="BV51" s="50"/>
      <c r="BW51" s="50"/>
      <c r="BX51" s="50"/>
      <c r="BY51" s="50"/>
      <c r="BZ51" s="50"/>
      <c r="CA51" s="50"/>
      <c r="CB51" s="49"/>
      <c r="CC51" s="59"/>
      <c r="CD51" s="60"/>
      <c r="CE51" s="50"/>
      <c r="CF51" s="61"/>
      <c r="CG51" s="61"/>
      <c r="CH51" s="49"/>
      <c r="CI51" s="49"/>
      <c r="CJ51" s="49"/>
      <c r="CK51" s="49"/>
      <c r="CL51" s="49"/>
      <c r="CM51" s="49"/>
      <c r="CN51" s="49"/>
      <c r="CO51" s="50"/>
      <c r="CP51" s="50"/>
      <c r="CQ51" s="49"/>
      <c r="CR51" s="49"/>
      <c r="CS51" s="49"/>
      <c r="CT51" s="49"/>
      <c r="CU51" s="49"/>
      <c r="CV51" s="49"/>
      <c r="CW51" s="49"/>
      <c r="CX51" s="49"/>
    </row>
    <row r="52" spans="1:102" ht="37.5" customHeight="1" x14ac:dyDescent="0.2">
      <c r="A52" s="1811"/>
      <c r="B52" s="1807"/>
      <c r="C52" s="49"/>
      <c r="D52" s="50"/>
      <c r="E52" s="49"/>
      <c r="F52" s="49"/>
      <c r="G52" s="49"/>
      <c r="H52" s="49"/>
      <c r="I52" s="49"/>
      <c r="J52" s="49"/>
      <c r="K52" s="49"/>
      <c r="L52" s="49"/>
      <c r="M52" s="49"/>
      <c r="N52" s="49"/>
      <c r="O52" s="49"/>
      <c r="P52" s="49"/>
      <c r="Q52" s="49"/>
      <c r="R52" s="49"/>
      <c r="S52" s="49"/>
      <c r="T52" s="1807"/>
      <c r="U52" s="51" t="s">
        <v>260</v>
      </c>
      <c r="V52" s="51" t="s">
        <v>261</v>
      </c>
      <c r="W52" s="1425" t="s">
        <v>262</v>
      </c>
      <c r="X52" s="50">
        <v>1</v>
      </c>
      <c r="Y52" s="54">
        <v>0.3</v>
      </c>
      <c r="Z52" s="87"/>
      <c r="AA52" s="87"/>
      <c r="AB52" s="54">
        <f>+Y52/X52</f>
        <v>0.3</v>
      </c>
      <c r="AC52" s="54"/>
      <c r="AD52" s="54"/>
      <c r="AE52" s="103">
        <v>0.1</v>
      </c>
      <c r="AF52" s="103">
        <v>0.1</v>
      </c>
      <c r="AG52" s="54"/>
      <c r="AH52" s="104">
        <v>0.4</v>
      </c>
      <c r="AI52" s="54"/>
      <c r="AJ52" s="104">
        <f>+AH52</f>
        <v>0.4</v>
      </c>
      <c r="AK52" s="54">
        <v>1</v>
      </c>
      <c r="AL52" s="54">
        <f>+AJ52</f>
        <v>0.4</v>
      </c>
      <c r="AM52" s="54">
        <f t="shared" si="16"/>
        <v>0.4</v>
      </c>
      <c r="AN52" s="87">
        <v>0</v>
      </c>
      <c r="AO52" s="50">
        <v>0</v>
      </c>
      <c r="AP52" s="50"/>
      <c r="AQ52" s="50"/>
      <c r="AR52" s="50"/>
      <c r="AS52" s="50"/>
      <c r="AT52" s="50"/>
      <c r="AU52" s="50"/>
      <c r="AV52" s="50"/>
      <c r="AW52" s="50">
        <v>0</v>
      </c>
      <c r="AX52" s="54"/>
      <c r="AY52" s="54">
        <f>+AW52+AL52</f>
        <v>0.4</v>
      </c>
      <c r="AZ52" s="54">
        <f>+AY52/X52</f>
        <v>0.4</v>
      </c>
      <c r="BA52" s="50"/>
      <c r="BB52" s="50"/>
      <c r="BC52" s="50"/>
      <c r="BD52" s="50"/>
      <c r="BE52" s="50"/>
      <c r="BF52" s="50"/>
      <c r="BG52" s="50"/>
      <c r="BH52" s="50"/>
      <c r="BI52" s="50"/>
      <c r="BJ52" s="50"/>
      <c r="BK52" s="50"/>
      <c r="BL52" s="50"/>
      <c r="BM52" s="54">
        <f>AZ52</f>
        <v>0.4</v>
      </c>
      <c r="BN52" s="50"/>
      <c r="BO52" s="50"/>
      <c r="BP52" s="50"/>
      <c r="BQ52" s="50"/>
      <c r="BR52" s="50"/>
      <c r="BS52" s="50"/>
      <c r="BT52" s="50"/>
      <c r="BU52" s="50"/>
      <c r="BV52" s="50"/>
      <c r="BW52" s="50"/>
      <c r="BX52" s="50"/>
      <c r="BY52" s="50"/>
      <c r="BZ52" s="50"/>
      <c r="CA52" s="50"/>
      <c r="CB52" s="49"/>
      <c r="CC52" s="59"/>
      <c r="CD52" s="60"/>
      <c r="CE52" s="50"/>
      <c r="CF52" s="61"/>
      <c r="CG52" s="61"/>
      <c r="CH52" s="49"/>
      <c r="CI52" s="49"/>
      <c r="CJ52" s="49"/>
      <c r="CK52" s="49"/>
      <c r="CL52" s="49"/>
      <c r="CM52" s="49"/>
      <c r="CN52" s="49"/>
      <c r="CO52" s="50"/>
      <c r="CP52" s="50"/>
      <c r="CQ52" s="49"/>
      <c r="CR52" s="49"/>
      <c r="CS52" s="49"/>
      <c r="CT52" s="49"/>
      <c r="CU52" s="49"/>
      <c r="CV52" s="49"/>
      <c r="CW52" s="49"/>
      <c r="CX52" s="49"/>
    </row>
    <row r="53" spans="1:102" ht="39.75" customHeight="1" x14ac:dyDescent="0.2">
      <c r="A53" s="1811"/>
      <c r="B53" s="1807"/>
      <c r="C53" s="49"/>
      <c r="D53" s="50"/>
      <c r="E53" s="49"/>
      <c r="F53" s="49"/>
      <c r="G53" s="49"/>
      <c r="H53" s="49"/>
      <c r="I53" s="49"/>
      <c r="J53" s="49"/>
      <c r="K53" s="49"/>
      <c r="L53" s="49"/>
      <c r="M53" s="49"/>
      <c r="N53" s="49"/>
      <c r="O53" s="49"/>
      <c r="P53" s="49"/>
      <c r="Q53" s="49"/>
      <c r="R53" s="49"/>
      <c r="S53" s="49"/>
      <c r="T53" s="1807"/>
      <c r="U53" s="51" t="s">
        <v>263</v>
      </c>
      <c r="V53" s="51" t="s">
        <v>264</v>
      </c>
      <c r="W53" s="1425" t="s">
        <v>265</v>
      </c>
      <c r="X53" s="50">
        <v>1</v>
      </c>
      <c r="Y53" s="54">
        <v>0.1</v>
      </c>
      <c r="Z53" s="90">
        <v>0.25</v>
      </c>
      <c r="AA53" s="54">
        <v>0.2</v>
      </c>
      <c r="AB53" s="54">
        <f>+Y53/X53</f>
        <v>0.1</v>
      </c>
      <c r="AC53" s="54">
        <f>+Z53/X53</f>
        <v>0.25</v>
      </c>
      <c r="AD53" s="54">
        <v>0.2</v>
      </c>
      <c r="AE53" s="103">
        <v>0.05</v>
      </c>
      <c r="AF53" s="103">
        <v>0.05</v>
      </c>
      <c r="AG53" s="54"/>
      <c r="AH53" s="54">
        <v>0.2</v>
      </c>
      <c r="AI53" s="54"/>
      <c r="AJ53" s="54">
        <f>+AH53</f>
        <v>0.2</v>
      </c>
      <c r="AK53" s="54">
        <v>1</v>
      </c>
      <c r="AL53" s="54">
        <f>+AJ53</f>
        <v>0.2</v>
      </c>
      <c r="AM53" s="54">
        <f t="shared" si="16"/>
        <v>0.2</v>
      </c>
      <c r="AN53" s="90">
        <v>0.25</v>
      </c>
      <c r="AO53" s="50">
        <v>0</v>
      </c>
      <c r="AP53" s="50"/>
      <c r="AQ53" s="50"/>
      <c r="AR53" s="50"/>
      <c r="AS53" s="50">
        <v>0.4</v>
      </c>
      <c r="AT53" s="50"/>
      <c r="AU53" s="50">
        <v>0.2</v>
      </c>
      <c r="AV53" s="50"/>
      <c r="AW53" s="54">
        <v>1</v>
      </c>
      <c r="AX53" s="54">
        <v>1</v>
      </c>
      <c r="AY53" s="54">
        <f>+AU53+AS53+AL53</f>
        <v>0.8</v>
      </c>
      <c r="AZ53" s="54">
        <v>0</v>
      </c>
      <c r="BA53" s="54">
        <v>0.2</v>
      </c>
      <c r="BB53" s="54">
        <v>0</v>
      </c>
      <c r="BC53" s="50"/>
      <c r="BD53" s="50"/>
      <c r="BE53" s="50"/>
      <c r="BF53" s="50">
        <v>0.05</v>
      </c>
      <c r="BG53" s="50"/>
      <c r="BH53" s="50">
        <v>0</v>
      </c>
      <c r="BI53" s="50"/>
      <c r="BJ53" s="54">
        <f>+BF53</f>
        <v>0.05</v>
      </c>
      <c r="BK53" s="54">
        <f>+BJ53/BA53</f>
        <v>0.25</v>
      </c>
      <c r="BL53" s="54">
        <f>+BJ53</f>
        <v>0.05</v>
      </c>
      <c r="BM53" s="54">
        <f>BL53</f>
        <v>0.05</v>
      </c>
      <c r="BN53" s="50"/>
      <c r="BO53" s="50"/>
      <c r="BP53" s="50"/>
      <c r="BQ53" s="50"/>
      <c r="BR53" s="50"/>
      <c r="BS53" s="50"/>
      <c r="BT53" s="50"/>
      <c r="BU53" s="50"/>
      <c r="BV53" s="50"/>
      <c r="BW53" s="50"/>
      <c r="BX53" s="50"/>
      <c r="BY53" s="50"/>
      <c r="BZ53" s="50"/>
      <c r="CA53" s="50"/>
      <c r="CB53" s="49"/>
      <c r="CC53" s="59"/>
      <c r="CD53" s="60"/>
      <c r="CE53" s="50"/>
      <c r="CF53" s="61"/>
      <c r="CG53" s="61"/>
      <c r="CH53" s="49"/>
      <c r="CI53" s="49"/>
      <c r="CJ53" s="49"/>
      <c r="CK53" s="49"/>
      <c r="CL53" s="49"/>
      <c r="CM53" s="49"/>
      <c r="CN53" s="49"/>
      <c r="CO53" s="50"/>
      <c r="CP53" s="50"/>
      <c r="CQ53" s="49"/>
      <c r="CR53" s="49"/>
      <c r="CS53" s="49"/>
      <c r="CT53" s="49"/>
      <c r="CU53" s="49"/>
      <c r="CV53" s="49"/>
      <c r="CW53" s="49"/>
      <c r="CX53" s="49"/>
    </row>
    <row r="54" spans="1:102" ht="29.25" customHeight="1" x14ac:dyDescent="0.2">
      <c r="A54" s="1811"/>
      <c r="B54" s="1807"/>
      <c r="C54" s="49"/>
      <c r="D54" s="50"/>
      <c r="E54" s="49"/>
      <c r="F54" s="49"/>
      <c r="G54" s="49"/>
      <c r="H54" s="49"/>
      <c r="I54" s="49"/>
      <c r="J54" s="49"/>
      <c r="K54" s="49"/>
      <c r="L54" s="49"/>
      <c r="M54" s="49"/>
      <c r="N54" s="49"/>
      <c r="O54" s="49"/>
      <c r="P54" s="49"/>
      <c r="Q54" s="49"/>
      <c r="R54" s="49"/>
      <c r="S54" s="49"/>
      <c r="T54" s="1807"/>
      <c r="U54" s="51" t="s">
        <v>266</v>
      </c>
      <c r="V54" s="51" t="s">
        <v>267</v>
      </c>
      <c r="W54" s="1425" t="s">
        <v>268</v>
      </c>
      <c r="X54" s="50">
        <v>2</v>
      </c>
      <c r="Y54" s="54">
        <v>0.1</v>
      </c>
      <c r="Z54" s="90">
        <v>0.25</v>
      </c>
      <c r="AA54" s="90">
        <v>0.5</v>
      </c>
      <c r="AB54" s="54">
        <v>0.25</v>
      </c>
      <c r="AC54" s="54">
        <f>+Z54/X54</f>
        <v>0.125</v>
      </c>
      <c r="AD54" s="54">
        <v>0.25</v>
      </c>
      <c r="AE54" s="103">
        <v>0</v>
      </c>
      <c r="AF54" s="103">
        <v>0.05</v>
      </c>
      <c r="AG54" s="54"/>
      <c r="AH54" s="54">
        <v>0.1</v>
      </c>
      <c r="AI54" s="54"/>
      <c r="AJ54" s="54">
        <v>0.2</v>
      </c>
      <c r="AK54" s="54">
        <v>1</v>
      </c>
      <c r="AL54" s="88">
        <v>0.2</v>
      </c>
      <c r="AM54" s="54">
        <f t="shared" si="16"/>
        <v>0.1</v>
      </c>
      <c r="AN54" s="90">
        <v>0.25</v>
      </c>
      <c r="AO54" s="50">
        <v>0</v>
      </c>
      <c r="AP54" s="50"/>
      <c r="AQ54" s="50">
        <v>0.1</v>
      </c>
      <c r="AR54" s="50"/>
      <c r="AS54" s="50">
        <v>0.39</v>
      </c>
      <c r="AT54" s="50"/>
      <c r="AU54" s="50">
        <v>1</v>
      </c>
      <c r="AV54" s="50"/>
      <c r="AW54" s="50">
        <f>+AQ54+AS54+AU54</f>
        <v>1.49</v>
      </c>
      <c r="AX54" s="54">
        <v>1</v>
      </c>
      <c r="AY54" s="88">
        <f>+AW54</f>
        <v>1.49</v>
      </c>
      <c r="AZ54" s="54">
        <f>+AY54/X54</f>
        <v>0.745</v>
      </c>
      <c r="BA54" s="54">
        <v>0.25</v>
      </c>
      <c r="BB54" s="54">
        <v>0.25</v>
      </c>
      <c r="BC54" s="50"/>
      <c r="BD54" s="50">
        <v>0</v>
      </c>
      <c r="BE54" s="50"/>
      <c r="BF54" s="50">
        <v>0</v>
      </c>
      <c r="BG54" s="50"/>
      <c r="BH54" s="50">
        <v>0</v>
      </c>
      <c r="BI54" s="50"/>
      <c r="BJ54" s="54">
        <v>0</v>
      </c>
      <c r="BK54" s="54">
        <v>0</v>
      </c>
      <c r="BL54" s="54">
        <f>AZ54</f>
        <v>0.745</v>
      </c>
      <c r="BM54" s="54">
        <f>BL54</f>
        <v>0.745</v>
      </c>
      <c r="BN54" s="50"/>
      <c r="BO54" s="50"/>
      <c r="BP54" s="50"/>
      <c r="BQ54" s="50"/>
      <c r="BR54" s="50"/>
      <c r="BS54" s="50"/>
      <c r="BT54" s="50"/>
      <c r="BU54" s="50"/>
      <c r="BV54" s="50"/>
      <c r="BW54" s="50"/>
      <c r="BX54" s="50"/>
      <c r="BY54" s="50"/>
      <c r="BZ54" s="50"/>
      <c r="CA54" s="50"/>
      <c r="CB54" s="49"/>
      <c r="CC54" s="59"/>
      <c r="CD54" s="60"/>
      <c r="CE54" s="50"/>
      <c r="CF54" s="61"/>
      <c r="CG54" s="61"/>
      <c r="CH54" s="49"/>
      <c r="CI54" s="49"/>
      <c r="CJ54" s="49"/>
      <c r="CK54" s="49"/>
      <c r="CL54" s="49"/>
      <c r="CM54" s="49"/>
      <c r="CN54" s="49"/>
      <c r="CO54" s="50"/>
      <c r="CP54" s="50"/>
      <c r="CQ54" s="49"/>
      <c r="CR54" s="49"/>
      <c r="CS54" s="49"/>
      <c r="CT54" s="49"/>
      <c r="CU54" s="49"/>
      <c r="CV54" s="49"/>
      <c r="CW54" s="49"/>
      <c r="CX54" s="49"/>
    </row>
    <row r="55" spans="1:102" ht="37.5" customHeight="1" x14ac:dyDescent="0.2">
      <c r="A55" s="1811"/>
      <c r="B55" s="1807"/>
      <c r="C55" s="49"/>
      <c r="D55" s="50"/>
      <c r="E55" s="49"/>
      <c r="F55" s="49"/>
      <c r="G55" s="49"/>
      <c r="H55" s="49"/>
      <c r="I55" s="49"/>
      <c r="J55" s="49"/>
      <c r="K55" s="49"/>
      <c r="L55" s="49"/>
      <c r="M55" s="49"/>
      <c r="N55" s="49"/>
      <c r="O55" s="49"/>
      <c r="P55" s="49"/>
      <c r="Q55" s="49"/>
      <c r="R55" s="49"/>
      <c r="S55" s="49"/>
      <c r="T55" s="1807"/>
      <c r="U55" s="51" t="s">
        <v>269</v>
      </c>
      <c r="V55" s="51" t="s">
        <v>267</v>
      </c>
      <c r="W55" s="1425" t="s">
        <v>270</v>
      </c>
      <c r="X55" s="50">
        <v>1</v>
      </c>
      <c r="Y55" s="54">
        <v>0.1</v>
      </c>
      <c r="Z55" s="87">
        <v>0.25</v>
      </c>
      <c r="AA55" s="54">
        <v>0.4</v>
      </c>
      <c r="AB55" s="54">
        <f>+Y55/X55</f>
        <v>0.1</v>
      </c>
      <c r="AC55" s="54">
        <f>+Z55/X55</f>
        <v>0.25</v>
      </c>
      <c r="AD55" s="50" t="s">
        <v>271</v>
      </c>
      <c r="AE55" s="103">
        <v>0</v>
      </c>
      <c r="AF55" s="103">
        <v>0.05</v>
      </c>
      <c r="AG55" s="54"/>
      <c r="AH55" s="54">
        <v>0.2</v>
      </c>
      <c r="AI55" s="54"/>
      <c r="AJ55" s="54">
        <f>+AH55</f>
        <v>0.2</v>
      </c>
      <c r="AK55" s="54">
        <v>1</v>
      </c>
      <c r="AL55" s="54">
        <f>+AJ55</f>
        <v>0.2</v>
      </c>
      <c r="AM55" s="54">
        <f t="shared" si="16"/>
        <v>0.2</v>
      </c>
      <c r="AN55" s="87">
        <v>0.25</v>
      </c>
      <c r="AO55" s="50">
        <v>0</v>
      </c>
      <c r="AP55" s="50"/>
      <c r="AQ55" s="50"/>
      <c r="AR55" s="50"/>
      <c r="AS55" s="50">
        <v>0.2</v>
      </c>
      <c r="AT55" s="50"/>
      <c r="AU55" s="50">
        <v>0.2</v>
      </c>
      <c r="AV55" s="50"/>
      <c r="AW55" s="50">
        <f>+AS55+AU55</f>
        <v>0.4</v>
      </c>
      <c r="AX55" s="54"/>
      <c r="AY55" s="54">
        <f>+AW55+AL55</f>
        <v>0.60000000000000009</v>
      </c>
      <c r="AZ55" s="54">
        <f>+AY55/X55</f>
        <v>0.60000000000000009</v>
      </c>
      <c r="BA55" s="54">
        <v>0.4</v>
      </c>
      <c r="BB55" s="54">
        <v>0</v>
      </c>
      <c r="BC55" s="50"/>
      <c r="BD55" s="50">
        <v>0.2</v>
      </c>
      <c r="BE55" s="50"/>
      <c r="BF55" s="50">
        <v>0.2</v>
      </c>
      <c r="BG55" s="61" t="s">
        <v>2215</v>
      </c>
      <c r="BH55" s="50">
        <v>0</v>
      </c>
      <c r="BI55" s="50"/>
      <c r="BJ55" s="54">
        <f>+BD55+BF55</f>
        <v>0.4</v>
      </c>
      <c r="BK55" s="54">
        <f>+BJ55/BA55</f>
        <v>1</v>
      </c>
      <c r="BL55" s="54">
        <f>AZ55+BJ55</f>
        <v>1</v>
      </c>
      <c r="BM55" s="54">
        <f>BL55</f>
        <v>1</v>
      </c>
      <c r="BN55" s="50"/>
      <c r="BO55" s="50"/>
      <c r="BP55" s="50"/>
      <c r="BQ55" s="50"/>
      <c r="BR55" s="50"/>
      <c r="BS55" s="50"/>
      <c r="BT55" s="50"/>
      <c r="BU55" s="50"/>
      <c r="BV55" s="50"/>
      <c r="BW55" s="50"/>
      <c r="BX55" s="50"/>
      <c r="BY55" s="50"/>
      <c r="BZ55" s="50"/>
      <c r="CA55" s="50"/>
      <c r="CB55" s="49"/>
      <c r="CC55" s="59"/>
      <c r="CD55" s="60"/>
      <c r="CE55" s="50"/>
      <c r="CF55" s="61"/>
      <c r="CG55" s="61"/>
      <c r="CH55" s="49"/>
      <c r="CI55" s="49"/>
      <c r="CJ55" s="49"/>
      <c r="CK55" s="49"/>
      <c r="CL55" s="49"/>
      <c r="CM55" s="49"/>
      <c r="CN55" s="49"/>
      <c r="CO55" s="50"/>
      <c r="CP55" s="50"/>
      <c r="CQ55" s="49"/>
      <c r="CR55" s="49"/>
      <c r="CS55" s="49"/>
      <c r="CT55" s="49"/>
      <c r="CU55" s="49"/>
      <c r="CV55" s="49"/>
      <c r="CW55" s="49"/>
      <c r="CX55" s="49"/>
    </row>
    <row r="56" spans="1:102" ht="61.5" customHeight="1" x14ac:dyDescent="0.2">
      <c r="A56" s="1811"/>
      <c r="B56" s="1807"/>
      <c r="C56" s="62"/>
      <c r="D56" s="63"/>
      <c r="E56" s="62"/>
      <c r="F56" s="62"/>
      <c r="G56" s="62"/>
      <c r="H56" s="62"/>
      <c r="I56" s="62"/>
      <c r="J56" s="62"/>
      <c r="K56" s="62"/>
      <c r="L56" s="62"/>
      <c r="M56" s="62"/>
      <c r="N56" s="62"/>
      <c r="O56" s="62"/>
      <c r="P56" s="62"/>
      <c r="Q56" s="62"/>
      <c r="R56" s="62"/>
      <c r="S56" s="62"/>
      <c r="T56" s="1807"/>
      <c r="U56" s="51" t="s">
        <v>272</v>
      </c>
      <c r="V56" s="51" t="s">
        <v>267</v>
      </c>
      <c r="W56" s="1425" t="s">
        <v>273</v>
      </c>
      <c r="X56" s="63">
        <v>1</v>
      </c>
      <c r="Y56" s="65">
        <v>0.05</v>
      </c>
      <c r="Z56" s="105">
        <v>0.25</v>
      </c>
      <c r="AA56" s="65">
        <v>0.2</v>
      </c>
      <c r="AB56" s="65">
        <f>+Y56/X56</f>
        <v>0.05</v>
      </c>
      <c r="AC56" s="54">
        <f>+Z56/X56</f>
        <v>0.25</v>
      </c>
      <c r="AD56" s="54">
        <v>0.2</v>
      </c>
      <c r="AE56" s="63">
        <v>0</v>
      </c>
      <c r="AF56" s="63">
        <v>0.05</v>
      </c>
      <c r="AG56" s="63"/>
      <c r="AH56" s="65">
        <v>0.1</v>
      </c>
      <c r="AI56" s="63"/>
      <c r="AJ56" s="54">
        <v>0.3</v>
      </c>
      <c r="AK56" s="65">
        <v>1</v>
      </c>
      <c r="AL56" s="106">
        <v>0.3</v>
      </c>
      <c r="AM56" s="65">
        <f t="shared" si="16"/>
        <v>0.3</v>
      </c>
      <c r="AN56" s="105">
        <v>0.25</v>
      </c>
      <c r="AO56" s="63">
        <v>0</v>
      </c>
      <c r="AP56" s="63"/>
      <c r="AQ56" s="63"/>
      <c r="AR56" s="63"/>
      <c r="AS56" s="63">
        <v>0.2</v>
      </c>
      <c r="AT56" s="63"/>
      <c r="AU56" s="63">
        <v>0.3</v>
      </c>
      <c r="AV56" s="63"/>
      <c r="AW56" s="63">
        <f>+AS56+AU56</f>
        <v>0.5</v>
      </c>
      <c r="AX56" s="54">
        <v>1</v>
      </c>
      <c r="AY56" s="54">
        <f>+AW56+AL56</f>
        <v>0.8</v>
      </c>
      <c r="AZ56" s="54">
        <f>+AY56/X56</f>
        <v>0.8</v>
      </c>
      <c r="BA56" s="65">
        <v>0.2</v>
      </c>
      <c r="BB56" s="65">
        <v>0</v>
      </c>
      <c r="BC56" s="63"/>
      <c r="BD56" s="63">
        <v>0.05</v>
      </c>
      <c r="BE56" s="63"/>
      <c r="BF56" s="1409">
        <v>0.05</v>
      </c>
      <c r="BG56" s="63" t="s">
        <v>2209</v>
      </c>
      <c r="BH56" s="63">
        <v>0</v>
      </c>
      <c r="BI56" s="63"/>
      <c r="BJ56" s="65">
        <f>+BD56+BF56</f>
        <v>0.1</v>
      </c>
      <c r="BK56" s="65">
        <f>+BJ56/BA56</f>
        <v>0.5</v>
      </c>
      <c r="BL56" s="65">
        <f>AZ56+BJ56</f>
        <v>0.9</v>
      </c>
      <c r="BM56" s="1410">
        <f>BL56</f>
        <v>0.9</v>
      </c>
      <c r="BN56" s="63"/>
      <c r="BO56" s="63"/>
      <c r="BP56" s="63"/>
      <c r="BQ56" s="63"/>
      <c r="BR56" s="63"/>
      <c r="BS56" s="63"/>
      <c r="BT56" s="63"/>
      <c r="BU56" s="63"/>
      <c r="BV56" s="63"/>
      <c r="BW56" s="63"/>
      <c r="BX56" s="63"/>
      <c r="BY56" s="63"/>
      <c r="BZ56" s="63"/>
      <c r="CA56" s="63"/>
      <c r="CB56" s="62"/>
      <c r="CC56" s="68"/>
      <c r="CD56" s="69"/>
      <c r="CE56" s="63"/>
      <c r="CF56" s="70"/>
      <c r="CG56" s="70"/>
      <c r="CH56" s="62"/>
      <c r="CI56" s="62"/>
      <c r="CJ56" s="62"/>
      <c r="CK56" s="62"/>
      <c r="CL56" s="62"/>
      <c r="CM56" s="62"/>
      <c r="CN56" s="62"/>
      <c r="CO56" s="63"/>
      <c r="CP56" s="63"/>
      <c r="CQ56" s="62"/>
      <c r="CR56" s="62"/>
      <c r="CS56" s="62"/>
      <c r="CT56" s="62"/>
      <c r="CU56" s="62"/>
      <c r="CV56" s="62"/>
      <c r="CW56" s="62"/>
      <c r="CX56" s="62"/>
    </row>
    <row r="57" spans="1:102" ht="12.75" customHeight="1" x14ac:dyDescent="0.2">
      <c r="A57" s="1811"/>
      <c r="B57" s="1807"/>
      <c r="C57" s="49"/>
      <c r="D57" s="50"/>
      <c r="E57" s="49"/>
      <c r="F57" s="49"/>
      <c r="G57" s="49"/>
      <c r="H57" s="49"/>
      <c r="I57" s="49"/>
      <c r="J57" s="49"/>
      <c r="K57" s="49"/>
      <c r="L57" s="49"/>
      <c r="M57" s="49"/>
      <c r="N57" s="49"/>
      <c r="O57" s="49"/>
      <c r="P57" s="49"/>
      <c r="Q57" s="49"/>
      <c r="R57" s="49"/>
      <c r="S57" s="49"/>
      <c r="T57" s="1808"/>
      <c r="U57" s="85"/>
      <c r="V57" s="85"/>
      <c r="W57" s="1427"/>
      <c r="X57" s="72"/>
      <c r="Y57" s="72"/>
      <c r="Z57" s="72"/>
      <c r="AA57" s="72"/>
      <c r="AB57" s="86">
        <f>AVERAGE(AB51:AB56)</f>
        <v>0.13870967741935483</v>
      </c>
      <c r="AC57" s="86">
        <f>AVERAGE(AC53:AC56)</f>
        <v>0.21875</v>
      </c>
      <c r="AD57" s="73">
        <f>AVERAGE(AD51:AD56)</f>
        <v>0.21088709677419354</v>
      </c>
      <c r="AE57" s="72"/>
      <c r="AF57" s="72"/>
      <c r="AG57" s="72"/>
      <c r="AH57" s="72"/>
      <c r="AI57" s="72"/>
      <c r="AJ57" s="72"/>
      <c r="AK57" s="86">
        <f>AVERAGE(AK51:AK56)</f>
        <v>0.83333333333333337</v>
      </c>
      <c r="AL57" s="72"/>
      <c r="AM57" s="73">
        <f>AVERAGE(AM51:AM56)</f>
        <v>0.20000000000000004</v>
      </c>
      <c r="AN57" s="72"/>
      <c r="AO57" s="72"/>
      <c r="AP57" s="72"/>
      <c r="AQ57" s="72"/>
      <c r="AR57" s="72"/>
      <c r="AS57" s="72"/>
      <c r="AT57" s="72"/>
      <c r="AU57" s="72"/>
      <c r="AV57" s="72"/>
      <c r="AW57" s="72"/>
      <c r="AX57" s="86">
        <f>AVERAGE(AX51:AX56)</f>
        <v>1</v>
      </c>
      <c r="AY57" s="72"/>
      <c r="AZ57" s="73">
        <f>AVERAGE(AZ51:AZ56)</f>
        <v>0.45249999999999996</v>
      </c>
      <c r="BA57" s="72"/>
      <c r="BB57" s="72"/>
      <c r="BC57" s="72"/>
      <c r="BD57" s="72"/>
      <c r="BE57" s="72"/>
      <c r="BF57" s="72"/>
      <c r="BG57" s="72"/>
      <c r="BH57" s="72"/>
      <c r="BI57" s="72"/>
      <c r="BJ57" s="72"/>
      <c r="BK57" s="107">
        <f>AVERAGE(BK51:BK56)</f>
        <v>0.55000000000000004</v>
      </c>
      <c r="BL57" s="72"/>
      <c r="BM57" s="107">
        <f>AVERAGE(BM51:BM56)</f>
        <v>0.63780465949820786</v>
      </c>
      <c r="BN57" s="72"/>
      <c r="BO57" s="72"/>
      <c r="BP57" s="72"/>
      <c r="BQ57" s="72"/>
      <c r="BR57" s="72"/>
      <c r="BS57" s="72"/>
      <c r="BT57" s="50"/>
      <c r="BU57" s="50"/>
      <c r="BV57" s="50"/>
      <c r="BW57" s="50"/>
      <c r="BX57" s="50"/>
      <c r="BY57" s="50"/>
      <c r="BZ57" s="50"/>
      <c r="CA57" s="50"/>
      <c r="CB57" s="49"/>
      <c r="CC57" s="59"/>
      <c r="CD57" s="60"/>
      <c r="CE57" s="50"/>
      <c r="CF57" s="61"/>
      <c r="CG57" s="61"/>
      <c r="CH57" s="49"/>
      <c r="CI57" s="49"/>
      <c r="CJ57" s="49"/>
      <c r="CK57" s="49"/>
      <c r="CL57" s="49"/>
      <c r="CM57" s="49"/>
      <c r="CN57" s="49"/>
      <c r="CO57" s="50"/>
      <c r="CP57" s="50"/>
      <c r="CQ57" s="49"/>
      <c r="CR57" s="49"/>
      <c r="CS57" s="49"/>
      <c r="CT57" s="49"/>
      <c r="CU57" s="49"/>
      <c r="CV57" s="49"/>
      <c r="CW57" s="49"/>
      <c r="CX57" s="49"/>
    </row>
    <row r="58" spans="1:102" ht="12.75" customHeight="1" x14ac:dyDescent="0.2">
      <c r="A58" s="1811"/>
      <c r="B58" s="1808"/>
      <c r="C58" s="49"/>
      <c r="D58" s="50"/>
      <c r="E58" s="49"/>
      <c r="F58" s="49"/>
      <c r="G58" s="49"/>
      <c r="H58" s="49"/>
      <c r="I58" s="49"/>
      <c r="J58" s="49"/>
      <c r="K58" s="49"/>
      <c r="L58" s="49"/>
      <c r="M58" s="49"/>
      <c r="N58" s="49"/>
      <c r="O58" s="49"/>
      <c r="P58" s="49"/>
      <c r="Q58" s="49"/>
      <c r="R58" s="49"/>
      <c r="S58" s="49"/>
      <c r="T58" s="108"/>
      <c r="U58" s="109"/>
      <c r="V58" s="109"/>
      <c r="W58" s="1429"/>
      <c r="X58" s="110"/>
      <c r="Y58" s="110"/>
      <c r="Z58" s="110"/>
      <c r="AA58" s="110"/>
      <c r="AB58" s="111">
        <f>+(AB57+AB50+AB45+AB40+AB36+AB24+AB18+AB8)/8</f>
        <v>0.2188879633553133</v>
      </c>
      <c r="AC58" s="111">
        <f>+(AC57+AC50+AC45+AC40+AC36+AC24+AC18+AC8)/8</f>
        <v>0.34434379839334106</v>
      </c>
      <c r="AD58" s="112">
        <f>+(AD57+AD50+AD45+AD40+AD36+AD24+AD18+AD8)/8</f>
        <v>0.29316749117471969</v>
      </c>
      <c r="AE58" s="110"/>
      <c r="AF58" s="110"/>
      <c r="AG58" s="110"/>
      <c r="AH58" s="110"/>
      <c r="AI58" s="110"/>
      <c r="AJ58" s="110"/>
      <c r="AK58" s="113">
        <f>+(AK57+AK50+AK45+AK40+AK36+AK24+AK18+AK8)/8</f>
        <v>0.79085272458517386</v>
      </c>
      <c r="AL58" s="110"/>
      <c r="AM58" s="113">
        <f>+(AM57+AM50+AM45+AM40+AM36+AM24+AM18+AM8)/8</f>
        <v>0.19296454113433995</v>
      </c>
      <c r="AN58" s="110"/>
      <c r="AO58" s="110"/>
      <c r="AP58" s="110"/>
      <c r="AQ58" s="110"/>
      <c r="AR58" s="110"/>
      <c r="AS58" s="110"/>
      <c r="AT58" s="110"/>
      <c r="AU58" s="110"/>
      <c r="AV58" s="110"/>
      <c r="AW58" s="110"/>
      <c r="AX58" s="112">
        <f>+(AX57+AX50+AX45+AX40+AX36+AX24+AX18+AX8)/8</f>
        <v>0.92877773268398278</v>
      </c>
      <c r="AY58" s="112"/>
      <c r="AZ58" s="112">
        <f>+(AZ57+AZ50+AZ45+AZ40+AZ36+AZ24+AZ18+AZ8)/8</f>
        <v>0.48534737393534644</v>
      </c>
      <c r="BA58" s="110"/>
      <c r="BB58" s="110"/>
      <c r="BC58" s="110"/>
      <c r="BD58" s="110"/>
      <c r="BE58" s="110"/>
      <c r="BF58" s="110"/>
      <c r="BG58" s="110"/>
      <c r="BH58" s="110"/>
      <c r="BI58" s="110"/>
      <c r="BJ58" s="110"/>
      <c r="BK58" s="113">
        <f>+(BK57+BK50+BK45+BK40+BK36+BK24+BK18+BK8)/8</f>
        <v>0.80046249999999997</v>
      </c>
      <c r="BL58" s="110"/>
      <c r="BM58" s="113">
        <f>+(BM57+BM50+BM45+BM40+BM36+BM24+BM18+BM8)/8</f>
        <v>0.72355565936069133</v>
      </c>
      <c r="BN58" s="110"/>
      <c r="BO58" s="110"/>
      <c r="BP58" s="110"/>
      <c r="BQ58" s="110"/>
      <c r="BR58" s="110"/>
      <c r="BS58" s="110"/>
      <c r="BT58" s="50"/>
      <c r="BU58" s="50"/>
      <c r="BV58" s="50"/>
      <c r="BW58" s="50"/>
      <c r="BX58" s="50"/>
      <c r="BY58" s="50"/>
      <c r="BZ58" s="50"/>
      <c r="CA58" s="50"/>
      <c r="CB58" s="49"/>
      <c r="CC58" s="59"/>
      <c r="CD58" s="60"/>
      <c r="CE58" s="50"/>
      <c r="CF58" s="61"/>
      <c r="CG58" s="61"/>
      <c r="CH58" s="49"/>
      <c r="CI58" s="49"/>
      <c r="CJ58" s="49"/>
      <c r="CK58" s="49"/>
      <c r="CL58" s="49"/>
      <c r="CM58" s="49"/>
      <c r="CN58" s="49"/>
      <c r="CO58" s="50"/>
      <c r="CP58" s="50"/>
      <c r="CQ58" s="49"/>
      <c r="CR58" s="49"/>
      <c r="CS58" s="49"/>
      <c r="CT58" s="49"/>
      <c r="CU58" s="49"/>
      <c r="CV58" s="49"/>
      <c r="CW58" s="49"/>
      <c r="CX58" s="49"/>
    </row>
    <row r="59" spans="1:102" ht="29.25" customHeight="1" x14ac:dyDescent="0.2">
      <c r="A59" s="1811"/>
      <c r="B59" s="1806" t="s">
        <v>274</v>
      </c>
      <c r="C59" s="49"/>
      <c r="D59" s="50"/>
      <c r="E59" s="49"/>
      <c r="F59" s="49"/>
      <c r="G59" s="49"/>
      <c r="H59" s="49"/>
      <c r="I59" s="49"/>
      <c r="J59" s="49"/>
      <c r="K59" s="49"/>
      <c r="L59" s="49"/>
      <c r="M59" s="49"/>
      <c r="N59" s="49"/>
      <c r="O59" s="49"/>
      <c r="P59" s="49"/>
      <c r="Q59" s="49"/>
      <c r="R59" s="49"/>
      <c r="S59" s="49"/>
      <c r="T59" s="1809" t="s">
        <v>275</v>
      </c>
      <c r="U59" s="51" t="s">
        <v>276</v>
      </c>
      <c r="V59" s="51" t="s">
        <v>277</v>
      </c>
      <c r="W59" s="1425" t="s">
        <v>278</v>
      </c>
      <c r="X59" s="50">
        <v>8</v>
      </c>
      <c r="Y59" s="114">
        <v>1</v>
      </c>
      <c r="Z59" s="114">
        <v>3</v>
      </c>
      <c r="AA59" s="114">
        <v>3</v>
      </c>
      <c r="AB59" s="103">
        <f>+Y59/X59</f>
        <v>0.125</v>
      </c>
      <c r="AC59" s="103">
        <f>+Z59/X59</f>
        <v>0.375</v>
      </c>
      <c r="AD59" s="103">
        <v>0.25</v>
      </c>
      <c r="AE59" s="115">
        <v>0</v>
      </c>
      <c r="AF59" s="115">
        <v>0</v>
      </c>
      <c r="AG59" s="50"/>
      <c r="AH59" s="50">
        <v>0</v>
      </c>
      <c r="AI59" s="50"/>
      <c r="AJ59" s="50">
        <f>+AH59</f>
        <v>0</v>
      </c>
      <c r="AK59" s="54">
        <f>+AJ59/Y59</f>
        <v>0</v>
      </c>
      <c r="AL59" s="50">
        <f>+AJ59</f>
        <v>0</v>
      </c>
      <c r="AM59" s="54">
        <f>+AL59/X59</f>
        <v>0</v>
      </c>
      <c r="AN59" s="116">
        <v>3</v>
      </c>
      <c r="AO59" s="117"/>
      <c r="AP59" s="50"/>
      <c r="AQ59" s="50">
        <v>2</v>
      </c>
      <c r="AR59" s="50"/>
      <c r="AS59" s="50">
        <v>0</v>
      </c>
      <c r="AT59" s="50"/>
      <c r="AU59" s="63">
        <v>2</v>
      </c>
      <c r="AV59" s="50"/>
      <c r="AW59" s="50">
        <f>AO59+AQ59+AU59</f>
        <v>4</v>
      </c>
      <c r="AX59" s="54">
        <v>1</v>
      </c>
      <c r="AY59" s="50">
        <f>+AW59+AL59</f>
        <v>4</v>
      </c>
      <c r="AZ59" s="54">
        <f>+AY59/X59</f>
        <v>0.5</v>
      </c>
      <c r="BA59" s="50">
        <v>3</v>
      </c>
      <c r="BB59" s="50">
        <v>2</v>
      </c>
      <c r="BC59" s="50"/>
      <c r="BD59" s="50">
        <v>1</v>
      </c>
      <c r="BE59" s="50"/>
      <c r="BF59" s="50">
        <v>1</v>
      </c>
      <c r="BG59" s="50" t="s">
        <v>2200</v>
      </c>
      <c r="BH59" s="50">
        <v>4</v>
      </c>
      <c r="BI59" s="50"/>
      <c r="BJ59" s="50">
        <f>BB59+BD59+BF59+BH59</f>
        <v>8</v>
      </c>
      <c r="BK59" s="57">
        <v>1</v>
      </c>
      <c r="BL59" s="50">
        <f>BJ59+AY59</f>
        <v>12</v>
      </c>
      <c r="BM59" s="57">
        <v>1</v>
      </c>
      <c r="BN59" s="50"/>
      <c r="BO59" s="50"/>
      <c r="BP59" s="50"/>
      <c r="BQ59" s="50"/>
      <c r="BR59" s="50"/>
      <c r="BS59" s="50"/>
      <c r="BT59" s="50"/>
      <c r="BU59" s="50"/>
      <c r="BV59" s="50"/>
      <c r="BW59" s="50"/>
      <c r="BX59" s="50"/>
      <c r="BY59" s="50"/>
      <c r="BZ59" s="50"/>
      <c r="CA59" s="50"/>
      <c r="CB59" s="49"/>
      <c r="CC59" s="59"/>
      <c r="CD59" s="60"/>
      <c r="CE59" s="50"/>
      <c r="CF59" s="61"/>
      <c r="CG59" s="61"/>
      <c r="CH59" s="49"/>
      <c r="CI59" s="49"/>
      <c r="CJ59" s="49"/>
      <c r="CK59" s="49"/>
      <c r="CL59" s="49"/>
      <c r="CM59" s="49"/>
      <c r="CN59" s="49"/>
      <c r="CO59" s="50"/>
      <c r="CP59" s="50"/>
      <c r="CQ59" s="49"/>
      <c r="CR59" s="49"/>
      <c r="CS59" s="49"/>
      <c r="CT59" s="49"/>
      <c r="CU59" s="49"/>
      <c r="CV59" s="49"/>
      <c r="CW59" s="49"/>
      <c r="CX59" s="49"/>
    </row>
    <row r="60" spans="1:102" ht="27" customHeight="1" x14ac:dyDescent="0.2">
      <c r="A60" s="1811"/>
      <c r="B60" s="1807"/>
      <c r="C60" s="49"/>
      <c r="D60" s="50"/>
      <c r="E60" s="49"/>
      <c r="F60" s="49"/>
      <c r="G60" s="49"/>
      <c r="H60" s="49"/>
      <c r="I60" s="49"/>
      <c r="J60" s="49"/>
      <c r="K60" s="49"/>
      <c r="L60" s="49"/>
      <c r="M60" s="49"/>
      <c r="N60" s="49"/>
      <c r="O60" s="49"/>
      <c r="P60" s="49"/>
      <c r="Q60" s="49"/>
      <c r="R60" s="49"/>
      <c r="S60" s="49"/>
      <c r="T60" s="1807"/>
      <c r="U60" s="51" t="s">
        <v>279</v>
      </c>
      <c r="V60" s="51">
        <v>41</v>
      </c>
      <c r="W60" s="1425" t="s">
        <v>280</v>
      </c>
      <c r="X60" s="50">
        <v>39</v>
      </c>
      <c r="Y60" s="114">
        <v>5</v>
      </c>
      <c r="Z60" s="114">
        <v>10</v>
      </c>
      <c r="AA60" s="114">
        <v>19</v>
      </c>
      <c r="AB60" s="103">
        <f>+Y60/X60</f>
        <v>0.12820512820512819</v>
      </c>
      <c r="AC60" s="103">
        <f>+Z60/X60</f>
        <v>0.25641025641025639</v>
      </c>
      <c r="AD60" s="103">
        <v>0.45</v>
      </c>
      <c r="AE60" s="115">
        <v>5</v>
      </c>
      <c r="AF60" s="115">
        <v>5</v>
      </c>
      <c r="AG60" s="50"/>
      <c r="AH60" s="50">
        <v>15</v>
      </c>
      <c r="AI60" s="50"/>
      <c r="AJ60" s="50">
        <f>+AH60</f>
        <v>15</v>
      </c>
      <c r="AK60" s="54">
        <v>1</v>
      </c>
      <c r="AL60" s="50">
        <v>15</v>
      </c>
      <c r="AM60" s="54">
        <f>+AL60/X60</f>
        <v>0.38461538461538464</v>
      </c>
      <c r="AN60" s="116">
        <v>10</v>
      </c>
      <c r="AO60" s="117">
        <v>0</v>
      </c>
      <c r="AP60" s="50"/>
      <c r="AQ60" s="50">
        <v>3</v>
      </c>
      <c r="AR60" s="50"/>
      <c r="AS60" s="50">
        <v>0</v>
      </c>
      <c r="AT60" s="50"/>
      <c r="AU60" s="50">
        <v>7</v>
      </c>
      <c r="AV60" s="50"/>
      <c r="AW60" s="50">
        <f>AO60+AQ60+AS60+AU60</f>
        <v>10</v>
      </c>
      <c r="AX60" s="54">
        <f>+AW60/AN60</f>
        <v>1</v>
      </c>
      <c r="AY60" s="50">
        <f>+AW60+AL60</f>
        <v>25</v>
      </c>
      <c r="AZ60" s="54">
        <f>+AY60/39</f>
        <v>0.64102564102564108</v>
      </c>
      <c r="BA60" s="50">
        <v>19</v>
      </c>
      <c r="BB60" s="50">
        <v>0</v>
      </c>
      <c r="BC60" s="50"/>
      <c r="BD60" s="50">
        <v>0</v>
      </c>
      <c r="BE60" s="50"/>
      <c r="BF60" s="50">
        <v>16</v>
      </c>
      <c r="BG60" s="50"/>
      <c r="BH60" s="50">
        <v>4</v>
      </c>
      <c r="BI60" s="50"/>
      <c r="BJ60" s="50">
        <f>BB60+BD60+BF60+BH60</f>
        <v>20</v>
      </c>
      <c r="BK60" s="57">
        <v>1</v>
      </c>
      <c r="BL60" s="50">
        <f>BJ60+AY60</f>
        <v>45</v>
      </c>
      <c r="BM60" s="57">
        <v>1</v>
      </c>
      <c r="BN60" s="50"/>
      <c r="BO60" s="50"/>
      <c r="BP60" s="50"/>
      <c r="BQ60" s="50"/>
      <c r="BR60" s="50"/>
      <c r="BS60" s="50"/>
      <c r="BT60" s="50"/>
      <c r="BU60" s="50"/>
      <c r="BV60" s="50"/>
      <c r="BW60" s="50"/>
      <c r="BX60" s="50"/>
      <c r="BY60" s="50"/>
      <c r="BZ60" s="50"/>
      <c r="CA60" s="50"/>
      <c r="CB60" s="49"/>
      <c r="CC60" s="59"/>
      <c r="CD60" s="60"/>
      <c r="CE60" s="50"/>
      <c r="CF60" s="61"/>
      <c r="CG60" s="61"/>
      <c r="CH60" s="49"/>
      <c r="CI60" s="49"/>
      <c r="CJ60" s="49"/>
      <c r="CK60" s="49"/>
      <c r="CL60" s="49"/>
      <c r="CM60" s="49"/>
      <c r="CN60" s="49"/>
      <c r="CO60" s="50"/>
      <c r="CP60" s="50"/>
      <c r="CQ60" s="49"/>
      <c r="CR60" s="49"/>
      <c r="CS60" s="49"/>
      <c r="CT60" s="49"/>
      <c r="CU60" s="49"/>
      <c r="CV60" s="49"/>
      <c r="CW60" s="49"/>
      <c r="CX60" s="49"/>
    </row>
    <row r="61" spans="1:102" ht="29.25" customHeight="1" x14ac:dyDescent="0.2">
      <c r="A61" s="1811"/>
      <c r="B61" s="1807"/>
      <c r="C61" s="49"/>
      <c r="D61" s="50"/>
      <c r="E61" s="49"/>
      <c r="F61" s="49"/>
      <c r="G61" s="49"/>
      <c r="H61" s="49"/>
      <c r="I61" s="49"/>
      <c r="J61" s="49"/>
      <c r="K61" s="49"/>
      <c r="L61" s="49"/>
      <c r="M61" s="49"/>
      <c r="N61" s="49"/>
      <c r="O61" s="49"/>
      <c r="P61" s="49"/>
      <c r="Q61" s="49"/>
      <c r="R61" s="49"/>
      <c r="S61" s="49"/>
      <c r="T61" s="1807"/>
      <c r="U61" s="51" t="s">
        <v>281</v>
      </c>
      <c r="V61" s="51" t="s">
        <v>282</v>
      </c>
      <c r="W61" s="1425" t="s">
        <v>283</v>
      </c>
      <c r="X61" s="50">
        <v>3500</v>
      </c>
      <c r="Y61" s="114" t="s">
        <v>177</v>
      </c>
      <c r="Z61" s="114">
        <v>1500</v>
      </c>
      <c r="AA61" s="114">
        <v>1750</v>
      </c>
      <c r="AB61" s="103"/>
      <c r="AC61" s="103">
        <f>+Z61/X61</f>
        <v>0.42857142857142855</v>
      </c>
      <c r="AD61" s="103">
        <f>AA61/X61</f>
        <v>0.5</v>
      </c>
      <c r="AE61" s="115"/>
      <c r="AF61" s="115"/>
      <c r="AG61" s="50"/>
      <c r="AH61" s="50"/>
      <c r="AI61" s="50"/>
      <c r="AJ61" s="50"/>
      <c r="AK61" s="54"/>
      <c r="AL61" s="50"/>
      <c r="AM61" s="54"/>
      <c r="AN61" s="116">
        <v>1500</v>
      </c>
      <c r="AO61" s="117">
        <v>0</v>
      </c>
      <c r="AP61" s="117"/>
      <c r="AQ61" s="118">
        <v>437.5</v>
      </c>
      <c r="AR61" s="119"/>
      <c r="AS61" s="119">
        <v>260</v>
      </c>
      <c r="AT61" s="117"/>
      <c r="AU61" s="117"/>
      <c r="AV61" s="117"/>
      <c r="AW61" s="50">
        <f>+AQ61+AS61</f>
        <v>697.5</v>
      </c>
      <c r="AX61" s="54">
        <f>AW61/AN61</f>
        <v>0.46500000000000002</v>
      </c>
      <c r="AY61" s="50">
        <f>+AW61+AL61</f>
        <v>697.5</v>
      </c>
      <c r="AZ61" s="54">
        <f>+AY61/X61</f>
        <v>0.19928571428571429</v>
      </c>
      <c r="BA61" s="50">
        <v>1750</v>
      </c>
      <c r="BB61" s="50">
        <v>0</v>
      </c>
      <c r="BC61" s="50"/>
      <c r="BD61" s="50">
        <f>0.25*BA61</f>
        <v>437.5</v>
      </c>
      <c r="BE61" s="50"/>
      <c r="BF61" s="50">
        <v>0</v>
      </c>
      <c r="BG61" s="50"/>
      <c r="BH61" s="50">
        <v>24133.5</v>
      </c>
      <c r="BI61" s="50"/>
      <c r="BJ61" s="50">
        <f>+BD61+BH61</f>
        <v>24571</v>
      </c>
      <c r="BK61" s="57">
        <v>1</v>
      </c>
      <c r="BL61" s="50">
        <f>BJ61+AY61</f>
        <v>25268.5</v>
      </c>
      <c r="BM61" s="55">
        <v>1</v>
      </c>
      <c r="BN61" s="50"/>
      <c r="BO61" s="50"/>
      <c r="BP61" s="50"/>
      <c r="BQ61" s="50"/>
      <c r="BR61" s="50"/>
      <c r="BS61" s="50"/>
      <c r="BT61" s="50"/>
      <c r="BU61" s="50"/>
      <c r="BV61" s="50"/>
      <c r="BW61" s="50"/>
      <c r="BX61" s="50"/>
      <c r="BY61" s="50"/>
      <c r="BZ61" s="50"/>
      <c r="CA61" s="50"/>
      <c r="CB61" s="49"/>
      <c r="CC61" s="59"/>
      <c r="CD61" s="60"/>
      <c r="CE61" s="50"/>
      <c r="CF61" s="61"/>
      <c r="CG61" s="61"/>
      <c r="CH61" s="49"/>
      <c r="CI61" s="49"/>
      <c r="CJ61" s="49"/>
      <c r="CK61" s="49"/>
      <c r="CL61" s="49"/>
      <c r="CM61" s="49"/>
      <c r="CN61" s="49"/>
      <c r="CO61" s="50"/>
      <c r="CP61" s="50"/>
      <c r="CQ61" s="49"/>
      <c r="CR61" s="49"/>
      <c r="CS61" s="49"/>
      <c r="CT61" s="49"/>
      <c r="CU61" s="49"/>
      <c r="CV61" s="49"/>
      <c r="CW61" s="49"/>
      <c r="CX61" s="49"/>
    </row>
    <row r="62" spans="1:102" ht="38.25" customHeight="1" x14ac:dyDescent="0.2">
      <c r="A62" s="1811"/>
      <c r="B62" s="1807"/>
      <c r="C62" s="49"/>
      <c r="D62" s="50"/>
      <c r="E62" s="49"/>
      <c r="F62" s="49"/>
      <c r="G62" s="49"/>
      <c r="H62" s="49"/>
      <c r="I62" s="49"/>
      <c r="J62" s="49"/>
      <c r="K62" s="49"/>
      <c r="L62" s="49"/>
      <c r="M62" s="49"/>
      <c r="N62" s="49"/>
      <c r="O62" s="49"/>
      <c r="P62" s="49"/>
      <c r="Q62" s="49"/>
      <c r="R62" s="49"/>
      <c r="S62" s="49"/>
      <c r="T62" s="1807"/>
      <c r="U62" s="51" t="s">
        <v>284</v>
      </c>
      <c r="V62" s="51" t="s">
        <v>277</v>
      </c>
      <c r="W62" s="1425" t="s">
        <v>285</v>
      </c>
      <c r="X62" s="54">
        <v>1</v>
      </c>
      <c r="Y62" s="120">
        <v>0.25</v>
      </c>
      <c r="Z62" s="121">
        <v>0.5</v>
      </c>
      <c r="AA62" s="114">
        <v>1</v>
      </c>
      <c r="AB62" s="103">
        <f>+Y62/X62</f>
        <v>0.25</v>
      </c>
      <c r="AC62" s="103">
        <f>+Z62</f>
        <v>0.5</v>
      </c>
      <c r="AD62" s="103">
        <v>0.25</v>
      </c>
      <c r="AE62" s="122">
        <v>0</v>
      </c>
      <c r="AF62" s="122">
        <v>0.125</v>
      </c>
      <c r="AG62" s="54"/>
      <c r="AH62" s="122">
        <v>0.02</v>
      </c>
      <c r="AI62" s="54"/>
      <c r="AJ62" s="54">
        <f>+AH62</f>
        <v>0.02</v>
      </c>
      <c r="AK62" s="54">
        <f>+AJ62/Y62</f>
        <v>0.08</v>
      </c>
      <c r="AL62" s="54">
        <f>+AJ62</f>
        <v>0.02</v>
      </c>
      <c r="AM62" s="54">
        <f>+AL62/X62</f>
        <v>0.02</v>
      </c>
      <c r="AN62" s="123">
        <v>0.5</v>
      </c>
      <c r="AO62" s="124">
        <v>0.2</v>
      </c>
      <c r="AP62" s="117"/>
      <c r="AQ62" s="124">
        <v>0</v>
      </c>
      <c r="AR62" s="117"/>
      <c r="AS62" s="117"/>
      <c r="AT62" s="117"/>
      <c r="AU62" s="124">
        <v>0.2</v>
      </c>
      <c r="AV62" s="117"/>
      <c r="AW62" s="54">
        <f>+AU62+AO62</f>
        <v>0.4</v>
      </c>
      <c r="AX62" s="54">
        <f>+AW62*AN62</f>
        <v>0.2</v>
      </c>
      <c r="AY62" s="54">
        <f>+AX62+AL62</f>
        <v>0.22</v>
      </c>
      <c r="AZ62" s="54">
        <f>+AY62/X62</f>
        <v>0.22</v>
      </c>
      <c r="BA62" s="54">
        <v>0.25</v>
      </c>
      <c r="BB62" s="50">
        <v>0.1</v>
      </c>
      <c r="BC62" s="1152" t="s">
        <v>2167</v>
      </c>
      <c r="BD62" s="50">
        <v>0.08</v>
      </c>
      <c r="BE62" s="50"/>
      <c r="BF62" s="1474">
        <v>7.0000000000000007E-2</v>
      </c>
      <c r="BG62" s="50"/>
      <c r="BH62" s="1474">
        <v>0.25</v>
      </c>
      <c r="BI62" s="50"/>
      <c r="BJ62" s="1474">
        <f>+BB62+BD62+BF62+BH62</f>
        <v>0.5</v>
      </c>
      <c r="BK62" s="1695">
        <f>+BJ62</f>
        <v>0.5</v>
      </c>
      <c r="BL62" s="54">
        <v>0.5</v>
      </c>
      <c r="BM62" s="1153">
        <v>0.5</v>
      </c>
      <c r="BN62" s="50"/>
      <c r="BO62" s="50"/>
      <c r="BP62" s="50"/>
      <c r="BQ62" s="50"/>
      <c r="BR62" s="50"/>
      <c r="BS62" s="50"/>
      <c r="BT62" s="50"/>
      <c r="BU62" s="50"/>
      <c r="BV62" s="50"/>
      <c r="BW62" s="50"/>
      <c r="BX62" s="50"/>
      <c r="BY62" s="50"/>
      <c r="BZ62" s="50"/>
      <c r="CA62" s="50"/>
      <c r="CB62" s="49"/>
      <c r="CC62" s="59"/>
      <c r="CD62" s="60"/>
      <c r="CE62" s="50"/>
      <c r="CF62" s="61"/>
      <c r="CG62" s="61"/>
      <c r="CH62" s="49"/>
      <c r="CI62" s="49"/>
      <c r="CJ62" s="49"/>
      <c r="CK62" s="49"/>
      <c r="CL62" s="49"/>
      <c r="CM62" s="49"/>
      <c r="CN62" s="49"/>
      <c r="CO62" s="50"/>
      <c r="CP62" s="50"/>
      <c r="CQ62" s="49"/>
      <c r="CR62" s="49"/>
      <c r="CS62" s="49"/>
      <c r="CT62" s="49"/>
      <c r="CU62" s="49"/>
      <c r="CV62" s="49"/>
      <c r="CW62" s="49"/>
      <c r="CX62" s="49"/>
    </row>
    <row r="63" spans="1:102" ht="21" customHeight="1" x14ac:dyDescent="0.2">
      <c r="A63" s="1811"/>
      <c r="B63" s="1807"/>
      <c r="C63" s="49"/>
      <c r="D63" s="50"/>
      <c r="E63" s="49"/>
      <c r="F63" s="49"/>
      <c r="G63" s="49"/>
      <c r="H63" s="49"/>
      <c r="I63" s="49"/>
      <c r="J63" s="49"/>
      <c r="K63" s="49"/>
      <c r="L63" s="49"/>
      <c r="M63" s="49"/>
      <c r="N63" s="49"/>
      <c r="O63" s="49"/>
      <c r="P63" s="49"/>
      <c r="Q63" s="49"/>
      <c r="R63" s="49"/>
      <c r="S63" s="49"/>
      <c r="T63" s="1808"/>
      <c r="U63" s="85"/>
      <c r="V63" s="85"/>
      <c r="W63" s="1430"/>
      <c r="X63" s="72"/>
      <c r="Y63" s="72"/>
      <c r="Z63" s="72"/>
      <c r="AA63" s="72"/>
      <c r="AB63" s="86">
        <f>AVERAGE(AB59:AB62)</f>
        <v>0.16773504273504272</v>
      </c>
      <c r="AC63" s="86">
        <f>AVERAGE(AC59:AC62)</f>
        <v>0.38999542124542125</v>
      </c>
      <c r="AD63" s="73">
        <f>AVERAGE(AD59:AD62)</f>
        <v>0.36249999999999999</v>
      </c>
      <c r="AE63" s="72"/>
      <c r="AF63" s="72"/>
      <c r="AG63" s="72"/>
      <c r="AH63" s="72"/>
      <c r="AI63" s="72"/>
      <c r="AJ63" s="72"/>
      <c r="AK63" s="86">
        <f>AVERAGE(AK59:AK62)</f>
        <v>0.36000000000000004</v>
      </c>
      <c r="AL63" s="72"/>
      <c r="AM63" s="73">
        <f>AVERAGE(AM59:AM62)</f>
        <v>0.13487179487179488</v>
      </c>
      <c r="AN63" s="72"/>
      <c r="AO63" s="72"/>
      <c r="AP63" s="72"/>
      <c r="AQ63" s="72"/>
      <c r="AR63" s="72"/>
      <c r="AS63" s="72"/>
      <c r="AT63" s="72"/>
      <c r="AU63" s="72"/>
      <c r="AV63" s="72"/>
      <c r="AW63" s="72"/>
      <c r="AX63" s="86">
        <f>AVERAGE(AX59:AX62)</f>
        <v>0.66625000000000001</v>
      </c>
      <c r="AY63" s="125"/>
      <c r="AZ63" s="73">
        <f>AVERAGE(AZ59:AZ62)</f>
        <v>0.39007783882783881</v>
      </c>
      <c r="BA63" s="61"/>
      <c r="BB63" s="50"/>
      <c r="BC63" s="1021"/>
      <c r="BD63" s="50"/>
      <c r="BE63" s="50"/>
      <c r="BF63" s="50"/>
      <c r="BG63" s="50"/>
      <c r="BH63" s="50"/>
      <c r="BI63" s="50"/>
      <c r="BJ63" s="50"/>
      <c r="BK63" s="73">
        <f>AVERAGE(BK59:BK62)</f>
        <v>0.875</v>
      </c>
      <c r="BL63" s="50"/>
      <c r="BM63" s="73">
        <f>AVERAGE(BM59:BM62)</f>
        <v>0.875</v>
      </c>
      <c r="BN63" s="50"/>
      <c r="BO63" s="50"/>
      <c r="BP63" s="50"/>
      <c r="BQ63" s="50"/>
      <c r="BR63" s="50"/>
      <c r="BS63" s="50"/>
      <c r="BT63" s="50"/>
      <c r="BU63" s="50"/>
      <c r="BV63" s="50"/>
      <c r="BW63" s="50"/>
      <c r="BX63" s="50"/>
      <c r="BY63" s="50"/>
      <c r="BZ63" s="50"/>
      <c r="CA63" s="50"/>
      <c r="CB63" s="49"/>
      <c r="CC63" s="59"/>
      <c r="CD63" s="60"/>
      <c r="CE63" s="50"/>
      <c r="CF63" s="61"/>
      <c r="CG63" s="61"/>
      <c r="CH63" s="49"/>
      <c r="CI63" s="49"/>
      <c r="CJ63" s="49"/>
      <c r="CK63" s="49"/>
      <c r="CL63" s="49"/>
      <c r="CM63" s="49"/>
      <c r="CN63" s="49"/>
      <c r="CO63" s="50"/>
      <c r="CP63" s="50"/>
      <c r="CQ63" s="49"/>
      <c r="CR63" s="49"/>
      <c r="CS63" s="49"/>
      <c r="CT63" s="49"/>
      <c r="CU63" s="49"/>
      <c r="CV63" s="49"/>
      <c r="CW63" s="49"/>
      <c r="CX63" s="49"/>
    </row>
    <row r="64" spans="1:102" ht="41.25" customHeight="1" x14ac:dyDescent="0.2">
      <c r="A64" s="1811"/>
      <c r="B64" s="1807"/>
      <c r="C64" s="49"/>
      <c r="D64" s="50"/>
      <c r="E64" s="49"/>
      <c r="F64" s="49"/>
      <c r="G64" s="49"/>
      <c r="H64" s="49"/>
      <c r="I64" s="49"/>
      <c r="J64" s="49"/>
      <c r="K64" s="49"/>
      <c r="L64" s="49"/>
      <c r="M64" s="49"/>
      <c r="N64" s="49"/>
      <c r="O64" s="49"/>
      <c r="P64" s="49"/>
      <c r="Q64" s="49"/>
      <c r="R64" s="49"/>
      <c r="S64" s="49"/>
      <c r="T64" s="1809" t="s">
        <v>286</v>
      </c>
      <c r="U64" s="53" t="s">
        <v>287</v>
      </c>
      <c r="V64" s="51" t="s">
        <v>288</v>
      </c>
      <c r="W64" s="1425" t="s">
        <v>289</v>
      </c>
      <c r="X64" s="56">
        <v>100000</v>
      </c>
      <c r="Y64" s="126">
        <v>10000</v>
      </c>
      <c r="Z64" s="126">
        <v>25000</v>
      </c>
      <c r="AA64" s="126">
        <v>30000</v>
      </c>
      <c r="AB64" s="103">
        <f>+Y64/X64</f>
        <v>0.1</v>
      </c>
      <c r="AC64" s="103">
        <f>+Z64/X64</f>
        <v>0.25</v>
      </c>
      <c r="AD64" s="103">
        <f>AA64/X64</f>
        <v>0.3</v>
      </c>
      <c r="AE64" s="127">
        <v>0</v>
      </c>
      <c r="AF64" s="115">
        <v>2770</v>
      </c>
      <c r="AG64" s="50"/>
      <c r="AH64" s="50">
        <v>2770</v>
      </c>
      <c r="AI64" s="50"/>
      <c r="AJ64" s="50">
        <f>+AH64</f>
        <v>2770</v>
      </c>
      <c r="AK64" s="54">
        <f>+AJ64/Y64</f>
        <v>0.27700000000000002</v>
      </c>
      <c r="AL64" s="50">
        <f>+AJ64</f>
        <v>2770</v>
      </c>
      <c r="AM64" s="54">
        <f>+AJ64/X64</f>
        <v>2.7699999999999999E-2</v>
      </c>
      <c r="AN64" s="128">
        <v>25000</v>
      </c>
      <c r="AO64" s="117">
        <v>1542</v>
      </c>
      <c r="AP64" s="50"/>
      <c r="AQ64" s="50">
        <v>7434</v>
      </c>
      <c r="AR64" s="50"/>
      <c r="AS64" s="50">
        <v>11905</v>
      </c>
      <c r="AT64" s="50"/>
      <c r="AU64" s="50">
        <v>14515</v>
      </c>
      <c r="AV64" s="50"/>
      <c r="AW64" s="50">
        <f>+AU64+AS64+AQ64+AO64</f>
        <v>35396</v>
      </c>
      <c r="AX64" s="54">
        <v>1</v>
      </c>
      <c r="AY64" s="1150">
        <f>+AW64+AL64</f>
        <v>38166</v>
      </c>
      <c r="AZ64" s="54">
        <f>+AY64/X64</f>
        <v>0.38166</v>
      </c>
      <c r="BA64" s="1150">
        <v>30000</v>
      </c>
      <c r="BB64" s="1150">
        <v>14383.3</v>
      </c>
      <c r="BC64" s="50"/>
      <c r="BD64" s="50">
        <v>18626</v>
      </c>
      <c r="BE64" s="50"/>
      <c r="BF64" s="50">
        <v>35352</v>
      </c>
      <c r="BG64" s="50" t="s">
        <v>2200</v>
      </c>
      <c r="BH64" s="50">
        <v>8591.9</v>
      </c>
      <c r="BI64" s="50"/>
      <c r="BJ64" s="1150">
        <f>+BF64+BB64+BD64+BH64</f>
        <v>76953.2</v>
      </c>
      <c r="BK64" s="57">
        <v>1</v>
      </c>
      <c r="BL64" s="1150">
        <f>+BJ64+AY64</f>
        <v>115119.2</v>
      </c>
      <c r="BM64" s="57">
        <v>1</v>
      </c>
      <c r="BN64" s="50"/>
      <c r="BO64" s="50"/>
      <c r="BP64" s="50"/>
      <c r="BQ64" s="50"/>
      <c r="BR64" s="50"/>
      <c r="BS64" s="50"/>
      <c r="BT64" s="50"/>
      <c r="BU64" s="50"/>
      <c r="BV64" s="50"/>
      <c r="BW64" s="50"/>
      <c r="BX64" s="50"/>
      <c r="BY64" s="50"/>
      <c r="BZ64" s="50"/>
      <c r="CA64" s="50"/>
      <c r="CB64" s="49"/>
      <c r="CC64" s="59"/>
      <c r="CD64" s="60"/>
      <c r="CE64" s="50"/>
      <c r="CF64" s="61"/>
      <c r="CG64" s="61"/>
      <c r="CH64" s="49"/>
      <c r="CI64" s="49"/>
      <c r="CJ64" s="49"/>
      <c r="CK64" s="49"/>
      <c r="CL64" s="49"/>
      <c r="CM64" s="49"/>
      <c r="CN64" s="49"/>
      <c r="CO64" s="50"/>
      <c r="CP64" s="50"/>
      <c r="CQ64" s="49"/>
      <c r="CR64" s="49"/>
      <c r="CS64" s="49"/>
      <c r="CT64" s="49"/>
      <c r="CU64" s="49"/>
      <c r="CV64" s="49"/>
      <c r="CW64" s="49"/>
      <c r="CX64" s="49"/>
    </row>
    <row r="65" spans="1:102" ht="57" customHeight="1" x14ac:dyDescent="0.2">
      <c r="A65" s="1811"/>
      <c r="B65" s="1807"/>
      <c r="C65" s="49"/>
      <c r="D65" s="50"/>
      <c r="E65" s="49"/>
      <c r="F65" s="49"/>
      <c r="G65" s="49"/>
      <c r="H65" s="49"/>
      <c r="I65" s="49"/>
      <c r="J65" s="49"/>
      <c r="K65" s="49"/>
      <c r="L65" s="49"/>
      <c r="M65" s="49"/>
      <c r="N65" s="49"/>
      <c r="O65" s="49"/>
      <c r="P65" s="49"/>
      <c r="Q65" s="49"/>
      <c r="R65" s="49"/>
      <c r="S65" s="49"/>
      <c r="T65" s="1807"/>
      <c r="U65" s="53" t="s">
        <v>290</v>
      </c>
      <c r="V65" s="51" t="s">
        <v>291</v>
      </c>
      <c r="W65" s="1425" t="s">
        <v>292</v>
      </c>
      <c r="X65" s="50">
        <v>9</v>
      </c>
      <c r="Y65" s="114">
        <v>1</v>
      </c>
      <c r="Z65" s="114">
        <v>3</v>
      </c>
      <c r="AA65" s="114">
        <v>3</v>
      </c>
      <c r="AB65" s="103">
        <f>+Y65/X65</f>
        <v>0.1111111111111111</v>
      </c>
      <c r="AC65" s="103">
        <f>+Z65/X65</f>
        <v>0.33333333333333331</v>
      </c>
      <c r="AD65" s="103">
        <f>AA65/X65</f>
        <v>0.33333333333333331</v>
      </c>
      <c r="AE65" s="129">
        <v>1</v>
      </c>
      <c r="AF65" s="114">
        <v>1</v>
      </c>
      <c r="AG65" s="50"/>
      <c r="AH65" s="50">
        <v>2</v>
      </c>
      <c r="AI65" s="50"/>
      <c r="AJ65" s="50">
        <f>+AH65</f>
        <v>2</v>
      </c>
      <c r="AK65" s="54">
        <f>+AJ65/Y65</f>
        <v>2</v>
      </c>
      <c r="AL65" s="50">
        <v>0</v>
      </c>
      <c r="AM65" s="54">
        <f>+AJ65/X65</f>
        <v>0.22222222222222221</v>
      </c>
      <c r="AN65" s="116">
        <v>3</v>
      </c>
      <c r="AO65" s="117">
        <v>2</v>
      </c>
      <c r="AP65" s="50"/>
      <c r="AQ65" s="50">
        <v>2</v>
      </c>
      <c r="AR65" s="50"/>
      <c r="AS65" s="50">
        <v>0</v>
      </c>
      <c r="AT65" s="50"/>
      <c r="AU65" s="50">
        <v>0</v>
      </c>
      <c r="AV65" s="50"/>
      <c r="AW65" s="50">
        <f>AO65+AQ65+AU65</f>
        <v>4</v>
      </c>
      <c r="AX65" s="54">
        <v>1</v>
      </c>
      <c r="AY65" s="50">
        <f>+AW65+AL65</f>
        <v>4</v>
      </c>
      <c r="AZ65" s="54">
        <f>+AY65/X65</f>
        <v>0.44444444444444442</v>
      </c>
      <c r="BA65" s="50">
        <v>3</v>
      </c>
      <c r="BB65" s="50">
        <v>1</v>
      </c>
      <c r="BC65" s="50"/>
      <c r="BD65" s="50">
        <v>1</v>
      </c>
      <c r="BE65" s="50"/>
      <c r="BF65" s="50">
        <v>2</v>
      </c>
      <c r="BG65" s="50"/>
      <c r="BH65" s="50">
        <v>1</v>
      </c>
      <c r="BI65" s="50"/>
      <c r="BJ65" s="50">
        <f>+BF65+BD65+BB65+BH65</f>
        <v>5</v>
      </c>
      <c r="BK65" s="57">
        <v>1</v>
      </c>
      <c r="BL65" s="50">
        <f>BJ65+AY65</f>
        <v>9</v>
      </c>
      <c r="BM65" s="57">
        <f>BL65/X65</f>
        <v>1</v>
      </c>
      <c r="BN65" s="50"/>
      <c r="BO65" s="50"/>
      <c r="BP65" s="50"/>
      <c r="BQ65" s="50"/>
      <c r="BR65" s="50"/>
      <c r="BS65" s="50"/>
      <c r="BT65" s="50"/>
      <c r="BU65" s="50"/>
      <c r="BV65" s="50"/>
      <c r="BW65" s="50"/>
      <c r="BX65" s="50"/>
      <c r="BY65" s="50"/>
      <c r="BZ65" s="50"/>
      <c r="CA65" s="50"/>
      <c r="CB65" s="49"/>
      <c r="CC65" s="59"/>
      <c r="CD65" s="60"/>
      <c r="CE65" s="50"/>
      <c r="CF65" s="61"/>
      <c r="CG65" s="61"/>
      <c r="CH65" s="49"/>
      <c r="CI65" s="49"/>
      <c r="CJ65" s="49"/>
      <c r="CK65" s="49"/>
      <c r="CL65" s="49"/>
      <c r="CM65" s="49"/>
      <c r="CN65" s="49"/>
      <c r="CO65" s="50"/>
      <c r="CP65" s="50"/>
      <c r="CQ65" s="49"/>
      <c r="CR65" s="49"/>
      <c r="CS65" s="49"/>
      <c r="CT65" s="49"/>
      <c r="CU65" s="49"/>
      <c r="CV65" s="49"/>
      <c r="CW65" s="49"/>
      <c r="CX65" s="49"/>
    </row>
    <row r="66" spans="1:102" ht="48.75" customHeight="1" x14ac:dyDescent="0.2">
      <c r="A66" s="1811"/>
      <c r="B66" s="1807"/>
      <c r="C66" s="49"/>
      <c r="D66" s="50"/>
      <c r="E66" s="49"/>
      <c r="F66" s="49"/>
      <c r="G66" s="49"/>
      <c r="H66" s="49"/>
      <c r="I66" s="49"/>
      <c r="J66" s="49"/>
      <c r="K66" s="49"/>
      <c r="L66" s="49"/>
      <c r="M66" s="49"/>
      <c r="N66" s="49"/>
      <c r="O66" s="49"/>
      <c r="P66" s="49"/>
      <c r="Q66" s="49"/>
      <c r="R66" s="49"/>
      <c r="S66" s="49"/>
      <c r="T66" s="1807"/>
      <c r="U66" s="53" t="s">
        <v>293</v>
      </c>
      <c r="V66" s="51" t="s">
        <v>294</v>
      </c>
      <c r="W66" s="1425" t="s">
        <v>295</v>
      </c>
      <c r="X66" s="50">
        <v>200</v>
      </c>
      <c r="Y66" s="114">
        <v>10</v>
      </c>
      <c r="Z66" s="114">
        <v>50</v>
      </c>
      <c r="AA66" s="114">
        <v>70</v>
      </c>
      <c r="AB66" s="103">
        <f>+Y66/X66</f>
        <v>0.05</v>
      </c>
      <c r="AC66" s="103">
        <f>+Z66/X66</f>
        <v>0.25</v>
      </c>
      <c r="AD66" s="103"/>
      <c r="AE66" s="129">
        <v>91</v>
      </c>
      <c r="AF66" s="114">
        <f>+AE66+16</f>
        <v>107</v>
      </c>
      <c r="AG66" s="50"/>
      <c r="AH66" s="50">
        <v>160</v>
      </c>
      <c r="AI66" s="50"/>
      <c r="AJ66" s="50">
        <f>+AH66</f>
        <v>160</v>
      </c>
      <c r="AK66" s="54">
        <v>1</v>
      </c>
      <c r="AL66" s="50">
        <f>+AJ66</f>
        <v>160</v>
      </c>
      <c r="AM66" s="54">
        <f>+AJ66/X66</f>
        <v>0.8</v>
      </c>
      <c r="AN66" s="116">
        <v>50</v>
      </c>
      <c r="AO66" s="117">
        <v>46</v>
      </c>
      <c r="AP66" s="50"/>
      <c r="AQ66" s="50">
        <v>46</v>
      </c>
      <c r="AR66" s="50"/>
      <c r="AS66" s="50">
        <v>18</v>
      </c>
      <c r="AT66" s="50"/>
      <c r="AU66" s="50">
        <v>50</v>
      </c>
      <c r="AV66" s="50"/>
      <c r="AW66" s="50">
        <f>+AO66+AQ66+AS66+AU66</f>
        <v>160</v>
      </c>
      <c r="AX66" s="54">
        <v>1</v>
      </c>
      <c r="AY66" s="50">
        <f>+AW66+AL66</f>
        <v>320</v>
      </c>
      <c r="AZ66" s="54">
        <v>1</v>
      </c>
      <c r="BA66" s="50">
        <v>70</v>
      </c>
      <c r="BB66" s="50">
        <v>117</v>
      </c>
      <c r="BC66" s="50"/>
      <c r="BD66" s="50">
        <v>205</v>
      </c>
      <c r="BE66" s="50"/>
      <c r="BF66" s="50">
        <v>60</v>
      </c>
      <c r="BG66" s="50" t="s">
        <v>2200</v>
      </c>
      <c r="BH66" s="50">
        <v>42</v>
      </c>
      <c r="BI66" s="50"/>
      <c r="BJ66" s="50">
        <f>+BB66+BD66+BF66+BH66</f>
        <v>424</v>
      </c>
      <c r="BK66" s="58">
        <f>IFERROR(IF((+BJ66/BA66)&gt;100%,100%,(+BJ66/BA66)),"NP")</f>
        <v>1</v>
      </c>
      <c r="BL66" s="50">
        <f>BJ66+AY66</f>
        <v>744</v>
      </c>
      <c r="BM66" s="58">
        <f>IFERROR(IF((+BL66/X66)&gt;100%,100%,(+BL66/X66)),"NP")</f>
        <v>1</v>
      </c>
      <c r="BN66" s="50"/>
      <c r="BO66" s="50"/>
      <c r="BP66" s="50"/>
      <c r="BQ66" s="50"/>
      <c r="BR66" s="50"/>
      <c r="BS66" s="50"/>
      <c r="BT66" s="50"/>
      <c r="BU66" s="50"/>
      <c r="BV66" s="50"/>
      <c r="BW66" s="50"/>
      <c r="BX66" s="50"/>
      <c r="BY66" s="50"/>
      <c r="BZ66" s="50"/>
      <c r="CA66" s="50"/>
      <c r="CB66" s="49"/>
      <c r="CC66" s="59"/>
      <c r="CD66" s="60"/>
      <c r="CE66" s="50"/>
      <c r="CF66" s="61"/>
      <c r="CG66" s="61"/>
      <c r="CH66" s="49"/>
      <c r="CI66" s="49"/>
      <c r="CJ66" s="49"/>
      <c r="CK66" s="49"/>
      <c r="CL66" s="49"/>
      <c r="CM66" s="49"/>
      <c r="CN66" s="49"/>
      <c r="CO66" s="50"/>
      <c r="CP66" s="50"/>
      <c r="CQ66" s="49"/>
      <c r="CR66" s="49"/>
      <c r="CS66" s="49"/>
      <c r="CT66" s="49"/>
      <c r="CU66" s="49"/>
      <c r="CV66" s="49"/>
      <c r="CW66" s="49"/>
      <c r="CX66" s="49"/>
    </row>
    <row r="67" spans="1:102" ht="12.75" customHeight="1" x14ac:dyDescent="0.2">
      <c r="A67" s="1811"/>
      <c r="B67" s="1807"/>
      <c r="C67" s="49"/>
      <c r="D67" s="50"/>
      <c r="E67" s="49"/>
      <c r="F67" s="49"/>
      <c r="G67" s="49"/>
      <c r="H67" s="49"/>
      <c r="I67" s="49"/>
      <c r="J67" s="49"/>
      <c r="K67" s="49"/>
      <c r="L67" s="49"/>
      <c r="M67" s="49"/>
      <c r="N67" s="49"/>
      <c r="O67" s="49"/>
      <c r="P67" s="49"/>
      <c r="Q67" s="49"/>
      <c r="R67" s="49"/>
      <c r="S67" s="49"/>
      <c r="T67" s="1808"/>
      <c r="U67" s="85"/>
      <c r="V67" s="85"/>
      <c r="W67" s="1427"/>
      <c r="X67" s="72"/>
      <c r="Y67" s="72"/>
      <c r="Z67" s="72"/>
      <c r="AA67" s="72"/>
      <c r="AB67" s="86">
        <f>AVERAGE(AB64:AB66)</f>
        <v>8.7037037037037038E-2</v>
      </c>
      <c r="AC67" s="86">
        <f>AVERAGE(AC64:AC66)</f>
        <v>0.27777777777777773</v>
      </c>
      <c r="AD67" s="86">
        <f>AVERAGE(AD64:AD66)</f>
        <v>0.31666666666666665</v>
      </c>
      <c r="AE67" s="72"/>
      <c r="AF67" s="72"/>
      <c r="AG67" s="72"/>
      <c r="AH67" s="72"/>
      <c r="AI67" s="72"/>
      <c r="AJ67" s="72"/>
      <c r="AK67" s="86">
        <f>AVERAGE(AK64:AK66)</f>
        <v>1.0923333333333334</v>
      </c>
      <c r="AL67" s="72"/>
      <c r="AM67" s="73">
        <f>AVERAGE(AM64:AM66)</f>
        <v>0.34997407407407405</v>
      </c>
      <c r="AN67" s="72"/>
      <c r="AO67" s="72"/>
      <c r="AP67" s="72"/>
      <c r="AQ67" s="72"/>
      <c r="AR67" s="72"/>
      <c r="AS67" s="72"/>
      <c r="AT67" s="72"/>
      <c r="AU67" s="72"/>
      <c r="AV67" s="72"/>
      <c r="AW67" s="72"/>
      <c r="AX67" s="86">
        <f>AVERAGE(AX64:AX66)</f>
        <v>1</v>
      </c>
      <c r="AY67" s="125"/>
      <c r="AZ67" s="86">
        <f>AVERAGE(AZ64:AZ66)</f>
        <v>0.6087014814814814</v>
      </c>
      <c r="BA67" s="72"/>
      <c r="BB67" s="72"/>
      <c r="BC67" s="72"/>
      <c r="BD67" s="72"/>
      <c r="BE67" s="72"/>
      <c r="BF67" s="72"/>
      <c r="BG67" s="72"/>
      <c r="BH67" s="72"/>
      <c r="BI67" s="72"/>
      <c r="BJ67" s="72"/>
      <c r="BK67" s="86">
        <f>AVERAGE(BK64:BK66)</f>
        <v>1</v>
      </c>
      <c r="BL67" s="72"/>
      <c r="BM67" s="73">
        <f>AVERAGE(BM64:BM66)</f>
        <v>1</v>
      </c>
      <c r="BN67" s="72"/>
      <c r="BO67" s="50"/>
      <c r="BP67" s="50"/>
      <c r="BQ67" s="50"/>
      <c r="BR67" s="50"/>
      <c r="BS67" s="50"/>
      <c r="BT67" s="50"/>
      <c r="BU67" s="50"/>
      <c r="BV67" s="50"/>
      <c r="BW67" s="50"/>
      <c r="BX67" s="50"/>
      <c r="BY67" s="50"/>
      <c r="BZ67" s="50"/>
      <c r="CA67" s="50"/>
      <c r="CB67" s="49"/>
      <c r="CC67" s="59"/>
      <c r="CD67" s="60"/>
      <c r="CE67" s="50"/>
      <c r="CF67" s="61"/>
      <c r="CG67" s="61"/>
      <c r="CH67" s="49"/>
      <c r="CI67" s="49"/>
      <c r="CJ67" s="49"/>
      <c r="CK67" s="49"/>
      <c r="CL67" s="49"/>
      <c r="CM67" s="49"/>
      <c r="CN67" s="49"/>
      <c r="CO67" s="50"/>
      <c r="CP67" s="50"/>
      <c r="CQ67" s="49"/>
      <c r="CR67" s="49"/>
      <c r="CS67" s="49"/>
      <c r="CT67" s="49"/>
      <c r="CU67" s="49"/>
      <c r="CV67" s="49"/>
      <c r="CW67" s="49"/>
      <c r="CX67" s="49"/>
    </row>
    <row r="68" spans="1:102" ht="46.5" customHeight="1" x14ac:dyDescent="0.2">
      <c r="A68" s="1811"/>
      <c r="B68" s="1807"/>
      <c r="C68" s="49"/>
      <c r="D68" s="50"/>
      <c r="E68" s="49"/>
      <c r="F68" s="49"/>
      <c r="G68" s="49"/>
      <c r="H68" s="49"/>
      <c r="I68" s="49"/>
      <c r="J68" s="49"/>
      <c r="K68" s="49"/>
      <c r="L68" s="49"/>
      <c r="M68" s="49"/>
      <c r="N68" s="49"/>
      <c r="O68" s="49"/>
      <c r="P68" s="49"/>
      <c r="Q68" s="49"/>
      <c r="R68" s="49"/>
      <c r="S68" s="49"/>
      <c r="T68" s="1809" t="s">
        <v>296</v>
      </c>
      <c r="U68" s="51" t="s">
        <v>297</v>
      </c>
      <c r="V68" s="51">
        <v>0</v>
      </c>
      <c r="W68" s="1428" t="s">
        <v>298</v>
      </c>
      <c r="X68" s="50">
        <v>59</v>
      </c>
      <c r="Y68" s="114">
        <v>1</v>
      </c>
      <c r="Z68" s="114">
        <v>15</v>
      </c>
      <c r="AA68" s="114">
        <v>18</v>
      </c>
      <c r="AB68" s="103">
        <f>+Y68/X68</f>
        <v>1.6949152542372881E-2</v>
      </c>
      <c r="AC68" s="103">
        <f>+Z68/X68</f>
        <v>0.25423728813559321</v>
      </c>
      <c r="AD68" s="103">
        <f>AA68/X68</f>
        <v>0.30508474576271188</v>
      </c>
      <c r="AE68" s="115">
        <v>0</v>
      </c>
      <c r="AF68" s="115">
        <v>0</v>
      </c>
      <c r="AG68" s="50"/>
      <c r="AH68" s="50">
        <v>0</v>
      </c>
      <c r="AI68" s="50"/>
      <c r="AJ68" s="50">
        <f>+AH68</f>
        <v>0</v>
      </c>
      <c r="AK68" s="54">
        <f>+AJ68/Y68</f>
        <v>0</v>
      </c>
      <c r="AL68" s="50">
        <v>0</v>
      </c>
      <c r="AM68" s="54">
        <f>+AJ68/X68</f>
        <v>0</v>
      </c>
      <c r="AN68" s="116">
        <v>19</v>
      </c>
      <c r="AO68" s="117">
        <v>3</v>
      </c>
      <c r="AP68" s="50">
        <v>0</v>
      </c>
      <c r="AQ68" s="50">
        <v>0</v>
      </c>
      <c r="AR68" s="50"/>
      <c r="AS68" s="50">
        <v>0</v>
      </c>
      <c r="AT68" s="50"/>
      <c r="AU68" s="63">
        <v>5</v>
      </c>
      <c r="AV68" s="50"/>
      <c r="AW68" s="50">
        <f>+AU68+AO68</f>
        <v>8</v>
      </c>
      <c r="AX68" s="54">
        <f>+AW68/AN68</f>
        <v>0.42105263157894735</v>
      </c>
      <c r="AY68" s="50">
        <f>+AW68+AL68</f>
        <v>8</v>
      </c>
      <c r="AZ68" s="54">
        <f>+AY68/X68</f>
        <v>0.13559322033898305</v>
      </c>
      <c r="BA68" s="50">
        <v>18</v>
      </c>
      <c r="BB68" s="50">
        <v>0</v>
      </c>
      <c r="BC68" s="50"/>
      <c r="BD68" s="50">
        <v>0</v>
      </c>
      <c r="BE68" s="50"/>
      <c r="BF68" s="50">
        <v>0</v>
      </c>
      <c r="BG68" s="50"/>
      <c r="BH68" s="50">
        <v>18</v>
      </c>
      <c r="BI68" s="50"/>
      <c r="BJ68" s="50">
        <f>+BH68</f>
        <v>18</v>
      </c>
      <c r="BK68" s="57">
        <f>BJ68/BA68</f>
        <v>1</v>
      </c>
      <c r="BL68" s="50">
        <f>BJ68+AY68</f>
        <v>26</v>
      </c>
      <c r="BM68" s="57">
        <f>BL68/X68</f>
        <v>0.44067796610169491</v>
      </c>
      <c r="BN68" s="50"/>
      <c r="BO68" s="50"/>
      <c r="BP68" s="50"/>
      <c r="BQ68" s="50"/>
      <c r="BR68" s="50"/>
      <c r="BS68" s="50"/>
      <c r="BT68" s="50"/>
      <c r="BU68" s="50"/>
      <c r="BV68" s="50"/>
      <c r="BW68" s="50"/>
      <c r="BX68" s="50"/>
      <c r="BY68" s="50"/>
      <c r="BZ68" s="50"/>
      <c r="CA68" s="50"/>
      <c r="CB68" s="49"/>
      <c r="CC68" s="59"/>
      <c r="CD68" s="60"/>
      <c r="CE68" s="50"/>
      <c r="CF68" s="61"/>
      <c r="CG68" s="61"/>
      <c r="CH68" s="49"/>
      <c r="CI68" s="49"/>
      <c r="CJ68" s="49"/>
      <c r="CK68" s="49"/>
      <c r="CL68" s="49"/>
      <c r="CM68" s="49"/>
      <c r="CN68" s="49"/>
      <c r="CO68" s="50"/>
      <c r="CP68" s="50"/>
      <c r="CQ68" s="49"/>
      <c r="CR68" s="49"/>
      <c r="CS68" s="49"/>
      <c r="CT68" s="49"/>
      <c r="CU68" s="49"/>
      <c r="CV68" s="49"/>
      <c r="CW68" s="49"/>
      <c r="CX68" s="49"/>
    </row>
    <row r="69" spans="1:102" ht="32.25" customHeight="1" x14ac:dyDescent="0.2">
      <c r="A69" s="1811"/>
      <c r="B69" s="1807"/>
      <c r="C69" s="49"/>
      <c r="D69" s="50"/>
      <c r="E69" s="49"/>
      <c r="F69" s="49"/>
      <c r="G69" s="49"/>
      <c r="H69" s="49"/>
      <c r="I69" s="49"/>
      <c r="J69" s="49"/>
      <c r="K69" s="49"/>
      <c r="L69" s="49"/>
      <c r="M69" s="49"/>
      <c r="N69" s="49"/>
      <c r="O69" s="49"/>
      <c r="P69" s="49"/>
      <c r="Q69" s="49"/>
      <c r="R69" s="49"/>
      <c r="S69" s="49"/>
      <c r="T69" s="1807"/>
      <c r="U69" s="51" t="s">
        <v>299</v>
      </c>
      <c r="V69" s="51">
        <v>0</v>
      </c>
      <c r="W69" s="1428" t="s">
        <v>300</v>
      </c>
      <c r="X69" s="56">
        <v>50000</v>
      </c>
      <c r="Y69" s="126">
        <v>10000</v>
      </c>
      <c r="Z69" s="126">
        <v>15000</v>
      </c>
      <c r="AA69" s="126">
        <v>15000</v>
      </c>
      <c r="AB69" s="103">
        <f>+Y69/X69</f>
        <v>0.2</v>
      </c>
      <c r="AC69" s="103">
        <f>+Z69/X69</f>
        <v>0.3</v>
      </c>
      <c r="AD69" s="103"/>
      <c r="AE69" s="115">
        <v>0</v>
      </c>
      <c r="AF69" s="130">
        <v>33152.22</v>
      </c>
      <c r="AG69" s="50"/>
      <c r="AH69" s="130">
        <v>33152.22</v>
      </c>
      <c r="AI69" s="50"/>
      <c r="AJ69" s="83">
        <f>+AH69</f>
        <v>33152.22</v>
      </c>
      <c r="AK69" s="54">
        <v>1</v>
      </c>
      <c r="AL69" s="83">
        <f>+AJ69</f>
        <v>33152.22</v>
      </c>
      <c r="AM69" s="54">
        <f>+AJ69/X69</f>
        <v>0.66304439999999998</v>
      </c>
      <c r="AN69" s="128">
        <v>15000</v>
      </c>
      <c r="AO69" s="117">
        <v>54000</v>
      </c>
      <c r="AP69" s="50">
        <v>54000</v>
      </c>
      <c r="AQ69" s="50">
        <v>0</v>
      </c>
      <c r="AR69" s="50" t="s">
        <v>301</v>
      </c>
      <c r="AS69" s="50">
        <v>8768</v>
      </c>
      <c r="AT69" s="50"/>
      <c r="AU69" s="50">
        <v>0</v>
      </c>
      <c r="AV69" s="50"/>
      <c r="AW69" s="50">
        <f>AO69+AQ69+AS69</f>
        <v>62768</v>
      </c>
      <c r="AX69" s="54">
        <v>1</v>
      </c>
      <c r="AY69" s="83">
        <f>+AW69+AL69</f>
        <v>95920.22</v>
      </c>
      <c r="AZ69" s="54">
        <v>1</v>
      </c>
      <c r="BA69" s="50">
        <v>15000</v>
      </c>
      <c r="BB69" s="50">
        <v>9727</v>
      </c>
      <c r="BC69" s="50"/>
      <c r="BD69" s="50">
        <f>+BA69-BB69</f>
        <v>5273</v>
      </c>
      <c r="BE69" s="50"/>
      <c r="BF69" s="50">
        <v>0</v>
      </c>
      <c r="BG69" s="50" t="s">
        <v>2200</v>
      </c>
      <c r="BH69" s="50">
        <v>8591.9</v>
      </c>
      <c r="BI69" s="50"/>
      <c r="BJ69" s="50">
        <f>BB69+BD69+BH69</f>
        <v>23591.9</v>
      </c>
      <c r="BK69" s="57">
        <v>1</v>
      </c>
      <c r="BL69" s="83">
        <f>BJ69+AY69</f>
        <v>119512.12</v>
      </c>
      <c r="BM69" s="58">
        <f>IFERROR(IF((+BL69/X69)&gt;100%,100%,(+BL69/X69)),"NP")</f>
        <v>1</v>
      </c>
      <c r="BN69" s="50"/>
      <c r="BO69" s="50"/>
      <c r="BP69" s="50"/>
      <c r="BQ69" s="50"/>
      <c r="BR69" s="50"/>
      <c r="BS69" s="50"/>
      <c r="BT69" s="50"/>
      <c r="BU69" s="50"/>
      <c r="BV69" s="50"/>
      <c r="BW69" s="50"/>
      <c r="BX69" s="50"/>
      <c r="BY69" s="50"/>
      <c r="BZ69" s="50"/>
      <c r="CA69" s="50"/>
      <c r="CB69" s="49"/>
      <c r="CC69" s="59"/>
      <c r="CD69" s="60"/>
      <c r="CE69" s="50"/>
      <c r="CF69" s="61"/>
      <c r="CG69" s="61"/>
      <c r="CH69" s="49"/>
      <c r="CI69" s="49"/>
      <c r="CJ69" s="49"/>
      <c r="CK69" s="49"/>
      <c r="CL69" s="49"/>
      <c r="CM69" s="49"/>
      <c r="CN69" s="49"/>
      <c r="CO69" s="50"/>
      <c r="CP69" s="50"/>
      <c r="CQ69" s="49"/>
      <c r="CR69" s="49"/>
      <c r="CS69" s="49"/>
      <c r="CT69" s="49"/>
      <c r="CU69" s="49"/>
      <c r="CV69" s="49"/>
      <c r="CW69" s="49"/>
      <c r="CX69" s="49"/>
    </row>
    <row r="70" spans="1:102" ht="28.5" customHeight="1" x14ac:dyDescent="0.2">
      <c r="A70" s="1811"/>
      <c r="B70" s="1807"/>
      <c r="C70" s="49"/>
      <c r="D70" s="50"/>
      <c r="E70" s="49"/>
      <c r="F70" s="49"/>
      <c r="G70" s="49"/>
      <c r="H70" s="49"/>
      <c r="I70" s="49"/>
      <c r="J70" s="49"/>
      <c r="K70" s="49"/>
      <c r="L70" s="49"/>
      <c r="M70" s="49"/>
      <c r="N70" s="49"/>
      <c r="O70" s="49"/>
      <c r="P70" s="49"/>
      <c r="Q70" s="49"/>
      <c r="R70" s="49"/>
      <c r="S70" s="49"/>
      <c r="T70" s="1807"/>
      <c r="U70" s="51" t="s">
        <v>302</v>
      </c>
      <c r="V70" s="51" t="s">
        <v>303</v>
      </c>
      <c r="W70" s="1428" t="s">
        <v>304</v>
      </c>
      <c r="X70" s="50">
        <f>100000-500</f>
        <v>99500</v>
      </c>
      <c r="Y70" s="126">
        <v>10000</v>
      </c>
      <c r="Z70" s="126">
        <v>35000</v>
      </c>
      <c r="AA70" s="126">
        <v>35000</v>
      </c>
      <c r="AB70" s="103">
        <f>+Y70/X70</f>
        <v>0.10050251256281408</v>
      </c>
      <c r="AC70" s="103">
        <f>+Z70/X70</f>
        <v>0.35175879396984927</v>
      </c>
      <c r="AD70" s="103">
        <f>AA70/X70</f>
        <v>0.35175879396984927</v>
      </c>
      <c r="AE70" s="115">
        <v>0</v>
      </c>
      <c r="AF70" s="115">
        <v>0</v>
      </c>
      <c r="AG70" s="50"/>
      <c r="AH70" s="50">
        <v>2500</v>
      </c>
      <c r="AI70" s="50"/>
      <c r="AJ70" s="50">
        <f>+AH70</f>
        <v>2500</v>
      </c>
      <c r="AK70" s="54">
        <f>+AJ70/Y70</f>
        <v>0.25</v>
      </c>
      <c r="AL70" s="50">
        <v>0</v>
      </c>
      <c r="AM70" s="54">
        <f>+AJ70/X70</f>
        <v>2.5125628140703519E-2</v>
      </c>
      <c r="AN70" s="128">
        <v>35000</v>
      </c>
      <c r="AO70" s="50">
        <v>1542</v>
      </c>
      <c r="AP70" s="50"/>
      <c r="AQ70" s="131">
        <v>2542</v>
      </c>
      <c r="AR70" s="50"/>
      <c r="AS70" s="50">
        <v>2230</v>
      </c>
      <c r="AT70" s="50"/>
      <c r="AU70" s="50">
        <v>11302</v>
      </c>
      <c r="AV70" s="50"/>
      <c r="AW70" s="50">
        <f>+AU70+AS70+AQ70+AO70</f>
        <v>17616</v>
      </c>
      <c r="AX70" s="55">
        <f>+AW70/AN70</f>
        <v>0.50331428571428571</v>
      </c>
      <c r="AY70" s="50">
        <f>+AW70+AL70</f>
        <v>17616</v>
      </c>
      <c r="AZ70" s="54">
        <f>+AY70/X70</f>
        <v>0.17704522613065327</v>
      </c>
      <c r="BA70" s="50">
        <v>35000</v>
      </c>
      <c r="BB70" s="50">
        <v>0</v>
      </c>
      <c r="BC70" s="50"/>
      <c r="BD70" s="50">
        <v>19600</v>
      </c>
      <c r="BE70" s="50"/>
      <c r="BF70" s="50">
        <v>3275</v>
      </c>
      <c r="BG70" s="50"/>
      <c r="BH70" s="50">
        <v>7791</v>
      </c>
      <c r="BI70" s="50"/>
      <c r="BJ70" s="50">
        <f>+BD70+BF70+BH70</f>
        <v>30666</v>
      </c>
      <c r="BK70" s="57">
        <f>BJ70/BA70</f>
        <v>0.8761714285714286</v>
      </c>
      <c r="BL70" s="50">
        <f>BJ70+AY70</f>
        <v>48282</v>
      </c>
      <c r="BM70" s="55">
        <f>BL70/X70</f>
        <v>0.48524623115577892</v>
      </c>
      <c r="BN70" s="50"/>
      <c r="BO70" s="50"/>
      <c r="BP70" s="50"/>
      <c r="BQ70" s="50"/>
      <c r="BR70" s="50"/>
      <c r="BS70" s="50"/>
      <c r="BT70" s="50"/>
      <c r="BU70" s="50"/>
      <c r="BV70" s="50"/>
      <c r="BW70" s="50"/>
      <c r="BX70" s="50"/>
      <c r="BY70" s="50"/>
      <c r="BZ70" s="50"/>
      <c r="CA70" s="50"/>
      <c r="CB70" s="49"/>
      <c r="CC70" s="59"/>
      <c r="CD70" s="60"/>
      <c r="CE70" s="50"/>
      <c r="CF70" s="61"/>
      <c r="CG70" s="61"/>
      <c r="CH70" s="49"/>
      <c r="CI70" s="49"/>
      <c r="CJ70" s="49"/>
      <c r="CK70" s="49"/>
      <c r="CL70" s="49"/>
      <c r="CM70" s="49"/>
      <c r="CN70" s="49"/>
      <c r="CO70" s="50"/>
      <c r="CP70" s="50"/>
      <c r="CQ70" s="49"/>
      <c r="CR70" s="49"/>
      <c r="CS70" s="49"/>
      <c r="CT70" s="49"/>
      <c r="CU70" s="49"/>
      <c r="CV70" s="49"/>
      <c r="CW70" s="49"/>
      <c r="CX70" s="49"/>
    </row>
    <row r="71" spans="1:102" ht="42.75" customHeight="1" x14ac:dyDescent="0.2">
      <c r="A71" s="1811"/>
      <c r="B71" s="1807"/>
      <c r="C71" s="49"/>
      <c r="D71" s="50"/>
      <c r="E71" s="49"/>
      <c r="F71" s="49"/>
      <c r="G71" s="49"/>
      <c r="H71" s="49"/>
      <c r="I71" s="49"/>
      <c r="J71" s="49"/>
      <c r="K71" s="49"/>
      <c r="L71" s="49"/>
      <c r="M71" s="49"/>
      <c r="N71" s="49"/>
      <c r="O71" s="49"/>
      <c r="P71" s="49"/>
      <c r="Q71" s="49"/>
      <c r="R71" s="49"/>
      <c r="S71" s="49"/>
      <c r="T71" s="1807"/>
      <c r="U71" s="51" t="s">
        <v>305</v>
      </c>
      <c r="V71" s="51" t="s">
        <v>306</v>
      </c>
      <c r="W71" s="1425" t="s">
        <v>307</v>
      </c>
      <c r="X71" s="50">
        <v>98640</v>
      </c>
      <c r="Y71" s="126">
        <v>8640</v>
      </c>
      <c r="Z71" s="126">
        <v>35000</v>
      </c>
      <c r="AA71" s="126">
        <v>30000</v>
      </c>
      <c r="AB71" s="103">
        <f>+Y71/X71</f>
        <v>8.7591240875912413E-2</v>
      </c>
      <c r="AC71" s="103">
        <f>+Z71/X71</f>
        <v>0.35482562854825628</v>
      </c>
      <c r="AD71" s="103">
        <f>AA71/X71</f>
        <v>0.30413625304136255</v>
      </c>
      <c r="AE71" s="115">
        <v>0</v>
      </c>
      <c r="AF71" s="115">
        <v>0</v>
      </c>
      <c r="AG71" s="50"/>
      <c r="AH71" s="50">
        <v>0</v>
      </c>
      <c r="AI71" s="50"/>
      <c r="AJ71" s="50">
        <f>+AH71</f>
        <v>0</v>
      </c>
      <c r="AK71" s="54">
        <f>+AJ71/Y71</f>
        <v>0</v>
      </c>
      <c r="AL71" s="50">
        <v>0</v>
      </c>
      <c r="AM71" s="54">
        <f>+AJ71/X71</f>
        <v>0</v>
      </c>
      <c r="AN71" s="128">
        <v>35000</v>
      </c>
      <c r="AO71" s="119">
        <v>6535</v>
      </c>
      <c r="AP71" s="63"/>
      <c r="AQ71" s="63">
        <v>0</v>
      </c>
      <c r="AR71" s="63"/>
      <c r="AS71" s="63">
        <v>9124</v>
      </c>
      <c r="AT71" s="63"/>
      <c r="AU71" s="63">
        <v>1690</v>
      </c>
      <c r="AV71" s="50"/>
      <c r="AW71" s="50">
        <f>+AS71+AU71+AQ71+AO71</f>
        <v>17349</v>
      </c>
      <c r="AX71" s="54">
        <f>AW71/AN71</f>
        <v>0.49568571428571429</v>
      </c>
      <c r="AY71" s="50">
        <f>+AW71+AL71</f>
        <v>17349</v>
      </c>
      <c r="AZ71" s="54">
        <f>+AY71/X71</f>
        <v>0.17588199513381994</v>
      </c>
      <c r="BA71" s="50">
        <v>30000</v>
      </c>
      <c r="BB71" s="50">
        <v>0</v>
      </c>
      <c r="BC71" s="50"/>
      <c r="BD71" s="50">
        <v>0</v>
      </c>
      <c r="BE71" s="50"/>
      <c r="BF71" s="50">
        <v>0</v>
      </c>
      <c r="BG71" s="50"/>
      <c r="BH71" s="50">
        <v>7363</v>
      </c>
      <c r="BI71" s="50"/>
      <c r="BJ71" s="50">
        <f>+BH71</f>
        <v>7363</v>
      </c>
      <c r="BK71" s="57">
        <f>BJ71/BA71</f>
        <v>0.24543333333333334</v>
      </c>
      <c r="BL71" s="50">
        <f>BJ71+AY71</f>
        <v>24712</v>
      </c>
      <c r="BM71" s="54">
        <f>BL71/X71</f>
        <v>0.25052716950527171</v>
      </c>
      <c r="BN71" s="50"/>
      <c r="BO71" s="50"/>
      <c r="BP71" s="50"/>
      <c r="BQ71" s="50"/>
      <c r="BR71" s="50"/>
      <c r="BS71" s="50"/>
      <c r="BT71" s="50"/>
      <c r="BU71" s="50"/>
      <c r="BV71" s="50"/>
      <c r="BW71" s="50"/>
      <c r="BX71" s="50"/>
      <c r="BY71" s="50"/>
      <c r="BZ71" s="50"/>
      <c r="CA71" s="50"/>
      <c r="CB71" s="49"/>
      <c r="CC71" s="59"/>
      <c r="CD71" s="60"/>
      <c r="CE71" s="50"/>
      <c r="CF71" s="61"/>
      <c r="CG71" s="61"/>
      <c r="CH71" s="49"/>
      <c r="CI71" s="49"/>
      <c r="CJ71" s="49"/>
      <c r="CK71" s="49"/>
      <c r="CL71" s="49"/>
      <c r="CM71" s="49"/>
      <c r="CN71" s="49"/>
      <c r="CO71" s="50"/>
      <c r="CP71" s="50"/>
      <c r="CQ71" s="49"/>
      <c r="CR71" s="49"/>
      <c r="CS71" s="49"/>
      <c r="CT71" s="49"/>
      <c r="CU71" s="49"/>
      <c r="CV71" s="49"/>
      <c r="CW71" s="49"/>
      <c r="CX71" s="49"/>
    </row>
    <row r="72" spans="1:102" ht="21" customHeight="1" x14ac:dyDescent="0.2">
      <c r="A72" s="1811"/>
      <c r="B72" s="1807"/>
      <c r="C72" s="49"/>
      <c r="D72" s="50"/>
      <c r="E72" s="49"/>
      <c r="F72" s="49"/>
      <c r="G72" s="49"/>
      <c r="H72" s="49"/>
      <c r="I72" s="49"/>
      <c r="J72" s="49"/>
      <c r="K72" s="49"/>
      <c r="L72" s="49"/>
      <c r="M72" s="49"/>
      <c r="N72" s="49"/>
      <c r="O72" s="49"/>
      <c r="P72" s="49"/>
      <c r="Q72" s="49"/>
      <c r="R72" s="49"/>
      <c r="S72" s="49"/>
      <c r="T72" s="1808"/>
      <c r="U72" s="85"/>
      <c r="V72" s="85"/>
      <c r="W72" s="1427"/>
      <c r="X72" s="72"/>
      <c r="Y72" s="72"/>
      <c r="Z72" s="72"/>
      <c r="AA72" s="72"/>
      <c r="AB72" s="86">
        <f>AVERAGE(AB68:AB71)</f>
        <v>0.10126072649527484</v>
      </c>
      <c r="AC72" s="86">
        <f>AVERAGE(AC68:AC71)</f>
        <v>0.31520542766342469</v>
      </c>
      <c r="AD72" s="86">
        <f>AVERAGE(AD68:AD71)</f>
        <v>0.32032659759130788</v>
      </c>
      <c r="AE72" s="72"/>
      <c r="AF72" s="72"/>
      <c r="AG72" s="72"/>
      <c r="AH72" s="72"/>
      <c r="AI72" s="72"/>
      <c r="AJ72" s="72"/>
      <c r="AK72" s="86">
        <f>AVERAGE(AK68:AK71)</f>
        <v>0.3125</v>
      </c>
      <c r="AL72" s="72"/>
      <c r="AM72" s="86">
        <f>AVERAGE(AM68:AM71)</f>
        <v>0.17204250703517587</v>
      </c>
      <c r="AN72" s="72"/>
      <c r="AO72" s="72"/>
      <c r="AP72" s="72"/>
      <c r="AQ72" s="72"/>
      <c r="AR72" s="72"/>
      <c r="AS72" s="72"/>
      <c r="AT72" s="72"/>
      <c r="AU72" s="72"/>
      <c r="AV72" s="72"/>
      <c r="AW72" s="72"/>
      <c r="AX72" s="86">
        <f>AVERAGE(AX68:AX71)</f>
        <v>0.60501315789473686</v>
      </c>
      <c r="AY72" s="125"/>
      <c r="AZ72" s="86">
        <f>AVERAGE(AZ68:AZ71)</f>
        <v>0.37213011040086408</v>
      </c>
      <c r="BA72" s="72"/>
      <c r="BB72" s="72"/>
      <c r="BC72" s="72"/>
      <c r="BD72" s="72"/>
      <c r="BE72" s="72"/>
      <c r="BF72" s="72"/>
      <c r="BG72" s="72"/>
      <c r="BH72" s="72"/>
      <c r="BI72" s="50"/>
      <c r="BJ72" s="50"/>
      <c r="BK72" s="86">
        <f>AVERAGE(BK68:BK71)</f>
        <v>0.78040119047619039</v>
      </c>
      <c r="BL72" s="50"/>
      <c r="BM72" s="86">
        <f>AVERAGE(BM68:BM71)</f>
        <v>0.5441128416906863</v>
      </c>
      <c r="BN72" s="50"/>
      <c r="BO72" s="50"/>
      <c r="BP72" s="50"/>
      <c r="BQ72" s="50"/>
      <c r="BR72" s="50"/>
      <c r="BS72" s="50"/>
      <c r="BT72" s="50"/>
      <c r="BU72" s="50"/>
      <c r="BV72" s="50"/>
      <c r="BW72" s="50"/>
      <c r="BX72" s="50"/>
      <c r="BY72" s="50"/>
      <c r="BZ72" s="50"/>
      <c r="CA72" s="50"/>
      <c r="CB72" s="49"/>
      <c r="CC72" s="59"/>
      <c r="CD72" s="60"/>
      <c r="CE72" s="50"/>
      <c r="CF72" s="61"/>
      <c r="CG72" s="61"/>
      <c r="CH72" s="49"/>
      <c r="CI72" s="49"/>
      <c r="CJ72" s="49"/>
      <c r="CK72" s="49"/>
      <c r="CL72" s="49"/>
      <c r="CM72" s="49"/>
      <c r="CN72" s="49"/>
      <c r="CO72" s="50"/>
      <c r="CP72" s="50"/>
      <c r="CQ72" s="49"/>
      <c r="CR72" s="49"/>
      <c r="CS72" s="49"/>
      <c r="CT72" s="49"/>
      <c r="CU72" s="49"/>
      <c r="CV72" s="49"/>
      <c r="CW72" s="49"/>
      <c r="CX72" s="49"/>
    </row>
    <row r="73" spans="1:102" ht="54" customHeight="1" x14ac:dyDescent="0.2">
      <c r="A73" s="1811"/>
      <c r="B73" s="1807"/>
      <c r="C73" s="49"/>
      <c r="D73" s="50"/>
      <c r="E73" s="49"/>
      <c r="F73" s="49"/>
      <c r="G73" s="49"/>
      <c r="H73" s="49"/>
      <c r="I73" s="49"/>
      <c r="J73" s="49"/>
      <c r="K73" s="49"/>
      <c r="L73" s="49"/>
      <c r="M73" s="49"/>
      <c r="N73" s="49"/>
      <c r="O73" s="49"/>
      <c r="P73" s="49"/>
      <c r="Q73" s="49"/>
      <c r="R73" s="49"/>
      <c r="S73" s="49"/>
      <c r="T73" s="1809" t="s">
        <v>308</v>
      </c>
      <c r="U73" s="51" t="s">
        <v>309</v>
      </c>
      <c r="V73" s="51" t="s">
        <v>310</v>
      </c>
      <c r="W73" s="1425" t="s">
        <v>311</v>
      </c>
      <c r="X73" s="50">
        <v>1</v>
      </c>
      <c r="Y73" s="50" t="s">
        <v>177</v>
      </c>
      <c r="Z73" s="50">
        <v>0.5</v>
      </c>
      <c r="AA73" s="50">
        <v>1</v>
      </c>
      <c r="AB73" s="50"/>
      <c r="AC73" s="54">
        <f>+Z73/X73</f>
        <v>0.5</v>
      </c>
      <c r="AD73" s="54">
        <v>0.33</v>
      </c>
      <c r="AE73" s="50"/>
      <c r="AF73" s="50"/>
      <c r="AG73" s="50"/>
      <c r="AH73" s="50"/>
      <c r="AI73" s="50"/>
      <c r="AJ73" s="50"/>
      <c r="AK73" s="50"/>
      <c r="AL73" s="50"/>
      <c r="AM73" s="50"/>
      <c r="AN73" s="50">
        <v>0.5</v>
      </c>
      <c r="AO73" s="50">
        <v>0</v>
      </c>
      <c r="AP73" s="50"/>
      <c r="AQ73" s="63">
        <v>0</v>
      </c>
      <c r="AR73" s="63"/>
      <c r="AS73" s="63">
        <v>0.5</v>
      </c>
      <c r="AT73" s="63"/>
      <c r="AU73" s="63">
        <v>0</v>
      </c>
      <c r="AV73" s="50"/>
      <c r="AW73" s="50">
        <f>+AS73</f>
        <v>0.5</v>
      </c>
      <c r="AX73" s="57">
        <f>+AW73*AN73</f>
        <v>0.25</v>
      </c>
      <c r="AY73" s="54">
        <v>0.25</v>
      </c>
      <c r="AZ73" s="57">
        <f>AY73/X73</f>
        <v>0.25</v>
      </c>
      <c r="BA73" s="50">
        <v>0.25</v>
      </c>
      <c r="BB73" s="54">
        <v>0.11</v>
      </c>
      <c r="BC73" s="50"/>
      <c r="BD73" s="54">
        <v>0.25</v>
      </c>
      <c r="BE73" s="50"/>
      <c r="BF73" s="54">
        <v>0.06</v>
      </c>
      <c r="BG73" s="61" t="s">
        <v>2271</v>
      </c>
      <c r="BH73" s="54">
        <v>0.25</v>
      </c>
      <c r="BI73" s="50"/>
      <c r="BJ73" s="54">
        <f>+BB73+BD73+BF73+BH73</f>
        <v>0.66999999999999993</v>
      </c>
      <c r="BK73" s="57">
        <v>1</v>
      </c>
      <c r="BL73" s="54">
        <v>0.42</v>
      </c>
      <c r="BM73" s="57">
        <v>0.42</v>
      </c>
      <c r="BN73" s="50"/>
      <c r="BO73" s="50"/>
      <c r="BP73" s="50"/>
      <c r="BQ73" s="50"/>
      <c r="BR73" s="50"/>
      <c r="BS73" s="50"/>
      <c r="BT73" s="50"/>
      <c r="BU73" s="50"/>
      <c r="BV73" s="50"/>
      <c r="BW73" s="50"/>
      <c r="BX73" s="50"/>
      <c r="BY73" s="50"/>
      <c r="BZ73" s="50"/>
      <c r="CA73" s="50"/>
      <c r="CB73" s="49"/>
      <c r="CC73" s="59"/>
      <c r="CD73" s="60"/>
      <c r="CE73" s="50"/>
      <c r="CF73" s="61"/>
      <c r="CG73" s="61"/>
      <c r="CH73" s="49"/>
      <c r="CI73" s="49"/>
      <c r="CJ73" s="49"/>
      <c r="CK73" s="49"/>
      <c r="CL73" s="49"/>
      <c r="CM73" s="49"/>
      <c r="CN73" s="49"/>
      <c r="CO73" s="50"/>
      <c r="CP73" s="50"/>
      <c r="CQ73" s="49"/>
      <c r="CR73" s="49"/>
      <c r="CS73" s="49"/>
      <c r="CT73" s="49"/>
      <c r="CU73" s="49"/>
      <c r="CV73" s="49"/>
      <c r="CW73" s="49"/>
      <c r="CX73" s="49"/>
    </row>
    <row r="74" spans="1:102" ht="43.5" customHeight="1" x14ac:dyDescent="0.2">
      <c r="A74" s="1811"/>
      <c r="B74" s="1807"/>
      <c r="C74" s="49"/>
      <c r="D74" s="50"/>
      <c r="E74" s="49"/>
      <c r="F74" s="49"/>
      <c r="G74" s="49"/>
      <c r="H74" s="49"/>
      <c r="I74" s="49"/>
      <c r="J74" s="49"/>
      <c r="K74" s="49"/>
      <c r="L74" s="49"/>
      <c r="M74" s="49"/>
      <c r="N74" s="49"/>
      <c r="O74" s="49"/>
      <c r="P74" s="49"/>
      <c r="Q74" s="49"/>
      <c r="R74" s="49"/>
      <c r="S74" s="49"/>
      <c r="T74" s="1807"/>
      <c r="U74" s="51" t="s">
        <v>312</v>
      </c>
      <c r="V74" s="51">
        <v>0</v>
      </c>
      <c r="W74" s="1425" t="s">
        <v>313</v>
      </c>
      <c r="X74" s="50">
        <v>1</v>
      </c>
      <c r="Y74" s="50" t="s">
        <v>177</v>
      </c>
      <c r="Z74" s="50">
        <v>0.5</v>
      </c>
      <c r="AA74" s="50">
        <v>1</v>
      </c>
      <c r="AB74" s="50"/>
      <c r="AC74" s="54">
        <f>+Z74/X74</f>
        <v>0.5</v>
      </c>
      <c r="AD74" s="54">
        <v>0.47</v>
      </c>
      <c r="AE74" s="50"/>
      <c r="AF74" s="50"/>
      <c r="AG74" s="50"/>
      <c r="AH74" s="50"/>
      <c r="AI74" s="50"/>
      <c r="AJ74" s="50"/>
      <c r="AK74" s="50"/>
      <c r="AL74" s="50"/>
      <c r="AM74" s="50"/>
      <c r="AN74" s="50">
        <v>0.5</v>
      </c>
      <c r="AO74" s="117">
        <v>0</v>
      </c>
      <c r="AP74" s="117"/>
      <c r="AQ74" s="119">
        <v>0</v>
      </c>
      <c r="AR74" s="119"/>
      <c r="AS74" s="119">
        <v>0.6</v>
      </c>
      <c r="AT74" s="119"/>
      <c r="AU74" s="119">
        <v>0.1</v>
      </c>
      <c r="AV74" s="117"/>
      <c r="AW74" s="50">
        <f>+AS74+AU74</f>
        <v>0.7</v>
      </c>
      <c r="AX74" s="57">
        <f>+AW74*AN74</f>
        <v>0.35</v>
      </c>
      <c r="AY74" s="57">
        <f>+AX74</f>
        <v>0.35</v>
      </c>
      <c r="AZ74" s="57">
        <f>+AY74/1</f>
        <v>0.35</v>
      </c>
      <c r="BA74" s="50">
        <v>1</v>
      </c>
      <c r="BB74" s="54">
        <v>0.16800000000000001</v>
      </c>
      <c r="BC74" s="50"/>
      <c r="BD74" s="54">
        <v>0.16800000000000001</v>
      </c>
      <c r="BE74" s="50"/>
      <c r="BF74" s="54">
        <v>4.3999999999999997E-2</v>
      </c>
      <c r="BG74" s="50"/>
      <c r="BH74" s="54">
        <v>0.02</v>
      </c>
      <c r="BI74" s="50"/>
      <c r="BJ74" s="54">
        <v>0.1</v>
      </c>
      <c r="BK74" s="57">
        <f>BJ74/BA74</f>
        <v>0.1</v>
      </c>
      <c r="BL74" s="54">
        <v>0.45</v>
      </c>
      <c r="BM74" s="57">
        <f>BL74/X74</f>
        <v>0.45</v>
      </c>
      <c r="BN74" s="50"/>
      <c r="BO74" s="50"/>
      <c r="BP74" s="50"/>
      <c r="BQ74" s="50"/>
      <c r="BR74" s="50"/>
      <c r="BS74" s="50"/>
      <c r="BT74" s="50"/>
      <c r="BU74" s="50"/>
      <c r="BV74" s="50"/>
      <c r="BW74" s="50"/>
      <c r="BX74" s="50"/>
      <c r="BY74" s="50"/>
      <c r="BZ74" s="50"/>
      <c r="CA74" s="50"/>
      <c r="CB74" s="49"/>
      <c r="CC74" s="59"/>
      <c r="CD74" s="60"/>
      <c r="CE74" s="50"/>
      <c r="CF74" s="61"/>
      <c r="CG74" s="61"/>
      <c r="CH74" s="49"/>
      <c r="CI74" s="49"/>
      <c r="CJ74" s="49"/>
      <c r="CK74" s="49"/>
      <c r="CL74" s="49"/>
      <c r="CM74" s="49"/>
      <c r="CN74" s="49"/>
      <c r="CO74" s="50"/>
      <c r="CP74" s="50"/>
      <c r="CQ74" s="49"/>
      <c r="CR74" s="49"/>
      <c r="CS74" s="49"/>
      <c r="CT74" s="49"/>
      <c r="CU74" s="49"/>
      <c r="CV74" s="49"/>
      <c r="CW74" s="49"/>
      <c r="CX74" s="49"/>
    </row>
    <row r="75" spans="1:102" ht="32.25" customHeight="1" x14ac:dyDescent="0.2">
      <c r="A75" s="1811"/>
      <c r="B75" s="1807"/>
      <c r="C75" s="49"/>
      <c r="D75" s="50"/>
      <c r="E75" s="49"/>
      <c r="F75" s="49"/>
      <c r="G75" s="49"/>
      <c r="H75" s="49"/>
      <c r="I75" s="49"/>
      <c r="J75" s="49"/>
      <c r="K75" s="49"/>
      <c r="L75" s="49"/>
      <c r="M75" s="49"/>
      <c r="N75" s="49"/>
      <c r="O75" s="49"/>
      <c r="P75" s="49"/>
      <c r="Q75" s="49"/>
      <c r="R75" s="49"/>
      <c r="S75" s="49"/>
      <c r="T75" s="1807"/>
      <c r="U75" s="51" t="s">
        <v>314</v>
      </c>
      <c r="V75" s="51">
        <v>0</v>
      </c>
      <c r="W75" s="1425" t="s">
        <v>315</v>
      </c>
      <c r="X75" s="50">
        <v>2</v>
      </c>
      <c r="Y75" s="50" t="s">
        <v>177</v>
      </c>
      <c r="Z75" s="50">
        <v>1</v>
      </c>
      <c r="AA75" s="50">
        <v>1</v>
      </c>
      <c r="AB75" s="50"/>
      <c r="AC75" s="54">
        <f>+Z75/X75</f>
        <v>0.5</v>
      </c>
      <c r="AD75" s="54">
        <f>AA75/X75</f>
        <v>0.5</v>
      </c>
      <c r="AE75" s="50"/>
      <c r="AF75" s="50"/>
      <c r="AG75" s="50"/>
      <c r="AH75" s="50"/>
      <c r="AI75" s="50"/>
      <c r="AJ75" s="50"/>
      <c r="AK75" s="50"/>
      <c r="AL75" s="50"/>
      <c r="AM75" s="50"/>
      <c r="AN75" s="50">
        <v>1</v>
      </c>
      <c r="AO75" s="124"/>
      <c r="AP75" s="50"/>
      <c r="AQ75" s="65">
        <v>0.8</v>
      </c>
      <c r="AR75" s="63"/>
      <c r="AS75" s="65">
        <v>0.9</v>
      </c>
      <c r="AT75" s="63"/>
      <c r="AU75" s="65">
        <v>1</v>
      </c>
      <c r="AV75" s="50"/>
      <c r="AW75" s="54">
        <v>1</v>
      </c>
      <c r="AX75" s="1153">
        <f>AW75/AN75</f>
        <v>1</v>
      </c>
      <c r="AY75" s="1247">
        <v>1</v>
      </c>
      <c r="AZ75" s="1153">
        <f>+AY75/X75</f>
        <v>0.5</v>
      </c>
      <c r="BA75" s="1164">
        <v>1</v>
      </c>
      <c r="BB75" s="1164">
        <v>0.05</v>
      </c>
      <c r="BC75" s="1164"/>
      <c r="BD75" s="1164">
        <v>0.33</v>
      </c>
      <c r="BE75" s="1164"/>
      <c r="BF75" s="1164">
        <v>0.1</v>
      </c>
      <c r="BG75" s="1164"/>
      <c r="BH75" s="1164">
        <v>0.52</v>
      </c>
      <c r="BI75" s="1164"/>
      <c r="BJ75" s="1164">
        <f>+BB75+BD75+BF75+BH75</f>
        <v>1</v>
      </c>
      <c r="BK75" s="1153">
        <f>+BJ75/AY75</f>
        <v>1</v>
      </c>
      <c r="BL75" s="1248">
        <f>+BA75+(BJ75*0.25)</f>
        <v>1.25</v>
      </c>
      <c r="BM75" s="1153">
        <v>0.9</v>
      </c>
      <c r="BN75" s="50"/>
      <c r="BO75" s="50"/>
      <c r="BP75" s="50"/>
      <c r="BQ75" s="50"/>
      <c r="BR75" s="50"/>
      <c r="BS75" s="50"/>
      <c r="BT75" s="50"/>
      <c r="BU75" s="50"/>
      <c r="BV75" s="50"/>
      <c r="BW75" s="50"/>
      <c r="BX75" s="50"/>
      <c r="BY75" s="50"/>
      <c r="BZ75" s="50"/>
      <c r="CA75" s="50"/>
      <c r="CB75" s="49"/>
      <c r="CC75" s="59"/>
      <c r="CD75" s="60"/>
      <c r="CE75" s="50"/>
      <c r="CF75" s="61"/>
      <c r="CG75" s="61"/>
      <c r="CH75" s="49"/>
      <c r="CI75" s="49"/>
      <c r="CJ75" s="49"/>
      <c r="CK75" s="49"/>
      <c r="CL75" s="49"/>
      <c r="CM75" s="49"/>
      <c r="CN75" s="49"/>
      <c r="CO75" s="50"/>
      <c r="CP75" s="50"/>
      <c r="CQ75" s="49"/>
      <c r="CR75" s="49"/>
      <c r="CS75" s="49"/>
      <c r="CT75" s="49"/>
      <c r="CU75" s="49"/>
      <c r="CV75" s="49"/>
      <c r="CW75" s="49"/>
      <c r="CX75" s="49"/>
    </row>
    <row r="76" spans="1:102" ht="12.75" customHeight="1" x14ac:dyDescent="0.2">
      <c r="A76" s="1811"/>
      <c r="B76" s="1807"/>
      <c r="C76" s="49"/>
      <c r="D76" s="50"/>
      <c r="E76" s="49"/>
      <c r="F76" s="49"/>
      <c r="G76" s="49"/>
      <c r="H76" s="49"/>
      <c r="I76" s="49"/>
      <c r="J76" s="49"/>
      <c r="K76" s="49"/>
      <c r="L76" s="49"/>
      <c r="M76" s="49"/>
      <c r="N76" s="49"/>
      <c r="O76" s="49"/>
      <c r="P76" s="49"/>
      <c r="Q76" s="49"/>
      <c r="R76" s="49"/>
      <c r="S76" s="49"/>
      <c r="T76" s="1808"/>
      <c r="U76" s="85"/>
      <c r="V76" s="85"/>
      <c r="W76" s="1427"/>
      <c r="X76" s="72"/>
      <c r="Y76" s="72"/>
      <c r="Z76" s="72"/>
      <c r="AA76" s="72"/>
      <c r="AB76" s="72"/>
      <c r="AC76" s="86">
        <f>AVERAGE(AC73:AC75)</f>
        <v>0.5</v>
      </c>
      <c r="AD76" s="107">
        <f>AVERAGE(AD73:AD75)</f>
        <v>0.43333333333333335</v>
      </c>
      <c r="AE76" s="72"/>
      <c r="AF76" s="72"/>
      <c r="AG76" s="72"/>
      <c r="AH76" s="72"/>
      <c r="AI76" s="72"/>
      <c r="AJ76" s="72"/>
      <c r="AK76" s="72"/>
      <c r="AL76" s="72"/>
      <c r="AM76" s="72"/>
      <c r="AN76" s="72"/>
      <c r="AO76" s="72"/>
      <c r="AP76" s="72"/>
      <c r="AQ76" s="72"/>
      <c r="AR76" s="72"/>
      <c r="AS76" s="72"/>
      <c r="AT76" s="72"/>
      <c r="AU76" s="72"/>
      <c r="AV76" s="72"/>
      <c r="AW76" s="72"/>
      <c r="AX76" s="1155">
        <f>AVERAGE(AX73:AX75)</f>
        <v>0.53333333333333333</v>
      </c>
      <c r="AY76" s="132"/>
      <c r="AZ76" s="107">
        <f>AVERAGE(AZ73:AZ75)</f>
        <v>0.3666666666666667</v>
      </c>
      <c r="BA76" s="72"/>
      <c r="BB76" s="72"/>
      <c r="BC76" s="72"/>
      <c r="BD76" s="72"/>
      <c r="BE76" s="72"/>
      <c r="BF76" s="72"/>
      <c r="BG76" s="72"/>
      <c r="BH76" s="72"/>
      <c r="BI76" s="72"/>
      <c r="BJ76" s="72"/>
      <c r="BK76" s="107">
        <f>AVERAGE(BK73:BK75)</f>
        <v>0.70000000000000007</v>
      </c>
      <c r="BL76" s="72"/>
      <c r="BM76" s="107">
        <f>AVERAGE(BM73:BM75)</f>
        <v>0.59</v>
      </c>
      <c r="BN76" s="72"/>
      <c r="BO76" s="72"/>
      <c r="BP76" s="72"/>
      <c r="BQ76" s="50"/>
      <c r="BR76" s="50"/>
      <c r="BS76" s="50"/>
      <c r="BT76" s="50"/>
      <c r="BU76" s="50"/>
      <c r="BV76" s="50"/>
      <c r="BW76" s="50"/>
      <c r="BX76" s="50"/>
      <c r="BY76" s="50"/>
      <c r="BZ76" s="50"/>
      <c r="CA76" s="50"/>
      <c r="CB76" s="49"/>
      <c r="CC76" s="59"/>
      <c r="CD76" s="60"/>
      <c r="CE76" s="50"/>
      <c r="CF76" s="61"/>
      <c r="CG76" s="61"/>
      <c r="CH76" s="49"/>
      <c r="CI76" s="49"/>
      <c r="CJ76" s="49"/>
      <c r="CK76" s="49"/>
      <c r="CL76" s="49"/>
      <c r="CM76" s="49"/>
      <c r="CN76" s="49"/>
      <c r="CO76" s="50"/>
      <c r="CP76" s="50"/>
      <c r="CQ76" s="49"/>
      <c r="CR76" s="49"/>
      <c r="CS76" s="49"/>
      <c r="CT76" s="49"/>
      <c r="CU76" s="49"/>
      <c r="CV76" s="49"/>
      <c r="CW76" s="49"/>
      <c r="CX76" s="49"/>
    </row>
    <row r="77" spans="1:102" ht="39.75" customHeight="1" x14ac:dyDescent="0.2">
      <c r="A77" s="1811"/>
      <c r="B77" s="1807"/>
      <c r="C77" s="49"/>
      <c r="D77" s="50"/>
      <c r="E77" s="49"/>
      <c r="F77" s="49"/>
      <c r="G77" s="49"/>
      <c r="H77" s="49"/>
      <c r="I77" s="49"/>
      <c r="J77" s="49"/>
      <c r="K77" s="49"/>
      <c r="L77" s="49"/>
      <c r="M77" s="49"/>
      <c r="N77" s="49"/>
      <c r="O77" s="49"/>
      <c r="P77" s="49"/>
      <c r="Q77" s="49"/>
      <c r="R77" s="49"/>
      <c r="S77" s="49"/>
      <c r="T77" s="1809" t="s">
        <v>316</v>
      </c>
      <c r="U77" s="51" t="s">
        <v>317</v>
      </c>
      <c r="V77" s="51">
        <v>0</v>
      </c>
      <c r="W77" s="1425" t="s">
        <v>318</v>
      </c>
      <c r="X77" s="50">
        <v>2</v>
      </c>
      <c r="Y77" s="50" t="s">
        <v>177</v>
      </c>
      <c r="Z77" s="50"/>
      <c r="AA77" s="50" t="s">
        <v>319</v>
      </c>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t="s">
        <v>319</v>
      </c>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49"/>
      <c r="CC77" s="59"/>
      <c r="CD77" s="60"/>
      <c r="CE77" s="50"/>
      <c r="CF77" s="61"/>
      <c r="CG77" s="61"/>
      <c r="CH77" s="49"/>
      <c r="CI77" s="49"/>
      <c r="CJ77" s="49"/>
      <c r="CK77" s="49"/>
      <c r="CL77" s="49"/>
      <c r="CM77" s="49"/>
      <c r="CN77" s="49"/>
      <c r="CO77" s="50"/>
      <c r="CP77" s="50"/>
      <c r="CQ77" s="49"/>
      <c r="CR77" s="49"/>
      <c r="CS77" s="49"/>
      <c r="CT77" s="49"/>
      <c r="CU77" s="49"/>
      <c r="CV77" s="49"/>
      <c r="CW77" s="49"/>
      <c r="CX77" s="49"/>
    </row>
    <row r="78" spans="1:102" ht="41.25" customHeight="1" x14ac:dyDescent="0.2">
      <c r="A78" s="1811"/>
      <c r="B78" s="1807"/>
      <c r="C78" s="49"/>
      <c r="D78" s="50"/>
      <c r="E78" s="49"/>
      <c r="F78" s="49"/>
      <c r="G78" s="49"/>
      <c r="H78" s="49"/>
      <c r="I78" s="49"/>
      <c r="J78" s="49"/>
      <c r="K78" s="49"/>
      <c r="L78" s="49"/>
      <c r="M78" s="49"/>
      <c r="N78" s="49"/>
      <c r="O78" s="49"/>
      <c r="P78" s="49"/>
      <c r="Q78" s="49"/>
      <c r="R78" s="49"/>
      <c r="S78" s="49"/>
      <c r="T78" s="1807"/>
      <c r="U78" s="51" t="s">
        <v>320</v>
      </c>
      <c r="V78" s="51">
        <v>23</v>
      </c>
      <c r="W78" s="1425" t="s">
        <v>321</v>
      </c>
      <c r="X78" s="50">
        <v>19</v>
      </c>
      <c r="Y78" s="50" t="s">
        <v>177</v>
      </c>
      <c r="Z78" s="50"/>
      <c r="AA78" s="50">
        <v>2</v>
      </c>
      <c r="AB78" s="50"/>
      <c r="AC78" s="50"/>
      <c r="AD78" s="57">
        <f>AA78/X78</f>
        <v>0.10526315789473684</v>
      </c>
      <c r="AE78" s="50"/>
      <c r="AF78" s="50"/>
      <c r="AG78" s="50"/>
      <c r="AH78" s="50"/>
      <c r="AI78" s="50"/>
      <c r="AJ78" s="50"/>
      <c r="AK78" s="50"/>
      <c r="AL78" s="50"/>
      <c r="AM78" s="50"/>
      <c r="AN78" s="50"/>
      <c r="AO78" s="50"/>
      <c r="AP78" s="50"/>
      <c r="AQ78" s="50"/>
      <c r="AR78" s="50"/>
      <c r="AS78" s="50"/>
      <c r="AT78" s="50"/>
      <c r="AU78" s="50"/>
      <c r="AV78" s="50"/>
      <c r="AW78" s="50"/>
      <c r="AX78" s="50"/>
      <c r="AY78" s="50"/>
      <c r="AZ78" s="50"/>
      <c r="BA78" s="50">
        <v>2</v>
      </c>
      <c r="BB78" s="50">
        <v>0</v>
      </c>
      <c r="BC78" s="50"/>
      <c r="BD78" s="50">
        <v>1</v>
      </c>
      <c r="BE78" s="50"/>
      <c r="BF78" s="50">
        <v>0</v>
      </c>
      <c r="BG78" s="50"/>
      <c r="BH78" s="50"/>
      <c r="BI78" s="50"/>
      <c r="BJ78" s="50">
        <f>+BD78</f>
        <v>1</v>
      </c>
      <c r="BK78" s="57">
        <f>BJ78/BA78</f>
        <v>0.5</v>
      </c>
      <c r="BL78" s="50">
        <f>BJ78+AY78</f>
        <v>1</v>
      </c>
      <c r="BM78" s="57">
        <f>+BL78/19</f>
        <v>5.2631578947368418E-2</v>
      </c>
      <c r="BN78" s="50"/>
      <c r="BO78" s="50"/>
      <c r="BP78" s="50"/>
      <c r="BQ78" s="50"/>
      <c r="BR78" s="50"/>
      <c r="BS78" s="50"/>
      <c r="BT78" s="50"/>
      <c r="BU78" s="50"/>
      <c r="BV78" s="50"/>
      <c r="BW78" s="50"/>
      <c r="BX78" s="50"/>
      <c r="BY78" s="50"/>
      <c r="BZ78" s="50"/>
      <c r="CA78" s="50"/>
      <c r="CB78" s="49"/>
      <c r="CC78" s="59"/>
      <c r="CD78" s="60"/>
      <c r="CE78" s="50"/>
      <c r="CF78" s="61"/>
      <c r="CG78" s="61"/>
      <c r="CH78" s="49"/>
      <c r="CI78" s="49"/>
      <c r="CJ78" s="49"/>
      <c r="CK78" s="49"/>
      <c r="CL78" s="49"/>
      <c r="CM78" s="49"/>
      <c r="CN78" s="49"/>
      <c r="CO78" s="50"/>
      <c r="CP78" s="50"/>
      <c r="CQ78" s="49"/>
      <c r="CR78" s="49"/>
      <c r="CS78" s="49"/>
      <c r="CT78" s="49"/>
      <c r="CU78" s="49"/>
      <c r="CV78" s="49"/>
      <c r="CW78" s="49"/>
      <c r="CX78" s="49"/>
    </row>
    <row r="79" spans="1:102" ht="38.25" customHeight="1" x14ac:dyDescent="0.2">
      <c r="A79" s="1811"/>
      <c r="B79" s="1807"/>
      <c r="C79" s="49"/>
      <c r="D79" s="50"/>
      <c r="E79" s="49"/>
      <c r="F79" s="49"/>
      <c r="G79" s="49"/>
      <c r="H79" s="49"/>
      <c r="I79" s="49"/>
      <c r="J79" s="49"/>
      <c r="K79" s="49"/>
      <c r="L79" s="49"/>
      <c r="M79" s="49"/>
      <c r="N79" s="49"/>
      <c r="O79" s="49"/>
      <c r="P79" s="49"/>
      <c r="Q79" s="49"/>
      <c r="R79" s="49"/>
      <c r="S79" s="49"/>
      <c r="T79" s="1807"/>
      <c r="U79" s="51" t="s">
        <v>322</v>
      </c>
      <c r="V79" s="51">
        <v>322</v>
      </c>
      <c r="W79" s="1425" t="s">
        <v>323</v>
      </c>
      <c r="X79" s="50">
        <v>336</v>
      </c>
      <c r="Y79" s="50" t="s">
        <v>177</v>
      </c>
      <c r="Z79" s="50"/>
      <c r="AA79" s="50" t="s">
        <v>319</v>
      </c>
      <c r="AB79" s="50"/>
      <c r="AC79" s="50"/>
      <c r="AD79" s="133"/>
      <c r="AE79" s="50"/>
      <c r="AF79" s="50"/>
      <c r="AG79" s="50"/>
      <c r="AH79" s="50"/>
      <c r="AI79" s="50"/>
      <c r="AJ79" s="50"/>
      <c r="AK79" s="50"/>
      <c r="AL79" s="50"/>
      <c r="AM79" s="50"/>
      <c r="AN79" s="50"/>
      <c r="AO79" s="50"/>
      <c r="AP79" s="50"/>
      <c r="AQ79" s="50"/>
      <c r="AR79" s="50"/>
      <c r="AS79" s="50"/>
      <c r="AT79" s="50"/>
      <c r="AU79" s="50"/>
      <c r="AV79" s="50"/>
      <c r="AW79" s="50"/>
      <c r="AX79" s="50"/>
      <c r="AY79" s="50"/>
      <c r="AZ79" s="50"/>
      <c r="BA79" s="50" t="s">
        <v>319</v>
      </c>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49"/>
      <c r="CC79" s="59"/>
      <c r="CD79" s="60"/>
      <c r="CE79" s="50"/>
      <c r="CF79" s="61"/>
      <c r="CG79" s="61"/>
      <c r="CH79" s="49"/>
      <c r="CI79" s="49"/>
      <c r="CJ79" s="49"/>
      <c r="CK79" s="49"/>
      <c r="CL79" s="49"/>
      <c r="CM79" s="49"/>
      <c r="CN79" s="49"/>
      <c r="CO79" s="50"/>
      <c r="CP79" s="50"/>
      <c r="CQ79" s="49"/>
      <c r="CR79" s="49"/>
      <c r="CS79" s="49"/>
      <c r="CT79" s="49"/>
      <c r="CU79" s="49"/>
      <c r="CV79" s="49"/>
      <c r="CW79" s="49"/>
      <c r="CX79" s="49"/>
    </row>
    <row r="80" spans="1:102" ht="33.75" customHeight="1" x14ac:dyDescent="0.2">
      <c r="A80" s="1811"/>
      <c r="B80" s="1807"/>
      <c r="C80" s="49"/>
      <c r="D80" s="50"/>
      <c r="E80" s="49"/>
      <c r="F80" s="49"/>
      <c r="G80" s="49"/>
      <c r="H80" s="49"/>
      <c r="I80" s="49"/>
      <c r="J80" s="49"/>
      <c r="K80" s="49"/>
      <c r="L80" s="49"/>
      <c r="M80" s="49"/>
      <c r="N80" s="49"/>
      <c r="O80" s="49"/>
      <c r="P80" s="49"/>
      <c r="Q80" s="49"/>
      <c r="R80" s="49"/>
      <c r="S80" s="49"/>
      <c r="T80" s="1807"/>
      <c r="U80" s="51" t="s">
        <v>324</v>
      </c>
      <c r="V80" s="51">
        <v>850</v>
      </c>
      <c r="W80" s="1425" t="s">
        <v>325</v>
      </c>
      <c r="X80" s="50">
        <v>712</v>
      </c>
      <c r="Y80" s="50">
        <v>100</v>
      </c>
      <c r="Z80" s="50">
        <v>10</v>
      </c>
      <c r="AA80" s="50">
        <v>2</v>
      </c>
      <c r="AB80" s="54">
        <f>+Y80/X80</f>
        <v>0.1404494382022472</v>
      </c>
      <c r="AC80" s="54">
        <f>+Z80/X80</f>
        <v>1.4044943820224719E-2</v>
      </c>
      <c r="AD80" s="57">
        <f>AA80/X80</f>
        <v>2.8089887640449437E-3</v>
      </c>
      <c r="AE80" s="50">
        <v>59</v>
      </c>
      <c r="AF80" s="50">
        <v>76</v>
      </c>
      <c r="AG80" s="50"/>
      <c r="AH80" s="100">
        <v>78</v>
      </c>
      <c r="AI80" s="50"/>
      <c r="AJ80" s="100">
        <f>+AH80</f>
        <v>78</v>
      </c>
      <c r="AK80" s="54">
        <f>+AJ80/Y80</f>
        <v>0.78</v>
      </c>
      <c r="AL80" s="50">
        <f>+AJ80</f>
        <v>78</v>
      </c>
      <c r="AM80" s="55">
        <f>+AL80/X80</f>
        <v>0.10955056179775281</v>
      </c>
      <c r="AN80" s="50">
        <v>15</v>
      </c>
      <c r="AO80" s="50">
        <v>9</v>
      </c>
      <c r="AP80" s="50"/>
      <c r="AQ80" s="50">
        <v>6</v>
      </c>
      <c r="AR80" s="50"/>
      <c r="AS80" s="50">
        <v>1</v>
      </c>
      <c r="AT80" s="50"/>
      <c r="AU80" s="50">
        <v>2</v>
      </c>
      <c r="AV80" s="50"/>
      <c r="AW80" s="50">
        <f>AO80+AQ80+AS80+AU80</f>
        <v>18</v>
      </c>
      <c r="AX80" s="54">
        <f>AW80/AN80</f>
        <v>1.2</v>
      </c>
      <c r="AY80" s="50">
        <f>AW80+AL80</f>
        <v>96</v>
      </c>
      <c r="AZ80" s="57">
        <f>AY80/X80</f>
        <v>0.1348314606741573</v>
      </c>
      <c r="BA80" s="50">
        <v>2</v>
      </c>
      <c r="BB80" s="50">
        <v>0</v>
      </c>
      <c r="BC80" s="50"/>
      <c r="BD80" s="50">
        <v>0</v>
      </c>
      <c r="BE80" s="50"/>
      <c r="BF80" s="50">
        <v>0</v>
      </c>
      <c r="BG80" s="50"/>
      <c r="BH80" s="50">
        <v>1</v>
      </c>
      <c r="BI80" s="50"/>
      <c r="BJ80" s="50">
        <f>+BH80</f>
        <v>1</v>
      </c>
      <c r="BK80" s="57">
        <f>BJ80/BA80</f>
        <v>0.5</v>
      </c>
      <c r="BL80" s="50">
        <f>BJ80+AY80</f>
        <v>97</v>
      </c>
      <c r="BM80" s="57">
        <f>BL80/X80</f>
        <v>0.13623595505617977</v>
      </c>
      <c r="BN80" s="50"/>
      <c r="BO80" s="50"/>
      <c r="BP80" s="50"/>
      <c r="BQ80" s="50"/>
      <c r="BR80" s="50"/>
      <c r="BS80" s="50"/>
      <c r="BT80" s="50"/>
      <c r="BU80" s="50"/>
      <c r="BV80" s="50"/>
      <c r="BW80" s="50"/>
      <c r="BX80" s="50"/>
      <c r="BY80" s="50"/>
      <c r="BZ80" s="50"/>
      <c r="CA80" s="50"/>
      <c r="CB80" s="49"/>
      <c r="CC80" s="59"/>
      <c r="CD80" s="60"/>
      <c r="CE80" s="50"/>
      <c r="CF80" s="61"/>
      <c r="CG80" s="61"/>
      <c r="CH80" s="49"/>
      <c r="CI80" s="49"/>
      <c r="CJ80" s="49"/>
      <c r="CK80" s="49"/>
      <c r="CL80" s="49"/>
      <c r="CM80" s="49"/>
      <c r="CN80" s="49"/>
      <c r="CO80" s="50"/>
      <c r="CP80" s="50"/>
      <c r="CQ80" s="49"/>
      <c r="CR80" s="49"/>
      <c r="CS80" s="49"/>
      <c r="CT80" s="49"/>
      <c r="CU80" s="49"/>
      <c r="CV80" s="49"/>
      <c r="CW80" s="49"/>
      <c r="CX80" s="49"/>
    </row>
    <row r="81" spans="1:102" ht="45" customHeight="1" x14ac:dyDescent="0.2">
      <c r="A81" s="1811"/>
      <c r="B81" s="1807"/>
      <c r="C81" s="49"/>
      <c r="D81" s="50"/>
      <c r="E81" s="49"/>
      <c r="F81" s="49"/>
      <c r="G81" s="49"/>
      <c r="H81" s="49"/>
      <c r="I81" s="49"/>
      <c r="J81" s="49"/>
      <c r="K81" s="49"/>
      <c r="L81" s="49"/>
      <c r="M81" s="49"/>
      <c r="N81" s="49"/>
      <c r="O81" s="49"/>
      <c r="P81" s="49"/>
      <c r="Q81" s="49"/>
      <c r="R81" s="49"/>
      <c r="S81" s="49"/>
      <c r="T81" s="1807"/>
      <c r="U81" s="51" t="s">
        <v>326</v>
      </c>
      <c r="V81" s="51" t="s">
        <v>327</v>
      </c>
      <c r="W81" s="1425" t="s">
        <v>328</v>
      </c>
      <c r="X81" s="50">
        <v>409</v>
      </c>
      <c r="Y81" s="50">
        <v>0</v>
      </c>
      <c r="Z81" s="50"/>
      <c r="AA81" s="50" t="s">
        <v>319</v>
      </c>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t="s">
        <v>319</v>
      </c>
      <c r="BB81" s="50"/>
      <c r="BC81" s="50"/>
      <c r="BD81" s="50"/>
      <c r="BE81" s="50"/>
      <c r="BF81" s="50"/>
      <c r="BG81" s="50"/>
      <c r="BH81" s="50"/>
      <c r="BI81" s="50"/>
      <c r="BJ81" s="50"/>
      <c r="BK81" s="50"/>
      <c r="BL81" s="50"/>
      <c r="BM81" s="50"/>
      <c r="BN81" s="50"/>
      <c r="BO81" s="50"/>
      <c r="BP81" s="50"/>
      <c r="BQ81" s="50"/>
      <c r="BR81" s="50"/>
      <c r="BS81" s="50"/>
      <c r="BT81" s="50"/>
      <c r="BU81" s="50"/>
      <c r="BV81" s="50"/>
      <c r="BW81" s="50"/>
      <c r="BX81" s="50"/>
      <c r="BY81" s="50"/>
      <c r="BZ81" s="50"/>
      <c r="CA81" s="50"/>
      <c r="CB81" s="49"/>
      <c r="CC81" s="59"/>
      <c r="CD81" s="60"/>
      <c r="CE81" s="50"/>
      <c r="CF81" s="61"/>
      <c r="CG81" s="61"/>
      <c r="CH81" s="49"/>
      <c r="CI81" s="49"/>
      <c r="CJ81" s="49"/>
      <c r="CK81" s="49"/>
      <c r="CL81" s="49"/>
      <c r="CM81" s="49"/>
      <c r="CN81" s="49"/>
      <c r="CO81" s="50"/>
      <c r="CP81" s="50"/>
      <c r="CQ81" s="49"/>
      <c r="CR81" s="49"/>
      <c r="CS81" s="49"/>
      <c r="CT81" s="49"/>
      <c r="CU81" s="49"/>
      <c r="CV81" s="49"/>
      <c r="CW81" s="49"/>
      <c r="CX81" s="49"/>
    </row>
    <row r="82" spans="1:102" ht="12.75" customHeight="1" x14ac:dyDescent="0.2">
      <c r="A82" s="1811"/>
      <c r="B82" s="1807"/>
      <c r="C82" s="49"/>
      <c r="D82" s="50"/>
      <c r="E82" s="49"/>
      <c r="F82" s="49"/>
      <c r="G82" s="49"/>
      <c r="H82" s="49"/>
      <c r="I82" s="49"/>
      <c r="J82" s="49"/>
      <c r="K82" s="49"/>
      <c r="L82" s="49"/>
      <c r="M82" s="49"/>
      <c r="N82" s="49"/>
      <c r="O82" s="49"/>
      <c r="P82" s="49"/>
      <c r="Q82" s="49"/>
      <c r="R82" s="49"/>
      <c r="S82" s="49"/>
      <c r="T82" s="1808"/>
      <c r="U82" s="85"/>
      <c r="V82" s="85"/>
      <c r="W82" s="1427"/>
      <c r="X82" s="72"/>
      <c r="Y82" s="72"/>
      <c r="Z82" s="72"/>
      <c r="AA82" s="72"/>
      <c r="AB82" s="86">
        <f>AVERAGE(AB77:AB81)</f>
        <v>0.1404494382022472</v>
      </c>
      <c r="AC82" s="73">
        <f>AVERAGE(AC77:AC81)</f>
        <v>1.4044943820224719E-2</v>
      </c>
      <c r="AD82" s="107">
        <f>AVERAGE(AD77:AD81)</f>
        <v>5.4036073329390893E-2</v>
      </c>
      <c r="AE82" s="72"/>
      <c r="AF82" s="72"/>
      <c r="AG82" s="72"/>
      <c r="AH82" s="72"/>
      <c r="AI82" s="72"/>
      <c r="AJ82" s="72"/>
      <c r="AK82" s="86">
        <f>AVERAGE(AK77:AK81)</f>
        <v>0.78</v>
      </c>
      <c r="AL82" s="72"/>
      <c r="AM82" s="107">
        <f>AVERAGE(AM77:AM81)</f>
        <v>0.10955056179775281</v>
      </c>
      <c r="AN82" s="72"/>
      <c r="AO82" s="72"/>
      <c r="AP82" s="72"/>
      <c r="AQ82" s="72"/>
      <c r="AR82" s="72"/>
      <c r="AS82" s="72"/>
      <c r="AT82" s="72"/>
      <c r="AU82" s="72"/>
      <c r="AV82" s="72"/>
      <c r="AW82" s="50"/>
      <c r="AX82" s="134">
        <v>1</v>
      </c>
      <c r="AY82" s="135"/>
      <c r="AZ82" s="107">
        <f>AVERAGE(AZ77:AZ81)</f>
        <v>0.1348314606741573</v>
      </c>
      <c r="BA82" s="50"/>
      <c r="BB82" s="50"/>
      <c r="BC82" s="50"/>
      <c r="BD82" s="50"/>
      <c r="BE82" s="50"/>
      <c r="BF82" s="50"/>
      <c r="BG82" s="50"/>
      <c r="BH82" s="50"/>
      <c r="BI82" s="50"/>
      <c r="BJ82" s="50"/>
      <c r="BK82" s="1694">
        <f>AVERAGE(BK77:BK81)</f>
        <v>0.5</v>
      </c>
      <c r="BL82" s="50"/>
      <c r="BM82" s="107">
        <f>AVERAGE(BM77:BM81)</f>
        <v>9.4433767001774097E-2</v>
      </c>
      <c r="BN82" s="50"/>
      <c r="BO82" s="50"/>
      <c r="BP82" s="50"/>
      <c r="BQ82" s="50"/>
      <c r="BR82" s="50"/>
      <c r="BS82" s="50"/>
      <c r="BT82" s="50"/>
      <c r="BU82" s="50"/>
      <c r="BV82" s="50"/>
      <c r="BW82" s="50"/>
      <c r="BX82" s="50"/>
      <c r="BY82" s="50"/>
      <c r="BZ82" s="50"/>
      <c r="CA82" s="50"/>
      <c r="CB82" s="49"/>
      <c r="CC82" s="59"/>
      <c r="CD82" s="60"/>
      <c r="CE82" s="50"/>
      <c r="CF82" s="61"/>
      <c r="CG82" s="61"/>
      <c r="CH82" s="49"/>
      <c r="CI82" s="49"/>
      <c r="CJ82" s="49"/>
      <c r="CK82" s="49"/>
      <c r="CL82" s="49"/>
      <c r="CM82" s="49"/>
      <c r="CN82" s="49"/>
      <c r="CO82" s="50"/>
      <c r="CP82" s="50"/>
      <c r="CQ82" s="49"/>
      <c r="CR82" s="49"/>
      <c r="CS82" s="49"/>
      <c r="CT82" s="49"/>
      <c r="CU82" s="49"/>
      <c r="CV82" s="49"/>
      <c r="CW82" s="49"/>
      <c r="CX82" s="49"/>
    </row>
    <row r="83" spans="1:102" ht="47.25" customHeight="1" x14ac:dyDescent="0.2">
      <c r="A83" s="1811"/>
      <c r="B83" s="1807"/>
      <c r="C83" s="49"/>
      <c r="D83" s="50"/>
      <c r="E83" s="49"/>
      <c r="F83" s="49"/>
      <c r="G83" s="49"/>
      <c r="H83" s="49"/>
      <c r="I83" s="49"/>
      <c r="J83" s="49"/>
      <c r="K83" s="49"/>
      <c r="L83" s="49"/>
      <c r="M83" s="49"/>
      <c r="N83" s="49"/>
      <c r="O83" s="49"/>
      <c r="P83" s="49"/>
      <c r="Q83" s="49"/>
      <c r="R83" s="49"/>
      <c r="S83" s="49"/>
      <c r="T83" s="1809" t="s">
        <v>329</v>
      </c>
      <c r="U83" s="136" t="s">
        <v>330</v>
      </c>
      <c r="V83" s="51" t="s">
        <v>331</v>
      </c>
      <c r="W83" s="1425" t="s">
        <v>332</v>
      </c>
      <c r="X83" s="56">
        <v>60000</v>
      </c>
      <c r="Y83" s="56">
        <v>10000</v>
      </c>
      <c r="Z83" s="56">
        <v>10000</v>
      </c>
      <c r="AA83" s="56">
        <v>20000</v>
      </c>
      <c r="AB83" s="54">
        <f t="shared" ref="AB83:AB89" si="17">+Y83/X83</f>
        <v>0.16666666666666666</v>
      </c>
      <c r="AC83" s="54">
        <f t="shared" ref="AC83:AC90" si="18">+Z83/X83</f>
        <v>0.16666666666666666</v>
      </c>
      <c r="AD83" s="54">
        <f t="shared" ref="AD83:AD89" si="19">AA83/X83</f>
        <v>0.33333333333333331</v>
      </c>
      <c r="AE83" s="56">
        <v>1300</v>
      </c>
      <c r="AF83" s="56">
        <v>3468</v>
      </c>
      <c r="AG83" s="56"/>
      <c r="AH83" s="56">
        <v>16028</v>
      </c>
      <c r="AI83" s="56"/>
      <c r="AJ83" s="56">
        <f t="shared" ref="AJ83:AJ89" si="20">+AH83</f>
        <v>16028</v>
      </c>
      <c r="AK83" s="54">
        <v>1</v>
      </c>
      <c r="AL83" s="56">
        <f>+AJ83</f>
        <v>16028</v>
      </c>
      <c r="AM83" s="55">
        <f t="shared" ref="AM83:AM89" si="21">+AL83/X83</f>
        <v>0.26713333333333333</v>
      </c>
      <c r="AN83" s="56">
        <v>10000</v>
      </c>
      <c r="AO83" s="50">
        <v>3574</v>
      </c>
      <c r="AP83" s="50"/>
      <c r="AQ83" s="50">
        <v>1680</v>
      </c>
      <c r="AR83" s="50"/>
      <c r="AS83" s="50">
        <v>5092</v>
      </c>
      <c r="AT83" s="50"/>
      <c r="AU83" s="50">
        <v>2891</v>
      </c>
      <c r="AV83" s="50"/>
      <c r="AW83" s="50">
        <f>AO83+AQ83+AS83+AU83</f>
        <v>13237</v>
      </c>
      <c r="AX83" s="57">
        <v>1</v>
      </c>
      <c r="AY83" s="56">
        <f>AW83+AL83</f>
        <v>29265</v>
      </c>
      <c r="AZ83" s="57">
        <f t="shared" ref="AZ83:AZ90" si="22">AY83/X83</f>
        <v>0.48775000000000002</v>
      </c>
      <c r="BA83" s="50">
        <v>20000</v>
      </c>
      <c r="BB83" s="50">
        <v>6253</v>
      </c>
      <c r="BC83" s="50"/>
      <c r="BD83" s="50">
        <v>4116</v>
      </c>
      <c r="BE83" s="50"/>
      <c r="BF83" s="50">
        <v>4302</v>
      </c>
      <c r="BG83" s="50"/>
      <c r="BH83" s="50">
        <v>10628</v>
      </c>
      <c r="BI83" s="50"/>
      <c r="BJ83" s="50">
        <f>BB83+BD83+BF83+BH83</f>
        <v>25299</v>
      </c>
      <c r="BK83" s="57">
        <v>1</v>
      </c>
      <c r="BL83" s="56">
        <f t="shared" ref="BL83:BL90" si="23">BJ83+AY83</f>
        <v>54564</v>
      </c>
      <c r="BM83" s="57">
        <f t="shared" ref="BM83:BM90" si="24">BL83/X83</f>
        <v>0.90939999999999999</v>
      </c>
      <c r="BN83" s="50"/>
      <c r="BO83" s="50"/>
      <c r="BP83" s="50"/>
      <c r="BQ83" s="50"/>
      <c r="BR83" s="50"/>
      <c r="BS83" s="50"/>
      <c r="BT83" s="50"/>
      <c r="BU83" s="50"/>
      <c r="BV83" s="50"/>
      <c r="BW83" s="50"/>
      <c r="BX83" s="50"/>
      <c r="BY83" s="50"/>
      <c r="BZ83" s="50"/>
      <c r="CA83" s="50"/>
      <c r="CB83" s="49"/>
      <c r="CC83" s="59"/>
      <c r="CD83" s="60"/>
      <c r="CE83" s="50"/>
      <c r="CF83" s="61"/>
      <c r="CG83" s="61"/>
      <c r="CH83" s="49"/>
      <c r="CI83" s="49"/>
      <c r="CJ83" s="49"/>
      <c r="CK83" s="49"/>
      <c r="CL83" s="49"/>
      <c r="CM83" s="49"/>
      <c r="CN83" s="49"/>
      <c r="CO83" s="50"/>
      <c r="CP83" s="50"/>
      <c r="CQ83" s="49"/>
      <c r="CR83" s="49"/>
      <c r="CS83" s="49"/>
      <c r="CT83" s="49"/>
      <c r="CU83" s="49"/>
      <c r="CV83" s="49"/>
      <c r="CW83" s="49"/>
      <c r="CX83" s="49"/>
    </row>
    <row r="84" spans="1:102" ht="52.5" customHeight="1" x14ac:dyDescent="0.2">
      <c r="A84" s="1811"/>
      <c r="B84" s="1807"/>
      <c r="C84" s="49"/>
      <c r="D84" s="50"/>
      <c r="E84" s="49"/>
      <c r="F84" s="49"/>
      <c r="G84" s="49"/>
      <c r="H84" s="49"/>
      <c r="I84" s="49"/>
      <c r="J84" s="49"/>
      <c r="K84" s="49"/>
      <c r="L84" s="49"/>
      <c r="M84" s="49"/>
      <c r="N84" s="49"/>
      <c r="O84" s="49"/>
      <c r="P84" s="49"/>
      <c r="Q84" s="49"/>
      <c r="R84" s="49"/>
      <c r="S84" s="49"/>
      <c r="T84" s="1807"/>
      <c r="U84" s="136" t="s">
        <v>333</v>
      </c>
      <c r="V84" s="51" t="s">
        <v>334</v>
      </c>
      <c r="W84" s="1425" t="s">
        <v>335</v>
      </c>
      <c r="X84" s="61">
        <v>9</v>
      </c>
      <c r="Y84" s="61">
        <v>1</v>
      </c>
      <c r="Z84" s="61">
        <v>2</v>
      </c>
      <c r="AA84" s="61">
        <v>2</v>
      </c>
      <c r="AB84" s="54">
        <f t="shared" si="17"/>
        <v>0.1111111111111111</v>
      </c>
      <c r="AC84" s="54">
        <f t="shared" si="18"/>
        <v>0.22222222222222221</v>
      </c>
      <c r="AD84" s="137">
        <f t="shared" si="19"/>
        <v>0.22222222222222221</v>
      </c>
      <c r="AE84" s="138">
        <v>0</v>
      </c>
      <c r="AF84" s="138">
        <v>2</v>
      </c>
      <c r="AG84" s="50"/>
      <c r="AH84" s="50">
        <v>3</v>
      </c>
      <c r="AI84" s="50"/>
      <c r="AJ84" s="56">
        <f t="shared" si="20"/>
        <v>3</v>
      </c>
      <c r="AK84" s="65">
        <v>1</v>
      </c>
      <c r="AL84" s="56">
        <f>+AJ84</f>
        <v>3</v>
      </c>
      <c r="AM84" s="54">
        <f t="shared" si="21"/>
        <v>0.33333333333333331</v>
      </c>
      <c r="AN84" s="61">
        <v>2</v>
      </c>
      <c r="AO84" s="50">
        <v>1</v>
      </c>
      <c r="AP84" s="50"/>
      <c r="AQ84" s="50">
        <v>0</v>
      </c>
      <c r="AR84" s="50"/>
      <c r="AS84" s="50">
        <v>2</v>
      </c>
      <c r="AT84" s="50"/>
      <c r="AU84" s="50">
        <v>0</v>
      </c>
      <c r="AV84" s="50"/>
      <c r="AW84" s="50">
        <f>AO84+AQ84+AS84</f>
        <v>3</v>
      </c>
      <c r="AX84" s="57">
        <v>1</v>
      </c>
      <c r="AY84" s="56">
        <f>AW84+AL84</f>
        <v>6</v>
      </c>
      <c r="AZ84" s="55">
        <f t="shared" si="22"/>
        <v>0.66666666666666663</v>
      </c>
      <c r="BA84" s="50">
        <v>2</v>
      </c>
      <c r="BB84" s="50">
        <v>0</v>
      </c>
      <c r="BC84" s="50"/>
      <c r="BD84" s="50">
        <v>0</v>
      </c>
      <c r="BE84" s="50"/>
      <c r="BF84" s="50">
        <v>1</v>
      </c>
      <c r="BG84" s="1202" t="s">
        <v>2269</v>
      </c>
      <c r="BH84" s="50">
        <v>1</v>
      </c>
      <c r="BI84" s="50"/>
      <c r="BJ84" s="50">
        <f>+BF84+BH84</f>
        <v>2</v>
      </c>
      <c r="BK84" s="57">
        <f t="shared" ref="BK84:BK89" si="25">BJ84/BA84</f>
        <v>1</v>
      </c>
      <c r="BL84" s="50">
        <f t="shared" si="23"/>
        <v>8</v>
      </c>
      <c r="BM84" s="57">
        <f t="shared" si="24"/>
        <v>0.88888888888888884</v>
      </c>
      <c r="BN84" s="50"/>
      <c r="BO84" s="50"/>
      <c r="BP84" s="50"/>
      <c r="BQ84" s="50"/>
      <c r="BR84" s="50"/>
      <c r="BS84" s="50"/>
      <c r="BT84" s="50"/>
      <c r="BU84" s="50"/>
      <c r="BV84" s="50"/>
      <c r="BW84" s="50"/>
      <c r="BX84" s="50"/>
      <c r="BY84" s="50"/>
      <c r="BZ84" s="50"/>
      <c r="CA84" s="50"/>
      <c r="CB84" s="49"/>
      <c r="CC84" s="59"/>
      <c r="CD84" s="60"/>
      <c r="CE84" s="50"/>
      <c r="CF84" s="61"/>
      <c r="CG84" s="61"/>
      <c r="CH84" s="49"/>
      <c r="CI84" s="49"/>
      <c r="CJ84" s="49"/>
      <c r="CK84" s="49"/>
      <c r="CL84" s="49"/>
      <c r="CM84" s="49"/>
      <c r="CN84" s="49"/>
      <c r="CO84" s="50"/>
      <c r="CP84" s="50"/>
      <c r="CQ84" s="49"/>
      <c r="CR84" s="49"/>
      <c r="CS84" s="49"/>
      <c r="CT84" s="49"/>
      <c r="CU84" s="49"/>
      <c r="CV84" s="49"/>
      <c r="CW84" s="49"/>
      <c r="CX84" s="49"/>
    </row>
    <row r="85" spans="1:102" ht="42" customHeight="1" x14ac:dyDescent="0.2">
      <c r="A85" s="1811"/>
      <c r="B85" s="1807"/>
      <c r="C85" s="49"/>
      <c r="D85" s="50"/>
      <c r="E85" s="49"/>
      <c r="F85" s="49"/>
      <c r="G85" s="49"/>
      <c r="H85" s="49"/>
      <c r="I85" s="49"/>
      <c r="J85" s="49"/>
      <c r="K85" s="49"/>
      <c r="L85" s="49"/>
      <c r="M85" s="49"/>
      <c r="N85" s="49"/>
      <c r="O85" s="49"/>
      <c r="P85" s="49"/>
      <c r="Q85" s="49"/>
      <c r="R85" s="49"/>
      <c r="S85" s="49"/>
      <c r="T85" s="1807"/>
      <c r="U85" s="136" t="s">
        <v>336</v>
      </c>
      <c r="V85" s="51" t="s">
        <v>337</v>
      </c>
      <c r="W85" s="1425" t="s">
        <v>338</v>
      </c>
      <c r="X85" s="61">
        <v>1000</v>
      </c>
      <c r="Y85" s="61">
        <v>50</v>
      </c>
      <c r="Z85" s="61">
        <v>200</v>
      </c>
      <c r="AA85" s="61">
        <v>400</v>
      </c>
      <c r="AB85" s="54">
        <f t="shared" si="17"/>
        <v>0.05</v>
      </c>
      <c r="AC85" s="54">
        <f t="shared" si="18"/>
        <v>0.2</v>
      </c>
      <c r="AD85" s="137">
        <f t="shared" si="19"/>
        <v>0.4</v>
      </c>
      <c r="AE85" s="61">
        <v>0</v>
      </c>
      <c r="AF85" s="61">
        <v>0</v>
      </c>
      <c r="AG85" s="50"/>
      <c r="AH85" s="50">
        <v>0</v>
      </c>
      <c r="AI85" s="50"/>
      <c r="AJ85" s="50">
        <f t="shared" si="20"/>
        <v>0</v>
      </c>
      <c r="AK85" s="54">
        <f>+AJ85/Y85</f>
        <v>0</v>
      </c>
      <c r="AL85" s="50">
        <f>+AJ85</f>
        <v>0</v>
      </c>
      <c r="AM85" s="54">
        <f t="shared" si="21"/>
        <v>0</v>
      </c>
      <c r="AN85" s="61">
        <v>200</v>
      </c>
      <c r="AO85" s="50">
        <v>0</v>
      </c>
      <c r="AP85" s="50"/>
      <c r="AQ85" s="50">
        <v>0</v>
      </c>
      <c r="AR85" s="50"/>
      <c r="AS85" s="50">
        <v>0</v>
      </c>
      <c r="AT85" s="50"/>
      <c r="AU85" s="50">
        <v>5</v>
      </c>
      <c r="AV85" s="50"/>
      <c r="AW85" s="50">
        <f>+AU85</f>
        <v>5</v>
      </c>
      <c r="AX85" s="57">
        <f>AW85/AN85</f>
        <v>2.5000000000000001E-2</v>
      </c>
      <c r="AY85" s="50">
        <f>AW85+AL85</f>
        <v>5</v>
      </c>
      <c r="AZ85" s="57">
        <f t="shared" si="22"/>
        <v>5.0000000000000001E-3</v>
      </c>
      <c r="BA85" s="50">
        <v>400</v>
      </c>
      <c r="BB85" s="50">
        <v>365</v>
      </c>
      <c r="BC85" s="50"/>
      <c r="BD85" s="50">
        <v>0</v>
      </c>
      <c r="BE85" s="50"/>
      <c r="BF85" s="50">
        <v>0</v>
      </c>
      <c r="BG85" s="50"/>
      <c r="BH85" s="50">
        <v>0</v>
      </c>
      <c r="BI85" s="50"/>
      <c r="BJ85" s="50">
        <f t="shared" ref="BJ85:BJ90" si="26">BB85</f>
        <v>365</v>
      </c>
      <c r="BK85" s="57">
        <f t="shared" si="25"/>
        <v>0.91249999999999998</v>
      </c>
      <c r="BL85" s="50">
        <f t="shared" si="23"/>
        <v>370</v>
      </c>
      <c r="BM85" s="57">
        <f t="shared" si="24"/>
        <v>0.37</v>
      </c>
      <c r="BN85" s="50"/>
      <c r="BO85" s="50"/>
      <c r="BP85" s="50"/>
      <c r="BQ85" s="50"/>
      <c r="BR85" s="50"/>
      <c r="BS85" s="50"/>
      <c r="BT85" s="50"/>
      <c r="BU85" s="50"/>
      <c r="BV85" s="50"/>
      <c r="BW85" s="50"/>
      <c r="BX85" s="50"/>
      <c r="BY85" s="50"/>
      <c r="BZ85" s="50"/>
      <c r="CA85" s="50"/>
      <c r="CB85" s="49"/>
      <c r="CC85" s="59"/>
      <c r="CD85" s="60"/>
      <c r="CE85" s="50"/>
      <c r="CF85" s="61"/>
      <c r="CG85" s="61"/>
      <c r="CH85" s="49"/>
      <c r="CI85" s="49"/>
      <c r="CJ85" s="49"/>
      <c r="CK85" s="49"/>
      <c r="CL85" s="49"/>
      <c r="CM85" s="49"/>
      <c r="CN85" s="49"/>
      <c r="CO85" s="50"/>
      <c r="CP85" s="50"/>
      <c r="CQ85" s="49"/>
      <c r="CR85" s="49"/>
      <c r="CS85" s="49"/>
      <c r="CT85" s="49"/>
      <c r="CU85" s="49"/>
      <c r="CV85" s="49"/>
      <c r="CW85" s="49"/>
      <c r="CX85" s="49"/>
    </row>
    <row r="86" spans="1:102" ht="39" customHeight="1" x14ac:dyDescent="0.2">
      <c r="A86" s="1811"/>
      <c r="B86" s="1807"/>
      <c r="C86" s="49"/>
      <c r="D86" s="50"/>
      <c r="E86" s="49"/>
      <c r="F86" s="49"/>
      <c r="G86" s="49"/>
      <c r="H86" s="49"/>
      <c r="I86" s="49"/>
      <c r="J86" s="49"/>
      <c r="K86" s="49"/>
      <c r="L86" s="49"/>
      <c r="M86" s="49"/>
      <c r="N86" s="49"/>
      <c r="O86" s="49"/>
      <c r="P86" s="49"/>
      <c r="Q86" s="49"/>
      <c r="R86" s="49"/>
      <c r="S86" s="49"/>
      <c r="T86" s="1807"/>
      <c r="U86" s="136" t="s">
        <v>339</v>
      </c>
      <c r="V86" s="51" t="s">
        <v>340</v>
      </c>
      <c r="W86" s="1425" t="s">
        <v>341</v>
      </c>
      <c r="X86" s="61">
        <v>150000</v>
      </c>
      <c r="Y86" s="61">
        <v>1500</v>
      </c>
      <c r="Z86" s="61">
        <v>50000</v>
      </c>
      <c r="AA86" s="61">
        <v>50000</v>
      </c>
      <c r="AB86" s="54">
        <f t="shared" si="17"/>
        <v>0.01</v>
      </c>
      <c r="AC86" s="54">
        <f t="shared" si="18"/>
        <v>0.33333333333333331</v>
      </c>
      <c r="AD86" s="137">
        <f t="shared" si="19"/>
        <v>0.33333333333333331</v>
      </c>
      <c r="AE86" s="61">
        <v>0</v>
      </c>
      <c r="AF86" s="61">
        <v>0</v>
      </c>
      <c r="AG86" s="50"/>
      <c r="AH86" s="50">
        <v>0</v>
      </c>
      <c r="AI86" s="50"/>
      <c r="AJ86" s="50">
        <f t="shared" si="20"/>
        <v>0</v>
      </c>
      <c r="AK86" s="54">
        <f>+AJ86/Y86</f>
        <v>0</v>
      </c>
      <c r="AL86" s="50">
        <f>+AJ86</f>
        <v>0</v>
      </c>
      <c r="AM86" s="54">
        <f t="shared" si="21"/>
        <v>0</v>
      </c>
      <c r="AN86" s="61">
        <v>50000</v>
      </c>
      <c r="AO86" s="50">
        <v>0</v>
      </c>
      <c r="AP86" s="50"/>
      <c r="AQ86" s="50">
        <v>0</v>
      </c>
      <c r="AR86" s="50"/>
      <c r="AS86" s="50">
        <v>0</v>
      </c>
      <c r="AT86" s="50"/>
      <c r="AU86" s="50">
        <v>30000</v>
      </c>
      <c r="AV86" s="50"/>
      <c r="AW86" s="50">
        <f>+AU86</f>
        <v>30000</v>
      </c>
      <c r="AX86" s="57">
        <f>AW86/AN86</f>
        <v>0.6</v>
      </c>
      <c r="AY86" s="50">
        <f>AW86+AL86</f>
        <v>30000</v>
      </c>
      <c r="AZ86" s="57">
        <f t="shared" si="22"/>
        <v>0.2</v>
      </c>
      <c r="BA86" s="50">
        <v>50000</v>
      </c>
      <c r="BB86" s="50">
        <v>20935</v>
      </c>
      <c r="BC86" s="50"/>
      <c r="BD86" s="50">
        <v>0</v>
      </c>
      <c r="BE86" s="50"/>
      <c r="BF86" s="50">
        <v>0</v>
      </c>
      <c r="BG86" s="50"/>
      <c r="BH86" s="50">
        <v>8500</v>
      </c>
      <c r="BI86" s="50"/>
      <c r="BJ86" s="50">
        <f>BB86+BH86</f>
        <v>29435</v>
      </c>
      <c r="BK86" s="57">
        <f t="shared" si="25"/>
        <v>0.5887</v>
      </c>
      <c r="BL86" s="50">
        <f t="shared" si="23"/>
        <v>59435</v>
      </c>
      <c r="BM86" s="55">
        <f t="shared" si="24"/>
        <v>0.39623333333333333</v>
      </c>
      <c r="BN86" s="50"/>
      <c r="BO86" s="50"/>
      <c r="BP86" s="50"/>
      <c r="BQ86" s="50"/>
      <c r="BR86" s="50"/>
      <c r="BS86" s="50"/>
      <c r="BT86" s="50"/>
      <c r="BU86" s="50"/>
      <c r="BV86" s="50"/>
      <c r="BW86" s="50"/>
      <c r="BX86" s="50"/>
      <c r="BY86" s="50"/>
      <c r="BZ86" s="50"/>
      <c r="CA86" s="50"/>
      <c r="CB86" s="49"/>
      <c r="CC86" s="59"/>
      <c r="CD86" s="60"/>
      <c r="CE86" s="50"/>
      <c r="CF86" s="61"/>
      <c r="CG86" s="61"/>
      <c r="CH86" s="49"/>
      <c r="CI86" s="49"/>
      <c r="CJ86" s="49"/>
      <c r="CK86" s="49"/>
      <c r="CL86" s="49"/>
      <c r="CM86" s="49"/>
      <c r="CN86" s="49"/>
      <c r="CO86" s="50"/>
      <c r="CP86" s="50"/>
      <c r="CQ86" s="49"/>
      <c r="CR86" s="49"/>
      <c r="CS86" s="49"/>
      <c r="CT86" s="49"/>
      <c r="CU86" s="49"/>
      <c r="CV86" s="49"/>
      <c r="CW86" s="49"/>
      <c r="CX86" s="49"/>
    </row>
    <row r="87" spans="1:102" ht="42.75" customHeight="1" x14ac:dyDescent="0.2">
      <c r="A87" s="1811"/>
      <c r="B87" s="1807"/>
      <c r="C87" s="49"/>
      <c r="D87" s="50"/>
      <c r="E87" s="49"/>
      <c r="F87" s="49"/>
      <c r="G87" s="49"/>
      <c r="H87" s="49"/>
      <c r="I87" s="49"/>
      <c r="J87" s="49"/>
      <c r="K87" s="49"/>
      <c r="L87" s="49"/>
      <c r="M87" s="49"/>
      <c r="N87" s="49"/>
      <c r="O87" s="49"/>
      <c r="P87" s="49"/>
      <c r="Q87" s="49"/>
      <c r="R87" s="49"/>
      <c r="S87" s="49"/>
      <c r="T87" s="1807"/>
      <c r="U87" s="136" t="s">
        <v>342</v>
      </c>
      <c r="V87" s="136" t="s">
        <v>343</v>
      </c>
      <c r="W87" s="1425" t="s">
        <v>344</v>
      </c>
      <c r="X87" s="61">
        <v>400</v>
      </c>
      <c r="Y87" s="61">
        <v>20</v>
      </c>
      <c r="Z87" s="61">
        <v>100</v>
      </c>
      <c r="AA87" s="61">
        <v>200</v>
      </c>
      <c r="AB87" s="54">
        <f t="shared" si="17"/>
        <v>0.05</v>
      </c>
      <c r="AC87" s="54">
        <f t="shared" si="18"/>
        <v>0.25</v>
      </c>
      <c r="AD87" s="137">
        <f t="shared" si="19"/>
        <v>0.5</v>
      </c>
      <c r="AE87" s="61">
        <v>0</v>
      </c>
      <c r="AF87" s="61">
        <v>0</v>
      </c>
      <c r="AG87" s="50"/>
      <c r="AH87" s="50">
        <v>0</v>
      </c>
      <c r="AI87" s="50"/>
      <c r="AJ87" s="50">
        <f t="shared" si="20"/>
        <v>0</v>
      </c>
      <c r="AK87" s="54">
        <f>+AJ87/Y87</f>
        <v>0</v>
      </c>
      <c r="AL87" s="50">
        <v>40</v>
      </c>
      <c r="AM87" s="54">
        <f t="shared" si="21"/>
        <v>0.1</v>
      </c>
      <c r="AN87" s="61">
        <v>100</v>
      </c>
      <c r="AO87" s="50">
        <v>0</v>
      </c>
      <c r="AP87" s="50"/>
      <c r="AQ87" s="50">
        <v>0</v>
      </c>
      <c r="AR87" s="50"/>
      <c r="AS87" s="50">
        <v>0</v>
      </c>
      <c r="AT87" s="50"/>
      <c r="AU87" s="50">
        <v>156</v>
      </c>
      <c r="AV87" s="50"/>
      <c r="AW87" s="50">
        <f>+AU87</f>
        <v>156</v>
      </c>
      <c r="AX87" s="57">
        <f>AW87/AN87</f>
        <v>1.56</v>
      </c>
      <c r="AY87" s="50">
        <f>+AW87</f>
        <v>156</v>
      </c>
      <c r="AZ87" s="57">
        <f t="shared" si="22"/>
        <v>0.39</v>
      </c>
      <c r="BA87" s="50">
        <v>200</v>
      </c>
      <c r="BB87" s="50">
        <v>4</v>
      </c>
      <c r="BC87" s="50"/>
      <c r="BD87" s="50">
        <v>0</v>
      </c>
      <c r="BE87" s="50"/>
      <c r="BF87" s="50">
        <v>0</v>
      </c>
      <c r="BG87" s="50"/>
      <c r="BH87" s="50">
        <v>0</v>
      </c>
      <c r="BI87" s="50"/>
      <c r="BJ87" s="50">
        <f t="shared" si="26"/>
        <v>4</v>
      </c>
      <c r="BK87" s="57">
        <f t="shared" si="25"/>
        <v>0.02</v>
      </c>
      <c r="BL87" s="50">
        <f t="shared" si="23"/>
        <v>160</v>
      </c>
      <c r="BM87" s="57">
        <f t="shared" si="24"/>
        <v>0.4</v>
      </c>
      <c r="BN87" s="50"/>
      <c r="BO87" s="50"/>
      <c r="BP87" s="50"/>
      <c r="BQ87" s="50"/>
      <c r="BR87" s="50"/>
      <c r="BS87" s="50"/>
      <c r="BT87" s="50"/>
      <c r="BU87" s="50"/>
      <c r="BV87" s="50"/>
      <c r="BW87" s="50"/>
      <c r="BX87" s="50"/>
      <c r="BY87" s="50"/>
      <c r="BZ87" s="50"/>
      <c r="CA87" s="50"/>
      <c r="CB87" s="49"/>
      <c r="CC87" s="59"/>
      <c r="CD87" s="60"/>
      <c r="CE87" s="50"/>
      <c r="CF87" s="61"/>
      <c r="CG87" s="61"/>
      <c r="CH87" s="49"/>
      <c r="CI87" s="49"/>
      <c r="CJ87" s="49"/>
      <c r="CK87" s="49"/>
      <c r="CL87" s="49"/>
      <c r="CM87" s="49"/>
      <c r="CN87" s="49"/>
      <c r="CO87" s="50"/>
      <c r="CP87" s="50"/>
      <c r="CQ87" s="49"/>
      <c r="CR87" s="49"/>
      <c r="CS87" s="49"/>
      <c r="CT87" s="49"/>
      <c r="CU87" s="49"/>
      <c r="CV87" s="49"/>
      <c r="CW87" s="49"/>
      <c r="CX87" s="49"/>
    </row>
    <row r="88" spans="1:102" ht="42.75" customHeight="1" x14ac:dyDescent="0.2">
      <c r="A88" s="1811"/>
      <c r="B88" s="1807"/>
      <c r="C88" s="49"/>
      <c r="D88" s="50"/>
      <c r="E88" s="49"/>
      <c r="F88" s="49"/>
      <c r="G88" s="49"/>
      <c r="H88" s="49"/>
      <c r="I88" s="49"/>
      <c r="J88" s="49"/>
      <c r="K88" s="49"/>
      <c r="L88" s="49"/>
      <c r="M88" s="49"/>
      <c r="N88" s="49"/>
      <c r="O88" s="49"/>
      <c r="P88" s="49"/>
      <c r="Q88" s="49"/>
      <c r="R88" s="49"/>
      <c r="S88" s="49"/>
      <c r="T88" s="1807"/>
      <c r="U88" s="136" t="s">
        <v>345</v>
      </c>
      <c r="V88" s="136" t="s">
        <v>343</v>
      </c>
      <c r="W88" s="1425" t="s">
        <v>346</v>
      </c>
      <c r="X88" s="61">
        <v>80</v>
      </c>
      <c r="Y88" s="61">
        <v>20</v>
      </c>
      <c r="Z88" s="61">
        <v>40</v>
      </c>
      <c r="AA88" s="61">
        <v>40</v>
      </c>
      <c r="AB88" s="54">
        <f t="shared" si="17"/>
        <v>0.25</v>
      </c>
      <c r="AC88" s="54">
        <f t="shared" si="18"/>
        <v>0.5</v>
      </c>
      <c r="AD88" s="137">
        <f t="shared" si="19"/>
        <v>0.5</v>
      </c>
      <c r="AE88" s="61">
        <v>0</v>
      </c>
      <c r="AF88" s="61">
        <v>0</v>
      </c>
      <c r="AG88" s="50"/>
      <c r="AH88" s="50">
        <v>0</v>
      </c>
      <c r="AI88" s="50"/>
      <c r="AJ88" s="50">
        <f t="shared" si="20"/>
        <v>0</v>
      </c>
      <c r="AK88" s="54">
        <f>+AJ88/Y88</f>
        <v>0</v>
      </c>
      <c r="AL88" s="50">
        <f>+AJ88</f>
        <v>0</v>
      </c>
      <c r="AM88" s="54">
        <f t="shared" si="21"/>
        <v>0</v>
      </c>
      <c r="AN88" s="61">
        <v>40</v>
      </c>
      <c r="AO88" s="50">
        <v>0</v>
      </c>
      <c r="AP88" s="50"/>
      <c r="AQ88" s="50">
        <v>0</v>
      </c>
      <c r="AR88" s="50"/>
      <c r="AS88" s="50">
        <v>0</v>
      </c>
      <c r="AT88" s="50"/>
      <c r="AU88" s="50">
        <v>2</v>
      </c>
      <c r="AV88" s="50"/>
      <c r="AW88" s="50">
        <f>+AU88</f>
        <v>2</v>
      </c>
      <c r="AX88" s="57">
        <f>AW88/AN88</f>
        <v>0.05</v>
      </c>
      <c r="AY88" s="50">
        <f>AW88+AL88</f>
        <v>2</v>
      </c>
      <c r="AZ88" s="57">
        <f t="shared" si="22"/>
        <v>2.5000000000000001E-2</v>
      </c>
      <c r="BA88" s="50">
        <v>40</v>
      </c>
      <c r="BB88" s="50">
        <v>36</v>
      </c>
      <c r="BC88" s="50"/>
      <c r="BD88" s="50">
        <v>0</v>
      </c>
      <c r="BE88" s="50"/>
      <c r="BF88" s="50">
        <v>0</v>
      </c>
      <c r="BG88" s="50"/>
      <c r="BH88" s="50">
        <v>0</v>
      </c>
      <c r="BI88" s="50"/>
      <c r="BJ88" s="50">
        <f t="shared" si="26"/>
        <v>36</v>
      </c>
      <c r="BK88" s="57">
        <f t="shared" si="25"/>
        <v>0.9</v>
      </c>
      <c r="BL88" s="50">
        <f t="shared" si="23"/>
        <v>38</v>
      </c>
      <c r="BM88" s="57">
        <f t="shared" si="24"/>
        <v>0.47499999999999998</v>
      </c>
      <c r="BN88" s="50"/>
      <c r="BO88" s="50"/>
      <c r="BP88" s="50"/>
      <c r="BQ88" s="50"/>
      <c r="BR88" s="50"/>
      <c r="BS88" s="50"/>
      <c r="BT88" s="50"/>
      <c r="BU88" s="50"/>
      <c r="BV88" s="50"/>
      <c r="BW88" s="50"/>
      <c r="BX88" s="50"/>
      <c r="BY88" s="50"/>
      <c r="BZ88" s="50"/>
      <c r="CA88" s="50"/>
      <c r="CB88" s="49"/>
      <c r="CC88" s="59"/>
      <c r="CD88" s="60"/>
      <c r="CE88" s="50"/>
      <c r="CF88" s="61"/>
      <c r="CG88" s="61"/>
      <c r="CH88" s="49"/>
      <c r="CI88" s="49"/>
      <c r="CJ88" s="49"/>
      <c r="CK88" s="49"/>
      <c r="CL88" s="49"/>
      <c r="CM88" s="49"/>
      <c r="CN88" s="49"/>
      <c r="CO88" s="50"/>
      <c r="CP88" s="50"/>
      <c r="CQ88" s="49"/>
      <c r="CR88" s="49"/>
      <c r="CS88" s="49"/>
      <c r="CT88" s="49"/>
      <c r="CU88" s="49"/>
      <c r="CV88" s="49"/>
      <c r="CW88" s="49"/>
      <c r="CX88" s="49"/>
    </row>
    <row r="89" spans="1:102" ht="67.5" customHeight="1" x14ac:dyDescent="0.2">
      <c r="A89" s="1811"/>
      <c r="B89" s="1807"/>
      <c r="C89" s="49"/>
      <c r="D89" s="50"/>
      <c r="E89" s="49"/>
      <c r="F89" s="49"/>
      <c r="G89" s="49"/>
      <c r="H89" s="49"/>
      <c r="I89" s="49"/>
      <c r="J89" s="49"/>
      <c r="K89" s="49"/>
      <c r="L89" s="49"/>
      <c r="M89" s="49"/>
      <c r="N89" s="49"/>
      <c r="O89" s="49"/>
      <c r="P89" s="49"/>
      <c r="Q89" s="49"/>
      <c r="R89" s="49"/>
      <c r="S89" s="49"/>
      <c r="T89" s="1807"/>
      <c r="U89" s="136" t="s">
        <v>347</v>
      </c>
      <c r="V89" s="136" t="s">
        <v>343</v>
      </c>
      <c r="W89" s="1425" t="s">
        <v>348</v>
      </c>
      <c r="X89" s="61">
        <v>1000</v>
      </c>
      <c r="Y89" s="61">
        <v>100</v>
      </c>
      <c r="Z89" s="61">
        <v>400</v>
      </c>
      <c r="AA89" s="61">
        <v>300</v>
      </c>
      <c r="AB89" s="54">
        <f t="shared" si="17"/>
        <v>0.1</v>
      </c>
      <c r="AC89" s="54">
        <f t="shared" si="18"/>
        <v>0.4</v>
      </c>
      <c r="AD89" s="137">
        <f t="shared" si="19"/>
        <v>0.3</v>
      </c>
      <c r="AE89" s="61">
        <v>0</v>
      </c>
      <c r="AF89" s="61">
        <v>0</v>
      </c>
      <c r="AG89" s="50"/>
      <c r="AH89" s="50">
        <v>0</v>
      </c>
      <c r="AI89" s="50"/>
      <c r="AJ89" s="50">
        <f t="shared" si="20"/>
        <v>0</v>
      </c>
      <c r="AK89" s="54">
        <f>+AJ89/Y89</f>
        <v>0</v>
      </c>
      <c r="AL89" s="50">
        <f>+AJ89</f>
        <v>0</v>
      </c>
      <c r="AM89" s="54">
        <f t="shared" si="21"/>
        <v>0</v>
      </c>
      <c r="AN89" s="61">
        <v>400</v>
      </c>
      <c r="AO89" s="50"/>
      <c r="AP89" s="50"/>
      <c r="AQ89" s="50">
        <v>0</v>
      </c>
      <c r="AR89" s="50"/>
      <c r="AS89" s="50">
        <v>0</v>
      </c>
      <c r="AT89" s="50"/>
      <c r="AU89" s="50">
        <v>32</v>
      </c>
      <c r="AV89" s="50"/>
      <c r="AW89" s="50">
        <f>+AU89</f>
        <v>32</v>
      </c>
      <c r="AX89" s="57">
        <f>AW89/AN89</f>
        <v>0.08</v>
      </c>
      <c r="AY89" s="50">
        <f>AW89+AL89</f>
        <v>32</v>
      </c>
      <c r="AZ89" s="57">
        <f t="shared" si="22"/>
        <v>3.2000000000000001E-2</v>
      </c>
      <c r="BA89" s="50">
        <v>300</v>
      </c>
      <c r="BB89" s="50">
        <v>7</v>
      </c>
      <c r="BC89" s="50"/>
      <c r="BD89" s="50">
        <v>0</v>
      </c>
      <c r="BE89" s="50"/>
      <c r="BF89" s="50">
        <v>0</v>
      </c>
      <c r="BG89" s="50"/>
      <c r="BH89" s="50">
        <v>0</v>
      </c>
      <c r="BI89" s="50"/>
      <c r="BJ89" s="50">
        <f t="shared" si="26"/>
        <v>7</v>
      </c>
      <c r="BK89" s="57">
        <f t="shared" si="25"/>
        <v>2.3333333333333334E-2</v>
      </c>
      <c r="BL89" s="50">
        <f t="shared" si="23"/>
        <v>39</v>
      </c>
      <c r="BM89" s="57">
        <f t="shared" si="24"/>
        <v>3.9E-2</v>
      </c>
      <c r="BN89" s="50"/>
      <c r="BO89" s="50"/>
      <c r="BP89" s="50"/>
      <c r="BQ89" s="50"/>
      <c r="BR89" s="50"/>
      <c r="BS89" s="50"/>
      <c r="BT89" s="50"/>
      <c r="BU89" s="50"/>
      <c r="BV89" s="50"/>
      <c r="BW89" s="50"/>
      <c r="BX89" s="50"/>
      <c r="BY89" s="50"/>
      <c r="BZ89" s="50"/>
      <c r="CA89" s="50"/>
      <c r="CB89" s="49"/>
      <c r="CC89" s="59"/>
      <c r="CD89" s="60"/>
      <c r="CE89" s="50"/>
      <c r="CF89" s="61"/>
      <c r="CG89" s="61"/>
      <c r="CH89" s="49"/>
      <c r="CI89" s="49"/>
      <c r="CJ89" s="49"/>
      <c r="CK89" s="49"/>
      <c r="CL89" s="49"/>
      <c r="CM89" s="49"/>
      <c r="CN89" s="49"/>
      <c r="CO89" s="50"/>
      <c r="CP89" s="50"/>
      <c r="CQ89" s="49"/>
      <c r="CR89" s="49"/>
      <c r="CS89" s="49"/>
      <c r="CT89" s="49"/>
      <c r="CU89" s="49"/>
      <c r="CV89" s="49"/>
      <c r="CW89" s="49"/>
      <c r="CX89" s="49"/>
    </row>
    <row r="90" spans="1:102" ht="42.75" customHeight="1" x14ac:dyDescent="0.2">
      <c r="A90" s="1811"/>
      <c r="B90" s="1807"/>
      <c r="C90" s="49"/>
      <c r="D90" s="50"/>
      <c r="E90" s="49"/>
      <c r="F90" s="49"/>
      <c r="G90" s="49"/>
      <c r="H90" s="49"/>
      <c r="I90" s="49"/>
      <c r="J90" s="49"/>
      <c r="K90" s="49"/>
      <c r="L90" s="49"/>
      <c r="M90" s="49"/>
      <c r="N90" s="49"/>
      <c r="O90" s="49"/>
      <c r="P90" s="49"/>
      <c r="Q90" s="49"/>
      <c r="R90" s="49"/>
      <c r="S90" s="49"/>
      <c r="T90" s="1807"/>
      <c r="U90" s="136" t="s">
        <v>349</v>
      </c>
      <c r="V90" s="136">
        <v>0</v>
      </c>
      <c r="W90" s="1425" t="s">
        <v>350</v>
      </c>
      <c r="X90" s="61">
        <v>1</v>
      </c>
      <c r="Y90" s="61" t="s">
        <v>177</v>
      </c>
      <c r="Z90" s="61">
        <v>0.25</v>
      </c>
      <c r="AA90" s="61" t="s">
        <v>177</v>
      </c>
      <c r="AB90" s="103"/>
      <c r="AC90" s="54">
        <f t="shared" si="18"/>
        <v>0.25</v>
      </c>
      <c r="AD90" s="137"/>
      <c r="AE90" s="61"/>
      <c r="AF90" s="61"/>
      <c r="AG90" s="50"/>
      <c r="AH90" s="50"/>
      <c r="AI90" s="50"/>
      <c r="AJ90" s="50"/>
      <c r="AK90" s="50"/>
      <c r="AL90" s="50"/>
      <c r="AM90" s="50"/>
      <c r="AN90" s="61">
        <v>0.25</v>
      </c>
      <c r="AO90" s="50">
        <v>0</v>
      </c>
      <c r="AP90" s="50"/>
      <c r="AQ90" s="50">
        <v>1</v>
      </c>
      <c r="AR90" s="50"/>
      <c r="AS90" s="50">
        <v>0</v>
      </c>
      <c r="AT90" s="50"/>
      <c r="AU90" s="50">
        <v>0</v>
      </c>
      <c r="AV90" s="50"/>
      <c r="AW90" s="50">
        <f>+AQ90</f>
        <v>1</v>
      </c>
      <c r="AX90" s="57">
        <v>1</v>
      </c>
      <c r="AY90" s="50">
        <f>AW90+AL90</f>
        <v>1</v>
      </c>
      <c r="AZ90" s="57">
        <f t="shared" si="22"/>
        <v>1</v>
      </c>
      <c r="BA90" s="139"/>
      <c r="BB90" s="50"/>
      <c r="BC90" s="50"/>
      <c r="BD90" s="50"/>
      <c r="BE90" s="50"/>
      <c r="BF90" s="50"/>
      <c r="BG90" s="50"/>
      <c r="BH90" s="50">
        <v>0</v>
      </c>
      <c r="BI90" s="50"/>
      <c r="BJ90" s="50">
        <f t="shared" si="26"/>
        <v>0</v>
      </c>
      <c r="BK90" s="57"/>
      <c r="BL90" s="50">
        <f t="shared" si="23"/>
        <v>1</v>
      </c>
      <c r="BM90" s="57">
        <f t="shared" si="24"/>
        <v>1</v>
      </c>
      <c r="BN90" s="50"/>
      <c r="BO90" s="50"/>
      <c r="BP90" s="50"/>
      <c r="BQ90" s="50"/>
      <c r="BR90" s="50"/>
      <c r="BS90" s="50"/>
      <c r="BT90" s="50"/>
      <c r="BU90" s="50"/>
      <c r="BV90" s="50"/>
      <c r="BW90" s="50"/>
      <c r="BX90" s="50"/>
      <c r="BY90" s="50"/>
      <c r="BZ90" s="50"/>
      <c r="CA90" s="50"/>
      <c r="CB90" s="49"/>
      <c r="CC90" s="59"/>
      <c r="CD90" s="60"/>
      <c r="CE90" s="50"/>
      <c r="CF90" s="61"/>
      <c r="CG90" s="61"/>
      <c r="CH90" s="49"/>
      <c r="CI90" s="49"/>
      <c r="CJ90" s="49"/>
      <c r="CK90" s="49"/>
      <c r="CL90" s="49"/>
      <c r="CM90" s="49"/>
      <c r="CN90" s="49"/>
      <c r="CO90" s="50"/>
      <c r="CP90" s="50"/>
      <c r="CQ90" s="49"/>
      <c r="CR90" s="49"/>
      <c r="CS90" s="49"/>
      <c r="CT90" s="49"/>
      <c r="CU90" s="49"/>
      <c r="CV90" s="49"/>
      <c r="CW90" s="49"/>
      <c r="CX90" s="49"/>
    </row>
    <row r="91" spans="1:102" ht="20.25" customHeight="1" x14ac:dyDescent="0.2">
      <c r="A91" s="1811"/>
      <c r="B91" s="1807"/>
      <c r="C91" s="49"/>
      <c r="D91" s="50"/>
      <c r="E91" s="49"/>
      <c r="F91" s="49"/>
      <c r="G91" s="49"/>
      <c r="H91" s="49"/>
      <c r="I91" s="49"/>
      <c r="J91" s="49"/>
      <c r="K91" s="49"/>
      <c r="L91" s="49"/>
      <c r="M91" s="49"/>
      <c r="N91" s="49"/>
      <c r="O91" s="49"/>
      <c r="P91" s="49"/>
      <c r="Q91" s="49"/>
      <c r="R91" s="49"/>
      <c r="S91" s="49"/>
      <c r="T91" s="1808"/>
      <c r="U91" s="140"/>
      <c r="V91" s="140"/>
      <c r="W91" s="1427"/>
      <c r="X91" s="72"/>
      <c r="Y91" s="72"/>
      <c r="Z91" s="72"/>
      <c r="AA91" s="72"/>
      <c r="AB91" s="86">
        <f>AVERAGE(AB83:AB90)</f>
        <v>0.10539682539682539</v>
      </c>
      <c r="AC91" s="86">
        <f>AVERAGE(AC83:AC90)</f>
        <v>0.29027777777777775</v>
      </c>
      <c r="AD91" s="73">
        <f>AVERAGE(AD83:AD90)</f>
        <v>0.3698412698412698</v>
      </c>
      <c r="AE91" s="72"/>
      <c r="AF91" s="72"/>
      <c r="AG91" s="72"/>
      <c r="AH91" s="72"/>
      <c r="AI91" s="72"/>
      <c r="AJ91" s="72"/>
      <c r="AK91" s="73">
        <f>AVERAGE(AK83:AK90)</f>
        <v>0.2857142857142857</v>
      </c>
      <c r="AL91" s="73"/>
      <c r="AM91" s="73">
        <f>AVERAGE(AM83:AM90)</f>
        <v>0.10006666666666666</v>
      </c>
      <c r="AN91" s="72"/>
      <c r="AO91" s="72"/>
      <c r="AP91" s="72"/>
      <c r="AQ91" s="72"/>
      <c r="AR91" s="72"/>
      <c r="AS91" s="72"/>
      <c r="AT91" s="72"/>
      <c r="AU91" s="72"/>
      <c r="AV91" s="50"/>
      <c r="AW91" s="50"/>
      <c r="AX91" s="73">
        <f>AVERAGE(AX83:AX90)</f>
        <v>0.66437500000000005</v>
      </c>
      <c r="AY91" s="73"/>
      <c r="AZ91" s="73">
        <f>AVERAGE(AZ83:AZ90)</f>
        <v>0.35080208333333329</v>
      </c>
      <c r="BA91" s="50"/>
      <c r="BB91" s="50"/>
      <c r="BC91" s="50"/>
      <c r="BD91" s="50"/>
      <c r="BE91" s="50"/>
      <c r="BF91" s="50"/>
      <c r="BG91" s="50"/>
      <c r="BH91" s="50"/>
      <c r="BI91" s="50"/>
      <c r="BJ91" s="50"/>
      <c r="BK91" s="73">
        <f>AVERAGE(BK83:BK90)</f>
        <v>0.63493333333333335</v>
      </c>
      <c r="BL91" s="50"/>
      <c r="BM91" s="73">
        <f>AVERAGE(BM83:BM90)</f>
        <v>0.55981527777777784</v>
      </c>
      <c r="BN91" s="50"/>
      <c r="BO91" s="50"/>
      <c r="BP91" s="50"/>
      <c r="BQ91" s="50"/>
      <c r="BR91" s="50"/>
      <c r="BS91" s="50"/>
      <c r="BT91" s="50"/>
      <c r="BU91" s="50"/>
      <c r="BV91" s="50"/>
      <c r="BW91" s="50"/>
      <c r="BX91" s="50"/>
      <c r="BY91" s="50"/>
      <c r="BZ91" s="50"/>
      <c r="CA91" s="50"/>
      <c r="CB91" s="49"/>
      <c r="CC91" s="59"/>
      <c r="CD91" s="60"/>
      <c r="CE91" s="50"/>
      <c r="CF91" s="61"/>
      <c r="CG91" s="61"/>
      <c r="CH91" s="49"/>
      <c r="CI91" s="49"/>
      <c r="CJ91" s="49"/>
      <c r="CK91" s="49"/>
      <c r="CL91" s="49"/>
      <c r="CM91" s="49"/>
      <c r="CN91" s="49"/>
      <c r="CO91" s="50"/>
      <c r="CP91" s="50"/>
      <c r="CQ91" s="49"/>
      <c r="CR91" s="49"/>
      <c r="CS91" s="49"/>
      <c r="CT91" s="49"/>
      <c r="CU91" s="49"/>
      <c r="CV91" s="49"/>
      <c r="CW91" s="49"/>
      <c r="CX91" s="49"/>
    </row>
    <row r="92" spans="1:102" ht="35.25" customHeight="1" x14ac:dyDescent="0.2">
      <c r="A92" s="1811"/>
      <c r="B92" s="1807"/>
      <c r="C92" s="49"/>
      <c r="D92" s="50"/>
      <c r="E92" s="49"/>
      <c r="F92" s="49"/>
      <c r="G92" s="49"/>
      <c r="H92" s="49"/>
      <c r="I92" s="49"/>
      <c r="J92" s="49"/>
      <c r="K92" s="49"/>
      <c r="L92" s="49"/>
      <c r="M92" s="49"/>
      <c r="N92" s="49"/>
      <c r="O92" s="49"/>
      <c r="P92" s="49"/>
      <c r="Q92" s="49"/>
      <c r="R92" s="49"/>
      <c r="S92" s="49"/>
      <c r="T92" s="1809" t="s">
        <v>351</v>
      </c>
      <c r="U92" s="136" t="s">
        <v>352</v>
      </c>
      <c r="V92" s="51" t="s">
        <v>353</v>
      </c>
      <c r="W92" s="1425" t="s">
        <v>354</v>
      </c>
      <c r="X92" s="50">
        <v>201</v>
      </c>
      <c r="Y92" s="50">
        <v>50</v>
      </c>
      <c r="Z92" s="50">
        <v>66</v>
      </c>
      <c r="AA92" s="50">
        <v>50</v>
      </c>
      <c r="AB92" s="54">
        <f>+Y92/X92</f>
        <v>0.24875621890547264</v>
      </c>
      <c r="AC92" s="54">
        <f t="shared" ref="AC92:AC97" si="27">+Z92/X92</f>
        <v>0.32835820895522388</v>
      </c>
      <c r="AD92" s="137">
        <f>AA92/X92</f>
        <v>0.24875621890547264</v>
      </c>
      <c r="AE92" s="50">
        <v>0</v>
      </c>
      <c r="AF92" s="50">
        <v>0</v>
      </c>
      <c r="AG92" s="50"/>
      <c r="AH92" s="50">
        <v>35</v>
      </c>
      <c r="AI92" s="50"/>
      <c r="AJ92" s="50">
        <f>+AH92</f>
        <v>35</v>
      </c>
      <c r="AK92" s="54">
        <f>+AJ92/Y92</f>
        <v>0.7</v>
      </c>
      <c r="AL92" s="50">
        <f>+AJ92</f>
        <v>35</v>
      </c>
      <c r="AM92" s="54">
        <f>+AL92/X92</f>
        <v>0.17412935323383086</v>
      </c>
      <c r="AN92" s="50">
        <v>66</v>
      </c>
      <c r="AO92" s="50">
        <v>0</v>
      </c>
      <c r="AP92" s="50"/>
      <c r="AQ92" s="50">
        <v>0</v>
      </c>
      <c r="AR92" s="50"/>
      <c r="AS92" s="50">
        <v>25</v>
      </c>
      <c r="AT92" s="50"/>
      <c r="AU92" s="50">
        <v>41</v>
      </c>
      <c r="AV92" s="50"/>
      <c r="AW92" s="50">
        <f>AO92+AQ92+AS92+AU92</f>
        <v>66</v>
      </c>
      <c r="AX92" s="57">
        <f>AW92/AN92</f>
        <v>1</v>
      </c>
      <c r="AY92" s="50">
        <f>AW92+AL92</f>
        <v>101</v>
      </c>
      <c r="AZ92" s="57">
        <f>AY92/X92</f>
        <v>0.50248756218905477</v>
      </c>
      <c r="BA92" s="50">
        <v>50</v>
      </c>
      <c r="BB92" s="50">
        <v>0</v>
      </c>
      <c r="BC92" s="50"/>
      <c r="BD92" s="50">
        <v>0</v>
      </c>
      <c r="BE92" s="50"/>
      <c r="BF92" s="50">
        <v>139</v>
      </c>
      <c r="BG92" s="50"/>
      <c r="BH92" s="50">
        <v>0</v>
      </c>
      <c r="BI92" s="50"/>
      <c r="BJ92" s="50">
        <f>+BF92</f>
        <v>139</v>
      </c>
      <c r="BK92" s="57">
        <v>1</v>
      </c>
      <c r="BL92" s="50">
        <f>BJ92+AY92</f>
        <v>240</v>
      </c>
      <c r="BM92" s="57">
        <v>1</v>
      </c>
      <c r="BN92" s="50"/>
      <c r="BO92" s="50"/>
      <c r="BP92" s="50"/>
      <c r="BQ92" s="50"/>
      <c r="BR92" s="50"/>
      <c r="BS92" s="50"/>
      <c r="BT92" s="50"/>
      <c r="BU92" s="50"/>
      <c r="BV92" s="50"/>
      <c r="BW92" s="50"/>
      <c r="BX92" s="50"/>
      <c r="BY92" s="50"/>
      <c r="BZ92" s="50"/>
      <c r="CA92" s="50"/>
      <c r="CB92" s="49"/>
      <c r="CC92" s="59"/>
      <c r="CD92" s="60"/>
      <c r="CE92" s="50"/>
      <c r="CF92" s="61"/>
      <c r="CG92" s="61"/>
      <c r="CH92" s="49"/>
      <c r="CI92" s="49"/>
      <c r="CJ92" s="49"/>
      <c r="CK92" s="49"/>
      <c r="CL92" s="49"/>
      <c r="CM92" s="49"/>
      <c r="CN92" s="49"/>
      <c r="CO92" s="50"/>
      <c r="CP92" s="50"/>
      <c r="CQ92" s="49"/>
      <c r="CR92" s="49"/>
      <c r="CS92" s="49"/>
      <c r="CT92" s="49"/>
      <c r="CU92" s="49"/>
      <c r="CV92" s="49"/>
      <c r="CW92" s="49"/>
      <c r="CX92" s="49"/>
    </row>
    <row r="93" spans="1:102" ht="32.25" customHeight="1" x14ac:dyDescent="0.2">
      <c r="A93" s="1811"/>
      <c r="B93" s="1807"/>
      <c r="C93" s="49"/>
      <c r="D93" s="50"/>
      <c r="E93" s="49"/>
      <c r="F93" s="49"/>
      <c r="G93" s="49"/>
      <c r="H93" s="49"/>
      <c r="I93" s="49"/>
      <c r="J93" s="49"/>
      <c r="K93" s="49"/>
      <c r="L93" s="49"/>
      <c r="M93" s="49"/>
      <c r="N93" s="49"/>
      <c r="O93" s="49"/>
      <c r="P93" s="49"/>
      <c r="Q93" s="49"/>
      <c r="R93" s="49"/>
      <c r="S93" s="49"/>
      <c r="T93" s="1807"/>
      <c r="U93" s="136" t="s">
        <v>355</v>
      </c>
      <c r="V93" s="141" t="s">
        <v>356</v>
      </c>
      <c r="W93" s="1425" t="s">
        <v>357</v>
      </c>
      <c r="X93" s="50">
        <v>80</v>
      </c>
      <c r="Y93" s="50" t="s">
        <v>177</v>
      </c>
      <c r="Z93" s="50">
        <v>20</v>
      </c>
      <c r="AA93" s="50">
        <v>20</v>
      </c>
      <c r="AB93" s="54"/>
      <c r="AC93" s="54">
        <f t="shared" si="27"/>
        <v>0.25</v>
      </c>
      <c r="AD93" s="137">
        <f>AA93/X93</f>
        <v>0.25</v>
      </c>
      <c r="AE93" s="50"/>
      <c r="AF93" s="50"/>
      <c r="AG93" s="50"/>
      <c r="AH93" s="50"/>
      <c r="AI93" s="50"/>
      <c r="AJ93" s="50"/>
      <c r="AK93" s="54"/>
      <c r="AL93" s="50"/>
      <c r="AM93" s="54"/>
      <c r="AN93" s="50">
        <v>20</v>
      </c>
      <c r="AO93" s="50">
        <v>0</v>
      </c>
      <c r="AP93" s="50"/>
      <c r="AQ93" s="50">
        <v>0</v>
      </c>
      <c r="AR93" s="50"/>
      <c r="AS93" s="50">
        <v>0</v>
      </c>
      <c r="AT93" s="50"/>
      <c r="AU93" s="50">
        <v>27</v>
      </c>
      <c r="AV93" s="50"/>
      <c r="AW93" s="50">
        <f>+AU93</f>
        <v>27</v>
      </c>
      <c r="AX93" s="57">
        <v>1</v>
      </c>
      <c r="AY93" s="50">
        <f>AW93+AL93</f>
        <v>27</v>
      </c>
      <c r="AZ93" s="57">
        <f>AY93/X93</f>
        <v>0.33750000000000002</v>
      </c>
      <c r="BA93" s="50">
        <v>20</v>
      </c>
      <c r="BB93" s="50">
        <v>0</v>
      </c>
      <c r="BC93" s="50"/>
      <c r="BD93" s="50">
        <v>0</v>
      </c>
      <c r="BE93" s="50"/>
      <c r="BF93" s="50">
        <v>0</v>
      </c>
      <c r="BG93" s="50"/>
      <c r="BH93" s="50">
        <v>15</v>
      </c>
      <c r="BI93" s="50"/>
      <c r="BJ93" s="50">
        <f>+BH93</f>
        <v>15</v>
      </c>
      <c r="BK93" s="57">
        <f>BJ93/BA93</f>
        <v>0.75</v>
      </c>
      <c r="BL93" s="50">
        <f>BJ93+AY93+14</f>
        <v>56</v>
      </c>
      <c r="BM93" s="54">
        <f>+BL93/70</f>
        <v>0.8</v>
      </c>
      <c r="BN93" s="50"/>
      <c r="BO93" s="50"/>
      <c r="BP93" s="50"/>
      <c r="BQ93" s="50"/>
      <c r="BR93" s="50"/>
      <c r="BS93" s="50"/>
      <c r="BT93" s="50"/>
      <c r="BU93" s="50"/>
      <c r="BV93" s="50"/>
      <c r="BW93" s="50"/>
      <c r="BX93" s="50"/>
      <c r="BY93" s="50"/>
      <c r="BZ93" s="50"/>
      <c r="CA93" s="50"/>
      <c r="CB93" s="49"/>
      <c r="CC93" s="59"/>
      <c r="CD93" s="60"/>
      <c r="CE93" s="50"/>
      <c r="CF93" s="61"/>
      <c r="CG93" s="61"/>
      <c r="CH93" s="49"/>
      <c r="CI93" s="49"/>
      <c r="CJ93" s="49"/>
      <c r="CK93" s="49"/>
      <c r="CL93" s="49"/>
      <c r="CM93" s="49"/>
      <c r="CN93" s="49"/>
      <c r="CO93" s="50"/>
      <c r="CP93" s="50"/>
      <c r="CQ93" s="49"/>
      <c r="CR93" s="49"/>
      <c r="CS93" s="49"/>
      <c r="CT93" s="49"/>
      <c r="CU93" s="49"/>
      <c r="CV93" s="49"/>
      <c r="CW93" s="49"/>
      <c r="CX93" s="49"/>
    </row>
    <row r="94" spans="1:102" ht="40.5" customHeight="1" x14ac:dyDescent="0.2">
      <c r="A94" s="1811"/>
      <c r="B94" s="1807"/>
      <c r="C94" s="49"/>
      <c r="D94" s="50"/>
      <c r="E94" s="49"/>
      <c r="F94" s="49"/>
      <c r="G94" s="49"/>
      <c r="H94" s="49"/>
      <c r="I94" s="49"/>
      <c r="J94" s="49"/>
      <c r="K94" s="49"/>
      <c r="L94" s="49"/>
      <c r="M94" s="49"/>
      <c r="N94" s="49"/>
      <c r="O94" s="49"/>
      <c r="P94" s="49"/>
      <c r="Q94" s="49"/>
      <c r="R94" s="49"/>
      <c r="S94" s="49"/>
      <c r="T94" s="1807"/>
      <c r="U94" s="136" t="s">
        <v>358</v>
      </c>
      <c r="V94" s="136" t="s">
        <v>359</v>
      </c>
      <c r="W94" s="1425" t="s">
        <v>360</v>
      </c>
      <c r="X94" s="54">
        <v>0.08</v>
      </c>
      <c r="Y94" s="54">
        <v>5.0000000000000001E-3</v>
      </c>
      <c r="Z94" s="54">
        <v>0.02</v>
      </c>
      <c r="AA94" s="54">
        <v>2.5000000000000001E-2</v>
      </c>
      <c r="AB94" s="54">
        <f>+Y94/X94</f>
        <v>6.25E-2</v>
      </c>
      <c r="AC94" s="54">
        <f t="shared" si="27"/>
        <v>0.25</v>
      </c>
      <c r="AD94" s="137">
        <f>AA94/X94</f>
        <v>0.3125</v>
      </c>
      <c r="AE94" s="57">
        <v>6.8999999999999999E-3</v>
      </c>
      <c r="AF94" s="57">
        <v>8.6E-3</v>
      </c>
      <c r="AG94" s="50"/>
      <c r="AH94" s="142">
        <f>0.695%+AF94+AE94</f>
        <v>2.2449999999999998E-2</v>
      </c>
      <c r="AI94" s="50"/>
      <c r="AJ94" s="57">
        <v>1.9599999999999999E-2</v>
      </c>
      <c r="AK94" s="54">
        <v>1</v>
      </c>
      <c r="AL94" s="57">
        <f>+AJ94</f>
        <v>1.9599999999999999E-2</v>
      </c>
      <c r="AM94" s="54">
        <v>0.15</v>
      </c>
      <c r="AN94" s="56">
        <v>2.5</v>
      </c>
      <c r="AO94" s="67">
        <v>0.69</v>
      </c>
      <c r="AP94" s="67">
        <v>0.28999999999999998</v>
      </c>
      <c r="AQ94" s="67">
        <v>0.28999999999999998</v>
      </c>
      <c r="AR94" s="67">
        <v>0.57999999999999996</v>
      </c>
      <c r="AS94" s="67">
        <v>0.28999999999999998</v>
      </c>
      <c r="AT94" s="67"/>
      <c r="AU94" s="67">
        <v>0.57999999999999996</v>
      </c>
      <c r="AV94" s="50"/>
      <c r="AW94" s="67">
        <f>+AO94+AQ94+AS94+AU94</f>
        <v>1.85</v>
      </c>
      <c r="AX94" s="57">
        <f>+AW94/AN94</f>
        <v>0.74</v>
      </c>
      <c r="AY94" s="88">
        <f>+AW94+1.96</f>
        <v>3.81</v>
      </c>
      <c r="AZ94" s="57">
        <f>+AY94/8</f>
        <v>0.47625000000000001</v>
      </c>
      <c r="BA94" s="57">
        <v>2.5000000000000001E-2</v>
      </c>
      <c r="BB94" s="57">
        <v>4.4000000000000003E-3</v>
      </c>
      <c r="BC94" s="50"/>
      <c r="BD94" s="57">
        <v>3.5999999999999999E-3</v>
      </c>
      <c r="BE94" s="50"/>
      <c r="BF94" s="57">
        <v>3.3999999999999998E-3</v>
      </c>
      <c r="BG94" s="50"/>
      <c r="BH94" s="57">
        <v>3.2000000000000002E-3</v>
      </c>
      <c r="BI94" s="50"/>
      <c r="BJ94" s="1153">
        <f>BB94+BD94+BF94+BH94</f>
        <v>1.46E-2</v>
      </c>
      <c r="BK94" s="1159">
        <f>BJ94/BA94</f>
        <v>0.58399999999999996</v>
      </c>
      <c r="BL94" s="1153">
        <f>62%+BH94</f>
        <v>0.62319999999999998</v>
      </c>
      <c r="BM94" s="1153">
        <f>+BL94</f>
        <v>0.62319999999999998</v>
      </c>
      <c r="BN94" s="50"/>
      <c r="BO94" s="50"/>
      <c r="BP94" s="50"/>
      <c r="BQ94" s="50"/>
      <c r="BR94" s="50"/>
      <c r="BS94" s="50"/>
      <c r="BT94" s="50"/>
      <c r="BU94" s="50"/>
      <c r="BV94" s="50"/>
      <c r="BW94" s="50"/>
      <c r="BX94" s="50"/>
      <c r="BY94" s="50"/>
      <c r="BZ94" s="50"/>
      <c r="CA94" s="50"/>
      <c r="CB94" s="49"/>
      <c r="CC94" s="59"/>
      <c r="CD94" s="60"/>
      <c r="CE94" s="50"/>
      <c r="CF94" s="61"/>
      <c r="CG94" s="61"/>
      <c r="CH94" s="49"/>
      <c r="CI94" s="49"/>
      <c r="CJ94" s="49"/>
      <c r="CK94" s="49"/>
      <c r="CL94" s="49"/>
      <c r="CM94" s="49"/>
      <c r="CN94" s="49"/>
      <c r="CO94" s="50"/>
      <c r="CP94" s="50"/>
      <c r="CQ94" s="49"/>
      <c r="CR94" s="49"/>
      <c r="CS94" s="49"/>
      <c r="CT94" s="49"/>
      <c r="CU94" s="49"/>
      <c r="CV94" s="49"/>
      <c r="CW94" s="49"/>
      <c r="CX94" s="49"/>
    </row>
    <row r="95" spans="1:102" ht="36.75" customHeight="1" x14ac:dyDescent="0.2">
      <c r="A95" s="1811"/>
      <c r="B95" s="1807"/>
      <c r="C95" s="49"/>
      <c r="D95" s="50"/>
      <c r="E95" s="49"/>
      <c r="F95" s="49"/>
      <c r="G95" s="49"/>
      <c r="H95" s="49"/>
      <c r="I95" s="49"/>
      <c r="J95" s="49"/>
      <c r="K95" s="49"/>
      <c r="L95" s="49"/>
      <c r="M95" s="49"/>
      <c r="N95" s="49"/>
      <c r="O95" s="49"/>
      <c r="P95" s="49"/>
      <c r="Q95" s="49"/>
      <c r="R95" s="49"/>
      <c r="S95" s="49"/>
      <c r="T95" s="1807"/>
      <c r="U95" s="136" t="s">
        <v>361</v>
      </c>
      <c r="V95" s="51">
        <v>0</v>
      </c>
      <c r="W95" s="1425" t="s">
        <v>362</v>
      </c>
      <c r="X95" s="50">
        <v>1</v>
      </c>
      <c r="Y95" s="50" t="s">
        <v>177</v>
      </c>
      <c r="Z95" s="50">
        <v>1</v>
      </c>
      <c r="AA95" s="50">
        <v>1</v>
      </c>
      <c r="AB95" s="54"/>
      <c r="AC95" s="54">
        <f t="shared" si="27"/>
        <v>1</v>
      </c>
      <c r="AD95" s="137">
        <v>0.25</v>
      </c>
      <c r="AE95" s="50"/>
      <c r="AF95" s="50"/>
      <c r="AG95" s="50"/>
      <c r="AH95" s="50"/>
      <c r="AI95" s="50"/>
      <c r="AJ95" s="50"/>
      <c r="AK95" s="54"/>
      <c r="AL95" s="50"/>
      <c r="AM95" s="54"/>
      <c r="AN95" s="50">
        <v>1</v>
      </c>
      <c r="AO95" s="50">
        <v>0.3</v>
      </c>
      <c r="AP95" s="50"/>
      <c r="AQ95" s="50"/>
      <c r="AR95" s="50"/>
      <c r="AS95" s="50">
        <v>0.05</v>
      </c>
      <c r="AT95" s="50"/>
      <c r="AU95" s="50">
        <v>0</v>
      </c>
      <c r="AV95" s="50"/>
      <c r="AW95" s="50">
        <f>AO95+AS95</f>
        <v>0.35</v>
      </c>
      <c r="AX95" s="57">
        <f>AW95/AN95</f>
        <v>0.35</v>
      </c>
      <c r="AY95" s="50">
        <f>AW95+AL95</f>
        <v>0.35</v>
      </c>
      <c r="AZ95" s="57">
        <f>AY95/X95</f>
        <v>0.35</v>
      </c>
      <c r="BA95" s="50">
        <v>1</v>
      </c>
      <c r="BB95" s="50">
        <v>0.4</v>
      </c>
      <c r="BC95" s="50"/>
      <c r="BD95" s="50">
        <v>0.05</v>
      </c>
      <c r="BE95" s="50"/>
      <c r="BF95" s="50">
        <v>0</v>
      </c>
      <c r="BG95" s="50"/>
      <c r="BH95" s="54">
        <v>0.05</v>
      </c>
      <c r="BI95" s="50"/>
      <c r="BJ95" s="1153">
        <f>BB95+BD95+BH95</f>
        <v>0.5</v>
      </c>
      <c r="BK95" s="1153">
        <f>BJ95/BA95</f>
        <v>0.5</v>
      </c>
      <c r="BL95" s="1153">
        <v>1</v>
      </c>
      <c r="BM95" s="1153">
        <f>BL95/X95</f>
        <v>1</v>
      </c>
      <c r="BN95" s="50"/>
      <c r="BO95" s="50"/>
      <c r="BP95" s="50"/>
      <c r="BQ95" s="50"/>
      <c r="BR95" s="50"/>
      <c r="BS95" s="50"/>
      <c r="BT95" s="50"/>
      <c r="BU95" s="50"/>
      <c r="BV95" s="50"/>
      <c r="BW95" s="50"/>
      <c r="BX95" s="50"/>
      <c r="BY95" s="50"/>
      <c r="BZ95" s="50"/>
      <c r="CA95" s="50"/>
      <c r="CB95" s="49"/>
      <c r="CC95" s="59"/>
      <c r="CD95" s="60"/>
      <c r="CE95" s="50"/>
      <c r="CF95" s="61"/>
      <c r="CG95" s="61"/>
      <c r="CH95" s="49"/>
      <c r="CI95" s="49"/>
      <c r="CJ95" s="49"/>
      <c r="CK95" s="49"/>
      <c r="CL95" s="49"/>
      <c r="CM95" s="49"/>
      <c r="CN95" s="49"/>
      <c r="CO95" s="50"/>
      <c r="CP95" s="50"/>
      <c r="CQ95" s="49"/>
      <c r="CR95" s="49"/>
      <c r="CS95" s="49"/>
      <c r="CT95" s="49"/>
      <c r="CU95" s="49"/>
      <c r="CV95" s="49"/>
      <c r="CW95" s="49"/>
      <c r="CX95" s="49"/>
    </row>
    <row r="96" spans="1:102" ht="48" customHeight="1" x14ac:dyDescent="0.2">
      <c r="A96" s="1811"/>
      <c r="B96" s="1807"/>
      <c r="C96" s="49"/>
      <c r="D96" s="50"/>
      <c r="E96" s="49"/>
      <c r="F96" s="49"/>
      <c r="G96" s="49"/>
      <c r="H96" s="49"/>
      <c r="I96" s="49"/>
      <c r="J96" s="49"/>
      <c r="K96" s="49"/>
      <c r="L96" s="49"/>
      <c r="M96" s="49"/>
      <c r="N96" s="49"/>
      <c r="O96" s="49"/>
      <c r="P96" s="49"/>
      <c r="Q96" s="49"/>
      <c r="R96" s="49"/>
      <c r="S96" s="49"/>
      <c r="T96" s="1807"/>
      <c r="U96" s="51" t="s">
        <v>363</v>
      </c>
      <c r="V96" s="51" t="s">
        <v>364</v>
      </c>
      <c r="W96" s="1425" t="s">
        <v>365</v>
      </c>
      <c r="X96" s="56">
        <v>100</v>
      </c>
      <c r="Y96" s="50">
        <v>5</v>
      </c>
      <c r="Z96" s="50">
        <v>30</v>
      </c>
      <c r="AA96" s="50">
        <v>50</v>
      </c>
      <c r="AB96" s="54">
        <f>+Y96/X96</f>
        <v>0.05</v>
      </c>
      <c r="AC96" s="54">
        <f t="shared" si="27"/>
        <v>0.3</v>
      </c>
      <c r="AD96" s="137"/>
      <c r="AE96" s="50">
        <v>0</v>
      </c>
      <c r="AF96" s="50">
        <v>3</v>
      </c>
      <c r="AG96" s="50"/>
      <c r="AH96" s="50">
        <v>3</v>
      </c>
      <c r="AI96" s="50"/>
      <c r="AJ96" s="50">
        <f>+AH96</f>
        <v>3</v>
      </c>
      <c r="AK96" s="54">
        <f>+AJ96/Y96</f>
        <v>0.6</v>
      </c>
      <c r="AL96" s="50">
        <f>+AJ96</f>
        <v>3</v>
      </c>
      <c r="AM96" s="54">
        <f>+AL96/X96</f>
        <v>0.03</v>
      </c>
      <c r="AN96" s="50">
        <v>30</v>
      </c>
      <c r="AO96" s="50">
        <v>0</v>
      </c>
      <c r="AP96" s="50"/>
      <c r="AQ96" s="50">
        <v>15</v>
      </c>
      <c r="AR96" s="50"/>
      <c r="AS96" s="50">
        <v>30</v>
      </c>
      <c r="AT96" s="50"/>
      <c r="AU96" s="50">
        <v>15</v>
      </c>
      <c r="AV96" s="50"/>
      <c r="AW96" s="50">
        <f>AO96+AQ96+AS96+AU96</f>
        <v>60</v>
      </c>
      <c r="AX96" s="54">
        <v>1</v>
      </c>
      <c r="AY96" s="50">
        <f>AW96+AL96</f>
        <v>63</v>
      </c>
      <c r="AZ96" s="57">
        <f>AY96/X96</f>
        <v>0.63</v>
      </c>
      <c r="BA96" s="50">
        <v>50</v>
      </c>
      <c r="BB96" s="50">
        <v>20</v>
      </c>
      <c r="BC96" s="50"/>
      <c r="BD96" s="50">
        <v>20</v>
      </c>
      <c r="BE96" s="50"/>
      <c r="BF96" s="50">
        <v>20</v>
      </c>
      <c r="BG96" s="50"/>
      <c r="BH96" s="50">
        <v>60</v>
      </c>
      <c r="BI96" s="50"/>
      <c r="BJ96" s="83">
        <f>+BB96+BD96+BF96</f>
        <v>60</v>
      </c>
      <c r="BK96" s="57">
        <v>1</v>
      </c>
      <c r="BL96" s="83">
        <f>BJ96+AY96</f>
        <v>123</v>
      </c>
      <c r="BM96" s="57">
        <v>1</v>
      </c>
      <c r="BN96" s="50"/>
      <c r="BO96" s="50"/>
      <c r="BP96" s="50"/>
      <c r="BQ96" s="50"/>
      <c r="BR96" s="50"/>
      <c r="BS96" s="50"/>
      <c r="BT96" s="50"/>
      <c r="BU96" s="50"/>
      <c r="BV96" s="50"/>
      <c r="BW96" s="50"/>
      <c r="BX96" s="50"/>
      <c r="BY96" s="50"/>
      <c r="BZ96" s="50"/>
      <c r="CA96" s="50"/>
      <c r="CB96" s="49"/>
      <c r="CC96" s="59"/>
      <c r="CD96" s="60"/>
      <c r="CE96" s="50"/>
      <c r="CF96" s="61"/>
      <c r="CG96" s="61"/>
      <c r="CH96" s="49"/>
      <c r="CI96" s="49"/>
      <c r="CJ96" s="49"/>
      <c r="CK96" s="49"/>
      <c r="CL96" s="49"/>
      <c r="CM96" s="49"/>
      <c r="CN96" s="49"/>
      <c r="CO96" s="50"/>
      <c r="CP96" s="50"/>
      <c r="CQ96" s="49"/>
      <c r="CR96" s="49"/>
      <c r="CS96" s="49"/>
      <c r="CT96" s="49"/>
      <c r="CU96" s="49"/>
      <c r="CV96" s="49"/>
      <c r="CW96" s="49"/>
      <c r="CX96" s="49"/>
    </row>
    <row r="97" spans="1:102" ht="48" customHeight="1" x14ac:dyDescent="0.2">
      <c r="A97" s="1811"/>
      <c r="B97" s="1807"/>
      <c r="C97" s="49"/>
      <c r="D97" s="50"/>
      <c r="E97" s="49"/>
      <c r="F97" s="49"/>
      <c r="G97" s="49"/>
      <c r="H97" s="49"/>
      <c r="I97" s="49"/>
      <c r="J97" s="49"/>
      <c r="K97" s="49"/>
      <c r="L97" s="49"/>
      <c r="M97" s="49"/>
      <c r="N97" s="49"/>
      <c r="O97" s="49"/>
      <c r="P97" s="49"/>
      <c r="Q97" s="49"/>
      <c r="R97" s="49"/>
      <c r="S97" s="49"/>
      <c r="T97" s="1807"/>
      <c r="U97" s="51" t="s">
        <v>366</v>
      </c>
      <c r="V97" s="51">
        <v>0</v>
      </c>
      <c r="W97" s="1425" t="s">
        <v>367</v>
      </c>
      <c r="X97" s="50">
        <v>1</v>
      </c>
      <c r="Y97" s="50" t="s">
        <v>177</v>
      </c>
      <c r="Z97" s="50">
        <v>1</v>
      </c>
      <c r="AA97" s="50">
        <v>0.5</v>
      </c>
      <c r="AB97" s="54"/>
      <c r="AC97" s="54">
        <f t="shared" si="27"/>
        <v>1</v>
      </c>
      <c r="AD97" s="137">
        <f>AA97/X97</f>
        <v>0.5</v>
      </c>
      <c r="AE97" s="50"/>
      <c r="AF97" s="50"/>
      <c r="AG97" s="50"/>
      <c r="AH97" s="50"/>
      <c r="AI97" s="50"/>
      <c r="AJ97" s="50"/>
      <c r="AK97" s="54"/>
      <c r="AL97" s="50"/>
      <c r="AM97" s="54"/>
      <c r="AN97" s="50">
        <v>1</v>
      </c>
      <c r="AO97" s="50">
        <v>0</v>
      </c>
      <c r="AP97" s="50"/>
      <c r="AQ97" s="50">
        <v>0</v>
      </c>
      <c r="AR97" s="50"/>
      <c r="AS97" s="50">
        <v>0.5</v>
      </c>
      <c r="AT97" s="50"/>
      <c r="AU97" s="50">
        <v>0</v>
      </c>
      <c r="AV97" s="50"/>
      <c r="AW97" s="50">
        <f>+AS97</f>
        <v>0.5</v>
      </c>
      <c r="AX97" s="57">
        <f>+AW97/AN97</f>
        <v>0.5</v>
      </c>
      <c r="AY97" s="50">
        <f>+AW97</f>
        <v>0.5</v>
      </c>
      <c r="AZ97" s="57">
        <f>+AY97</f>
        <v>0.5</v>
      </c>
      <c r="BA97" s="50"/>
      <c r="BB97" s="50">
        <v>0.5</v>
      </c>
      <c r="BC97" s="50"/>
      <c r="BD97" s="50">
        <v>0</v>
      </c>
      <c r="BE97" s="50"/>
      <c r="BF97" s="50">
        <v>0</v>
      </c>
      <c r="BG97" s="50"/>
      <c r="BH97" s="50">
        <v>0.5</v>
      </c>
      <c r="BI97" s="50"/>
      <c r="BJ97" s="1685">
        <f>BB97+BH97</f>
        <v>1</v>
      </c>
      <c r="BK97" s="1153"/>
      <c r="BL97" s="1685">
        <f>BJ97</f>
        <v>1</v>
      </c>
      <c r="BM97" s="1153">
        <f>BL97/X97</f>
        <v>1</v>
      </c>
      <c r="BN97" s="50"/>
      <c r="BO97" s="50"/>
      <c r="BP97" s="50"/>
      <c r="BQ97" s="50"/>
      <c r="BR97" s="50"/>
      <c r="BS97" s="50"/>
      <c r="BT97" s="50"/>
      <c r="BU97" s="50"/>
      <c r="BV97" s="50"/>
      <c r="BW97" s="50"/>
      <c r="BX97" s="50"/>
      <c r="BY97" s="50"/>
      <c r="BZ97" s="50"/>
      <c r="CA97" s="50"/>
      <c r="CB97" s="49"/>
      <c r="CC97" s="59"/>
      <c r="CD97" s="60"/>
      <c r="CE97" s="50"/>
      <c r="CF97" s="61"/>
      <c r="CG97" s="61"/>
      <c r="CH97" s="49"/>
      <c r="CI97" s="49"/>
      <c r="CJ97" s="49"/>
      <c r="CK97" s="49"/>
      <c r="CL97" s="49"/>
      <c r="CM97" s="49"/>
      <c r="CN97" s="49"/>
      <c r="CO97" s="50"/>
      <c r="CP97" s="50"/>
      <c r="CQ97" s="49"/>
      <c r="CR97" s="49"/>
      <c r="CS97" s="49"/>
      <c r="CT97" s="49"/>
      <c r="CU97" s="49"/>
      <c r="CV97" s="49"/>
      <c r="CW97" s="49"/>
      <c r="CX97" s="49"/>
    </row>
    <row r="98" spans="1:102" ht="12.75" customHeight="1" x14ac:dyDescent="0.2">
      <c r="A98" s="1811"/>
      <c r="B98" s="1807"/>
      <c r="C98" s="49"/>
      <c r="D98" s="50"/>
      <c r="E98" s="49"/>
      <c r="F98" s="49"/>
      <c r="G98" s="49"/>
      <c r="H98" s="49"/>
      <c r="I98" s="49"/>
      <c r="J98" s="49"/>
      <c r="K98" s="49"/>
      <c r="L98" s="49"/>
      <c r="M98" s="49"/>
      <c r="N98" s="49"/>
      <c r="O98" s="49"/>
      <c r="P98" s="49"/>
      <c r="Q98" s="49"/>
      <c r="R98" s="49"/>
      <c r="S98" s="49"/>
      <c r="T98" s="1808"/>
      <c r="U98" s="85"/>
      <c r="V98" s="85"/>
      <c r="W98" s="1427"/>
      <c r="X98" s="72"/>
      <c r="Y98" s="72"/>
      <c r="Z98" s="72"/>
      <c r="AA98" s="72"/>
      <c r="AB98" s="86">
        <f>AVERAGE(AB92:AB97)</f>
        <v>0.12041873963515753</v>
      </c>
      <c r="AC98" s="86">
        <f>AVERAGE(AC92:AC97)</f>
        <v>0.52139303482587063</v>
      </c>
      <c r="AD98" s="73">
        <f>AVERAGE(AD92:AD97)</f>
        <v>0.31225124378109453</v>
      </c>
      <c r="AE98" s="72"/>
      <c r="AF98" s="72"/>
      <c r="AG98" s="72"/>
      <c r="AH98" s="72"/>
      <c r="AI98" s="72"/>
      <c r="AJ98" s="72"/>
      <c r="AK98" s="73">
        <f>AVERAGE(AK92:AK97)</f>
        <v>0.76666666666666661</v>
      </c>
      <c r="AL98" s="72"/>
      <c r="AM98" s="73">
        <f>AVERAGE(AM92:AM97)</f>
        <v>0.11804311774461029</v>
      </c>
      <c r="AN98" s="72"/>
      <c r="AO98" s="72"/>
      <c r="AP98" s="72"/>
      <c r="AQ98" s="72"/>
      <c r="AR98" s="72"/>
      <c r="AS98" s="72"/>
      <c r="AT98" s="72"/>
      <c r="AU98" s="72"/>
      <c r="AV98" s="50"/>
      <c r="AW98" s="50"/>
      <c r="AX98" s="73">
        <f>AVERAGE(AX92:AX97)</f>
        <v>0.76500000000000001</v>
      </c>
      <c r="AY98" s="72"/>
      <c r="AZ98" s="73">
        <f>AVERAGE(AZ92:AZ97)</f>
        <v>0.46603959369817577</v>
      </c>
      <c r="BA98" s="50"/>
      <c r="BB98" s="50"/>
      <c r="BC98" s="50"/>
      <c r="BD98" s="50"/>
      <c r="BE98" s="50"/>
      <c r="BF98" s="50"/>
      <c r="BG98" s="50"/>
      <c r="BH98" s="50"/>
      <c r="BI98" s="50"/>
      <c r="BJ98" s="50"/>
      <c r="BK98" s="73">
        <f>AVERAGE(BK92:BK97)</f>
        <v>0.76680000000000004</v>
      </c>
      <c r="BL98" s="50"/>
      <c r="BM98" s="73">
        <f>AVERAGE(BM92:BM97)</f>
        <v>0.9038666666666666</v>
      </c>
      <c r="BN98" s="50"/>
      <c r="BO98" s="50"/>
      <c r="BP98" s="50"/>
      <c r="BQ98" s="50"/>
      <c r="BR98" s="50"/>
      <c r="BS98" s="50"/>
      <c r="BT98" s="50"/>
      <c r="BU98" s="50"/>
      <c r="BV98" s="50"/>
      <c r="BW98" s="50"/>
      <c r="BX98" s="50"/>
      <c r="BY98" s="50"/>
      <c r="BZ98" s="50"/>
      <c r="CA98" s="50"/>
      <c r="CB98" s="49"/>
      <c r="CC98" s="59"/>
      <c r="CD98" s="60"/>
      <c r="CE98" s="50"/>
      <c r="CF98" s="61"/>
      <c r="CG98" s="61"/>
      <c r="CH98" s="49"/>
      <c r="CI98" s="49"/>
      <c r="CJ98" s="49"/>
      <c r="CK98" s="49"/>
      <c r="CL98" s="49"/>
      <c r="CM98" s="49"/>
      <c r="CN98" s="49"/>
      <c r="CO98" s="50"/>
      <c r="CP98" s="50"/>
      <c r="CQ98" s="49"/>
      <c r="CR98" s="49"/>
      <c r="CS98" s="49"/>
      <c r="CT98" s="49"/>
      <c r="CU98" s="49"/>
      <c r="CV98" s="49"/>
      <c r="CW98" s="49"/>
      <c r="CX98" s="49"/>
    </row>
    <row r="99" spans="1:102" ht="48" customHeight="1" x14ac:dyDescent="0.2">
      <c r="A99" s="1811"/>
      <c r="B99" s="1807"/>
      <c r="C99" s="49"/>
      <c r="D99" s="50"/>
      <c r="E99" s="49"/>
      <c r="F99" s="49"/>
      <c r="G99" s="49"/>
      <c r="H99" s="49"/>
      <c r="I99" s="49"/>
      <c r="J99" s="49"/>
      <c r="K99" s="49"/>
      <c r="L99" s="49"/>
      <c r="M99" s="49"/>
      <c r="N99" s="49"/>
      <c r="O99" s="49"/>
      <c r="P99" s="49"/>
      <c r="Q99" s="49"/>
      <c r="R99" s="49"/>
      <c r="S99" s="49"/>
      <c r="T99" s="1809" t="s">
        <v>368</v>
      </c>
      <c r="U99" s="136" t="s">
        <v>369</v>
      </c>
      <c r="V99" s="51">
        <v>0</v>
      </c>
      <c r="W99" s="1425" t="s">
        <v>370</v>
      </c>
      <c r="X99" s="50">
        <v>9</v>
      </c>
      <c r="Y99" s="50">
        <v>2</v>
      </c>
      <c r="Z99" s="50">
        <v>2</v>
      </c>
      <c r="AA99" s="50">
        <v>2</v>
      </c>
      <c r="AB99" s="54">
        <f>+Y99/X99</f>
        <v>0.22222222222222221</v>
      </c>
      <c r="AC99" s="54">
        <f t="shared" ref="AC99:AC106" si="28">+Z99/X99</f>
        <v>0.22222222222222221</v>
      </c>
      <c r="AD99" s="137">
        <f t="shared" ref="AD99:AD108" si="29">AA99/X99</f>
        <v>0.22222222222222221</v>
      </c>
      <c r="AE99" s="50">
        <v>0</v>
      </c>
      <c r="AF99" s="50">
        <v>1</v>
      </c>
      <c r="AG99" s="50"/>
      <c r="AH99" s="50">
        <v>4</v>
      </c>
      <c r="AI99" s="50"/>
      <c r="AJ99" s="50">
        <f>+AH99</f>
        <v>4</v>
      </c>
      <c r="AK99" s="54">
        <v>1</v>
      </c>
      <c r="AL99" s="50">
        <f>+AJ99</f>
        <v>4</v>
      </c>
      <c r="AM99" s="54">
        <f>+AL99/X99</f>
        <v>0.44444444444444442</v>
      </c>
      <c r="AN99" s="50">
        <v>2</v>
      </c>
      <c r="AO99" s="50">
        <v>1</v>
      </c>
      <c r="AP99" s="50"/>
      <c r="AQ99" s="50">
        <v>0</v>
      </c>
      <c r="AR99" s="50"/>
      <c r="AS99" s="50">
        <v>0</v>
      </c>
      <c r="AT99" s="50"/>
      <c r="AU99" s="50">
        <v>0</v>
      </c>
      <c r="AV99" s="50"/>
      <c r="AW99" s="50">
        <f>AO99+AQ99</f>
        <v>1</v>
      </c>
      <c r="AX99" s="90">
        <f>AW99/AN99</f>
        <v>0.5</v>
      </c>
      <c r="AY99" s="50">
        <f>AW99+AL99</f>
        <v>5</v>
      </c>
      <c r="AZ99" s="54">
        <f>+AY99/9</f>
        <v>0.55555555555555558</v>
      </c>
      <c r="BA99" s="50">
        <v>2</v>
      </c>
      <c r="BB99" s="50">
        <v>0</v>
      </c>
      <c r="BC99" s="50"/>
      <c r="BD99" s="50">
        <v>1</v>
      </c>
      <c r="BE99" s="50"/>
      <c r="BF99" s="50">
        <v>0</v>
      </c>
      <c r="BG99" s="50"/>
      <c r="BH99" s="50">
        <v>0</v>
      </c>
      <c r="BI99" s="50"/>
      <c r="BJ99" s="83">
        <f>+BD99</f>
        <v>1</v>
      </c>
      <c r="BK99" s="57">
        <f>BJ99/BA99</f>
        <v>0.5</v>
      </c>
      <c r="BL99" s="83">
        <f t="shared" ref="BL99:BL108" si="30">AY99+BJ99</f>
        <v>6</v>
      </c>
      <c r="BM99" s="57">
        <f>BL99/X99</f>
        <v>0.66666666666666663</v>
      </c>
      <c r="BN99" s="50"/>
      <c r="BO99" s="50"/>
      <c r="BP99" s="50"/>
      <c r="BQ99" s="50"/>
      <c r="BR99" s="50"/>
      <c r="BS99" s="50"/>
      <c r="BT99" s="50"/>
      <c r="BU99" s="50"/>
      <c r="BV99" s="50"/>
      <c r="BW99" s="50"/>
      <c r="BX99" s="50"/>
      <c r="BY99" s="50"/>
      <c r="BZ99" s="50"/>
      <c r="CA99" s="50"/>
      <c r="CB99" s="49"/>
      <c r="CC99" s="59"/>
      <c r="CD99" s="60"/>
      <c r="CE99" s="50"/>
      <c r="CF99" s="61"/>
      <c r="CG99" s="61"/>
      <c r="CH99" s="49"/>
      <c r="CI99" s="49"/>
      <c r="CJ99" s="49"/>
      <c r="CK99" s="49"/>
      <c r="CL99" s="49"/>
      <c r="CM99" s="49"/>
      <c r="CN99" s="49"/>
      <c r="CO99" s="50"/>
      <c r="CP99" s="50"/>
      <c r="CQ99" s="49"/>
      <c r="CR99" s="49"/>
      <c r="CS99" s="49"/>
      <c r="CT99" s="49"/>
      <c r="CU99" s="49"/>
      <c r="CV99" s="49"/>
      <c r="CW99" s="49"/>
      <c r="CX99" s="49"/>
    </row>
    <row r="100" spans="1:102" ht="27.75" customHeight="1" x14ac:dyDescent="0.2">
      <c r="A100" s="1811"/>
      <c r="B100" s="1807"/>
      <c r="C100" s="49"/>
      <c r="D100" s="50"/>
      <c r="E100" s="49"/>
      <c r="F100" s="49"/>
      <c r="G100" s="49"/>
      <c r="H100" s="49"/>
      <c r="I100" s="49"/>
      <c r="J100" s="49"/>
      <c r="K100" s="49"/>
      <c r="L100" s="49"/>
      <c r="M100" s="49"/>
      <c r="N100" s="49"/>
      <c r="O100" s="49"/>
      <c r="P100" s="49"/>
      <c r="Q100" s="49"/>
      <c r="R100" s="49"/>
      <c r="S100" s="49"/>
      <c r="T100" s="1807"/>
      <c r="U100" s="136" t="s">
        <v>371</v>
      </c>
      <c r="V100" s="51" t="s">
        <v>201</v>
      </c>
      <c r="W100" s="1425" t="s">
        <v>372</v>
      </c>
      <c r="X100" s="50">
        <v>3</v>
      </c>
      <c r="Y100" s="50" t="s">
        <v>177</v>
      </c>
      <c r="Z100" s="50">
        <v>1</v>
      </c>
      <c r="AA100" s="50">
        <v>1</v>
      </c>
      <c r="AB100" s="50"/>
      <c r="AC100" s="54">
        <f t="shared" si="28"/>
        <v>0.33333333333333331</v>
      </c>
      <c r="AD100" s="137">
        <f t="shared" si="29"/>
        <v>0.33333333333333331</v>
      </c>
      <c r="AE100" s="50"/>
      <c r="AF100" s="50"/>
      <c r="AG100" s="50"/>
      <c r="AH100" s="50"/>
      <c r="AI100" s="50"/>
      <c r="AJ100" s="50"/>
      <c r="AK100" s="54"/>
      <c r="AL100" s="50"/>
      <c r="AM100" s="54"/>
      <c r="AN100" s="50">
        <v>1</v>
      </c>
      <c r="AO100" s="50">
        <v>0</v>
      </c>
      <c r="AP100" s="50"/>
      <c r="AQ100" s="50">
        <v>0</v>
      </c>
      <c r="AR100" s="50"/>
      <c r="AS100" s="50">
        <v>0</v>
      </c>
      <c r="AT100" s="50"/>
      <c r="AU100" s="50">
        <v>1</v>
      </c>
      <c r="AV100" s="50"/>
      <c r="AW100" s="50">
        <f>+AU100</f>
        <v>1</v>
      </c>
      <c r="AX100" s="57">
        <v>1</v>
      </c>
      <c r="AY100" s="50">
        <f>+AW100</f>
        <v>1</v>
      </c>
      <c r="AZ100" s="57">
        <v>0.33</v>
      </c>
      <c r="BA100" s="50">
        <v>1</v>
      </c>
      <c r="BB100" s="50">
        <v>5</v>
      </c>
      <c r="BC100" s="50"/>
      <c r="BD100" s="50">
        <v>0</v>
      </c>
      <c r="BE100" s="50"/>
      <c r="BF100" s="50">
        <v>0</v>
      </c>
      <c r="BG100" s="50"/>
      <c r="BH100" s="50"/>
      <c r="BI100" s="50"/>
      <c r="BJ100" s="83">
        <f t="shared" ref="BJ100:BJ107" si="31">BB100</f>
        <v>5</v>
      </c>
      <c r="BK100" s="57">
        <v>1</v>
      </c>
      <c r="BL100" s="83">
        <f t="shared" si="30"/>
        <v>6</v>
      </c>
      <c r="BM100" s="57">
        <v>1</v>
      </c>
      <c r="BN100" s="50"/>
      <c r="BO100" s="50"/>
      <c r="BP100" s="50"/>
      <c r="BQ100" s="50"/>
      <c r="BR100" s="50"/>
      <c r="BS100" s="50"/>
      <c r="BT100" s="50"/>
      <c r="BU100" s="50"/>
      <c r="BV100" s="50"/>
      <c r="BW100" s="50"/>
      <c r="BX100" s="50"/>
      <c r="BY100" s="50"/>
      <c r="BZ100" s="50"/>
      <c r="CA100" s="50"/>
      <c r="CB100" s="49"/>
      <c r="CC100" s="59"/>
      <c r="CD100" s="60"/>
      <c r="CE100" s="50"/>
      <c r="CF100" s="61"/>
      <c r="CG100" s="61"/>
      <c r="CH100" s="49"/>
      <c r="CI100" s="49"/>
      <c r="CJ100" s="49"/>
      <c r="CK100" s="49"/>
      <c r="CL100" s="49"/>
      <c r="CM100" s="49"/>
      <c r="CN100" s="49"/>
      <c r="CO100" s="50"/>
      <c r="CP100" s="50"/>
      <c r="CQ100" s="49"/>
      <c r="CR100" s="49"/>
      <c r="CS100" s="49"/>
      <c r="CT100" s="49"/>
      <c r="CU100" s="49"/>
      <c r="CV100" s="49"/>
      <c r="CW100" s="49"/>
      <c r="CX100" s="49"/>
    </row>
    <row r="101" spans="1:102" ht="45" customHeight="1" x14ac:dyDescent="0.2">
      <c r="A101" s="1811"/>
      <c r="B101" s="1807"/>
      <c r="C101" s="49"/>
      <c r="D101" s="50"/>
      <c r="E101" s="49"/>
      <c r="F101" s="49"/>
      <c r="G101" s="49"/>
      <c r="H101" s="49"/>
      <c r="I101" s="49"/>
      <c r="J101" s="49"/>
      <c r="K101" s="49"/>
      <c r="L101" s="49"/>
      <c r="M101" s="49"/>
      <c r="N101" s="49"/>
      <c r="O101" s="49"/>
      <c r="P101" s="49"/>
      <c r="Q101" s="49"/>
      <c r="R101" s="49"/>
      <c r="S101" s="49"/>
      <c r="T101" s="1807"/>
      <c r="U101" s="136" t="s">
        <v>373</v>
      </c>
      <c r="V101" s="51" t="s">
        <v>201</v>
      </c>
      <c r="W101" s="1425" t="s">
        <v>374</v>
      </c>
      <c r="X101" s="50">
        <v>10</v>
      </c>
      <c r="Y101" s="50" t="s">
        <v>177</v>
      </c>
      <c r="Z101" s="50">
        <v>2.5</v>
      </c>
      <c r="AA101" s="50">
        <v>5</v>
      </c>
      <c r="AB101" s="50"/>
      <c r="AC101" s="54">
        <f t="shared" si="28"/>
        <v>0.25</v>
      </c>
      <c r="AD101" s="137">
        <f>+AA101/X101</f>
        <v>0.5</v>
      </c>
      <c r="AE101" s="50"/>
      <c r="AF101" s="50"/>
      <c r="AG101" s="50"/>
      <c r="AH101" s="50"/>
      <c r="AI101" s="50"/>
      <c r="AJ101" s="50"/>
      <c r="AK101" s="54"/>
      <c r="AL101" s="50"/>
      <c r="AM101" s="54"/>
      <c r="AN101" s="50">
        <v>2.5</v>
      </c>
      <c r="AO101" s="50">
        <v>0</v>
      </c>
      <c r="AP101" s="50"/>
      <c r="AQ101" s="50">
        <v>0</v>
      </c>
      <c r="AR101" s="50"/>
      <c r="AS101" s="50">
        <v>0</v>
      </c>
      <c r="AT101" s="50"/>
      <c r="AU101" s="50">
        <v>0.5</v>
      </c>
      <c r="AV101" s="50"/>
      <c r="AW101" s="50">
        <f>+AU101</f>
        <v>0.5</v>
      </c>
      <c r="AX101" s="57">
        <f>+AW101/AN101</f>
        <v>0.2</v>
      </c>
      <c r="AY101" s="50">
        <f>+AW101</f>
        <v>0.5</v>
      </c>
      <c r="AZ101" s="57">
        <f>+AY101/10</f>
        <v>0.05</v>
      </c>
      <c r="BA101" s="50">
        <v>5</v>
      </c>
      <c r="BB101" s="50">
        <v>1.1000000000000001</v>
      </c>
      <c r="BC101" s="50"/>
      <c r="BD101" s="50">
        <v>0</v>
      </c>
      <c r="BE101" s="50"/>
      <c r="BF101" s="50"/>
      <c r="BG101" s="50"/>
      <c r="BH101" s="50">
        <v>0</v>
      </c>
      <c r="BI101" s="50"/>
      <c r="BJ101" s="83">
        <f t="shared" si="31"/>
        <v>1.1000000000000001</v>
      </c>
      <c r="BK101" s="57">
        <f>+BJ101/BA101</f>
        <v>0.22000000000000003</v>
      </c>
      <c r="BL101" s="83">
        <f t="shared" si="30"/>
        <v>1.6</v>
      </c>
      <c r="BM101" s="57">
        <f>+BL101/X101</f>
        <v>0.16</v>
      </c>
      <c r="BN101" s="50"/>
      <c r="BO101" s="50"/>
      <c r="BP101" s="50"/>
      <c r="BQ101" s="50"/>
      <c r="BR101" s="50"/>
      <c r="BS101" s="50"/>
      <c r="BT101" s="50"/>
      <c r="BU101" s="50"/>
      <c r="BV101" s="50"/>
      <c r="BW101" s="50"/>
      <c r="BX101" s="50"/>
      <c r="BY101" s="50"/>
      <c r="BZ101" s="50"/>
      <c r="CA101" s="50"/>
      <c r="CB101" s="49"/>
      <c r="CC101" s="59"/>
      <c r="CD101" s="60"/>
      <c r="CE101" s="50"/>
      <c r="CF101" s="61"/>
      <c r="CG101" s="61"/>
      <c r="CH101" s="49"/>
      <c r="CI101" s="49"/>
      <c r="CJ101" s="49"/>
      <c r="CK101" s="49"/>
      <c r="CL101" s="49"/>
      <c r="CM101" s="49"/>
      <c r="CN101" s="49"/>
      <c r="CO101" s="50"/>
      <c r="CP101" s="50"/>
      <c r="CQ101" s="49"/>
      <c r="CR101" s="49"/>
      <c r="CS101" s="49"/>
      <c r="CT101" s="49"/>
      <c r="CU101" s="49"/>
      <c r="CV101" s="49"/>
      <c r="CW101" s="49"/>
      <c r="CX101" s="49"/>
    </row>
    <row r="102" spans="1:102" ht="53.25" customHeight="1" x14ac:dyDescent="0.2">
      <c r="A102" s="1811"/>
      <c r="B102" s="1807"/>
      <c r="C102" s="49"/>
      <c r="D102" s="50"/>
      <c r="E102" s="49"/>
      <c r="F102" s="49"/>
      <c r="G102" s="49"/>
      <c r="H102" s="49"/>
      <c r="I102" s="49"/>
      <c r="J102" s="49"/>
      <c r="K102" s="49"/>
      <c r="L102" s="49"/>
      <c r="M102" s="49"/>
      <c r="N102" s="49"/>
      <c r="O102" s="49"/>
      <c r="P102" s="49"/>
      <c r="Q102" s="49"/>
      <c r="R102" s="49"/>
      <c r="S102" s="49"/>
      <c r="T102" s="1807"/>
      <c r="U102" s="51" t="s">
        <v>375</v>
      </c>
      <c r="V102" s="51">
        <v>0</v>
      </c>
      <c r="W102" s="1425" t="s">
        <v>376</v>
      </c>
      <c r="X102" s="50">
        <v>1</v>
      </c>
      <c r="Y102" s="50" t="s">
        <v>177</v>
      </c>
      <c r="Z102" s="50">
        <v>1</v>
      </c>
      <c r="AA102" s="50">
        <v>1</v>
      </c>
      <c r="AB102" s="50"/>
      <c r="AC102" s="54">
        <f t="shared" si="28"/>
        <v>1</v>
      </c>
      <c r="AD102" s="137"/>
      <c r="AE102" s="50"/>
      <c r="AF102" s="50"/>
      <c r="AG102" s="50"/>
      <c r="AH102" s="50"/>
      <c r="AI102" s="50"/>
      <c r="AJ102" s="50"/>
      <c r="AK102" s="54"/>
      <c r="AL102" s="50"/>
      <c r="AM102" s="54"/>
      <c r="AN102" s="50">
        <v>1</v>
      </c>
      <c r="AO102" s="50">
        <v>0</v>
      </c>
      <c r="AP102" s="50"/>
      <c r="AQ102" s="50">
        <v>0</v>
      </c>
      <c r="AR102" s="50"/>
      <c r="AS102" s="50">
        <v>0</v>
      </c>
      <c r="AT102" s="50"/>
      <c r="AU102" s="50">
        <v>1</v>
      </c>
      <c r="AV102" s="50"/>
      <c r="AW102" s="50">
        <f>+AU102</f>
        <v>1</v>
      </c>
      <c r="AX102" s="57">
        <f>+AW102/Z102</f>
        <v>1</v>
      </c>
      <c r="AY102" s="57">
        <f>+AX102</f>
        <v>1</v>
      </c>
      <c r="AZ102" s="57">
        <f>+AY102</f>
        <v>1</v>
      </c>
      <c r="BA102" s="50"/>
      <c r="BB102" s="50">
        <v>1</v>
      </c>
      <c r="BC102" s="50"/>
      <c r="BD102" s="50"/>
      <c r="BE102" s="50"/>
      <c r="BF102" s="50"/>
      <c r="BG102" s="61" t="s">
        <v>2270</v>
      </c>
      <c r="BH102" s="50"/>
      <c r="BI102" s="50"/>
      <c r="BJ102" s="83">
        <f t="shared" si="31"/>
        <v>1</v>
      </c>
      <c r="BK102" s="57"/>
      <c r="BL102" s="83">
        <f t="shared" si="30"/>
        <v>2</v>
      </c>
      <c r="BM102" s="57">
        <v>1</v>
      </c>
      <c r="BN102" s="50"/>
      <c r="BO102" s="50"/>
      <c r="BP102" s="50"/>
      <c r="BQ102" s="50"/>
      <c r="BR102" s="50"/>
      <c r="BS102" s="50"/>
      <c r="BT102" s="50"/>
      <c r="BU102" s="50"/>
      <c r="BV102" s="50"/>
      <c r="BW102" s="50"/>
      <c r="BX102" s="50"/>
      <c r="BY102" s="50"/>
      <c r="BZ102" s="50"/>
      <c r="CA102" s="50"/>
      <c r="CB102" s="49"/>
      <c r="CC102" s="59"/>
      <c r="CD102" s="60"/>
      <c r="CE102" s="50"/>
      <c r="CF102" s="61"/>
      <c r="CG102" s="61"/>
      <c r="CH102" s="49"/>
      <c r="CI102" s="49"/>
      <c r="CJ102" s="49"/>
      <c r="CK102" s="49"/>
      <c r="CL102" s="49"/>
      <c r="CM102" s="49"/>
      <c r="CN102" s="49"/>
      <c r="CO102" s="50"/>
      <c r="CP102" s="50"/>
      <c r="CQ102" s="49"/>
      <c r="CR102" s="49"/>
      <c r="CS102" s="49"/>
      <c r="CT102" s="49"/>
      <c r="CU102" s="49"/>
      <c r="CV102" s="49"/>
      <c r="CW102" s="49"/>
      <c r="CX102" s="49"/>
    </row>
    <row r="103" spans="1:102" ht="43.5" customHeight="1" x14ac:dyDescent="0.2">
      <c r="A103" s="1811"/>
      <c r="B103" s="1807"/>
      <c r="C103" s="49"/>
      <c r="D103" s="50"/>
      <c r="E103" s="49"/>
      <c r="F103" s="49"/>
      <c r="G103" s="49"/>
      <c r="H103" s="49"/>
      <c r="I103" s="49"/>
      <c r="J103" s="49"/>
      <c r="K103" s="49"/>
      <c r="L103" s="49"/>
      <c r="M103" s="49"/>
      <c r="N103" s="49"/>
      <c r="O103" s="49"/>
      <c r="P103" s="49"/>
      <c r="Q103" s="49"/>
      <c r="R103" s="49"/>
      <c r="S103" s="49"/>
      <c r="T103" s="1807"/>
      <c r="U103" s="51" t="s">
        <v>377</v>
      </c>
      <c r="V103" s="51" t="s">
        <v>378</v>
      </c>
      <c r="W103" s="1425" t="s">
        <v>379</v>
      </c>
      <c r="X103" s="50">
        <v>5</v>
      </c>
      <c r="Y103" s="50" t="s">
        <v>177</v>
      </c>
      <c r="Z103" s="50">
        <v>2</v>
      </c>
      <c r="AA103" s="50">
        <v>1</v>
      </c>
      <c r="AB103" s="50"/>
      <c r="AC103" s="54">
        <f t="shared" si="28"/>
        <v>0.4</v>
      </c>
      <c r="AD103" s="137"/>
      <c r="AE103" s="50"/>
      <c r="AF103" s="50"/>
      <c r="AG103" s="50"/>
      <c r="AH103" s="50"/>
      <c r="AI103" s="50"/>
      <c r="AJ103" s="50"/>
      <c r="AK103" s="54"/>
      <c r="AL103" s="50"/>
      <c r="AM103" s="54"/>
      <c r="AN103" s="50">
        <v>2</v>
      </c>
      <c r="AO103" s="50">
        <v>0</v>
      </c>
      <c r="AP103" s="50"/>
      <c r="AQ103" s="50">
        <v>0</v>
      </c>
      <c r="AR103" s="50"/>
      <c r="AS103" s="50">
        <v>0</v>
      </c>
      <c r="AT103" s="50"/>
      <c r="AU103" s="50">
        <v>0.5</v>
      </c>
      <c r="AV103" s="50"/>
      <c r="AW103" s="50">
        <f>+AU103</f>
        <v>0.5</v>
      </c>
      <c r="AX103" s="57">
        <f>+AW103/AN103</f>
        <v>0.25</v>
      </c>
      <c r="AY103" s="50">
        <f>+AW103</f>
        <v>0.5</v>
      </c>
      <c r="AZ103" s="57">
        <f>+AY103/5</f>
        <v>0.1</v>
      </c>
      <c r="BA103" s="50">
        <v>1</v>
      </c>
      <c r="BB103" s="50">
        <v>0</v>
      </c>
      <c r="BC103" s="50"/>
      <c r="BD103" s="50">
        <v>2</v>
      </c>
      <c r="BE103" s="50"/>
      <c r="BF103" s="50">
        <v>0</v>
      </c>
      <c r="BG103" s="50"/>
      <c r="BH103" s="50">
        <v>4</v>
      </c>
      <c r="BI103" s="50"/>
      <c r="BJ103" s="83">
        <f>+BD103+BH103</f>
        <v>6</v>
      </c>
      <c r="BK103" s="57">
        <v>1</v>
      </c>
      <c r="BL103" s="83">
        <f t="shared" si="30"/>
        <v>6.5</v>
      </c>
      <c r="BM103" s="57">
        <v>1</v>
      </c>
      <c r="BN103" s="50"/>
      <c r="BO103" s="50"/>
      <c r="BP103" s="50"/>
      <c r="BQ103" s="50"/>
      <c r="BR103" s="50"/>
      <c r="BS103" s="50"/>
      <c r="BT103" s="50"/>
      <c r="BU103" s="50"/>
      <c r="BV103" s="50"/>
      <c r="BW103" s="50"/>
      <c r="BX103" s="50"/>
      <c r="BY103" s="50"/>
      <c r="BZ103" s="50"/>
      <c r="CA103" s="50"/>
      <c r="CB103" s="49"/>
      <c r="CC103" s="59"/>
      <c r="CD103" s="60"/>
      <c r="CE103" s="50"/>
      <c r="CF103" s="61"/>
      <c r="CG103" s="61"/>
      <c r="CH103" s="49"/>
      <c r="CI103" s="49"/>
      <c r="CJ103" s="49"/>
      <c r="CK103" s="49"/>
      <c r="CL103" s="49"/>
      <c r="CM103" s="49"/>
      <c r="CN103" s="49"/>
      <c r="CO103" s="50"/>
      <c r="CP103" s="50"/>
      <c r="CQ103" s="49"/>
      <c r="CR103" s="49"/>
      <c r="CS103" s="49"/>
      <c r="CT103" s="49"/>
      <c r="CU103" s="49"/>
      <c r="CV103" s="49"/>
      <c r="CW103" s="49"/>
      <c r="CX103" s="49"/>
    </row>
    <row r="104" spans="1:102" ht="37.5" customHeight="1" x14ac:dyDescent="0.2">
      <c r="A104" s="1811"/>
      <c r="B104" s="1807"/>
      <c r="C104" s="49"/>
      <c r="D104" s="50"/>
      <c r="E104" s="49"/>
      <c r="F104" s="49"/>
      <c r="G104" s="49"/>
      <c r="H104" s="49"/>
      <c r="I104" s="49"/>
      <c r="J104" s="49"/>
      <c r="K104" s="49"/>
      <c r="L104" s="49"/>
      <c r="M104" s="49"/>
      <c r="N104" s="49"/>
      <c r="O104" s="49"/>
      <c r="P104" s="49"/>
      <c r="Q104" s="49"/>
      <c r="R104" s="49"/>
      <c r="S104" s="49"/>
      <c r="T104" s="1807"/>
      <c r="U104" s="51" t="s">
        <v>380</v>
      </c>
      <c r="V104" s="51" t="s">
        <v>381</v>
      </c>
      <c r="W104" s="1425" t="s">
        <v>382</v>
      </c>
      <c r="X104" s="50">
        <v>16</v>
      </c>
      <c r="Y104" s="50">
        <v>1</v>
      </c>
      <c r="Z104" s="50">
        <v>1</v>
      </c>
      <c r="AA104" s="50">
        <v>1</v>
      </c>
      <c r="AB104" s="54">
        <f>+Y104/X104</f>
        <v>6.25E-2</v>
      </c>
      <c r="AC104" s="54">
        <f t="shared" si="28"/>
        <v>6.25E-2</v>
      </c>
      <c r="AD104" s="137">
        <f t="shared" si="29"/>
        <v>6.25E-2</v>
      </c>
      <c r="AE104" s="50">
        <v>0</v>
      </c>
      <c r="AF104" s="50">
        <v>0</v>
      </c>
      <c r="AG104" s="50"/>
      <c r="AH104" s="50">
        <v>0</v>
      </c>
      <c r="AI104" s="50"/>
      <c r="AJ104" s="50">
        <f>+AH104</f>
        <v>0</v>
      </c>
      <c r="AK104" s="54">
        <f>+AJ104/Y104</f>
        <v>0</v>
      </c>
      <c r="AL104" s="50">
        <f>+AJ104</f>
        <v>0</v>
      </c>
      <c r="AM104" s="54">
        <f>+AL104/X104</f>
        <v>0</v>
      </c>
      <c r="AN104" s="50">
        <v>1</v>
      </c>
      <c r="AO104" s="50">
        <v>0</v>
      </c>
      <c r="AP104" s="50"/>
      <c r="AQ104" s="50">
        <v>0</v>
      </c>
      <c r="AR104" s="50"/>
      <c r="AS104" s="50">
        <v>0</v>
      </c>
      <c r="AT104" s="50"/>
      <c r="AU104" s="50">
        <v>0</v>
      </c>
      <c r="AV104" s="50"/>
      <c r="AW104" s="50">
        <v>0</v>
      </c>
      <c r="AX104" s="57">
        <v>0</v>
      </c>
      <c r="AY104" s="50">
        <v>0</v>
      </c>
      <c r="AZ104" s="57">
        <v>0</v>
      </c>
      <c r="BA104" s="50">
        <v>1</v>
      </c>
      <c r="BB104" s="50">
        <v>0</v>
      </c>
      <c r="BC104" s="50"/>
      <c r="BD104" s="50">
        <v>0</v>
      </c>
      <c r="BE104" s="50"/>
      <c r="BF104" s="50"/>
      <c r="BG104" s="50"/>
      <c r="BH104" s="50">
        <v>0</v>
      </c>
      <c r="BI104" s="50"/>
      <c r="BJ104" s="83">
        <f t="shared" si="31"/>
        <v>0</v>
      </c>
      <c r="BK104" s="57">
        <v>0</v>
      </c>
      <c r="BL104" s="83">
        <f t="shared" si="30"/>
        <v>0</v>
      </c>
      <c r="BM104" s="57">
        <v>0</v>
      </c>
      <c r="BN104" s="50"/>
      <c r="BO104" s="50"/>
      <c r="BP104" s="50"/>
      <c r="BQ104" s="50"/>
      <c r="BR104" s="50"/>
      <c r="BS104" s="50"/>
      <c r="BT104" s="50"/>
      <c r="BU104" s="50"/>
      <c r="BV104" s="50"/>
      <c r="BW104" s="50"/>
      <c r="BX104" s="50"/>
      <c r="BY104" s="50"/>
      <c r="BZ104" s="50"/>
      <c r="CA104" s="50"/>
      <c r="CB104" s="49"/>
      <c r="CC104" s="59"/>
      <c r="CD104" s="60"/>
      <c r="CE104" s="50"/>
      <c r="CF104" s="61"/>
      <c r="CG104" s="61"/>
      <c r="CH104" s="49"/>
      <c r="CI104" s="49"/>
      <c r="CJ104" s="49"/>
      <c r="CK104" s="49"/>
      <c r="CL104" s="49"/>
      <c r="CM104" s="49"/>
      <c r="CN104" s="49"/>
      <c r="CO104" s="50"/>
      <c r="CP104" s="50"/>
      <c r="CQ104" s="49"/>
      <c r="CR104" s="49"/>
      <c r="CS104" s="49"/>
      <c r="CT104" s="49"/>
      <c r="CU104" s="49"/>
      <c r="CV104" s="49"/>
      <c r="CW104" s="49"/>
      <c r="CX104" s="49"/>
    </row>
    <row r="105" spans="1:102" ht="48.75" customHeight="1" x14ac:dyDescent="0.2">
      <c r="A105" s="1811"/>
      <c r="B105" s="1807"/>
      <c r="C105" s="49"/>
      <c r="D105" s="50"/>
      <c r="E105" s="49"/>
      <c r="F105" s="49"/>
      <c r="G105" s="49"/>
      <c r="H105" s="49"/>
      <c r="I105" s="49"/>
      <c r="J105" s="49"/>
      <c r="K105" s="49"/>
      <c r="L105" s="49"/>
      <c r="M105" s="49"/>
      <c r="N105" s="49"/>
      <c r="O105" s="49"/>
      <c r="P105" s="49"/>
      <c r="Q105" s="49"/>
      <c r="R105" s="49"/>
      <c r="S105" s="49"/>
      <c r="T105" s="1807"/>
      <c r="U105" s="51" t="s">
        <v>383</v>
      </c>
      <c r="V105" s="51" t="s">
        <v>384</v>
      </c>
      <c r="W105" s="1425" t="s">
        <v>385</v>
      </c>
      <c r="X105" s="56">
        <v>3</v>
      </c>
      <c r="Y105" s="50">
        <v>1</v>
      </c>
      <c r="Z105" s="50">
        <v>1</v>
      </c>
      <c r="AA105" s="50">
        <v>1</v>
      </c>
      <c r="AB105" s="54">
        <f>+Y105/X105</f>
        <v>0.33333333333333331</v>
      </c>
      <c r="AC105" s="54">
        <f t="shared" si="28"/>
        <v>0.33333333333333331</v>
      </c>
      <c r="AD105" s="137">
        <f t="shared" si="29"/>
        <v>0.33333333333333331</v>
      </c>
      <c r="AE105" s="50">
        <v>0</v>
      </c>
      <c r="AF105" s="50">
        <v>1</v>
      </c>
      <c r="AG105" s="50"/>
      <c r="AH105" s="50">
        <v>1</v>
      </c>
      <c r="AI105" s="50"/>
      <c r="AJ105" s="50">
        <f>+AH105</f>
        <v>1</v>
      </c>
      <c r="AK105" s="54">
        <f>+AJ105/Y105</f>
        <v>1</v>
      </c>
      <c r="AL105" s="50">
        <f>+AJ105</f>
        <v>1</v>
      </c>
      <c r="AM105" s="54">
        <f>+AL105/X105</f>
        <v>0.33333333333333331</v>
      </c>
      <c r="AN105" s="50">
        <v>1</v>
      </c>
      <c r="AO105" s="50">
        <v>0</v>
      </c>
      <c r="AP105" s="50"/>
      <c r="AQ105" s="50">
        <v>0</v>
      </c>
      <c r="AR105" s="50"/>
      <c r="AS105" s="50">
        <v>1</v>
      </c>
      <c r="AT105" s="50"/>
      <c r="AU105" s="50">
        <v>0</v>
      </c>
      <c r="AV105" s="50"/>
      <c r="AW105" s="50">
        <f>+AS105</f>
        <v>1</v>
      </c>
      <c r="AX105" s="57">
        <f>+AW105/AN105</f>
        <v>1</v>
      </c>
      <c r="AY105" s="50">
        <f>+AW105+AL105</f>
        <v>2</v>
      </c>
      <c r="AZ105" s="57">
        <f>+AY105/X105</f>
        <v>0.66666666666666663</v>
      </c>
      <c r="BA105" s="50">
        <v>1</v>
      </c>
      <c r="BB105" s="50">
        <v>0</v>
      </c>
      <c r="BC105" s="50"/>
      <c r="BD105" s="50">
        <v>1</v>
      </c>
      <c r="BE105" s="50"/>
      <c r="BF105" s="50">
        <v>0</v>
      </c>
      <c r="BG105" s="50"/>
      <c r="BH105" s="50">
        <v>1</v>
      </c>
      <c r="BI105" s="50"/>
      <c r="BJ105" s="83">
        <f>+BD105+BH105</f>
        <v>2</v>
      </c>
      <c r="BK105" s="57">
        <v>1</v>
      </c>
      <c r="BL105" s="83">
        <f t="shared" si="30"/>
        <v>4</v>
      </c>
      <c r="BM105" s="57">
        <v>1</v>
      </c>
      <c r="BN105" s="50"/>
      <c r="BO105" s="50"/>
      <c r="BP105" s="50"/>
      <c r="BQ105" s="50"/>
      <c r="BR105" s="50"/>
      <c r="BS105" s="50"/>
      <c r="BT105" s="50"/>
      <c r="BU105" s="50"/>
      <c r="BV105" s="50"/>
      <c r="BW105" s="50"/>
      <c r="BX105" s="50"/>
      <c r="BY105" s="50"/>
      <c r="BZ105" s="50"/>
      <c r="CA105" s="50"/>
      <c r="CB105" s="49"/>
      <c r="CC105" s="59"/>
      <c r="CD105" s="60"/>
      <c r="CE105" s="50"/>
      <c r="CF105" s="61"/>
      <c r="CG105" s="61"/>
      <c r="CH105" s="49"/>
      <c r="CI105" s="49"/>
      <c r="CJ105" s="49"/>
      <c r="CK105" s="49"/>
      <c r="CL105" s="49"/>
      <c r="CM105" s="49"/>
      <c r="CN105" s="49"/>
      <c r="CO105" s="50"/>
      <c r="CP105" s="50"/>
      <c r="CQ105" s="49"/>
      <c r="CR105" s="49"/>
      <c r="CS105" s="49"/>
      <c r="CT105" s="49"/>
      <c r="CU105" s="49"/>
      <c r="CV105" s="49"/>
      <c r="CW105" s="49"/>
      <c r="CX105" s="49"/>
    </row>
    <row r="106" spans="1:102" ht="27.75" customHeight="1" x14ac:dyDescent="0.2">
      <c r="A106" s="1811"/>
      <c r="B106" s="1807"/>
      <c r="C106" s="49"/>
      <c r="D106" s="50"/>
      <c r="E106" s="49"/>
      <c r="F106" s="49"/>
      <c r="G106" s="49"/>
      <c r="H106" s="49"/>
      <c r="I106" s="49"/>
      <c r="J106" s="49"/>
      <c r="K106" s="49"/>
      <c r="L106" s="49"/>
      <c r="M106" s="49"/>
      <c r="N106" s="49"/>
      <c r="O106" s="49"/>
      <c r="P106" s="49"/>
      <c r="Q106" s="49"/>
      <c r="R106" s="49"/>
      <c r="S106" s="49"/>
      <c r="T106" s="1807"/>
      <c r="U106" s="51" t="s">
        <v>386</v>
      </c>
      <c r="V106" s="51" t="s">
        <v>387</v>
      </c>
      <c r="W106" s="1425" t="s">
        <v>388</v>
      </c>
      <c r="X106" s="56">
        <v>274</v>
      </c>
      <c r="Y106" s="50" t="s">
        <v>177</v>
      </c>
      <c r="Z106" s="50">
        <v>20</v>
      </c>
      <c r="AA106" s="50">
        <v>20</v>
      </c>
      <c r="AB106" s="50"/>
      <c r="AC106" s="54">
        <f t="shared" si="28"/>
        <v>7.2992700729927001E-2</v>
      </c>
      <c r="AD106" s="137">
        <f t="shared" si="29"/>
        <v>7.2992700729927001E-2</v>
      </c>
      <c r="AE106" s="50"/>
      <c r="AF106" s="50"/>
      <c r="AG106" s="50"/>
      <c r="AH106" s="50"/>
      <c r="AI106" s="50"/>
      <c r="AJ106" s="50"/>
      <c r="AK106" s="50"/>
      <c r="AL106" s="50"/>
      <c r="AM106" s="50"/>
      <c r="AN106" s="50">
        <v>20</v>
      </c>
      <c r="AO106" s="50">
        <v>0</v>
      </c>
      <c r="AP106" s="50"/>
      <c r="AQ106" s="50">
        <v>0</v>
      </c>
      <c r="AR106" s="50"/>
      <c r="AS106" s="50">
        <v>0</v>
      </c>
      <c r="AT106" s="50"/>
      <c r="AU106" s="50">
        <v>0</v>
      </c>
      <c r="AV106" s="50"/>
      <c r="AW106" s="50">
        <v>0</v>
      </c>
      <c r="AX106" s="57">
        <v>0</v>
      </c>
      <c r="AY106" s="50">
        <v>0</v>
      </c>
      <c r="AZ106" s="57">
        <v>0</v>
      </c>
      <c r="BA106" s="50">
        <v>20</v>
      </c>
      <c r="BB106" s="50">
        <v>0</v>
      </c>
      <c r="BC106" s="50"/>
      <c r="BD106" s="50">
        <v>0</v>
      </c>
      <c r="BE106" s="50"/>
      <c r="BF106" s="50">
        <v>0</v>
      </c>
      <c r="BG106" s="50"/>
      <c r="BH106" s="50">
        <v>0</v>
      </c>
      <c r="BI106" s="50"/>
      <c r="BJ106" s="83">
        <f t="shared" si="31"/>
        <v>0</v>
      </c>
      <c r="BK106" s="57">
        <f>BJ106/BA106</f>
        <v>0</v>
      </c>
      <c r="BL106" s="83">
        <f t="shared" si="30"/>
        <v>0</v>
      </c>
      <c r="BM106" s="57">
        <f>BL106/X106</f>
        <v>0</v>
      </c>
      <c r="BN106" s="50"/>
      <c r="BO106" s="50"/>
      <c r="BP106" s="50"/>
      <c r="BQ106" s="50"/>
      <c r="BR106" s="50"/>
      <c r="BS106" s="50"/>
      <c r="BT106" s="50"/>
      <c r="BU106" s="50"/>
      <c r="BV106" s="50"/>
      <c r="BW106" s="50"/>
      <c r="BX106" s="50"/>
      <c r="BY106" s="50"/>
      <c r="BZ106" s="50"/>
      <c r="CA106" s="50"/>
      <c r="CB106" s="49"/>
      <c r="CC106" s="59"/>
      <c r="CD106" s="60"/>
      <c r="CE106" s="50"/>
      <c r="CF106" s="61"/>
      <c r="CG106" s="61"/>
      <c r="CH106" s="49"/>
      <c r="CI106" s="49"/>
      <c r="CJ106" s="49"/>
      <c r="CK106" s="49"/>
      <c r="CL106" s="49"/>
      <c r="CM106" s="49"/>
      <c r="CN106" s="49"/>
      <c r="CO106" s="50"/>
      <c r="CP106" s="50"/>
      <c r="CQ106" s="49"/>
      <c r="CR106" s="49"/>
      <c r="CS106" s="49"/>
      <c r="CT106" s="49"/>
      <c r="CU106" s="49"/>
      <c r="CV106" s="49"/>
      <c r="CW106" s="49"/>
      <c r="CX106" s="49"/>
    </row>
    <row r="107" spans="1:102" ht="47.25" customHeight="1" x14ac:dyDescent="0.2">
      <c r="A107" s="1811"/>
      <c r="B107" s="1807"/>
      <c r="C107" s="49"/>
      <c r="D107" s="50"/>
      <c r="E107" s="49"/>
      <c r="F107" s="49"/>
      <c r="G107" s="49"/>
      <c r="H107" s="49"/>
      <c r="I107" s="49"/>
      <c r="J107" s="49"/>
      <c r="K107" s="49"/>
      <c r="L107" s="49"/>
      <c r="M107" s="49"/>
      <c r="N107" s="49"/>
      <c r="O107" s="49"/>
      <c r="P107" s="49"/>
      <c r="Q107" s="49"/>
      <c r="R107" s="49"/>
      <c r="S107" s="49"/>
      <c r="T107" s="1807"/>
      <c r="U107" s="51" t="s">
        <v>389</v>
      </c>
      <c r="V107" s="51">
        <v>0</v>
      </c>
      <c r="W107" s="1425" t="s">
        <v>390</v>
      </c>
      <c r="X107" s="50">
        <v>1</v>
      </c>
      <c r="Y107" s="50" t="s">
        <v>177</v>
      </c>
      <c r="Z107" s="50" t="s">
        <v>177</v>
      </c>
      <c r="AA107" s="50">
        <v>1</v>
      </c>
      <c r="AB107" s="50"/>
      <c r="AC107" s="54"/>
      <c r="AD107" s="137">
        <f t="shared" si="29"/>
        <v>1</v>
      </c>
      <c r="AE107" s="50"/>
      <c r="AF107" s="50"/>
      <c r="AG107" s="50"/>
      <c r="AH107" s="50"/>
      <c r="AI107" s="50"/>
      <c r="AJ107" s="50"/>
      <c r="AK107" s="50"/>
      <c r="AL107" s="50"/>
      <c r="AM107" s="50"/>
      <c r="AN107" s="50" t="s">
        <v>177</v>
      </c>
      <c r="AO107" s="50"/>
      <c r="AP107" s="50"/>
      <c r="AQ107" s="50"/>
      <c r="AR107" s="50"/>
      <c r="AS107" s="50"/>
      <c r="AT107" s="50"/>
      <c r="AU107" s="50"/>
      <c r="AV107" s="50"/>
      <c r="AW107" s="50"/>
      <c r="AX107" s="50"/>
      <c r="AY107" s="50"/>
      <c r="AZ107" s="50"/>
      <c r="BA107" s="50">
        <v>1</v>
      </c>
      <c r="BB107" s="50">
        <v>0</v>
      </c>
      <c r="BC107" s="50"/>
      <c r="BD107" s="50">
        <v>0</v>
      </c>
      <c r="BE107" s="50"/>
      <c r="BF107" s="50">
        <v>0</v>
      </c>
      <c r="BG107" s="50"/>
      <c r="BH107" s="50">
        <v>0</v>
      </c>
      <c r="BI107" s="50"/>
      <c r="BJ107" s="83">
        <f t="shared" si="31"/>
        <v>0</v>
      </c>
      <c r="BK107" s="57">
        <f>BJ107/BA107</f>
        <v>0</v>
      </c>
      <c r="BL107" s="83">
        <f t="shared" si="30"/>
        <v>0</v>
      </c>
      <c r="BM107" s="57">
        <f>BL107/X107</f>
        <v>0</v>
      </c>
      <c r="BN107" s="50"/>
      <c r="BO107" s="50"/>
      <c r="BP107" s="50"/>
      <c r="BQ107" s="50"/>
      <c r="BR107" s="50"/>
      <c r="BS107" s="50"/>
      <c r="BT107" s="50"/>
      <c r="BU107" s="50"/>
      <c r="BV107" s="50"/>
      <c r="BW107" s="50"/>
      <c r="BX107" s="50"/>
      <c r="BY107" s="50"/>
      <c r="BZ107" s="50"/>
      <c r="CA107" s="50"/>
      <c r="CB107" s="49"/>
      <c r="CC107" s="59"/>
      <c r="CD107" s="60"/>
      <c r="CE107" s="50"/>
      <c r="CF107" s="61"/>
      <c r="CG107" s="61"/>
      <c r="CH107" s="49"/>
      <c r="CI107" s="49"/>
      <c r="CJ107" s="49"/>
      <c r="CK107" s="49"/>
      <c r="CL107" s="49"/>
      <c r="CM107" s="49"/>
      <c r="CN107" s="49"/>
      <c r="CO107" s="50"/>
      <c r="CP107" s="50"/>
      <c r="CQ107" s="49"/>
      <c r="CR107" s="49"/>
      <c r="CS107" s="49"/>
      <c r="CT107" s="49"/>
      <c r="CU107" s="49"/>
      <c r="CV107" s="49"/>
      <c r="CW107" s="49"/>
      <c r="CX107" s="49"/>
    </row>
    <row r="108" spans="1:102" ht="51.75" customHeight="1" x14ac:dyDescent="0.2">
      <c r="A108" s="1811"/>
      <c r="B108" s="1807"/>
      <c r="C108" s="49"/>
      <c r="D108" s="50"/>
      <c r="E108" s="49"/>
      <c r="F108" s="49"/>
      <c r="G108" s="49"/>
      <c r="H108" s="49"/>
      <c r="I108" s="49"/>
      <c r="J108" s="49"/>
      <c r="K108" s="49"/>
      <c r="L108" s="49"/>
      <c r="M108" s="49"/>
      <c r="N108" s="49"/>
      <c r="O108" s="49"/>
      <c r="P108" s="49"/>
      <c r="Q108" s="49"/>
      <c r="R108" s="49"/>
      <c r="S108" s="49"/>
      <c r="T108" s="1807"/>
      <c r="U108" s="51" t="s">
        <v>391</v>
      </c>
      <c r="V108" s="51">
        <v>0</v>
      </c>
      <c r="W108" s="1425" t="s">
        <v>392</v>
      </c>
      <c r="X108" s="50">
        <v>1</v>
      </c>
      <c r="Y108" s="50" t="s">
        <v>177</v>
      </c>
      <c r="Z108" s="50">
        <v>0.25</v>
      </c>
      <c r="AA108" s="50">
        <v>1</v>
      </c>
      <c r="AB108" s="50"/>
      <c r="AC108" s="54">
        <f>+Z108/X108</f>
        <v>0.25</v>
      </c>
      <c r="AD108" s="137">
        <f t="shared" si="29"/>
        <v>1</v>
      </c>
      <c r="AE108" s="50"/>
      <c r="AF108" s="50"/>
      <c r="AG108" s="50"/>
      <c r="AH108" s="50"/>
      <c r="AI108" s="50"/>
      <c r="AJ108" s="50"/>
      <c r="AK108" s="50"/>
      <c r="AL108" s="50"/>
      <c r="AM108" s="50"/>
      <c r="AN108" s="50">
        <v>0.25</v>
      </c>
      <c r="AO108" s="50"/>
      <c r="AP108" s="50"/>
      <c r="AQ108" s="50">
        <v>0</v>
      </c>
      <c r="AR108" s="50"/>
      <c r="AS108" s="50">
        <v>0</v>
      </c>
      <c r="AT108" s="50"/>
      <c r="AU108" s="50">
        <v>0</v>
      </c>
      <c r="AV108" s="50"/>
      <c r="AW108" s="50"/>
      <c r="AX108" s="50"/>
      <c r="AY108" s="50"/>
      <c r="AZ108" s="54">
        <v>0</v>
      </c>
      <c r="BA108" s="50">
        <v>1</v>
      </c>
      <c r="BB108" s="50">
        <v>0</v>
      </c>
      <c r="BC108" s="50"/>
      <c r="BD108" s="50">
        <v>0</v>
      </c>
      <c r="BE108" s="50"/>
      <c r="BF108" s="50">
        <v>0</v>
      </c>
      <c r="BG108" s="50"/>
      <c r="BH108" s="50">
        <v>1</v>
      </c>
      <c r="BI108" s="50"/>
      <c r="BJ108" s="83">
        <f>+BH108</f>
        <v>1</v>
      </c>
      <c r="BK108" s="57">
        <f>BJ108/BA108</f>
        <v>1</v>
      </c>
      <c r="BL108" s="83">
        <f t="shared" si="30"/>
        <v>1</v>
      </c>
      <c r="BM108" s="57">
        <f>BL108/X108</f>
        <v>1</v>
      </c>
      <c r="BN108" s="50"/>
      <c r="BO108" s="50"/>
      <c r="BP108" s="50"/>
      <c r="BQ108" s="50"/>
      <c r="BR108" s="50"/>
      <c r="BS108" s="50"/>
      <c r="BT108" s="50"/>
      <c r="BU108" s="50"/>
      <c r="BV108" s="50"/>
      <c r="BW108" s="50"/>
      <c r="BX108" s="50"/>
      <c r="BY108" s="50"/>
      <c r="BZ108" s="50"/>
      <c r="CA108" s="50"/>
      <c r="CB108" s="49"/>
      <c r="CC108" s="59"/>
      <c r="CD108" s="60"/>
      <c r="CE108" s="50"/>
      <c r="CF108" s="61"/>
      <c r="CG108" s="61"/>
      <c r="CH108" s="49"/>
      <c r="CI108" s="49"/>
      <c r="CJ108" s="49"/>
      <c r="CK108" s="49"/>
      <c r="CL108" s="49"/>
      <c r="CM108" s="49"/>
      <c r="CN108" s="49"/>
      <c r="CO108" s="50"/>
      <c r="CP108" s="50"/>
      <c r="CQ108" s="49"/>
      <c r="CR108" s="49"/>
      <c r="CS108" s="49"/>
      <c r="CT108" s="49"/>
      <c r="CU108" s="49"/>
      <c r="CV108" s="49"/>
      <c r="CW108" s="49"/>
      <c r="CX108" s="49"/>
    </row>
    <row r="109" spans="1:102" ht="12.75" customHeight="1" x14ac:dyDescent="0.2">
      <c r="A109" s="1811"/>
      <c r="B109" s="1807"/>
      <c r="C109" s="49"/>
      <c r="D109" s="50"/>
      <c r="E109" s="49"/>
      <c r="F109" s="49"/>
      <c r="G109" s="49"/>
      <c r="H109" s="49"/>
      <c r="I109" s="49"/>
      <c r="J109" s="49"/>
      <c r="K109" s="49"/>
      <c r="L109" s="49"/>
      <c r="M109" s="49"/>
      <c r="N109" s="49"/>
      <c r="O109" s="49"/>
      <c r="P109" s="49"/>
      <c r="Q109" s="49"/>
      <c r="R109" s="49"/>
      <c r="S109" s="49"/>
      <c r="T109" s="1808"/>
      <c r="U109" s="85"/>
      <c r="V109" s="85"/>
      <c r="W109" s="1427"/>
      <c r="X109" s="72"/>
      <c r="Y109" s="72"/>
      <c r="Z109" s="72"/>
      <c r="AA109" s="72"/>
      <c r="AB109" s="86">
        <f>AVERAGE(AB99:AB108)</f>
        <v>0.20601851851851852</v>
      </c>
      <c r="AC109" s="86">
        <f>AVERAGE(AC99:AC108)</f>
        <v>0.32493128773542401</v>
      </c>
      <c r="AD109" s="143">
        <f>AVERAGE(AD99:AD108)</f>
        <v>0.440547698702352</v>
      </c>
      <c r="AE109" s="72"/>
      <c r="AF109" s="72"/>
      <c r="AG109" s="72"/>
      <c r="AH109" s="72"/>
      <c r="AI109" s="72"/>
      <c r="AJ109" s="72"/>
      <c r="AK109" s="86">
        <f>AVERAGE(AK99:AK108)</f>
        <v>0.66666666666666663</v>
      </c>
      <c r="AL109" s="86"/>
      <c r="AM109" s="86">
        <f>AVERAGE(AM99:AM108)</f>
        <v>0.25925925925925924</v>
      </c>
      <c r="AN109" s="72"/>
      <c r="AO109" s="50"/>
      <c r="AP109" s="50"/>
      <c r="AQ109" s="50"/>
      <c r="AR109" s="50"/>
      <c r="AS109" s="50"/>
      <c r="AT109" s="50"/>
      <c r="AU109" s="50"/>
      <c r="AV109" s="50"/>
      <c r="AW109" s="50"/>
      <c r="AX109" s="143">
        <f>AVERAGE(AX99:AX108)</f>
        <v>0.49375000000000002</v>
      </c>
      <c r="AY109" s="143"/>
      <c r="AZ109" s="143">
        <f>AVERAGE(AZ99:AZ108)</f>
        <v>0.30024691358024691</v>
      </c>
      <c r="BA109" s="50"/>
      <c r="BB109" s="50"/>
      <c r="BC109" s="50"/>
      <c r="BD109" s="50"/>
      <c r="BE109" s="50"/>
      <c r="BF109" s="50"/>
      <c r="BG109" s="50"/>
      <c r="BH109" s="50"/>
      <c r="BI109" s="50"/>
      <c r="BJ109" s="50"/>
      <c r="BK109" s="143">
        <f>AVERAGE(BK99:BK108)</f>
        <v>0.52444444444444438</v>
      </c>
      <c r="BL109" s="50"/>
      <c r="BM109" s="1256">
        <f>AVERAGE(BM99:BM108)</f>
        <v>0.58266666666666667</v>
      </c>
      <c r="BN109" s="50"/>
      <c r="BO109" s="50"/>
      <c r="BP109" s="50"/>
      <c r="BQ109" s="50"/>
      <c r="BR109" s="50"/>
      <c r="BS109" s="50"/>
      <c r="BT109" s="50"/>
      <c r="BU109" s="50"/>
      <c r="BV109" s="50"/>
      <c r="BW109" s="50"/>
      <c r="BX109" s="50"/>
      <c r="BY109" s="50"/>
      <c r="BZ109" s="50"/>
      <c r="CA109" s="50"/>
      <c r="CB109" s="49"/>
      <c r="CC109" s="59"/>
      <c r="CD109" s="60"/>
      <c r="CE109" s="50"/>
      <c r="CF109" s="61"/>
      <c r="CG109" s="61"/>
      <c r="CH109" s="49"/>
      <c r="CI109" s="49"/>
      <c r="CJ109" s="49"/>
      <c r="CK109" s="49"/>
      <c r="CL109" s="49"/>
      <c r="CM109" s="49"/>
      <c r="CN109" s="49"/>
      <c r="CO109" s="50"/>
      <c r="CP109" s="50"/>
      <c r="CQ109" s="49"/>
      <c r="CR109" s="49"/>
      <c r="CS109" s="49"/>
      <c r="CT109" s="49"/>
      <c r="CU109" s="49"/>
      <c r="CV109" s="49"/>
      <c r="CW109" s="49"/>
      <c r="CX109" s="49"/>
    </row>
    <row r="110" spans="1:102" ht="12.75" customHeight="1" x14ac:dyDescent="0.2">
      <c r="A110" s="1811"/>
      <c r="B110" s="1808"/>
      <c r="C110" s="49"/>
      <c r="D110" s="50"/>
      <c r="E110" s="49"/>
      <c r="F110" s="49"/>
      <c r="G110" s="49"/>
      <c r="H110" s="49"/>
      <c r="I110" s="49"/>
      <c r="J110" s="49"/>
      <c r="K110" s="49"/>
      <c r="L110" s="49"/>
      <c r="M110" s="49"/>
      <c r="N110" s="49"/>
      <c r="O110" s="49"/>
      <c r="P110" s="49"/>
      <c r="Q110" s="49"/>
      <c r="R110" s="49"/>
      <c r="S110" s="49"/>
      <c r="T110" s="108"/>
      <c r="U110" s="109"/>
      <c r="V110" s="109"/>
      <c r="W110" s="1429"/>
      <c r="X110" s="110"/>
      <c r="Y110" s="110"/>
      <c r="Z110" s="110"/>
      <c r="AA110" s="110"/>
      <c r="AB110" s="111">
        <f>+(AB109+AB98+AB91+AB82+AB76+AB72+AB67+AB63)/7</f>
        <v>0.13261661828858617</v>
      </c>
      <c r="AC110" s="111">
        <f>+(AC109+AC98+AC91+AC82+AC76+AC72+AC67+AC63)/7</f>
        <v>0.3762322386922744</v>
      </c>
      <c r="AD110" s="113">
        <f>+(AD109+AD98+AD91+AD82+AD76+AD72+AD67+AD63)/8</f>
        <v>0.32618786040567688</v>
      </c>
      <c r="AE110" s="110"/>
      <c r="AF110" s="110"/>
      <c r="AG110" s="110"/>
      <c r="AH110" s="110"/>
      <c r="AI110" s="110"/>
      <c r="AJ110" s="110"/>
      <c r="AK110" s="112">
        <f>+(AK109+AK98+AK91+AK82+AK76+AK72+AK67+AK63)/7</f>
        <v>0.609125850340136</v>
      </c>
      <c r="AL110" s="110"/>
      <c r="AM110" s="113">
        <f>+(AM109+AM98+AM91+AM82+AM76+AM72+AM67+AM63)/8</f>
        <v>0.15547599768116671</v>
      </c>
      <c r="AN110" s="110"/>
      <c r="AO110" s="110"/>
      <c r="AP110" s="110"/>
      <c r="AQ110" s="110"/>
      <c r="AR110" s="110"/>
      <c r="AS110" s="110"/>
      <c r="AT110" s="110"/>
      <c r="AU110" s="110"/>
      <c r="AV110" s="110"/>
      <c r="AW110" s="110"/>
      <c r="AX110" s="111">
        <f>+(AX109+AX98+AX91+AX82+AX76+AX72+AX67+AX63)/8</f>
        <v>0.71596518640350881</v>
      </c>
      <c r="AY110" s="110"/>
      <c r="AZ110" s="113">
        <f>+(AZ109+AZ98+AZ91+AZ82+AZ76+AZ72+AZ67+AZ63)/8</f>
        <v>0.37368701858284553</v>
      </c>
      <c r="BA110" s="50"/>
      <c r="BB110" s="50"/>
      <c r="BC110" s="50"/>
      <c r="BD110" s="50"/>
      <c r="BE110" s="50"/>
      <c r="BF110" s="50"/>
      <c r="BG110" s="50"/>
      <c r="BH110" s="50"/>
      <c r="BI110" s="50"/>
      <c r="BJ110" s="50"/>
      <c r="BK110" s="113">
        <f>+(BK109+BK98+BK91+BK82+BK76+BK72+BK67+BK63)/8</f>
        <v>0.72269737103174603</v>
      </c>
      <c r="BL110" s="50"/>
      <c r="BM110" s="113">
        <f>+(BM109+BM98+BM91+BM82+BM76+BM72+BM67+BM63)/8</f>
        <v>0.64373690247544646</v>
      </c>
      <c r="BN110" s="50"/>
      <c r="BO110" s="50"/>
      <c r="BP110" s="50"/>
      <c r="BQ110" s="50"/>
      <c r="BR110" s="50"/>
      <c r="BS110" s="50"/>
      <c r="BT110" s="50"/>
      <c r="BU110" s="50"/>
      <c r="BV110" s="50"/>
      <c r="BW110" s="50"/>
      <c r="BX110" s="50"/>
      <c r="BY110" s="50"/>
      <c r="BZ110" s="50"/>
      <c r="CA110" s="50"/>
      <c r="CB110" s="49"/>
      <c r="CC110" s="59"/>
      <c r="CD110" s="60"/>
      <c r="CE110" s="50"/>
      <c r="CF110" s="61"/>
      <c r="CG110" s="61"/>
      <c r="CH110" s="49"/>
      <c r="CI110" s="49"/>
      <c r="CJ110" s="49"/>
      <c r="CK110" s="49"/>
      <c r="CL110" s="49"/>
      <c r="CM110" s="49"/>
      <c r="CN110" s="49"/>
      <c r="CO110" s="50"/>
      <c r="CP110" s="50"/>
      <c r="CQ110" s="49"/>
      <c r="CR110" s="49"/>
      <c r="CS110" s="49"/>
      <c r="CT110" s="49"/>
      <c r="CU110" s="49"/>
      <c r="CV110" s="49"/>
      <c r="CW110" s="49"/>
      <c r="CX110" s="49"/>
    </row>
    <row r="111" spans="1:102" ht="55.5" customHeight="1" x14ac:dyDescent="0.2">
      <c r="A111" s="1811"/>
      <c r="B111" s="1813" t="s">
        <v>393</v>
      </c>
      <c r="C111" s="49"/>
      <c r="D111" s="50"/>
      <c r="E111" s="49"/>
      <c r="F111" s="49"/>
      <c r="G111" s="49"/>
      <c r="H111" s="49"/>
      <c r="I111" s="49"/>
      <c r="J111" s="49"/>
      <c r="K111" s="49"/>
      <c r="L111" s="49"/>
      <c r="M111" s="49"/>
      <c r="N111" s="49"/>
      <c r="O111" s="49"/>
      <c r="P111" s="49"/>
      <c r="Q111" s="49"/>
      <c r="R111" s="49"/>
      <c r="S111" s="49"/>
      <c r="T111" s="1809" t="s">
        <v>394</v>
      </c>
      <c r="U111" s="51" t="s">
        <v>395</v>
      </c>
      <c r="V111" s="51" t="s">
        <v>396</v>
      </c>
      <c r="W111" s="1425" t="s">
        <v>397</v>
      </c>
      <c r="X111" s="50">
        <v>32</v>
      </c>
      <c r="Y111" s="50">
        <v>8</v>
      </c>
      <c r="Z111" s="50">
        <v>15.61</v>
      </c>
      <c r="AA111" s="50">
        <v>6</v>
      </c>
      <c r="AB111" s="54">
        <f>+Y111/X111</f>
        <v>0.25</v>
      </c>
      <c r="AC111" s="54">
        <f>+Z111/X111</f>
        <v>0.48781249999999998</v>
      </c>
      <c r="AD111" s="54">
        <f>AA111/X111</f>
        <v>0.1875</v>
      </c>
      <c r="AE111" s="54">
        <v>0.39</v>
      </c>
      <c r="AF111" s="54">
        <v>0.39</v>
      </c>
      <c r="AG111" s="54"/>
      <c r="AH111" s="67">
        <v>0.39</v>
      </c>
      <c r="AI111" s="54"/>
      <c r="AJ111" s="144">
        <f>+AH111</f>
        <v>0.39</v>
      </c>
      <c r="AK111" s="54">
        <f>+AJ111/Y111</f>
        <v>4.8750000000000002E-2</v>
      </c>
      <c r="AL111" s="67">
        <f>+AJ111</f>
        <v>0.39</v>
      </c>
      <c r="AM111" s="57">
        <f>+AE111/X111</f>
        <v>1.21875E-2</v>
      </c>
      <c r="AN111" s="50">
        <v>15.61</v>
      </c>
      <c r="AO111" s="117">
        <v>0.14000000000000001</v>
      </c>
      <c r="AP111" s="50"/>
      <c r="AQ111" s="50">
        <v>11.6</v>
      </c>
      <c r="AR111" s="50"/>
      <c r="AS111" s="50">
        <v>0.13</v>
      </c>
      <c r="AT111" s="50"/>
      <c r="AU111" s="50">
        <v>8</v>
      </c>
      <c r="AV111" s="50"/>
      <c r="AW111" s="145">
        <f>AO111+AQ111+AS111+AU111</f>
        <v>19.87</v>
      </c>
      <c r="AX111" s="57">
        <v>1</v>
      </c>
      <c r="AY111" s="92">
        <f>+AW111+AL111</f>
        <v>20.260000000000002</v>
      </c>
      <c r="AZ111" s="57">
        <f>AY111/X111</f>
        <v>0.63312500000000005</v>
      </c>
      <c r="BA111" s="50">
        <v>6</v>
      </c>
      <c r="BB111" s="50">
        <v>5.54</v>
      </c>
      <c r="BC111" s="50"/>
      <c r="BD111" s="50">
        <v>9.1</v>
      </c>
      <c r="BE111" s="50"/>
      <c r="BF111" s="50">
        <v>0</v>
      </c>
      <c r="BG111" s="50"/>
      <c r="BH111" s="50">
        <v>8.31</v>
      </c>
      <c r="BI111" s="50"/>
      <c r="BJ111" s="50">
        <f>BB111+BD111+BH111</f>
        <v>22.950000000000003</v>
      </c>
      <c r="BK111" s="57">
        <v>1</v>
      </c>
      <c r="BL111" s="92">
        <f>AY111+BB111+BD111+BH111</f>
        <v>43.21</v>
      </c>
      <c r="BM111" s="57">
        <v>1</v>
      </c>
      <c r="BN111" s="50"/>
      <c r="BO111" s="50"/>
      <c r="BP111" s="50"/>
      <c r="BQ111" s="50"/>
      <c r="BR111" s="50"/>
      <c r="BS111" s="50"/>
      <c r="BT111" s="50"/>
      <c r="BU111" s="50"/>
      <c r="BV111" s="50"/>
      <c r="BW111" s="50"/>
      <c r="BX111" s="50"/>
      <c r="BY111" s="50"/>
      <c r="BZ111" s="50"/>
      <c r="CA111" s="50"/>
      <c r="CB111" s="49"/>
      <c r="CC111" s="59"/>
      <c r="CD111" s="60"/>
      <c r="CE111" s="50"/>
      <c r="CF111" s="61"/>
      <c r="CG111" s="61"/>
      <c r="CH111" s="49"/>
      <c r="CI111" s="49"/>
      <c r="CJ111" s="49"/>
      <c r="CK111" s="49"/>
      <c r="CL111" s="49"/>
      <c r="CM111" s="49"/>
      <c r="CN111" s="49"/>
      <c r="CO111" s="50"/>
      <c r="CP111" s="50"/>
      <c r="CQ111" s="49"/>
      <c r="CR111" s="49"/>
      <c r="CS111" s="49"/>
      <c r="CT111" s="49"/>
      <c r="CU111" s="49"/>
      <c r="CV111" s="49"/>
      <c r="CW111" s="49"/>
      <c r="CX111" s="49"/>
    </row>
    <row r="112" spans="1:102" ht="61.5" customHeight="1" x14ac:dyDescent="0.2">
      <c r="A112" s="1811"/>
      <c r="B112" s="1807"/>
      <c r="C112" s="49"/>
      <c r="D112" s="50"/>
      <c r="E112" s="49"/>
      <c r="F112" s="49"/>
      <c r="G112" s="49"/>
      <c r="H112" s="49"/>
      <c r="I112" s="49"/>
      <c r="J112" s="49"/>
      <c r="K112" s="49"/>
      <c r="L112" s="49"/>
      <c r="M112" s="49"/>
      <c r="N112" s="49"/>
      <c r="O112" s="49"/>
      <c r="P112" s="49"/>
      <c r="Q112" s="49"/>
      <c r="R112" s="49"/>
      <c r="S112" s="49"/>
      <c r="T112" s="1807"/>
      <c r="U112" s="51" t="s">
        <v>398</v>
      </c>
      <c r="V112" s="51" t="s">
        <v>399</v>
      </c>
      <c r="W112" s="1425" t="s">
        <v>400</v>
      </c>
      <c r="X112" s="50">
        <v>8</v>
      </c>
      <c r="Y112" s="50" t="s">
        <v>177</v>
      </c>
      <c r="Z112" s="50">
        <v>4</v>
      </c>
      <c r="AA112" s="50">
        <v>2</v>
      </c>
      <c r="AB112" s="54"/>
      <c r="AC112" s="54">
        <f>+Z112/X112</f>
        <v>0.5</v>
      </c>
      <c r="AD112" s="54">
        <f>AA112/X112</f>
        <v>0.25</v>
      </c>
      <c r="AE112" s="50"/>
      <c r="AF112" s="50"/>
      <c r="AG112" s="50"/>
      <c r="AH112" s="50"/>
      <c r="AI112" s="50"/>
      <c r="AJ112" s="50"/>
      <c r="AK112" s="50"/>
      <c r="AL112" s="50"/>
      <c r="AM112" s="50"/>
      <c r="AN112" s="50">
        <v>4</v>
      </c>
      <c r="AO112" s="117">
        <v>1</v>
      </c>
      <c r="AP112" s="117"/>
      <c r="AQ112" s="117">
        <v>1</v>
      </c>
      <c r="AR112" s="117"/>
      <c r="AS112" s="117">
        <v>0</v>
      </c>
      <c r="AT112" s="117"/>
      <c r="AU112" s="117">
        <v>2</v>
      </c>
      <c r="AV112" s="117"/>
      <c r="AW112" s="50">
        <f>AO112+AQ112+AS112+AU112</f>
        <v>4</v>
      </c>
      <c r="AX112" s="57">
        <v>1</v>
      </c>
      <c r="AY112" s="50">
        <f>AW112+AL112</f>
        <v>4</v>
      </c>
      <c r="AZ112" s="57">
        <f>AY112/X112</f>
        <v>0.5</v>
      </c>
      <c r="BA112" s="50">
        <v>2</v>
      </c>
      <c r="BB112" s="50">
        <v>0</v>
      </c>
      <c r="BC112" s="50"/>
      <c r="BD112" s="50">
        <v>0</v>
      </c>
      <c r="BE112" s="50"/>
      <c r="BF112" s="50">
        <v>5</v>
      </c>
      <c r="BG112" s="50" t="s">
        <v>2200</v>
      </c>
      <c r="BH112" s="50">
        <v>0</v>
      </c>
      <c r="BI112" s="50"/>
      <c r="BJ112" s="50">
        <f>+BF112</f>
        <v>5</v>
      </c>
      <c r="BK112" s="57">
        <v>1</v>
      </c>
      <c r="BL112" s="50">
        <f>AY112+BB11+BJ112</f>
        <v>9</v>
      </c>
      <c r="BM112" s="57">
        <v>1</v>
      </c>
      <c r="BN112" s="50"/>
      <c r="BO112" s="50"/>
      <c r="BP112" s="50"/>
      <c r="BQ112" s="50"/>
      <c r="BR112" s="50"/>
      <c r="BS112" s="50"/>
      <c r="BT112" s="50"/>
      <c r="BU112" s="50"/>
      <c r="BV112" s="50"/>
      <c r="BW112" s="50"/>
      <c r="BX112" s="50"/>
      <c r="BY112" s="50"/>
      <c r="BZ112" s="50"/>
      <c r="CA112" s="50"/>
      <c r="CB112" s="49"/>
      <c r="CC112" s="59"/>
      <c r="CD112" s="60"/>
      <c r="CE112" s="50"/>
      <c r="CF112" s="61"/>
      <c r="CG112" s="61"/>
      <c r="CH112" s="49"/>
      <c r="CI112" s="49"/>
      <c r="CJ112" s="49"/>
      <c r="CK112" s="49"/>
      <c r="CL112" s="49"/>
      <c r="CM112" s="49"/>
      <c r="CN112" s="49"/>
      <c r="CO112" s="50"/>
      <c r="CP112" s="50"/>
      <c r="CQ112" s="49"/>
      <c r="CR112" s="49"/>
      <c r="CS112" s="49"/>
      <c r="CT112" s="49"/>
      <c r="CU112" s="49"/>
      <c r="CV112" s="49"/>
      <c r="CW112" s="49"/>
      <c r="CX112" s="49"/>
    </row>
    <row r="113" spans="1:102" ht="45.75" customHeight="1" x14ac:dyDescent="0.2">
      <c r="A113" s="1811"/>
      <c r="B113" s="1807"/>
      <c r="C113" s="49"/>
      <c r="D113" s="50"/>
      <c r="E113" s="49"/>
      <c r="F113" s="49"/>
      <c r="G113" s="49"/>
      <c r="H113" s="49"/>
      <c r="I113" s="49"/>
      <c r="J113" s="49"/>
      <c r="K113" s="49"/>
      <c r="L113" s="49"/>
      <c r="M113" s="49"/>
      <c r="N113" s="49"/>
      <c r="O113" s="49"/>
      <c r="P113" s="49"/>
      <c r="Q113" s="49"/>
      <c r="R113" s="49"/>
      <c r="S113" s="49"/>
      <c r="T113" s="1807"/>
      <c r="U113" s="51" t="s">
        <v>401</v>
      </c>
      <c r="V113" s="51" t="s">
        <v>201</v>
      </c>
      <c r="W113" s="1425" t="s">
        <v>402</v>
      </c>
      <c r="X113" s="50">
        <v>8</v>
      </c>
      <c r="Y113" s="50" t="s">
        <v>177</v>
      </c>
      <c r="Z113" s="50">
        <v>3</v>
      </c>
      <c r="AA113" s="50">
        <v>4</v>
      </c>
      <c r="AB113" s="54"/>
      <c r="AC113" s="54">
        <f>+Z113/X113</f>
        <v>0.375</v>
      </c>
      <c r="AD113" s="54">
        <f>AA113/X113</f>
        <v>0.5</v>
      </c>
      <c r="AE113" s="50"/>
      <c r="AF113" s="50"/>
      <c r="AG113" s="50"/>
      <c r="AH113" s="50"/>
      <c r="AI113" s="50"/>
      <c r="AJ113" s="50"/>
      <c r="AK113" s="50"/>
      <c r="AL113" s="50"/>
      <c r="AM113" s="50"/>
      <c r="AN113" s="50">
        <v>3</v>
      </c>
      <c r="AO113" s="117">
        <v>1</v>
      </c>
      <c r="AP113" s="117"/>
      <c r="AQ113" s="117">
        <v>0</v>
      </c>
      <c r="AR113" s="117"/>
      <c r="AS113" s="117">
        <v>0</v>
      </c>
      <c r="AT113" s="117"/>
      <c r="AU113" s="117">
        <v>0</v>
      </c>
      <c r="AV113" s="117"/>
      <c r="AW113" s="50">
        <f>AO113+AQ113</f>
        <v>1</v>
      </c>
      <c r="AX113" s="57">
        <f>AW113/AN113</f>
        <v>0.33333333333333331</v>
      </c>
      <c r="AY113" s="50">
        <f>AW113+AL113</f>
        <v>1</v>
      </c>
      <c r="AZ113" s="57">
        <f>AY113/X113</f>
        <v>0.125</v>
      </c>
      <c r="BA113" s="50">
        <v>4</v>
      </c>
      <c r="BB113" s="50">
        <v>0</v>
      </c>
      <c r="BC113" s="50"/>
      <c r="BD113" s="50">
        <v>1</v>
      </c>
      <c r="BE113" s="50"/>
      <c r="BF113" s="50">
        <v>6</v>
      </c>
      <c r="BG113" s="50" t="s">
        <v>2200</v>
      </c>
      <c r="BH113" s="50">
        <v>2</v>
      </c>
      <c r="BI113" s="50"/>
      <c r="BJ113" s="50">
        <f>BB113+BD113+BF113+BH113</f>
        <v>9</v>
      </c>
      <c r="BK113" s="57">
        <v>1</v>
      </c>
      <c r="BL113" s="50">
        <f>AY113+BB113+BD113+BF113+BH113</f>
        <v>10</v>
      </c>
      <c r="BM113" s="57">
        <v>1</v>
      </c>
      <c r="BN113" s="50"/>
      <c r="BO113" s="50"/>
      <c r="BP113" s="50"/>
      <c r="BQ113" s="50"/>
      <c r="BR113" s="50"/>
      <c r="BS113" s="50"/>
      <c r="BT113" s="50"/>
      <c r="BU113" s="50"/>
      <c r="BV113" s="50"/>
      <c r="BW113" s="50"/>
      <c r="BX113" s="50"/>
      <c r="BY113" s="50"/>
      <c r="BZ113" s="50"/>
      <c r="CA113" s="50"/>
      <c r="CB113" s="49"/>
      <c r="CC113" s="59"/>
      <c r="CD113" s="60"/>
      <c r="CE113" s="50"/>
      <c r="CF113" s="61"/>
      <c r="CG113" s="61"/>
      <c r="CH113" s="49"/>
      <c r="CI113" s="49"/>
      <c r="CJ113" s="49"/>
      <c r="CK113" s="49"/>
      <c r="CL113" s="49"/>
      <c r="CM113" s="49"/>
      <c r="CN113" s="49"/>
      <c r="CO113" s="50"/>
      <c r="CP113" s="50"/>
      <c r="CQ113" s="49"/>
      <c r="CR113" s="49"/>
      <c r="CS113" s="49"/>
      <c r="CT113" s="49"/>
      <c r="CU113" s="49"/>
      <c r="CV113" s="49"/>
      <c r="CW113" s="49"/>
      <c r="CX113" s="49"/>
    </row>
    <row r="114" spans="1:102" ht="12.75" customHeight="1" x14ac:dyDescent="0.2">
      <c r="A114" s="1811"/>
      <c r="B114" s="1807"/>
      <c r="C114" s="49"/>
      <c r="D114" s="50"/>
      <c r="E114" s="49"/>
      <c r="F114" s="49"/>
      <c r="G114" s="49"/>
      <c r="H114" s="49"/>
      <c r="I114" s="49"/>
      <c r="J114" s="49"/>
      <c r="K114" s="49"/>
      <c r="L114" s="49"/>
      <c r="M114" s="49"/>
      <c r="N114" s="49"/>
      <c r="O114" s="49"/>
      <c r="P114" s="49"/>
      <c r="Q114" s="49"/>
      <c r="R114" s="49"/>
      <c r="S114" s="49"/>
      <c r="T114" s="1808"/>
      <c r="U114" s="85"/>
      <c r="V114" s="85"/>
      <c r="W114" s="1427"/>
      <c r="X114" s="72"/>
      <c r="Y114" s="72"/>
      <c r="Z114" s="72"/>
      <c r="AA114" s="72"/>
      <c r="AB114" s="86">
        <f>AVERAGE(AB111:AB113)</f>
        <v>0.25</v>
      </c>
      <c r="AC114" s="86">
        <f>AVERAGE(AC111:AC113)</f>
        <v>0.45427083333333335</v>
      </c>
      <c r="AD114" s="86">
        <f>AVERAGE(AD111:AD113)</f>
        <v>0.3125</v>
      </c>
      <c r="AE114" s="72"/>
      <c r="AF114" s="72"/>
      <c r="AG114" s="72"/>
      <c r="AH114" s="72"/>
      <c r="AI114" s="72"/>
      <c r="AJ114" s="72"/>
      <c r="AK114" s="86">
        <f>AVERAGE(AK111:AK113)</f>
        <v>4.8750000000000002E-2</v>
      </c>
      <c r="AL114" s="72"/>
      <c r="AM114" s="73">
        <f>AVERAGE(AM111:AM113)</f>
        <v>1.21875E-2</v>
      </c>
      <c r="AN114" s="72"/>
      <c r="AO114" s="50"/>
      <c r="AP114" s="50"/>
      <c r="AQ114" s="50"/>
      <c r="AR114" s="50"/>
      <c r="AS114" s="50"/>
      <c r="AT114" s="50"/>
      <c r="AU114" s="50"/>
      <c r="AV114" s="50"/>
      <c r="AW114" s="50"/>
      <c r="AX114" s="86">
        <f>AVERAGE(AX111:AX113)</f>
        <v>0.77777777777777779</v>
      </c>
      <c r="AY114" s="125"/>
      <c r="AZ114" s="73">
        <f>AVERAGE(AZ111:AZ113)</f>
        <v>0.41937500000000005</v>
      </c>
      <c r="BA114" s="50"/>
      <c r="BB114" s="50"/>
      <c r="BC114" s="50"/>
      <c r="BD114" s="50"/>
      <c r="BE114" s="50"/>
      <c r="BF114" s="50"/>
      <c r="BG114" s="50"/>
      <c r="BH114" s="50"/>
      <c r="BI114" s="50"/>
      <c r="BJ114" s="50"/>
      <c r="BK114" s="86">
        <f>AVERAGE(BK111:BK113)</f>
        <v>1</v>
      </c>
      <c r="BL114" s="50">
        <f t="shared" ref="BL114:BL133" si="32">AY114+BB114</f>
        <v>0</v>
      </c>
      <c r="BM114" s="73">
        <f>AVERAGE(BM111:BM113)</f>
        <v>1</v>
      </c>
      <c r="BN114" s="50"/>
      <c r="BO114" s="50"/>
      <c r="BP114" s="50"/>
      <c r="BQ114" s="50"/>
      <c r="BR114" s="50"/>
      <c r="BS114" s="50"/>
      <c r="BT114" s="50"/>
      <c r="BU114" s="50"/>
      <c r="BV114" s="50"/>
      <c r="BW114" s="50"/>
      <c r="BX114" s="50"/>
      <c r="BY114" s="50"/>
      <c r="BZ114" s="50"/>
      <c r="CA114" s="50"/>
      <c r="CB114" s="49"/>
      <c r="CC114" s="59"/>
      <c r="CD114" s="60"/>
      <c r="CE114" s="50"/>
      <c r="CF114" s="61"/>
      <c r="CG114" s="61"/>
      <c r="CH114" s="49"/>
      <c r="CI114" s="49"/>
      <c r="CJ114" s="49"/>
      <c r="CK114" s="49"/>
      <c r="CL114" s="49"/>
      <c r="CM114" s="49"/>
      <c r="CN114" s="49"/>
      <c r="CO114" s="50"/>
      <c r="CP114" s="50"/>
      <c r="CQ114" s="49"/>
      <c r="CR114" s="49"/>
      <c r="CS114" s="49"/>
      <c r="CT114" s="49"/>
      <c r="CU114" s="49"/>
      <c r="CV114" s="49"/>
      <c r="CW114" s="49"/>
      <c r="CX114" s="49"/>
    </row>
    <row r="115" spans="1:102" ht="46.5" customHeight="1" x14ac:dyDescent="0.2">
      <c r="A115" s="1811"/>
      <c r="B115" s="1807"/>
      <c r="C115" s="62"/>
      <c r="D115" s="63"/>
      <c r="E115" s="62"/>
      <c r="F115" s="62"/>
      <c r="G115" s="62"/>
      <c r="H115" s="62"/>
      <c r="I115" s="62"/>
      <c r="J115" s="62"/>
      <c r="K115" s="62"/>
      <c r="L115" s="62"/>
      <c r="M115" s="62"/>
      <c r="N115" s="62"/>
      <c r="O115" s="62"/>
      <c r="P115" s="62"/>
      <c r="Q115" s="62"/>
      <c r="R115" s="62"/>
      <c r="S115" s="62"/>
      <c r="T115" s="1809" t="s">
        <v>403</v>
      </c>
      <c r="U115" s="51" t="s">
        <v>404</v>
      </c>
      <c r="V115" s="51" t="s">
        <v>405</v>
      </c>
      <c r="W115" s="1425" t="s">
        <v>406</v>
      </c>
      <c r="X115" s="79">
        <v>520000</v>
      </c>
      <c r="Y115" s="79">
        <v>130000</v>
      </c>
      <c r="Z115" s="146">
        <v>257164</v>
      </c>
      <c r="AA115" s="146">
        <v>246434.59</v>
      </c>
      <c r="AB115" s="65">
        <f>+Y115/X115</f>
        <v>0.25</v>
      </c>
      <c r="AC115" s="65">
        <f>+Z115/X115</f>
        <v>0.49454615384615386</v>
      </c>
      <c r="AD115" s="54">
        <f>AA115/X115</f>
        <v>0.47391267307692309</v>
      </c>
      <c r="AE115" s="63"/>
      <c r="AF115" s="63">
        <v>1500</v>
      </c>
      <c r="AG115" s="63"/>
      <c r="AH115" s="50">
        <v>6927</v>
      </c>
      <c r="AI115" s="63"/>
      <c r="AJ115" s="63">
        <f>+AH115</f>
        <v>6927</v>
      </c>
      <c r="AK115" s="65">
        <v>1</v>
      </c>
      <c r="AL115" s="63">
        <f>+AJ115</f>
        <v>6927</v>
      </c>
      <c r="AM115" s="66">
        <f>+AL115/X115</f>
        <v>1.3321153846153845E-2</v>
      </c>
      <c r="AN115" s="146">
        <v>257164</v>
      </c>
      <c r="AO115" s="117">
        <v>11531.57</v>
      </c>
      <c r="AP115" s="117"/>
      <c r="AQ115" s="117">
        <v>8340</v>
      </c>
      <c r="AR115" s="117"/>
      <c r="AS115" s="117">
        <v>7411.7</v>
      </c>
      <c r="AT115" s="117"/>
      <c r="AU115" s="117">
        <v>59</v>
      </c>
      <c r="AV115" s="117"/>
      <c r="AW115" s="56">
        <f>AO115+AQ115+AS115+AU115</f>
        <v>27342.27</v>
      </c>
      <c r="AX115" s="54">
        <f>AW115/AN115</f>
        <v>0.10632230794356909</v>
      </c>
      <c r="AY115" s="56">
        <f>AW115+AL115</f>
        <v>34269.270000000004</v>
      </c>
      <c r="AZ115" s="54">
        <f>AY115/X115</f>
        <v>6.5902442307692322E-2</v>
      </c>
      <c r="BA115" s="146">
        <v>246434.59</v>
      </c>
      <c r="BB115" s="63">
        <v>1490.6</v>
      </c>
      <c r="BC115" s="63"/>
      <c r="BD115" s="63">
        <v>1218.4000000000001</v>
      </c>
      <c r="BE115" s="63"/>
      <c r="BF115" s="63">
        <v>76820</v>
      </c>
      <c r="BG115" s="63"/>
      <c r="BH115" s="63">
        <v>11100.58</v>
      </c>
      <c r="BI115" s="63"/>
      <c r="BJ115" s="50">
        <f>BB115+BD115+BF115+BH115</f>
        <v>90629.58</v>
      </c>
      <c r="BK115" s="57">
        <f>BJ115/BA115</f>
        <v>0.36776322674507667</v>
      </c>
      <c r="BL115" s="56">
        <f>AY115+BB115+BD115+2546+BF115+BH115</f>
        <v>127444.85</v>
      </c>
      <c r="BM115" s="55">
        <f>BL115/X115</f>
        <v>0.24508625000000001</v>
      </c>
      <c r="BN115" s="63"/>
      <c r="BO115" s="63"/>
      <c r="BP115" s="63"/>
      <c r="BQ115" s="63"/>
      <c r="BR115" s="63"/>
      <c r="BS115" s="63"/>
      <c r="BT115" s="63"/>
      <c r="BU115" s="63"/>
      <c r="BV115" s="63"/>
      <c r="BW115" s="63"/>
      <c r="BX115" s="63"/>
      <c r="BY115" s="63"/>
      <c r="BZ115" s="63"/>
      <c r="CA115" s="63"/>
      <c r="CB115" s="62"/>
      <c r="CC115" s="68"/>
      <c r="CD115" s="69"/>
      <c r="CE115" s="63"/>
      <c r="CF115" s="70"/>
      <c r="CG115" s="70"/>
      <c r="CH115" s="62"/>
      <c r="CI115" s="62"/>
      <c r="CJ115" s="62"/>
      <c r="CK115" s="62"/>
      <c r="CL115" s="62"/>
      <c r="CM115" s="62"/>
      <c r="CN115" s="62"/>
      <c r="CO115" s="63"/>
      <c r="CP115" s="63"/>
      <c r="CQ115" s="62"/>
      <c r="CR115" s="62"/>
      <c r="CS115" s="62"/>
      <c r="CT115" s="62"/>
      <c r="CU115" s="62"/>
      <c r="CV115" s="62"/>
      <c r="CW115" s="62"/>
      <c r="CX115" s="62"/>
    </row>
    <row r="116" spans="1:102" ht="51.75" customHeight="1" x14ac:dyDescent="0.2">
      <c r="A116" s="1811"/>
      <c r="B116" s="1807"/>
      <c r="C116" s="49"/>
      <c r="D116" s="50"/>
      <c r="E116" s="49"/>
      <c r="F116" s="49"/>
      <c r="G116" s="49"/>
      <c r="H116" s="49"/>
      <c r="I116" s="49"/>
      <c r="J116" s="49"/>
      <c r="K116" s="49"/>
      <c r="L116" s="49"/>
      <c r="M116" s="49"/>
      <c r="N116" s="49"/>
      <c r="O116" s="49"/>
      <c r="P116" s="49"/>
      <c r="Q116" s="49"/>
      <c r="R116" s="49"/>
      <c r="S116" s="49"/>
      <c r="T116" s="1807"/>
      <c r="U116" s="51" t="s">
        <v>407</v>
      </c>
      <c r="V116" s="51" t="s">
        <v>408</v>
      </c>
      <c r="W116" s="1425" t="s">
        <v>409</v>
      </c>
      <c r="X116" s="50">
        <v>40</v>
      </c>
      <c r="Y116" s="50">
        <v>0.6</v>
      </c>
      <c r="Z116" s="50">
        <v>35.5</v>
      </c>
      <c r="AA116" s="50">
        <v>38</v>
      </c>
      <c r="AB116" s="54">
        <f>+Y116/X116</f>
        <v>1.4999999999999999E-2</v>
      </c>
      <c r="AC116" s="65">
        <f>+Z116/X116</f>
        <v>0.88749999999999996</v>
      </c>
      <c r="AD116" s="54">
        <f>AA116/X116</f>
        <v>0.95</v>
      </c>
      <c r="AE116" s="50">
        <v>0</v>
      </c>
      <c r="AF116" s="50">
        <v>0</v>
      </c>
      <c r="AG116" s="50"/>
      <c r="AH116" s="50">
        <v>32.9</v>
      </c>
      <c r="AI116" s="50"/>
      <c r="AJ116" s="63">
        <f>+AH116</f>
        <v>32.9</v>
      </c>
      <c r="AK116" s="54">
        <v>0</v>
      </c>
      <c r="AL116" s="63">
        <f>+AJ116</f>
        <v>32.9</v>
      </c>
      <c r="AM116" s="66">
        <v>0</v>
      </c>
      <c r="AN116" s="117">
        <v>35.5</v>
      </c>
      <c r="AO116" s="117">
        <v>0</v>
      </c>
      <c r="AP116" s="117"/>
      <c r="AQ116" s="117">
        <v>0</v>
      </c>
      <c r="AR116" s="147"/>
      <c r="AS116" s="119">
        <v>0</v>
      </c>
      <c r="AT116" s="119"/>
      <c r="AU116" s="119">
        <v>0</v>
      </c>
      <c r="AV116" s="147"/>
      <c r="AW116" s="50">
        <f>AO116+AQ116</f>
        <v>0</v>
      </c>
      <c r="AX116" s="57">
        <f>AW116/AN116</f>
        <v>0</v>
      </c>
      <c r="AY116" s="50">
        <v>0</v>
      </c>
      <c r="AZ116" s="57">
        <v>0</v>
      </c>
      <c r="BA116" s="50">
        <v>38</v>
      </c>
      <c r="BB116" s="50">
        <v>0</v>
      </c>
      <c r="BC116" s="50"/>
      <c r="BD116" s="50">
        <v>0</v>
      </c>
      <c r="BE116" s="50"/>
      <c r="BF116" s="50"/>
      <c r="BG116" s="50"/>
      <c r="BH116" s="50">
        <v>0.36</v>
      </c>
      <c r="BI116" s="50" t="s">
        <v>2041</v>
      </c>
      <c r="BJ116" s="50">
        <f>+BH116</f>
        <v>0.36</v>
      </c>
      <c r="BK116" s="57">
        <f>BJ116/BA116</f>
        <v>9.4736842105263147E-3</v>
      </c>
      <c r="BL116" s="54">
        <v>7.0000000000000007E-2</v>
      </c>
      <c r="BM116" s="57">
        <f>+BJ116/7.6</f>
        <v>4.736842105263158E-2</v>
      </c>
      <c r="BN116" s="50"/>
      <c r="BO116" s="50"/>
      <c r="BP116" s="50"/>
      <c r="BQ116" s="50"/>
      <c r="BR116" s="50"/>
      <c r="BS116" s="50"/>
      <c r="BT116" s="50"/>
      <c r="BU116" s="50"/>
      <c r="BV116" s="50"/>
      <c r="BW116" s="50"/>
      <c r="BX116" s="50"/>
      <c r="BY116" s="50"/>
      <c r="BZ116" s="50"/>
      <c r="CA116" s="50"/>
      <c r="CB116" s="49"/>
      <c r="CC116" s="59"/>
      <c r="CD116" s="60"/>
      <c r="CE116" s="50"/>
      <c r="CF116" s="61"/>
      <c r="CG116" s="61"/>
      <c r="CH116" s="49"/>
      <c r="CI116" s="49"/>
      <c r="CJ116" s="49"/>
      <c r="CK116" s="49"/>
      <c r="CL116" s="49"/>
      <c r="CM116" s="49"/>
      <c r="CN116" s="49"/>
      <c r="CO116" s="50"/>
      <c r="CP116" s="50"/>
      <c r="CQ116" s="49"/>
      <c r="CR116" s="49"/>
      <c r="CS116" s="49"/>
      <c r="CT116" s="49"/>
      <c r="CU116" s="49"/>
      <c r="CV116" s="49"/>
      <c r="CW116" s="49"/>
      <c r="CX116" s="49"/>
    </row>
    <row r="117" spans="1:102" ht="51.75" customHeight="1" x14ac:dyDescent="0.2">
      <c r="A117" s="1811"/>
      <c r="B117" s="1807"/>
      <c r="C117" s="49"/>
      <c r="D117" s="50"/>
      <c r="E117" s="49"/>
      <c r="F117" s="49"/>
      <c r="G117" s="49"/>
      <c r="H117" s="49"/>
      <c r="I117" s="49"/>
      <c r="J117" s="49"/>
      <c r="K117" s="49"/>
      <c r="L117" s="49"/>
      <c r="M117" s="49"/>
      <c r="N117" s="49"/>
      <c r="O117" s="49"/>
      <c r="P117" s="49"/>
      <c r="Q117" s="49"/>
      <c r="R117" s="49"/>
      <c r="S117" s="49"/>
      <c r="T117" s="1807"/>
      <c r="U117" s="51" t="s">
        <v>410</v>
      </c>
      <c r="V117" s="51" t="s">
        <v>411</v>
      </c>
      <c r="W117" s="1425" t="s">
        <v>412</v>
      </c>
      <c r="X117" s="117">
        <v>6.3</v>
      </c>
      <c r="Y117" s="50">
        <v>1.6</v>
      </c>
      <c r="Z117" s="50">
        <v>8</v>
      </c>
      <c r="AA117" s="50">
        <v>0.01</v>
      </c>
      <c r="AB117" s="54">
        <f>+Y117/X117</f>
        <v>0.25396825396825401</v>
      </c>
      <c r="AC117" s="54">
        <v>1</v>
      </c>
      <c r="AD117" s="54">
        <f>AA117/X117</f>
        <v>1.5873015873015873E-3</v>
      </c>
      <c r="AE117" s="50"/>
      <c r="AF117" s="50"/>
      <c r="AG117" s="50"/>
      <c r="AH117" s="50">
        <v>6.25</v>
      </c>
      <c r="AI117" s="50"/>
      <c r="AJ117" s="50">
        <f>+AH117</f>
        <v>6.25</v>
      </c>
      <c r="AK117" s="54">
        <v>0</v>
      </c>
      <c r="AL117" s="50">
        <f>+AJ117</f>
        <v>6.25</v>
      </c>
      <c r="AM117" s="54"/>
      <c r="AN117" s="117">
        <v>2</v>
      </c>
      <c r="AO117" s="117">
        <v>0</v>
      </c>
      <c r="AP117" s="117"/>
      <c r="AQ117" s="117">
        <v>0</v>
      </c>
      <c r="AR117" s="117"/>
      <c r="AS117" s="117">
        <v>0</v>
      </c>
      <c r="AT117" s="117"/>
      <c r="AU117" s="117">
        <v>5.3999999999999999E-2</v>
      </c>
      <c r="AV117" s="117"/>
      <c r="AW117" s="50">
        <f>+AS117+AU117</f>
        <v>5.3999999999999999E-2</v>
      </c>
      <c r="AX117" s="57">
        <f>AW117/AN117</f>
        <v>2.7E-2</v>
      </c>
      <c r="AY117" s="50">
        <f>AW117+AL117</f>
        <v>6.3040000000000003</v>
      </c>
      <c r="AZ117" s="57">
        <v>1</v>
      </c>
      <c r="BA117" s="50">
        <v>0.01</v>
      </c>
      <c r="BB117" s="50">
        <v>0</v>
      </c>
      <c r="BC117" s="50"/>
      <c r="BD117" s="50">
        <v>0</v>
      </c>
      <c r="BE117" s="50"/>
      <c r="BF117" s="50">
        <v>0.01</v>
      </c>
      <c r="BG117" s="50"/>
      <c r="BH117" s="90">
        <v>0.01</v>
      </c>
      <c r="BI117" s="50"/>
      <c r="BJ117" s="90">
        <f>+BF117+BH117</f>
        <v>0.02</v>
      </c>
      <c r="BK117" s="57">
        <v>1</v>
      </c>
      <c r="BL117" s="90">
        <f>AY117+BB117+BH117</f>
        <v>6.3140000000000001</v>
      </c>
      <c r="BM117" s="1153">
        <v>1</v>
      </c>
      <c r="BN117" s="50"/>
      <c r="BO117" s="50"/>
      <c r="BP117" s="50"/>
      <c r="BQ117" s="50"/>
      <c r="BR117" s="50"/>
      <c r="BS117" s="50"/>
      <c r="BT117" s="50"/>
      <c r="BU117" s="50"/>
      <c r="BV117" s="50"/>
      <c r="BW117" s="50"/>
      <c r="BX117" s="50"/>
      <c r="BY117" s="50"/>
      <c r="BZ117" s="50"/>
      <c r="CA117" s="50"/>
      <c r="CB117" s="49"/>
      <c r="CC117" s="59"/>
      <c r="CD117" s="60"/>
      <c r="CE117" s="50"/>
      <c r="CF117" s="61"/>
      <c r="CG117" s="61"/>
      <c r="CH117" s="49"/>
      <c r="CI117" s="49"/>
      <c r="CJ117" s="49"/>
      <c r="CK117" s="49"/>
      <c r="CL117" s="49"/>
      <c r="CM117" s="49"/>
      <c r="CN117" s="49"/>
      <c r="CO117" s="50"/>
      <c r="CP117" s="50"/>
      <c r="CQ117" s="49"/>
      <c r="CR117" s="49"/>
      <c r="CS117" s="49"/>
      <c r="CT117" s="49"/>
      <c r="CU117" s="49"/>
      <c r="CV117" s="49"/>
      <c r="CW117" s="49"/>
      <c r="CX117" s="49"/>
    </row>
    <row r="118" spans="1:102" ht="31.5" customHeight="1" x14ac:dyDescent="0.2">
      <c r="A118" s="1811"/>
      <c r="B118" s="1807"/>
      <c r="C118" s="49"/>
      <c r="D118" s="50"/>
      <c r="E118" s="49"/>
      <c r="F118" s="49"/>
      <c r="G118" s="49"/>
      <c r="H118" s="49"/>
      <c r="I118" s="49"/>
      <c r="J118" s="49"/>
      <c r="K118" s="49"/>
      <c r="L118" s="49"/>
      <c r="M118" s="49"/>
      <c r="N118" s="49"/>
      <c r="O118" s="49"/>
      <c r="P118" s="49"/>
      <c r="Q118" s="49"/>
      <c r="R118" s="49"/>
      <c r="S118" s="49"/>
      <c r="T118" s="1808"/>
      <c r="U118" s="85"/>
      <c r="V118" s="85"/>
      <c r="W118" s="1427"/>
      <c r="X118" s="72"/>
      <c r="Y118" s="72"/>
      <c r="Z118" s="72"/>
      <c r="AA118" s="72"/>
      <c r="AB118" s="86">
        <f>+AVERAGE(AB115:AB117)</f>
        <v>0.17298941798941803</v>
      </c>
      <c r="AC118" s="86">
        <f>+AVERAGE(AC115:AC117)</f>
        <v>0.79401538461538468</v>
      </c>
      <c r="AD118" s="86">
        <f>+AVERAGE(AD115:AD117)</f>
        <v>0.47516665822140824</v>
      </c>
      <c r="AE118" s="72"/>
      <c r="AF118" s="72"/>
      <c r="AG118" s="72"/>
      <c r="AH118" s="72"/>
      <c r="AI118" s="72"/>
      <c r="AJ118" s="72"/>
      <c r="AK118" s="97">
        <f>AVERAGE(AK115:AK117)</f>
        <v>0.33333333333333331</v>
      </c>
      <c r="AL118" s="72"/>
      <c r="AM118" s="148">
        <f>AVERAGE(AM115:AM117)</f>
        <v>6.6605769230769227E-3</v>
      </c>
      <c r="AN118" s="72"/>
      <c r="AO118" s="72"/>
      <c r="AP118" s="72"/>
      <c r="AQ118" s="72"/>
      <c r="AR118" s="50"/>
      <c r="AS118" s="50"/>
      <c r="AT118" s="50"/>
      <c r="AU118" s="50"/>
      <c r="AV118" s="50"/>
      <c r="AW118" s="72"/>
      <c r="AX118" s="73">
        <f>AVERAGE(AX115:AX117)</f>
        <v>4.4440769314523031E-2</v>
      </c>
      <c r="AY118" s="74"/>
      <c r="AZ118" s="73">
        <f>AVERAGE(AZ115:AZ117)</f>
        <v>0.35530081410256414</v>
      </c>
      <c r="BA118" s="50"/>
      <c r="BB118" s="50"/>
      <c r="BC118" s="50"/>
      <c r="BD118" s="50"/>
      <c r="BE118" s="50"/>
      <c r="BF118" s="50"/>
      <c r="BG118" s="50"/>
      <c r="BH118" s="50"/>
      <c r="BI118" s="50"/>
      <c r="BJ118" s="50"/>
      <c r="BK118" s="73">
        <f>AVERAGE(BK115:BK117)</f>
        <v>0.45907897031853429</v>
      </c>
      <c r="BL118" s="50">
        <f t="shared" si="32"/>
        <v>0</v>
      </c>
      <c r="BM118" s="73">
        <f>AVERAGE(BM115:BM117)</f>
        <v>0.43081822368421047</v>
      </c>
      <c r="BN118" s="50"/>
      <c r="BO118" s="50"/>
      <c r="BP118" s="50"/>
      <c r="BQ118" s="50"/>
      <c r="BR118" s="50"/>
      <c r="BS118" s="50"/>
      <c r="BT118" s="50"/>
      <c r="BU118" s="50"/>
      <c r="BV118" s="50"/>
      <c r="BW118" s="50"/>
      <c r="BX118" s="50"/>
      <c r="BY118" s="50"/>
      <c r="BZ118" s="50"/>
      <c r="CA118" s="50"/>
      <c r="CB118" s="49"/>
      <c r="CC118" s="59"/>
      <c r="CD118" s="60"/>
      <c r="CE118" s="50"/>
      <c r="CF118" s="61"/>
      <c r="CG118" s="61"/>
      <c r="CH118" s="49"/>
      <c r="CI118" s="49"/>
      <c r="CJ118" s="49"/>
      <c r="CK118" s="49"/>
      <c r="CL118" s="49"/>
      <c r="CM118" s="49"/>
      <c r="CN118" s="49"/>
      <c r="CO118" s="50"/>
      <c r="CP118" s="50"/>
      <c r="CQ118" s="49"/>
      <c r="CR118" s="49"/>
      <c r="CS118" s="49"/>
      <c r="CT118" s="49"/>
      <c r="CU118" s="49"/>
      <c r="CV118" s="49"/>
      <c r="CW118" s="49"/>
      <c r="CX118" s="49"/>
    </row>
    <row r="119" spans="1:102" ht="39" customHeight="1" x14ac:dyDescent="0.2">
      <c r="A119" s="1811"/>
      <c r="B119" s="1807"/>
      <c r="C119" s="49"/>
      <c r="D119" s="50"/>
      <c r="E119" s="49"/>
      <c r="F119" s="49"/>
      <c r="G119" s="49"/>
      <c r="H119" s="49"/>
      <c r="I119" s="49"/>
      <c r="J119" s="49"/>
      <c r="K119" s="49"/>
      <c r="L119" s="49"/>
      <c r="M119" s="49"/>
      <c r="N119" s="49"/>
      <c r="O119" s="49"/>
      <c r="P119" s="49"/>
      <c r="Q119" s="49"/>
      <c r="R119" s="49"/>
      <c r="S119" s="49"/>
      <c r="T119" s="1809" t="s">
        <v>413</v>
      </c>
      <c r="U119" s="51" t="s">
        <v>414</v>
      </c>
      <c r="V119" s="51" t="s">
        <v>415</v>
      </c>
      <c r="W119" s="1431" t="s">
        <v>416</v>
      </c>
      <c r="X119" s="50">
        <v>7</v>
      </c>
      <c r="Y119" s="50">
        <v>0.5</v>
      </c>
      <c r="Z119" s="50">
        <v>4</v>
      </c>
      <c r="AA119" s="50">
        <v>6</v>
      </c>
      <c r="AB119" s="54">
        <f>+Y119/X119</f>
        <v>7.1428571428571425E-2</v>
      </c>
      <c r="AC119" s="54">
        <f>+Z119/X119</f>
        <v>0.5714285714285714</v>
      </c>
      <c r="AD119" s="54">
        <v>0.25</v>
      </c>
      <c r="AE119" s="50">
        <v>0</v>
      </c>
      <c r="AF119" s="50">
        <v>0</v>
      </c>
      <c r="AG119" s="50"/>
      <c r="AH119" s="50">
        <v>0</v>
      </c>
      <c r="AI119" s="50"/>
      <c r="AJ119" s="50">
        <f>+AH119</f>
        <v>0</v>
      </c>
      <c r="AK119" s="54">
        <v>0</v>
      </c>
      <c r="AL119" s="50">
        <v>1</v>
      </c>
      <c r="AM119" s="54">
        <v>0</v>
      </c>
      <c r="AN119" s="50">
        <v>4</v>
      </c>
      <c r="AO119" s="50">
        <v>0</v>
      </c>
      <c r="AP119" s="50"/>
      <c r="AQ119" s="50">
        <v>0</v>
      </c>
      <c r="AR119" s="50"/>
      <c r="AS119" s="50">
        <v>0</v>
      </c>
      <c r="AT119" s="50"/>
      <c r="AU119" s="50">
        <v>1.04</v>
      </c>
      <c r="AV119" s="50"/>
      <c r="AW119" s="50">
        <f>+AS119+AU119</f>
        <v>1.04</v>
      </c>
      <c r="AX119" s="149">
        <f>AW119/AN119</f>
        <v>0.26</v>
      </c>
      <c r="AY119" s="50">
        <f>+AW119+AL119</f>
        <v>2.04</v>
      </c>
      <c r="AZ119" s="57">
        <f>AY119/X119</f>
        <v>0.29142857142857143</v>
      </c>
      <c r="BA119" s="50">
        <v>6</v>
      </c>
      <c r="BB119" s="50">
        <v>1.452</v>
      </c>
      <c r="BC119" s="50"/>
      <c r="BD119" s="50">
        <v>0.254</v>
      </c>
      <c r="BE119" s="50"/>
      <c r="BF119" s="50"/>
      <c r="BG119" s="50"/>
      <c r="BH119" s="50">
        <v>0.63200000000000001</v>
      </c>
      <c r="BI119" s="50"/>
      <c r="BJ119" s="50">
        <f>BB119+BD119+BH119</f>
        <v>2.3380000000000001</v>
      </c>
      <c r="BK119" s="57">
        <f>BJ119/BA119</f>
        <v>0.38966666666666666</v>
      </c>
      <c r="BL119" s="50">
        <f>AY119+BB119+BD119+BH119</f>
        <v>4.3780000000000001</v>
      </c>
      <c r="BM119" s="57">
        <f>BL119/X119</f>
        <v>0.62542857142857144</v>
      </c>
      <c r="BN119" s="50"/>
      <c r="BO119" s="50"/>
      <c r="BP119" s="50"/>
      <c r="BQ119" s="50"/>
      <c r="BR119" s="50"/>
      <c r="BS119" s="50"/>
      <c r="BT119" s="50"/>
      <c r="BU119" s="50"/>
      <c r="BV119" s="50"/>
      <c r="BW119" s="50"/>
      <c r="BX119" s="50"/>
      <c r="BY119" s="50"/>
      <c r="BZ119" s="50"/>
      <c r="CA119" s="50"/>
      <c r="CB119" s="49"/>
      <c r="CC119" s="59"/>
      <c r="CD119" s="60"/>
      <c r="CE119" s="50"/>
      <c r="CF119" s="61"/>
      <c r="CG119" s="61"/>
      <c r="CH119" s="49"/>
      <c r="CI119" s="49"/>
      <c r="CJ119" s="49"/>
      <c r="CK119" s="49"/>
      <c r="CL119" s="49"/>
      <c r="CM119" s="49"/>
      <c r="CN119" s="49"/>
      <c r="CO119" s="50"/>
      <c r="CP119" s="50"/>
      <c r="CQ119" s="49"/>
      <c r="CR119" s="49"/>
      <c r="CS119" s="49"/>
      <c r="CT119" s="49"/>
      <c r="CU119" s="49"/>
      <c r="CV119" s="49"/>
      <c r="CW119" s="49"/>
      <c r="CX119" s="49"/>
    </row>
    <row r="120" spans="1:102" ht="37.5" customHeight="1" x14ac:dyDescent="0.2">
      <c r="A120" s="1811"/>
      <c r="B120" s="1807"/>
      <c r="C120" s="49"/>
      <c r="D120" s="50"/>
      <c r="E120" s="49"/>
      <c r="F120" s="49"/>
      <c r="G120" s="49"/>
      <c r="H120" s="49"/>
      <c r="I120" s="49"/>
      <c r="J120" s="49"/>
      <c r="K120" s="49"/>
      <c r="L120" s="49"/>
      <c r="M120" s="49"/>
      <c r="N120" s="49"/>
      <c r="O120" s="49"/>
      <c r="P120" s="49"/>
      <c r="Q120" s="49"/>
      <c r="R120" s="49"/>
      <c r="S120" s="49"/>
      <c r="T120" s="1808"/>
      <c r="U120" s="85"/>
      <c r="V120" s="85"/>
      <c r="W120" s="1427"/>
      <c r="X120" s="72"/>
      <c r="Y120" s="72"/>
      <c r="Z120" s="72"/>
      <c r="AA120" s="72"/>
      <c r="AB120" s="86">
        <f>+AB119</f>
        <v>7.1428571428571425E-2</v>
      </c>
      <c r="AC120" s="86">
        <f>+AC119</f>
        <v>0.5714285714285714</v>
      </c>
      <c r="AD120" s="86">
        <f>AVERAGE(AD119)</f>
        <v>0.25</v>
      </c>
      <c r="AE120" s="72"/>
      <c r="AF120" s="72"/>
      <c r="AG120" s="72"/>
      <c r="AH120" s="72"/>
      <c r="AI120" s="72"/>
      <c r="AJ120" s="72"/>
      <c r="AK120" s="97">
        <f>AVERAGE(AK119)</f>
        <v>0</v>
      </c>
      <c r="AL120" s="72"/>
      <c r="AM120" s="97">
        <f>AVERAGE(AM119)</f>
        <v>0</v>
      </c>
      <c r="AN120" s="72"/>
      <c r="AO120" s="72"/>
      <c r="AP120" s="72"/>
      <c r="AQ120" s="72"/>
      <c r="AR120" s="72"/>
      <c r="AS120" s="72"/>
      <c r="AT120" s="72"/>
      <c r="AU120" s="50"/>
      <c r="AV120" s="50"/>
      <c r="AW120" s="72"/>
      <c r="AX120" s="86">
        <f>AVERAGE(AX119)</f>
        <v>0.26</v>
      </c>
      <c r="AY120" s="74"/>
      <c r="AZ120" s="86">
        <f>AVERAGE(AZ119)</f>
        <v>0.29142857142857143</v>
      </c>
      <c r="BA120" s="50"/>
      <c r="BB120" s="50"/>
      <c r="BC120" s="50"/>
      <c r="BD120" s="50"/>
      <c r="BE120" s="50"/>
      <c r="BF120" s="50"/>
      <c r="BG120" s="50"/>
      <c r="BH120" s="50"/>
      <c r="BI120" s="50"/>
      <c r="BJ120" s="50"/>
      <c r="BK120" s="107">
        <f>AVERAGE(BK119)</f>
        <v>0.38966666666666666</v>
      </c>
      <c r="BL120" s="50">
        <f t="shared" si="32"/>
        <v>0</v>
      </c>
      <c r="BM120" s="73">
        <f>AVERAGE(BM119)</f>
        <v>0.62542857142857144</v>
      </c>
      <c r="BN120" s="50"/>
      <c r="BO120" s="50"/>
      <c r="BP120" s="50"/>
      <c r="BQ120" s="50"/>
      <c r="BR120" s="50"/>
      <c r="BS120" s="50"/>
      <c r="BT120" s="50"/>
      <c r="BU120" s="50"/>
      <c r="BV120" s="50"/>
      <c r="BW120" s="50"/>
      <c r="BX120" s="50"/>
      <c r="BY120" s="50"/>
      <c r="BZ120" s="50"/>
      <c r="CA120" s="50"/>
      <c r="CB120" s="49"/>
      <c r="CC120" s="59"/>
      <c r="CD120" s="60"/>
      <c r="CE120" s="50"/>
      <c r="CF120" s="61"/>
      <c r="CG120" s="61"/>
      <c r="CH120" s="49"/>
      <c r="CI120" s="49"/>
      <c r="CJ120" s="49"/>
      <c r="CK120" s="49"/>
      <c r="CL120" s="49"/>
      <c r="CM120" s="49"/>
      <c r="CN120" s="49"/>
      <c r="CO120" s="50"/>
      <c r="CP120" s="50"/>
      <c r="CQ120" s="49"/>
      <c r="CR120" s="49"/>
      <c r="CS120" s="49"/>
      <c r="CT120" s="49"/>
      <c r="CU120" s="49"/>
      <c r="CV120" s="49"/>
      <c r="CW120" s="49"/>
      <c r="CX120" s="49"/>
    </row>
    <row r="121" spans="1:102" ht="51" customHeight="1" x14ac:dyDescent="0.2">
      <c r="A121" s="1811"/>
      <c r="B121" s="1807"/>
      <c r="C121" s="49"/>
      <c r="D121" s="50"/>
      <c r="E121" s="49"/>
      <c r="F121" s="49"/>
      <c r="G121" s="49"/>
      <c r="H121" s="49"/>
      <c r="I121" s="49"/>
      <c r="J121" s="49"/>
      <c r="K121" s="49"/>
      <c r="L121" s="49"/>
      <c r="M121" s="49"/>
      <c r="N121" s="49"/>
      <c r="O121" s="49"/>
      <c r="P121" s="49"/>
      <c r="Q121" s="49"/>
      <c r="R121" s="49"/>
      <c r="S121" s="49"/>
      <c r="T121" s="1809" t="s">
        <v>417</v>
      </c>
      <c r="U121" s="51" t="s">
        <v>418</v>
      </c>
      <c r="V121" s="51">
        <v>4</v>
      </c>
      <c r="W121" s="1425" t="s">
        <v>419</v>
      </c>
      <c r="X121" s="50">
        <v>3</v>
      </c>
      <c r="Y121" s="50">
        <v>1</v>
      </c>
      <c r="Z121" s="50">
        <v>6</v>
      </c>
      <c r="AA121" s="50">
        <v>3</v>
      </c>
      <c r="AB121" s="54">
        <f>+Y121/X121</f>
        <v>0.33333333333333331</v>
      </c>
      <c r="AC121" s="54">
        <v>0.66</v>
      </c>
      <c r="AD121" s="54">
        <f>AA121/X121</f>
        <v>1</v>
      </c>
      <c r="AE121" s="50">
        <v>0</v>
      </c>
      <c r="AF121" s="50">
        <v>0</v>
      </c>
      <c r="AG121" s="50"/>
      <c r="AH121" s="50">
        <v>0</v>
      </c>
      <c r="AI121" s="50"/>
      <c r="AJ121" s="50">
        <f>+AH121</f>
        <v>0</v>
      </c>
      <c r="AK121" s="54">
        <v>0</v>
      </c>
      <c r="AL121" s="50">
        <v>0</v>
      </c>
      <c r="AM121" s="54">
        <v>0</v>
      </c>
      <c r="AN121" s="50">
        <v>6</v>
      </c>
      <c r="AO121" s="50">
        <v>0</v>
      </c>
      <c r="AP121" s="50"/>
      <c r="AQ121" s="50">
        <v>0</v>
      </c>
      <c r="AR121" s="50"/>
      <c r="AS121" s="50">
        <v>0</v>
      </c>
      <c r="AT121" s="50"/>
      <c r="AU121" s="50">
        <v>0</v>
      </c>
      <c r="AV121" s="50"/>
      <c r="AW121" s="50">
        <f>AO121+AQ121</f>
        <v>0</v>
      </c>
      <c r="AX121" s="57">
        <f>AW121/AN121</f>
        <v>0</v>
      </c>
      <c r="AY121" s="50">
        <f>AW121+AL121</f>
        <v>0</v>
      </c>
      <c r="AZ121" s="57">
        <f>AY121/X121</f>
        <v>0</v>
      </c>
      <c r="BA121" s="50">
        <v>3</v>
      </c>
      <c r="BB121" s="50">
        <v>0</v>
      </c>
      <c r="BC121" s="50"/>
      <c r="BD121" s="50">
        <v>0</v>
      </c>
      <c r="BE121" s="50"/>
      <c r="BF121" s="50"/>
      <c r="BG121" s="50"/>
      <c r="BH121" s="50">
        <v>0</v>
      </c>
      <c r="BI121" s="50"/>
      <c r="BJ121" s="50">
        <f>BB121</f>
        <v>0</v>
      </c>
      <c r="BK121" s="57">
        <f>BJ121/BA121</f>
        <v>0</v>
      </c>
      <c r="BL121" s="50">
        <f t="shared" si="32"/>
        <v>0</v>
      </c>
      <c r="BM121" s="57">
        <f>BL121/X121</f>
        <v>0</v>
      </c>
      <c r="BN121" s="50"/>
      <c r="BO121" s="50"/>
      <c r="BP121" s="50"/>
      <c r="BQ121" s="50"/>
      <c r="BR121" s="50"/>
      <c r="BS121" s="50"/>
      <c r="BT121" s="50"/>
      <c r="BU121" s="50"/>
      <c r="BV121" s="50"/>
      <c r="BW121" s="50"/>
      <c r="BX121" s="50"/>
      <c r="BY121" s="50"/>
      <c r="BZ121" s="50"/>
      <c r="CA121" s="50"/>
      <c r="CB121" s="49"/>
      <c r="CC121" s="59"/>
      <c r="CD121" s="60"/>
      <c r="CE121" s="50"/>
      <c r="CF121" s="61"/>
      <c r="CG121" s="61"/>
      <c r="CH121" s="49"/>
      <c r="CI121" s="49"/>
      <c r="CJ121" s="49"/>
      <c r="CK121" s="49"/>
      <c r="CL121" s="49"/>
      <c r="CM121" s="49"/>
      <c r="CN121" s="49"/>
      <c r="CO121" s="50"/>
      <c r="CP121" s="50"/>
      <c r="CQ121" s="49"/>
      <c r="CR121" s="49"/>
      <c r="CS121" s="49"/>
      <c r="CT121" s="49"/>
      <c r="CU121" s="49"/>
      <c r="CV121" s="49"/>
      <c r="CW121" s="49"/>
      <c r="CX121" s="49"/>
    </row>
    <row r="122" spans="1:102" ht="72" customHeight="1" x14ac:dyDescent="0.2">
      <c r="A122" s="1811"/>
      <c r="B122" s="1807"/>
      <c r="C122" s="49"/>
      <c r="D122" s="50"/>
      <c r="E122" s="49"/>
      <c r="F122" s="49"/>
      <c r="G122" s="49"/>
      <c r="H122" s="49"/>
      <c r="I122" s="49"/>
      <c r="J122" s="49"/>
      <c r="K122" s="49"/>
      <c r="L122" s="49"/>
      <c r="M122" s="49"/>
      <c r="N122" s="49"/>
      <c r="O122" s="49"/>
      <c r="P122" s="49"/>
      <c r="Q122" s="49"/>
      <c r="R122" s="49"/>
      <c r="S122" s="49"/>
      <c r="T122" s="1807"/>
      <c r="U122" s="51" t="s">
        <v>420</v>
      </c>
      <c r="V122" s="51" t="s">
        <v>421</v>
      </c>
      <c r="W122" s="1425" t="s">
        <v>422</v>
      </c>
      <c r="X122" s="50">
        <v>46</v>
      </c>
      <c r="Y122" s="50">
        <v>0.2</v>
      </c>
      <c r="Z122" s="50">
        <v>43</v>
      </c>
      <c r="AA122" s="50">
        <v>44.5</v>
      </c>
      <c r="AB122" s="55">
        <f>+Y122/X122</f>
        <v>4.3478260869565218E-3</v>
      </c>
      <c r="AC122" s="54">
        <f>+Z122/X122</f>
        <v>0.93478260869565222</v>
      </c>
      <c r="AD122" s="54">
        <f>AA122/X122</f>
        <v>0.96739130434782605</v>
      </c>
      <c r="AE122" s="50">
        <v>0</v>
      </c>
      <c r="AF122" s="50">
        <v>0</v>
      </c>
      <c r="AG122" s="50"/>
      <c r="AH122" s="50">
        <v>0</v>
      </c>
      <c r="AI122" s="50"/>
      <c r="AJ122" s="50">
        <f>+AH122</f>
        <v>0</v>
      </c>
      <c r="AK122" s="54">
        <v>0</v>
      </c>
      <c r="AL122" s="50">
        <v>0</v>
      </c>
      <c r="AM122" s="54">
        <v>0</v>
      </c>
      <c r="AN122" s="50">
        <v>43</v>
      </c>
      <c r="AO122" s="50">
        <v>0</v>
      </c>
      <c r="AP122" s="50"/>
      <c r="AQ122" s="50">
        <v>0</v>
      </c>
      <c r="AR122" s="50"/>
      <c r="AS122" s="50">
        <v>0</v>
      </c>
      <c r="AT122" s="50"/>
      <c r="AU122" s="50">
        <v>0</v>
      </c>
      <c r="AV122" s="50"/>
      <c r="AW122" s="50">
        <f>AO122+AQ122</f>
        <v>0</v>
      </c>
      <c r="AX122" s="57">
        <f>AW122/AN122</f>
        <v>0</v>
      </c>
      <c r="AY122" s="50">
        <f>AW122+AL122</f>
        <v>0</v>
      </c>
      <c r="AZ122" s="57">
        <f>AY122/X122</f>
        <v>0</v>
      </c>
      <c r="BA122" s="50">
        <v>44.5</v>
      </c>
      <c r="BB122" s="50">
        <v>0</v>
      </c>
      <c r="BC122" s="50"/>
      <c r="BD122" s="50">
        <v>0</v>
      </c>
      <c r="BE122" s="50"/>
      <c r="BF122" s="50"/>
      <c r="BG122" s="50"/>
      <c r="BH122" s="50">
        <v>0</v>
      </c>
      <c r="BI122" s="50"/>
      <c r="BJ122" s="50">
        <f>BB122</f>
        <v>0</v>
      </c>
      <c r="BK122" s="57">
        <f>BJ122/BA122</f>
        <v>0</v>
      </c>
      <c r="BL122" s="50">
        <f t="shared" si="32"/>
        <v>0</v>
      </c>
      <c r="BM122" s="57">
        <f>BL122/X122</f>
        <v>0</v>
      </c>
      <c r="BN122" s="50"/>
      <c r="BO122" s="50"/>
      <c r="BP122" s="50"/>
      <c r="BQ122" s="50"/>
      <c r="BR122" s="50"/>
      <c r="BS122" s="50"/>
      <c r="BT122" s="50"/>
      <c r="BU122" s="50"/>
      <c r="BV122" s="50"/>
      <c r="BW122" s="50"/>
      <c r="BX122" s="50"/>
      <c r="BY122" s="50"/>
      <c r="BZ122" s="50"/>
      <c r="CA122" s="50"/>
      <c r="CB122" s="49"/>
      <c r="CC122" s="59"/>
      <c r="CD122" s="60"/>
      <c r="CE122" s="50"/>
      <c r="CF122" s="61"/>
      <c r="CG122" s="61"/>
      <c r="CH122" s="49"/>
      <c r="CI122" s="49"/>
      <c r="CJ122" s="49"/>
      <c r="CK122" s="49"/>
      <c r="CL122" s="49"/>
      <c r="CM122" s="49"/>
      <c r="CN122" s="49"/>
      <c r="CO122" s="50"/>
      <c r="CP122" s="50"/>
      <c r="CQ122" s="49"/>
      <c r="CR122" s="49"/>
      <c r="CS122" s="49"/>
      <c r="CT122" s="49"/>
      <c r="CU122" s="49"/>
      <c r="CV122" s="49"/>
      <c r="CW122" s="49"/>
      <c r="CX122" s="49"/>
    </row>
    <row r="123" spans="1:102" ht="57" customHeight="1" x14ac:dyDescent="0.2">
      <c r="A123" s="1811"/>
      <c r="B123" s="1807"/>
      <c r="C123" s="49"/>
      <c r="D123" s="50"/>
      <c r="E123" s="49"/>
      <c r="F123" s="49"/>
      <c r="G123" s="49"/>
      <c r="H123" s="49"/>
      <c r="I123" s="49"/>
      <c r="J123" s="49"/>
      <c r="K123" s="49"/>
      <c r="L123" s="49"/>
      <c r="M123" s="49"/>
      <c r="N123" s="49"/>
      <c r="O123" s="49"/>
      <c r="P123" s="49"/>
      <c r="Q123" s="49"/>
      <c r="R123" s="49"/>
      <c r="S123" s="49"/>
      <c r="T123" s="1807"/>
      <c r="U123" s="51" t="s">
        <v>423</v>
      </c>
      <c r="V123" s="51" t="s">
        <v>424</v>
      </c>
      <c r="W123" s="1425" t="s">
        <v>425</v>
      </c>
      <c r="X123" s="50">
        <v>7</v>
      </c>
      <c r="Y123" s="50">
        <v>0.2</v>
      </c>
      <c r="Z123" s="50">
        <v>5.5</v>
      </c>
      <c r="AA123" s="50">
        <v>6</v>
      </c>
      <c r="AB123" s="54">
        <f>+Y123/X123</f>
        <v>2.8571428571428574E-2</v>
      </c>
      <c r="AC123" s="54">
        <f>+Z123/X123</f>
        <v>0.7857142857142857</v>
      </c>
      <c r="AD123" s="54">
        <f>AA123/X123</f>
        <v>0.8571428571428571</v>
      </c>
      <c r="AE123" s="50">
        <v>0</v>
      </c>
      <c r="AF123" s="50">
        <v>0</v>
      </c>
      <c r="AG123" s="50"/>
      <c r="AH123" s="50">
        <v>0</v>
      </c>
      <c r="AI123" s="50"/>
      <c r="AJ123" s="50">
        <f>+AH123</f>
        <v>0</v>
      </c>
      <c r="AK123" s="54">
        <v>0</v>
      </c>
      <c r="AL123" s="50">
        <v>0</v>
      </c>
      <c r="AM123" s="54">
        <v>0</v>
      </c>
      <c r="AN123" s="50">
        <v>5.5</v>
      </c>
      <c r="AO123" s="50">
        <v>0</v>
      </c>
      <c r="AP123" s="50"/>
      <c r="AQ123" s="50">
        <v>0</v>
      </c>
      <c r="AR123" s="50"/>
      <c r="AS123" s="50">
        <v>0</v>
      </c>
      <c r="AT123" s="50"/>
      <c r="AU123" s="50">
        <v>0</v>
      </c>
      <c r="AV123" s="50"/>
      <c r="AW123" s="50">
        <f>AO123+AQ123</f>
        <v>0</v>
      </c>
      <c r="AX123" s="57">
        <f>AW123/AN123</f>
        <v>0</v>
      </c>
      <c r="AY123" s="50">
        <f>AW123+AL123</f>
        <v>0</v>
      </c>
      <c r="AZ123" s="57">
        <f>AY123/X123</f>
        <v>0</v>
      </c>
      <c r="BA123" s="50">
        <v>6</v>
      </c>
      <c r="BB123" s="50">
        <v>0</v>
      </c>
      <c r="BC123" s="50"/>
      <c r="BD123" s="50">
        <v>0</v>
      </c>
      <c r="BE123" s="50"/>
      <c r="BF123" s="50"/>
      <c r="BG123" s="50"/>
      <c r="BH123" s="50">
        <v>0</v>
      </c>
      <c r="BI123" s="50"/>
      <c r="BJ123" s="50">
        <f>BB123</f>
        <v>0</v>
      </c>
      <c r="BK123" s="57">
        <f>BJ123/BA123</f>
        <v>0</v>
      </c>
      <c r="BL123" s="50">
        <f t="shared" si="32"/>
        <v>0</v>
      </c>
      <c r="BM123" s="57">
        <f>BL123/X123</f>
        <v>0</v>
      </c>
      <c r="BN123" s="50"/>
      <c r="BO123" s="50"/>
      <c r="BP123" s="50"/>
      <c r="BQ123" s="50"/>
      <c r="BR123" s="50"/>
      <c r="BS123" s="50"/>
      <c r="BT123" s="50"/>
      <c r="BU123" s="50"/>
      <c r="BV123" s="50"/>
      <c r="BW123" s="50"/>
      <c r="BX123" s="50"/>
      <c r="BY123" s="50"/>
      <c r="BZ123" s="50"/>
      <c r="CA123" s="50"/>
      <c r="CB123" s="49"/>
      <c r="CC123" s="59"/>
      <c r="CD123" s="60"/>
      <c r="CE123" s="50"/>
      <c r="CF123" s="61"/>
      <c r="CG123" s="61"/>
      <c r="CH123" s="49"/>
      <c r="CI123" s="49"/>
      <c r="CJ123" s="49"/>
      <c r="CK123" s="49"/>
      <c r="CL123" s="49"/>
      <c r="CM123" s="49"/>
      <c r="CN123" s="49"/>
      <c r="CO123" s="50"/>
      <c r="CP123" s="50"/>
      <c r="CQ123" s="49"/>
      <c r="CR123" s="49"/>
      <c r="CS123" s="49"/>
      <c r="CT123" s="49"/>
      <c r="CU123" s="49"/>
      <c r="CV123" s="49"/>
      <c r="CW123" s="49"/>
      <c r="CX123" s="49"/>
    </row>
    <row r="124" spans="1:102" ht="62.25" customHeight="1" x14ac:dyDescent="0.2">
      <c r="A124" s="1811"/>
      <c r="B124" s="1807"/>
      <c r="C124" s="49"/>
      <c r="D124" s="50"/>
      <c r="E124" s="49"/>
      <c r="F124" s="49"/>
      <c r="G124" s="49"/>
      <c r="H124" s="49"/>
      <c r="I124" s="49"/>
      <c r="J124" s="49"/>
      <c r="K124" s="49"/>
      <c r="L124" s="49"/>
      <c r="M124" s="49"/>
      <c r="N124" s="49"/>
      <c r="O124" s="49"/>
      <c r="P124" s="49"/>
      <c r="Q124" s="49"/>
      <c r="R124" s="49"/>
      <c r="S124" s="49"/>
      <c r="T124" s="1807"/>
      <c r="U124" s="51" t="s">
        <v>426</v>
      </c>
      <c r="V124" s="51" t="s">
        <v>427</v>
      </c>
      <c r="W124" s="1425" t="s">
        <v>428</v>
      </c>
      <c r="X124" s="50">
        <v>12000</v>
      </c>
      <c r="Y124" s="50">
        <v>100</v>
      </c>
      <c r="Z124" s="50">
        <v>8800</v>
      </c>
      <c r="AA124" s="50">
        <v>10300</v>
      </c>
      <c r="AB124" s="54">
        <f>+Y124/X124</f>
        <v>8.3333333333333332E-3</v>
      </c>
      <c r="AC124" s="54">
        <f>+Z124/X124</f>
        <v>0.73333333333333328</v>
      </c>
      <c r="AD124" s="54">
        <f>AA124/X124</f>
        <v>0.85833333333333328</v>
      </c>
      <c r="AE124" s="50">
        <v>0</v>
      </c>
      <c r="AF124" s="50">
        <v>0</v>
      </c>
      <c r="AG124" s="50"/>
      <c r="AH124" s="50">
        <v>0</v>
      </c>
      <c r="AI124" s="50"/>
      <c r="AJ124" s="50">
        <f>+AH124</f>
        <v>0</v>
      </c>
      <c r="AK124" s="54">
        <v>0</v>
      </c>
      <c r="AL124" s="50">
        <v>0</v>
      </c>
      <c r="AM124" s="54">
        <v>0</v>
      </c>
      <c r="AN124" s="50">
        <v>8800</v>
      </c>
      <c r="AO124" s="50">
        <v>0</v>
      </c>
      <c r="AP124" s="50"/>
      <c r="AQ124" s="50">
        <v>0</v>
      </c>
      <c r="AR124" s="50"/>
      <c r="AS124" s="50">
        <v>0</v>
      </c>
      <c r="AT124" s="50"/>
      <c r="AU124" s="50">
        <v>0</v>
      </c>
      <c r="AV124" s="50"/>
      <c r="AW124" s="50">
        <f>AO124+AQ124</f>
        <v>0</v>
      </c>
      <c r="AX124" s="57">
        <f>AW124/AN124</f>
        <v>0</v>
      </c>
      <c r="AY124" s="50">
        <f>AW124+AL124</f>
        <v>0</v>
      </c>
      <c r="AZ124" s="57">
        <f>AY124/X124</f>
        <v>0</v>
      </c>
      <c r="BA124" s="50">
        <v>10300</v>
      </c>
      <c r="BB124" s="50">
        <v>0</v>
      </c>
      <c r="BC124" s="50"/>
      <c r="BD124" s="50">
        <v>0</v>
      </c>
      <c r="BE124" s="50"/>
      <c r="BF124" s="50"/>
      <c r="BG124" s="50"/>
      <c r="BH124" s="50">
        <v>0</v>
      </c>
      <c r="BI124" s="50"/>
      <c r="BJ124" s="50">
        <f>BB124</f>
        <v>0</v>
      </c>
      <c r="BK124" s="57">
        <f>BJ124/BA124</f>
        <v>0</v>
      </c>
      <c r="BL124" s="50">
        <f t="shared" si="32"/>
        <v>0</v>
      </c>
      <c r="BM124" s="57">
        <f>BL124/X124</f>
        <v>0</v>
      </c>
      <c r="BN124" s="50"/>
      <c r="BO124" s="50"/>
      <c r="BP124" s="50"/>
      <c r="BQ124" s="50"/>
      <c r="BR124" s="50"/>
      <c r="BS124" s="50"/>
      <c r="BT124" s="50"/>
      <c r="BU124" s="50"/>
      <c r="BV124" s="50"/>
      <c r="BW124" s="50"/>
      <c r="BX124" s="50"/>
      <c r="BY124" s="50"/>
      <c r="BZ124" s="50"/>
      <c r="CA124" s="50"/>
      <c r="CB124" s="49"/>
      <c r="CC124" s="59"/>
      <c r="CD124" s="60"/>
      <c r="CE124" s="50"/>
      <c r="CF124" s="61"/>
      <c r="CG124" s="61"/>
      <c r="CH124" s="49"/>
      <c r="CI124" s="49"/>
      <c r="CJ124" s="49"/>
      <c r="CK124" s="49"/>
      <c r="CL124" s="49"/>
      <c r="CM124" s="49"/>
      <c r="CN124" s="49"/>
      <c r="CO124" s="50"/>
      <c r="CP124" s="50"/>
      <c r="CQ124" s="49"/>
      <c r="CR124" s="49"/>
      <c r="CS124" s="49"/>
      <c r="CT124" s="49"/>
      <c r="CU124" s="49"/>
      <c r="CV124" s="49"/>
      <c r="CW124" s="49"/>
      <c r="CX124" s="49"/>
    </row>
    <row r="125" spans="1:102" ht="12.75" customHeight="1" x14ac:dyDescent="0.2">
      <c r="A125" s="1811"/>
      <c r="B125" s="1807"/>
      <c r="C125" s="49"/>
      <c r="D125" s="50"/>
      <c r="E125" s="49"/>
      <c r="F125" s="49"/>
      <c r="G125" s="49"/>
      <c r="H125" s="49"/>
      <c r="I125" s="49"/>
      <c r="J125" s="49"/>
      <c r="K125" s="49"/>
      <c r="L125" s="49"/>
      <c r="M125" s="49"/>
      <c r="N125" s="49"/>
      <c r="O125" s="49"/>
      <c r="P125" s="49"/>
      <c r="Q125" s="49"/>
      <c r="R125" s="49"/>
      <c r="S125" s="49"/>
      <c r="T125" s="1808"/>
      <c r="U125" s="85"/>
      <c r="V125" s="85"/>
      <c r="W125" s="1427"/>
      <c r="X125" s="72"/>
      <c r="Y125" s="72"/>
      <c r="Z125" s="72"/>
      <c r="AA125" s="72"/>
      <c r="AB125" s="86">
        <f>AVERAGE(AB121:AB124)</f>
        <v>9.3646480331262938E-2</v>
      </c>
      <c r="AC125" s="86">
        <f>AVERAGE(AC121:AC124)</f>
        <v>0.77845755693581786</v>
      </c>
      <c r="AD125" s="86">
        <f>AVERAGE(AD121:AD124)</f>
        <v>0.92071687370600419</v>
      </c>
      <c r="AE125" s="72"/>
      <c r="AF125" s="72"/>
      <c r="AG125" s="72"/>
      <c r="AH125" s="72"/>
      <c r="AI125" s="72"/>
      <c r="AJ125" s="72"/>
      <c r="AK125" s="97">
        <f>AVERAGE(AK121:AK124)</f>
        <v>0</v>
      </c>
      <c r="AL125" s="72"/>
      <c r="AM125" s="97">
        <f>AVERAGE(AM121:AM124)</f>
        <v>0</v>
      </c>
      <c r="AN125" s="72"/>
      <c r="AO125" s="72"/>
      <c r="AP125" s="72"/>
      <c r="AQ125" s="72"/>
      <c r="AR125" s="72"/>
      <c r="AS125" s="72"/>
      <c r="AT125" s="72"/>
      <c r="AU125" s="72"/>
      <c r="AV125" s="72"/>
      <c r="AW125" s="72"/>
      <c r="AX125" s="86">
        <f>AVERAGE(AX121:AX124)</f>
        <v>0</v>
      </c>
      <c r="AY125" s="74"/>
      <c r="AZ125" s="86">
        <f>AVERAGE(AZ121:AZ124)</f>
        <v>0</v>
      </c>
      <c r="BA125" s="50"/>
      <c r="BB125" s="50"/>
      <c r="BC125" s="50"/>
      <c r="BD125" s="50"/>
      <c r="BE125" s="50"/>
      <c r="BF125" s="50"/>
      <c r="BG125" s="50"/>
      <c r="BH125" s="50"/>
      <c r="BI125" s="50"/>
      <c r="BJ125" s="50"/>
      <c r="BK125" s="86">
        <f>AVERAGE(BK121:BK124)</f>
        <v>0</v>
      </c>
      <c r="BL125" s="50">
        <f t="shared" si="32"/>
        <v>0</v>
      </c>
      <c r="BM125" s="86">
        <f>AVERAGE(BM121:BM124)</f>
        <v>0</v>
      </c>
      <c r="BN125" s="50"/>
      <c r="BO125" s="50"/>
      <c r="BP125" s="50"/>
      <c r="BQ125" s="50"/>
      <c r="BR125" s="50"/>
      <c r="BS125" s="50"/>
      <c r="BT125" s="50"/>
      <c r="BU125" s="50"/>
      <c r="BV125" s="50"/>
      <c r="BW125" s="50"/>
      <c r="BX125" s="50"/>
      <c r="BY125" s="50"/>
      <c r="BZ125" s="50"/>
      <c r="CA125" s="50"/>
      <c r="CB125" s="49"/>
      <c r="CC125" s="59"/>
      <c r="CD125" s="60"/>
      <c r="CE125" s="50"/>
      <c r="CF125" s="61"/>
      <c r="CG125" s="61"/>
      <c r="CH125" s="49"/>
      <c r="CI125" s="49"/>
      <c r="CJ125" s="49"/>
      <c r="CK125" s="49"/>
      <c r="CL125" s="49"/>
      <c r="CM125" s="49"/>
      <c r="CN125" s="49"/>
      <c r="CO125" s="50"/>
      <c r="CP125" s="50"/>
      <c r="CQ125" s="49"/>
      <c r="CR125" s="49"/>
      <c r="CS125" s="49"/>
      <c r="CT125" s="49"/>
      <c r="CU125" s="49"/>
      <c r="CV125" s="49"/>
      <c r="CW125" s="49"/>
      <c r="CX125" s="49"/>
    </row>
    <row r="126" spans="1:102" ht="42.75" customHeight="1" x14ac:dyDescent="0.2">
      <c r="A126" s="1811"/>
      <c r="B126" s="1807"/>
      <c r="C126" s="49"/>
      <c r="D126" s="50"/>
      <c r="E126" s="49"/>
      <c r="F126" s="49"/>
      <c r="G126" s="49"/>
      <c r="H126" s="49"/>
      <c r="I126" s="49"/>
      <c r="J126" s="49"/>
      <c r="K126" s="49"/>
      <c r="L126" s="49"/>
      <c r="M126" s="49"/>
      <c r="N126" s="49"/>
      <c r="O126" s="49"/>
      <c r="P126" s="49"/>
      <c r="Q126" s="49"/>
      <c r="R126" s="49"/>
      <c r="S126" s="49"/>
      <c r="T126" s="1809" t="s">
        <v>429</v>
      </c>
      <c r="U126" s="51" t="s">
        <v>430</v>
      </c>
      <c r="V126" s="51" t="s">
        <v>431</v>
      </c>
      <c r="W126" s="1425" t="s">
        <v>432</v>
      </c>
      <c r="X126" s="50">
        <v>8</v>
      </c>
      <c r="Y126" s="50">
        <v>1</v>
      </c>
      <c r="Z126" s="50">
        <v>1</v>
      </c>
      <c r="AA126" s="50">
        <v>2</v>
      </c>
      <c r="AB126" s="54">
        <f>+Y126/X126</f>
        <v>0.125</v>
      </c>
      <c r="AC126" s="54">
        <f>+Z126/X126</f>
        <v>0.125</v>
      </c>
      <c r="AD126" s="54">
        <f>AA126/X126</f>
        <v>0.25</v>
      </c>
      <c r="AE126" s="54">
        <v>0.06</v>
      </c>
      <c r="AF126" s="54">
        <v>0.06</v>
      </c>
      <c r="AG126" s="50"/>
      <c r="AH126" s="54">
        <v>7.0000000000000007E-2</v>
      </c>
      <c r="AI126" s="50"/>
      <c r="AJ126" s="54">
        <f>+AH126</f>
        <v>7.0000000000000007E-2</v>
      </c>
      <c r="AK126" s="55">
        <f>+AJ126/Y126</f>
        <v>7.0000000000000007E-2</v>
      </c>
      <c r="AL126" s="54">
        <f>+AJ126</f>
        <v>7.0000000000000007E-2</v>
      </c>
      <c r="AM126" s="55">
        <f>+AL126/X126</f>
        <v>8.7500000000000008E-3</v>
      </c>
      <c r="AN126" s="50">
        <v>1</v>
      </c>
      <c r="AO126" s="50">
        <v>0</v>
      </c>
      <c r="AP126" s="50"/>
      <c r="AQ126" s="50">
        <v>0</v>
      </c>
      <c r="AR126" s="50"/>
      <c r="AS126" s="50"/>
      <c r="AT126" s="50"/>
      <c r="AU126" s="54">
        <v>0.1</v>
      </c>
      <c r="AV126" s="50"/>
      <c r="AW126" s="54">
        <f>+AU126</f>
        <v>0.1</v>
      </c>
      <c r="AX126" s="57">
        <f>AW126/AN126</f>
        <v>0.1</v>
      </c>
      <c r="AY126" s="54">
        <f>AW126+AL126</f>
        <v>0.17</v>
      </c>
      <c r="AZ126" s="57">
        <f>+AY126</f>
        <v>0.17</v>
      </c>
      <c r="BA126" s="50">
        <v>2</v>
      </c>
      <c r="BB126" s="50">
        <v>0.1</v>
      </c>
      <c r="BC126" s="50"/>
      <c r="BD126" s="50">
        <v>0.02</v>
      </c>
      <c r="BE126" s="50"/>
      <c r="BF126" s="50">
        <v>0.02</v>
      </c>
      <c r="BG126" s="50"/>
      <c r="BH126" s="54">
        <v>0.04</v>
      </c>
      <c r="BI126" s="50"/>
      <c r="BJ126" s="54">
        <f>BB126+BD126+BF126+BH126</f>
        <v>0.18000000000000002</v>
      </c>
      <c r="BK126" s="57">
        <f>+BJ126</f>
        <v>0.18000000000000002</v>
      </c>
      <c r="BL126" s="54">
        <f>AY126+BB126+BD126+BF126+BH126</f>
        <v>0.35000000000000003</v>
      </c>
      <c r="BM126" s="57">
        <f>BL126</f>
        <v>0.35000000000000003</v>
      </c>
      <c r="BN126" s="50"/>
      <c r="BO126" s="50"/>
      <c r="BP126" s="50"/>
      <c r="BQ126" s="50"/>
      <c r="BR126" s="50"/>
      <c r="BS126" s="50"/>
      <c r="BT126" s="50"/>
      <c r="BU126" s="50"/>
      <c r="BV126" s="50"/>
      <c r="BW126" s="50"/>
      <c r="BX126" s="50"/>
      <c r="BY126" s="50"/>
      <c r="BZ126" s="50"/>
      <c r="CA126" s="50"/>
      <c r="CB126" s="49"/>
      <c r="CC126" s="59"/>
      <c r="CD126" s="60"/>
      <c r="CE126" s="50"/>
      <c r="CF126" s="61"/>
      <c r="CG126" s="61"/>
      <c r="CH126" s="49"/>
      <c r="CI126" s="49"/>
      <c r="CJ126" s="49"/>
      <c r="CK126" s="49"/>
      <c r="CL126" s="49"/>
      <c r="CM126" s="49"/>
      <c r="CN126" s="49"/>
      <c r="CO126" s="50"/>
      <c r="CP126" s="50"/>
      <c r="CQ126" s="49"/>
      <c r="CR126" s="49"/>
      <c r="CS126" s="49"/>
      <c r="CT126" s="49"/>
      <c r="CU126" s="49"/>
      <c r="CV126" s="49"/>
      <c r="CW126" s="49"/>
      <c r="CX126" s="49"/>
    </row>
    <row r="127" spans="1:102" ht="84" customHeight="1" x14ac:dyDescent="0.2">
      <c r="A127" s="1811"/>
      <c r="B127" s="1807"/>
      <c r="C127" s="49"/>
      <c r="D127" s="50"/>
      <c r="E127" s="49"/>
      <c r="F127" s="49"/>
      <c r="G127" s="49"/>
      <c r="H127" s="49"/>
      <c r="I127" s="49"/>
      <c r="J127" s="49"/>
      <c r="K127" s="49"/>
      <c r="L127" s="49"/>
      <c r="M127" s="49"/>
      <c r="N127" s="49"/>
      <c r="O127" s="49"/>
      <c r="P127" s="49"/>
      <c r="Q127" s="49"/>
      <c r="R127" s="49"/>
      <c r="S127" s="49"/>
      <c r="T127" s="1807"/>
      <c r="U127" s="51" t="s">
        <v>433</v>
      </c>
      <c r="V127" s="51" t="s">
        <v>434</v>
      </c>
      <c r="W127" s="1425" t="s">
        <v>435</v>
      </c>
      <c r="X127" s="54">
        <v>0.2</v>
      </c>
      <c r="Y127" s="50" t="s">
        <v>177</v>
      </c>
      <c r="Z127" s="54">
        <v>0.1</v>
      </c>
      <c r="AA127" s="54">
        <v>0.1</v>
      </c>
      <c r="AB127" s="50"/>
      <c r="AC127" s="54">
        <f>+Z127/X127</f>
        <v>0.5</v>
      </c>
      <c r="AD127" s="54">
        <v>0.45</v>
      </c>
      <c r="AE127" s="50"/>
      <c r="AF127" s="50"/>
      <c r="AG127" s="50"/>
      <c r="AH127" s="50"/>
      <c r="AI127" s="50"/>
      <c r="AJ127" s="50"/>
      <c r="AK127" s="50"/>
      <c r="AL127" s="50"/>
      <c r="AM127" s="50"/>
      <c r="AN127" s="54">
        <v>0.1</v>
      </c>
      <c r="AO127" s="117">
        <v>0</v>
      </c>
      <c r="AP127" s="117"/>
      <c r="AQ127" s="117">
        <v>0</v>
      </c>
      <c r="AR127" s="117"/>
      <c r="AS127" s="117">
        <v>0</v>
      </c>
      <c r="AT127" s="117"/>
      <c r="AU127" s="124">
        <v>0.11</v>
      </c>
      <c r="AV127" s="117"/>
      <c r="AW127" s="54">
        <f>+AU127</f>
        <v>0.11</v>
      </c>
      <c r="AX127" s="57">
        <v>1</v>
      </c>
      <c r="AY127" s="54">
        <f>AW127+AL127</f>
        <v>0.11</v>
      </c>
      <c r="AZ127" s="57">
        <f>+AY127/X127</f>
        <v>0.54999999999999993</v>
      </c>
      <c r="BA127" s="54">
        <v>0.1</v>
      </c>
      <c r="BB127" s="50">
        <v>0</v>
      </c>
      <c r="BC127" s="50"/>
      <c r="BD127" s="50">
        <v>0</v>
      </c>
      <c r="BE127" s="50"/>
      <c r="BF127" s="50">
        <v>0</v>
      </c>
      <c r="BG127" s="1444"/>
      <c r="BH127" s="50">
        <v>0</v>
      </c>
      <c r="BI127" s="50"/>
      <c r="BJ127" s="50">
        <f>BB127</f>
        <v>0</v>
      </c>
      <c r="BK127" s="1422">
        <f>BJ127/BA127</f>
        <v>0</v>
      </c>
      <c r="BL127" s="54">
        <f t="shared" si="32"/>
        <v>0.11</v>
      </c>
      <c r="BM127" s="54">
        <f>BL127/X127</f>
        <v>0.54999999999999993</v>
      </c>
      <c r="BN127" s="50"/>
      <c r="BO127" s="50"/>
      <c r="BP127" s="50"/>
      <c r="BQ127" s="50"/>
      <c r="BR127" s="50"/>
      <c r="BS127" s="50"/>
      <c r="BT127" s="50"/>
      <c r="BU127" s="50"/>
      <c r="BV127" s="50"/>
      <c r="BW127" s="50"/>
      <c r="BX127" s="50"/>
      <c r="BY127" s="50"/>
      <c r="BZ127" s="50"/>
      <c r="CA127" s="50"/>
      <c r="CB127" s="49"/>
      <c r="CC127" s="59"/>
      <c r="CD127" s="60"/>
      <c r="CE127" s="50"/>
      <c r="CF127" s="61"/>
      <c r="CG127" s="61"/>
      <c r="CH127" s="49"/>
      <c r="CI127" s="49"/>
      <c r="CJ127" s="49"/>
      <c r="CK127" s="49"/>
      <c r="CL127" s="49"/>
      <c r="CM127" s="49"/>
      <c r="CN127" s="49"/>
      <c r="CO127" s="50"/>
      <c r="CP127" s="50"/>
      <c r="CQ127" s="49"/>
      <c r="CR127" s="49"/>
      <c r="CS127" s="49"/>
      <c r="CT127" s="49"/>
      <c r="CU127" s="49"/>
      <c r="CV127" s="49"/>
      <c r="CW127" s="49"/>
      <c r="CX127" s="49"/>
    </row>
    <row r="128" spans="1:102" ht="21" customHeight="1" x14ac:dyDescent="0.2">
      <c r="A128" s="1811"/>
      <c r="B128" s="1807"/>
      <c r="C128" s="49"/>
      <c r="D128" s="50"/>
      <c r="E128" s="49"/>
      <c r="F128" s="49"/>
      <c r="G128" s="49"/>
      <c r="H128" s="49"/>
      <c r="I128" s="49"/>
      <c r="J128" s="49"/>
      <c r="K128" s="49"/>
      <c r="L128" s="49"/>
      <c r="M128" s="49"/>
      <c r="N128" s="49"/>
      <c r="O128" s="49"/>
      <c r="P128" s="49"/>
      <c r="Q128" s="49"/>
      <c r="R128" s="49"/>
      <c r="S128" s="49"/>
      <c r="T128" s="1808"/>
      <c r="U128" s="85"/>
      <c r="V128" s="85"/>
      <c r="W128" s="1427"/>
      <c r="X128" s="72"/>
      <c r="Y128" s="72"/>
      <c r="Z128" s="72"/>
      <c r="AA128" s="72"/>
      <c r="AB128" s="86">
        <f>AVERAGE(AB126:AB127)</f>
        <v>0.125</v>
      </c>
      <c r="AC128" s="86">
        <f>AVERAGE(AC126:AC127)</f>
        <v>0.3125</v>
      </c>
      <c r="AD128" s="86">
        <f>AVERAGE(AD126:AD127)</f>
        <v>0.35</v>
      </c>
      <c r="AE128" s="72"/>
      <c r="AF128" s="72"/>
      <c r="AG128" s="72"/>
      <c r="AH128" s="72"/>
      <c r="AI128" s="72"/>
      <c r="AJ128" s="72"/>
      <c r="AK128" s="73">
        <f>AVERAGE(AK126:AK127)</f>
        <v>7.0000000000000007E-2</v>
      </c>
      <c r="AL128" s="72"/>
      <c r="AM128" s="73">
        <f>AVERAGE(AM126:AM127)</f>
        <v>8.7500000000000008E-3</v>
      </c>
      <c r="AN128" s="72"/>
      <c r="AO128" s="72"/>
      <c r="AP128" s="72"/>
      <c r="AQ128" s="72"/>
      <c r="AR128" s="72"/>
      <c r="AS128" s="72"/>
      <c r="AT128" s="72"/>
      <c r="AU128" s="72"/>
      <c r="AV128" s="72"/>
      <c r="AW128" s="72"/>
      <c r="AX128" s="73">
        <f>AVERAGE(AX126:AX127)</f>
        <v>0.55000000000000004</v>
      </c>
      <c r="AY128" s="125"/>
      <c r="AZ128" s="73">
        <f>AVERAGE(AZ126:AZ127)</f>
        <v>0.36</v>
      </c>
      <c r="BA128" s="50"/>
      <c r="BB128" s="50"/>
      <c r="BC128" s="50"/>
      <c r="BD128" s="50"/>
      <c r="BE128" s="50"/>
      <c r="BF128" s="50"/>
      <c r="BG128" s="50"/>
      <c r="BH128" s="50"/>
      <c r="BI128" s="50"/>
      <c r="BJ128" s="50"/>
      <c r="BK128" s="73">
        <f>AVERAGE(BK126:BK127)</f>
        <v>9.0000000000000011E-2</v>
      </c>
      <c r="BL128" s="50">
        <f t="shared" si="32"/>
        <v>0</v>
      </c>
      <c r="BM128" s="73">
        <f>AVERAGE(BM126:BM127)</f>
        <v>0.44999999999999996</v>
      </c>
      <c r="BN128" s="50"/>
      <c r="BO128" s="50"/>
      <c r="BP128" s="50"/>
      <c r="BQ128" s="50"/>
      <c r="BR128" s="50"/>
      <c r="BS128" s="50"/>
      <c r="BT128" s="50"/>
      <c r="BU128" s="50"/>
      <c r="BV128" s="50"/>
      <c r="BW128" s="50"/>
      <c r="BX128" s="50"/>
      <c r="BY128" s="50"/>
      <c r="BZ128" s="50"/>
      <c r="CA128" s="50"/>
      <c r="CB128" s="49"/>
      <c r="CC128" s="59"/>
      <c r="CD128" s="60"/>
      <c r="CE128" s="50"/>
      <c r="CF128" s="61"/>
      <c r="CG128" s="61"/>
      <c r="CH128" s="49"/>
      <c r="CI128" s="49"/>
      <c r="CJ128" s="49"/>
      <c r="CK128" s="49"/>
      <c r="CL128" s="49"/>
      <c r="CM128" s="49"/>
      <c r="CN128" s="49"/>
      <c r="CO128" s="50"/>
      <c r="CP128" s="50"/>
      <c r="CQ128" s="49"/>
      <c r="CR128" s="49"/>
      <c r="CS128" s="49"/>
      <c r="CT128" s="49"/>
      <c r="CU128" s="49"/>
      <c r="CV128" s="49"/>
      <c r="CW128" s="49"/>
      <c r="CX128" s="49"/>
    </row>
    <row r="129" spans="1:102" ht="12.75" customHeight="1" x14ac:dyDescent="0.2">
      <c r="A129" s="1811"/>
      <c r="B129" s="1808"/>
      <c r="C129" s="49"/>
      <c r="D129" s="50"/>
      <c r="E129" s="49"/>
      <c r="F129" s="49"/>
      <c r="G129" s="49"/>
      <c r="H129" s="49"/>
      <c r="I129" s="49"/>
      <c r="J129" s="49"/>
      <c r="K129" s="49"/>
      <c r="L129" s="49"/>
      <c r="M129" s="49"/>
      <c r="N129" s="49"/>
      <c r="O129" s="49"/>
      <c r="P129" s="49"/>
      <c r="Q129" s="49"/>
      <c r="R129" s="49"/>
      <c r="S129" s="49"/>
      <c r="T129" s="108"/>
      <c r="U129" s="109"/>
      <c r="V129" s="109"/>
      <c r="W129" s="1429"/>
      <c r="X129" s="110"/>
      <c r="Y129" s="110"/>
      <c r="Z129" s="110"/>
      <c r="AA129" s="110"/>
      <c r="AB129" s="112">
        <f>+(AB128+AB125+AB120+AB118+AB114)/5</f>
        <v>0.14261289394985049</v>
      </c>
      <c r="AC129" s="112">
        <f>+(AC128+AC125+AC120+AC118+AC114)/5</f>
        <v>0.58213446926262136</v>
      </c>
      <c r="AD129" s="111">
        <f>+(AD128+AD125+AD120+AD118+AD114)/5</f>
        <v>0.46167670638548247</v>
      </c>
      <c r="AE129" s="110"/>
      <c r="AF129" s="110"/>
      <c r="AG129" s="110"/>
      <c r="AH129" s="110"/>
      <c r="AI129" s="110"/>
      <c r="AJ129" s="110"/>
      <c r="AK129" s="111">
        <f>+(AK128+AK125+AK120+AK118+AK114)/5</f>
        <v>9.0416666666666673E-2</v>
      </c>
      <c r="AL129" s="150"/>
      <c r="AM129" s="111">
        <f>+(AM128+AM125+AM120+AM118+AM114)/5</f>
        <v>5.519615384615385E-3</v>
      </c>
      <c r="AN129" s="110"/>
      <c r="AO129" s="110"/>
      <c r="AP129" s="110"/>
      <c r="AQ129" s="110"/>
      <c r="AR129" s="110"/>
      <c r="AS129" s="110"/>
      <c r="AT129" s="110"/>
      <c r="AU129" s="110"/>
      <c r="AV129" s="110"/>
      <c r="AW129" s="110"/>
      <c r="AX129" s="111">
        <f>+(AX128+AX125+AX120+AX118+AX114)/5</f>
        <v>0.32644370941846013</v>
      </c>
      <c r="AY129" s="151"/>
      <c r="AZ129" s="111">
        <f>+(AZ128+AZ125+AZ120+AZ118+AZ114)/5</f>
        <v>0.28522087710622712</v>
      </c>
      <c r="BA129" s="50"/>
      <c r="BB129" s="50"/>
      <c r="BC129" s="50"/>
      <c r="BD129" s="50"/>
      <c r="BE129" s="50"/>
      <c r="BF129" s="50"/>
      <c r="BG129" s="50"/>
      <c r="BH129" s="50"/>
      <c r="BI129" s="50"/>
      <c r="BJ129" s="50"/>
      <c r="BK129" s="111">
        <f>+(BK128+BK125+BK120+BK118+BK114)/5</f>
        <v>0.38774912739704021</v>
      </c>
      <c r="BL129" s="50">
        <f t="shared" si="32"/>
        <v>0</v>
      </c>
      <c r="BM129" s="111">
        <f>+(BM128+BM125+BM120+BM118+BM114)/5</f>
        <v>0.50124935902255641</v>
      </c>
      <c r="BN129" s="50"/>
      <c r="BO129" s="50"/>
      <c r="BP129" s="50"/>
      <c r="BQ129" s="50"/>
      <c r="BR129" s="50"/>
      <c r="BS129" s="50"/>
      <c r="BT129" s="50"/>
      <c r="BU129" s="50"/>
      <c r="BV129" s="50"/>
      <c r="BW129" s="50"/>
      <c r="BX129" s="50"/>
      <c r="BY129" s="50"/>
      <c r="BZ129" s="50"/>
      <c r="CA129" s="50"/>
      <c r="CB129" s="49"/>
      <c r="CC129" s="59"/>
      <c r="CD129" s="60"/>
      <c r="CE129" s="50"/>
      <c r="CF129" s="61"/>
      <c r="CG129" s="61"/>
      <c r="CH129" s="49"/>
      <c r="CI129" s="49"/>
      <c r="CJ129" s="49"/>
      <c r="CK129" s="49"/>
      <c r="CL129" s="49"/>
      <c r="CM129" s="49"/>
      <c r="CN129" s="49"/>
      <c r="CO129" s="50"/>
      <c r="CP129" s="50"/>
      <c r="CQ129" s="49"/>
      <c r="CR129" s="49"/>
      <c r="CS129" s="49"/>
      <c r="CT129" s="49"/>
      <c r="CU129" s="49"/>
      <c r="CV129" s="49"/>
      <c r="CW129" s="49"/>
      <c r="CX129" s="49"/>
    </row>
    <row r="130" spans="1:102" ht="33" customHeight="1" x14ac:dyDescent="0.2">
      <c r="A130" s="1811"/>
      <c r="B130" s="1806" t="s">
        <v>436</v>
      </c>
      <c r="C130" s="49"/>
      <c r="D130" s="50"/>
      <c r="E130" s="49"/>
      <c r="F130" s="49"/>
      <c r="G130" s="49"/>
      <c r="H130" s="49"/>
      <c r="I130" s="49"/>
      <c r="J130" s="49"/>
      <c r="K130" s="49"/>
      <c r="L130" s="49"/>
      <c r="M130" s="49"/>
      <c r="N130" s="49"/>
      <c r="O130" s="49"/>
      <c r="P130" s="49"/>
      <c r="Q130" s="49"/>
      <c r="R130" s="49"/>
      <c r="S130" s="49"/>
      <c r="T130" s="1809" t="s">
        <v>437</v>
      </c>
      <c r="U130" s="51" t="s">
        <v>438</v>
      </c>
      <c r="V130" s="51">
        <v>1</v>
      </c>
      <c r="W130" s="1431" t="s">
        <v>439</v>
      </c>
      <c r="X130" s="50">
        <v>1</v>
      </c>
      <c r="Y130" s="50">
        <v>1</v>
      </c>
      <c r="Z130" s="50">
        <v>0.25</v>
      </c>
      <c r="AA130" s="50">
        <v>0.25</v>
      </c>
      <c r="AB130" s="54">
        <f>+Y130/X130</f>
        <v>1</v>
      </c>
      <c r="AC130" s="54">
        <f>+Z130/X130</f>
        <v>0.25</v>
      </c>
      <c r="AD130" s="54">
        <f>AA130/X130</f>
        <v>0.25</v>
      </c>
      <c r="AE130" s="50">
        <v>0</v>
      </c>
      <c r="AF130" s="50">
        <v>0</v>
      </c>
      <c r="AG130" s="50"/>
      <c r="AH130" s="54">
        <v>0.1</v>
      </c>
      <c r="AI130" s="50"/>
      <c r="AJ130" s="54">
        <f>+AH130</f>
        <v>0.1</v>
      </c>
      <c r="AK130" s="54">
        <f>+AJ130/Y130</f>
        <v>0.1</v>
      </c>
      <c r="AL130" s="54">
        <v>0.25</v>
      </c>
      <c r="AM130" s="54">
        <f>+AL130/X130</f>
        <v>0.25</v>
      </c>
      <c r="AN130" s="50">
        <v>0.25</v>
      </c>
      <c r="AO130" s="117">
        <v>0.1</v>
      </c>
      <c r="AP130" s="50"/>
      <c r="AQ130" s="117">
        <v>0.06</v>
      </c>
      <c r="AR130" s="50"/>
      <c r="AS130" s="50">
        <v>0.04</v>
      </c>
      <c r="AT130" s="50"/>
      <c r="AU130" s="50">
        <v>0.05</v>
      </c>
      <c r="AV130" s="50"/>
      <c r="AW130" s="50">
        <f>AO130+AQ130+AS130+AU130</f>
        <v>0.25</v>
      </c>
      <c r="AX130" s="54">
        <f>+AW130/AN130</f>
        <v>1</v>
      </c>
      <c r="AY130" s="54">
        <f>+AW130+AL130</f>
        <v>0.5</v>
      </c>
      <c r="AZ130" s="57">
        <f>AY130/X130</f>
        <v>0.5</v>
      </c>
      <c r="BA130" s="50">
        <v>0.25</v>
      </c>
      <c r="BB130" s="50">
        <v>7.0000000000000007E-2</v>
      </c>
      <c r="BC130" s="50"/>
      <c r="BD130" s="50">
        <v>0.05</v>
      </c>
      <c r="BE130" s="50"/>
      <c r="BF130" s="1418">
        <v>0.06</v>
      </c>
      <c r="BG130" s="1418"/>
      <c r="BH130" s="50">
        <v>7.0000000000000007E-2</v>
      </c>
      <c r="BI130" s="50"/>
      <c r="BJ130" s="1421">
        <f>7%+BD130+BF130+BH130</f>
        <v>0.25</v>
      </c>
      <c r="BK130" s="1422">
        <f>+BJ130/BA130</f>
        <v>1</v>
      </c>
      <c r="BL130" s="54">
        <f>AY130+BB130+BD130+BF130+BH130</f>
        <v>0.75000000000000022</v>
      </c>
      <c r="BM130" s="57">
        <f>BL130/X130</f>
        <v>0.75000000000000022</v>
      </c>
      <c r="BN130" s="50"/>
      <c r="BO130" s="50"/>
      <c r="BP130" s="50"/>
      <c r="BQ130" s="50"/>
      <c r="BR130" s="50"/>
      <c r="BS130" s="50"/>
      <c r="BT130" s="50"/>
      <c r="BU130" s="50"/>
      <c r="BV130" s="50"/>
      <c r="BW130" s="50"/>
      <c r="BX130" s="50"/>
      <c r="BY130" s="50"/>
      <c r="BZ130" s="50"/>
      <c r="CA130" s="50"/>
      <c r="CB130" s="49"/>
      <c r="CC130" s="59"/>
      <c r="CD130" s="60"/>
      <c r="CE130" s="50"/>
      <c r="CF130" s="61"/>
      <c r="CG130" s="61"/>
      <c r="CH130" s="49"/>
      <c r="CI130" s="49"/>
      <c r="CJ130" s="49"/>
      <c r="CK130" s="49"/>
      <c r="CL130" s="49"/>
      <c r="CM130" s="49"/>
      <c r="CN130" s="49"/>
      <c r="CO130" s="50"/>
      <c r="CP130" s="50"/>
      <c r="CQ130" s="49"/>
      <c r="CR130" s="49"/>
      <c r="CS130" s="49"/>
      <c r="CT130" s="49"/>
      <c r="CU130" s="49"/>
      <c r="CV130" s="49"/>
      <c r="CW130" s="49"/>
      <c r="CX130" s="49"/>
    </row>
    <row r="131" spans="1:102" ht="30" customHeight="1" x14ac:dyDescent="0.2">
      <c r="A131" s="1811"/>
      <c r="B131" s="1807"/>
      <c r="C131" s="49"/>
      <c r="D131" s="50"/>
      <c r="E131" s="49"/>
      <c r="F131" s="49"/>
      <c r="G131" s="49"/>
      <c r="H131" s="49"/>
      <c r="I131" s="49"/>
      <c r="J131" s="49"/>
      <c r="K131" s="49"/>
      <c r="L131" s="49"/>
      <c r="M131" s="49"/>
      <c r="N131" s="49"/>
      <c r="O131" s="49"/>
      <c r="P131" s="49"/>
      <c r="Q131" s="49"/>
      <c r="R131" s="49"/>
      <c r="S131" s="49"/>
      <c r="T131" s="1807"/>
      <c r="U131" s="51" t="s">
        <v>440</v>
      </c>
      <c r="V131" s="51">
        <v>21</v>
      </c>
      <c r="W131" s="1431" t="s">
        <v>441</v>
      </c>
      <c r="X131" s="50">
        <v>20</v>
      </c>
      <c r="Y131" s="50">
        <v>5</v>
      </c>
      <c r="Z131" s="50">
        <v>5</v>
      </c>
      <c r="AA131" s="50">
        <v>5</v>
      </c>
      <c r="AB131" s="54">
        <f>+Y131/X131</f>
        <v>0.25</v>
      </c>
      <c r="AC131" s="54">
        <f>+Z131/X131</f>
        <v>0.25</v>
      </c>
      <c r="AD131" s="54"/>
      <c r="AE131" s="50">
        <v>0</v>
      </c>
      <c r="AF131" s="50">
        <v>0</v>
      </c>
      <c r="AG131" s="50"/>
      <c r="AH131" s="50">
        <v>0</v>
      </c>
      <c r="AI131" s="50"/>
      <c r="AJ131" s="50">
        <f>+AH131</f>
        <v>0</v>
      </c>
      <c r="AK131" s="54">
        <f>+AJ131/Y131</f>
        <v>0</v>
      </c>
      <c r="AL131" s="50">
        <f>+AJ131</f>
        <v>0</v>
      </c>
      <c r="AM131" s="54">
        <f>+AL131/X131</f>
        <v>0</v>
      </c>
      <c r="AN131" s="50">
        <v>5</v>
      </c>
      <c r="AO131" s="117">
        <v>0</v>
      </c>
      <c r="AP131" s="117"/>
      <c r="AQ131" s="117">
        <v>0</v>
      </c>
      <c r="AR131" s="117"/>
      <c r="AS131" s="117">
        <v>13</v>
      </c>
      <c r="AT131" s="117"/>
      <c r="AU131" s="117">
        <v>15</v>
      </c>
      <c r="AV131" s="117"/>
      <c r="AW131" s="50">
        <f>+AS131+AU131</f>
        <v>28</v>
      </c>
      <c r="AX131" s="54">
        <v>1</v>
      </c>
      <c r="AY131" s="50">
        <f>AW131+AL131</f>
        <v>28</v>
      </c>
      <c r="AZ131" s="57">
        <v>1</v>
      </c>
      <c r="BA131" s="50">
        <v>5</v>
      </c>
      <c r="BB131" s="50">
        <v>0</v>
      </c>
      <c r="BC131" s="50"/>
      <c r="BD131" s="50">
        <v>0</v>
      </c>
      <c r="BE131" s="50"/>
      <c r="BF131" s="50">
        <v>22</v>
      </c>
      <c r="BG131" s="50" t="s">
        <v>2200</v>
      </c>
      <c r="BH131" s="50">
        <v>11</v>
      </c>
      <c r="BI131" s="50"/>
      <c r="BJ131" s="50">
        <f>+BF131+BH131</f>
        <v>33</v>
      </c>
      <c r="BK131" s="57">
        <v>1</v>
      </c>
      <c r="BL131" s="50">
        <f>AY131+BB131+BJ131</f>
        <v>61</v>
      </c>
      <c r="BM131" s="58">
        <f>IFERROR(IF((+BL131/X131)&gt;100%,100%,(+BL131/X131)),"NP")</f>
        <v>1</v>
      </c>
      <c r="BN131" s="50"/>
      <c r="BO131" s="50"/>
      <c r="BP131" s="50"/>
      <c r="BQ131" s="50"/>
      <c r="BR131" s="50"/>
      <c r="BS131" s="50"/>
      <c r="BT131" s="50"/>
      <c r="BU131" s="50"/>
      <c r="BV131" s="50"/>
      <c r="BW131" s="50"/>
      <c r="BX131" s="50"/>
      <c r="BY131" s="50"/>
      <c r="BZ131" s="50"/>
      <c r="CA131" s="50"/>
      <c r="CB131" s="49"/>
      <c r="CC131" s="59"/>
      <c r="CD131" s="60"/>
      <c r="CE131" s="50"/>
      <c r="CF131" s="61"/>
      <c r="CG131" s="61"/>
      <c r="CH131" s="49"/>
      <c r="CI131" s="49"/>
      <c r="CJ131" s="49"/>
      <c r="CK131" s="49"/>
      <c r="CL131" s="49"/>
      <c r="CM131" s="49"/>
      <c r="CN131" s="49"/>
      <c r="CO131" s="50"/>
      <c r="CP131" s="50"/>
      <c r="CQ131" s="49"/>
      <c r="CR131" s="49"/>
      <c r="CS131" s="49"/>
      <c r="CT131" s="49"/>
      <c r="CU131" s="49"/>
      <c r="CV131" s="49"/>
      <c r="CW131" s="49"/>
      <c r="CX131" s="49"/>
    </row>
    <row r="132" spans="1:102" ht="25.5" customHeight="1" x14ac:dyDescent="0.2">
      <c r="A132" s="1811"/>
      <c r="B132" s="1807"/>
      <c r="C132" s="49"/>
      <c r="D132" s="50"/>
      <c r="E132" s="49"/>
      <c r="F132" s="49"/>
      <c r="G132" s="49"/>
      <c r="H132" s="49"/>
      <c r="I132" s="49"/>
      <c r="J132" s="49"/>
      <c r="K132" s="49"/>
      <c r="L132" s="49"/>
      <c r="M132" s="49"/>
      <c r="N132" s="49"/>
      <c r="O132" s="49"/>
      <c r="P132" s="49"/>
      <c r="Q132" s="49"/>
      <c r="R132" s="49"/>
      <c r="S132" s="49"/>
      <c r="T132" s="1807"/>
      <c r="U132" s="51" t="s">
        <v>442</v>
      </c>
      <c r="V132" s="51" t="s">
        <v>201</v>
      </c>
      <c r="W132" s="1431" t="s">
        <v>443</v>
      </c>
      <c r="X132" s="50">
        <v>1</v>
      </c>
      <c r="Y132" s="50" t="s">
        <v>177</v>
      </c>
      <c r="Z132" s="50">
        <v>1</v>
      </c>
      <c r="AA132" s="50">
        <v>0.25</v>
      </c>
      <c r="AB132" s="54"/>
      <c r="AC132" s="54">
        <f>+Z132/X132</f>
        <v>1</v>
      </c>
      <c r="AD132" s="54"/>
      <c r="AE132" s="50"/>
      <c r="AF132" s="50"/>
      <c r="AG132" s="50"/>
      <c r="AH132" s="50"/>
      <c r="AI132" s="50"/>
      <c r="AJ132" s="50"/>
      <c r="AK132" s="54"/>
      <c r="AL132" s="50"/>
      <c r="AM132" s="54"/>
      <c r="AN132" s="50">
        <v>1</v>
      </c>
      <c r="AO132" s="117">
        <v>0.75</v>
      </c>
      <c r="AP132" s="117"/>
      <c r="AQ132" s="117">
        <v>0</v>
      </c>
      <c r="AR132" s="117"/>
      <c r="AS132" s="117">
        <v>0.2</v>
      </c>
      <c r="AT132" s="117"/>
      <c r="AU132" s="117">
        <v>0.05</v>
      </c>
      <c r="AV132" s="117"/>
      <c r="AW132" s="55">
        <f>AO132+AS132+AU132</f>
        <v>1</v>
      </c>
      <c r="AX132" s="55">
        <f>AW132/AN132</f>
        <v>1</v>
      </c>
      <c r="AY132" s="55">
        <f>AW132+AL132</f>
        <v>1</v>
      </c>
      <c r="AZ132" s="57">
        <f>AY132/X132</f>
        <v>1</v>
      </c>
      <c r="BA132" s="50">
        <v>0.25</v>
      </c>
      <c r="BB132" s="50">
        <v>0</v>
      </c>
      <c r="BC132" s="50"/>
      <c r="BD132" s="50">
        <v>0</v>
      </c>
      <c r="BE132" s="50"/>
      <c r="BF132" s="50">
        <v>0</v>
      </c>
      <c r="BG132" s="50" t="s">
        <v>2200</v>
      </c>
      <c r="BH132" s="50"/>
      <c r="BI132" s="50"/>
      <c r="BJ132" s="50">
        <f>BB132</f>
        <v>0</v>
      </c>
      <c r="BK132" s="57">
        <v>1</v>
      </c>
      <c r="BL132" s="55">
        <f t="shared" si="32"/>
        <v>1</v>
      </c>
      <c r="BM132" s="57">
        <f>BL132/X132</f>
        <v>1</v>
      </c>
      <c r="BN132" s="50"/>
      <c r="BO132" s="50"/>
      <c r="BP132" s="50"/>
      <c r="BQ132" s="50"/>
      <c r="BR132" s="50"/>
      <c r="BS132" s="50"/>
      <c r="BT132" s="50"/>
      <c r="BU132" s="50"/>
      <c r="BV132" s="50"/>
      <c r="BW132" s="50"/>
      <c r="BX132" s="50"/>
      <c r="BY132" s="50"/>
      <c r="BZ132" s="50"/>
      <c r="CA132" s="50"/>
      <c r="CB132" s="49"/>
      <c r="CC132" s="59"/>
      <c r="CD132" s="60"/>
      <c r="CE132" s="50"/>
      <c r="CF132" s="61"/>
      <c r="CG132" s="61"/>
      <c r="CH132" s="49"/>
      <c r="CI132" s="49"/>
      <c r="CJ132" s="49"/>
      <c r="CK132" s="49"/>
      <c r="CL132" s="49"/>
      <c r="CM132" s="49"/>
      <c r="CN132" s="49"/>
      <c r="CO132" s="50"/>
      <c r="CP132" s="50"/>
      <c r="CQ132" s="49"/>
      <c r="CR132" s="49"/>
      <c r="CS132" s="49"/>
      <c r="CT132" s="49"/>
      <c r="CU132" s="49"/>
      <c r="CV132" s="49"/>
      <c r="CW132" s="49"/>
      <c r="CX132" s="49"/>
    </row>
    <row r="133" spans="1:102" ht="51" customHeight="1" x14ac:dyDescent="0.2">
      <c r="A133" s="1811"/>
      <c r="B133" s="1807"/>
      <c r="C133" s="49"/>
      <c r="D133" s="50"/>
      <c r="E133" s="49"/>
      <c r="F133" s="49"/>
      <c r="G133" s="49"/>
      <c r="H133" s="49"/>
      <c r="I133" s="49"/>
      <c r="J133" s="49"/>
      <c r="K133" s="49"/>
      <c r="L133" s="49"/>
      <c r="M133" s="49"/>
      <c r="N133" s="49"/>
      <c r="O133" s="49"/>
      <c r="P133" s="49"/>
      <c r="Q133" s="49"/>
      <c r="R133" s="49"/>
      <c r="S133" s="49"/>
      <c r="T133" s="1807"/>
      <c r="U133" s="51" t="s">
        <v>444</v>
      </c>
      <c r="V133" s="51">
        <v>0</v>
      </c>
      <c r="W133" s="1431" t="s">
        <v>445</v>
      </c>
      <c r="X133" s="50">
        <v>1</v>
      </c>
      <c r="Y133" s="50" t="s">
        <v>177</v>
      </c>
      <c r="Z133" s="50"/>
      <c r="AA133" s="50">
        <v>0.5</v>
      </c>
      <c r="AB133" s="54"/>
      <c r="AC133" s="54"/>
      <c r="AD133" s="54">
        <f>AA133/X133</f>
        <v>0.5</v>
      </c>
      <c r="AE133" s="50"/>
      <c r="AF133" s="50"/>
      <c r="AG133" s="50"/>
      <c r="AH133" s="50"/>
      <c r="AI133" s="50"/>
      <c r="AJ133" s="50"/>
      <c r="AK133" s="50"/>
      <c r="AL133" s="50"/>
      <c r="AM133" s="50"/>
      <c r="AN133" s="117"/>
      <c r="AO133" s="117"/>
      <c r="AP133" s="117"/>
      <c r="AQ133" s="117"/>
      <c r="AR133" s="117"/>
      <c r="AS133" s="117"/>
      <c r="AT133" s="117"/>
      <c r="AU133" s="117"/>
      <c r="AV133" s="117"/>
      <c r="AW133" s="117"/>
      <c r="AX133" s="117"/>
      <c r="AY133" s="117"/>
      <c r="AZ133" s="117"/>
      <c r="BA133" s="50">
        <v>0.5</v>
      </c>
      <c r="BB133" s="50">
        <v>0</v>
      </c>
      <c r="BC133" s="50"/>
      <c r="BD133" s="50">
        <v>0</v>
      </c>
      <c r="BE133" s="50"/>
      <c r="BF133" s="50">
        <v>0</v>
      </c>
      <c r="BG133" s="1418"/>
      <c r="BH133" s="50">
        <v>0</v>
      </c>
      <c r="BI133" s="50"/>
      <c r="BJ133" s="50">
        <f>BB133</f>
        <v>0</v>
      </c>
      <c r="BK133" s="57">
        <f>BJ133/BA133</f>
        <v>0</v>
      </c>
      <c r="BL133" s="50">
        <f t="shared" si="32"/>
        <v>0</v>
      </c>
      <c r="BM133" s="57">
        <v>0</v>
      </c>
      <c r="BN133" s="50"/>
      <c r="BO133" s="50"/>
      <c r="BP133" s="50"/>
      <c r="BQ133" s="50"/>
      <c r="BR133" s="50"/>
      <c r="BS133" s="50"/>
      <c r="BT133" s="50"/>
      <c r="BU133" s="50"/>
      <c r="BV133" s="50"/>
      <c r="BW133" s="50"/>
      <c r="BX133" s="50"/>
      <c r="BY133" s="50"/>
      <c r="BZ133" s="50"/>
      <c r="CA133" s="50"/>
      <c r="CB133" s="49"/>
      <c r="CC133" s="59"/>
      <c r="CD133" s="60"/>
      <c r="CE133" s="50"/>
      <c r="CF133" s="61"/>
      <c r="CG133" s="61"/>
      <c r="CH133" s="49"/>
      <c r="CI133" s="49"/>
      <c r="CJ133" s="49"/>
      <c r="CK133" s="49"/>
      <c r="CL133" s="49"/>
      <c r="CM133" s="49"/>
      <c r="CN133" s="49"/>
      <c r="CO133" s="50"/>
      <c r="CP133" s="50"/>
      <c r="CQ133" s="49"/>
      <c r="CR133" s="49"/>
      <c r="CS133" s="49"/>
      <c r="CT133" s="49"/>
      <c r="CU133" s="49"/>
      <c r="CV133" s="49"/>
      <c r="CW133" s="49"/>
      <c r="CX133" s="49"/>
    </row>
    <row r="134" spans="1:102" ht="12" customHeight="1" x14ac:dyDescent="0.2">
      <c r="A134" s="1811"/>
      <c r="B134" s="1807"/>
      <c r="C134" s="49"/>
      <c r="D134" s="50"/>
      <c r="E134" s="49"/>
      <c r="F134" s="49"/>
      <c r="G134" s="49"/>
      <c r="H134" s="49"/>
      <c r="I134" s="49"/>
      <c r="J134" s="49"/>
      <c r="K134" s="49"/>
      <c r="L134" s="49"/>
      <c r="M134" s="49"/>
      <c r="N134" s="49"/>
      <c r="O134" s="49"/>
      <c r="P134" s="49"/>
      <c r="Q134" s="49"/>
      <c r="R134" s="49"/>
      <c r="S134" s="49"/>
      <c r="T134" s="1808"/>
      <c r="U134" s="85"/>
      <c r="V134" s="85"/>
      <c r="W134" s="1427"/>
      <c r="X134" s="72"/>
      <c r="Y134" s="72"/>
      <c r="Z134" s="72"/>
      <c r="AA134" s="72"/>
      <c r="AB134" s="86">
        <f>AVERAGE(AB130:AB133)</f>
        <v>0.625</v>
      </c>
      <c r="AC134" s="86">
        <f>AVERAGE(AC130:AC133)</f>
        <v>0.5</v>
      </c>
      <c r="AD134" s="86">
        <f>AVERAGE(AD130:AD133)</f>
        <v>0.375</v>
      </c>
      <c r="AE134" s="72"/>
      <c r="AF134" s="72"/>
      <c r="AG134" s="72"/>
      <c r="AH134" s="72"/>
      <c r="AI134" s="72"/>
      <c r="AJ134" s="72"/>
      <c r="AK134" s="86">
        <f>AVERAGE(AK130:AK133)</f>
        <v>0.05</v>
      </c>
      <c r="AL134" s="72"/>
      <c r="AM134" s="86">
        <f>AVERAGE(AM130:AM133)</f>
        <v>0.125</v>
      </c>
      <c r="AN134" s="72"/>
      <c r="AO134" s="72"/>
      <c r="AP134" s="72"/>
      <c r="AQ134" s="72"/>
      <c r="AR134" s="72"/>
      <c r="AS134" s="72"/>
      <c r="AT134" s="72"/>
      <c r="AU134" s="72"/>
      <c r="AV134" s="72"/>
      <c r="AW134" s="72"/>
      <c r="AX134" s="86">
        <f>AVERAGE(AX130:AX133)</f>
        <v>1</v>
      </c>
      <c r="AY134" s="125"/>
      <c r="AZ134" s="152">
        <f>AVERAGE(AZ130:AZ133)</f>
        <v>0.83333333333333337</v>
      </c>
      <c r="BA134" s="50"/>
      <c r="BB134" s="50"/>
      <c r="BC134" s="50"/>
      <c r="BD134" s="50"/>
      <c r="BE134" s="50"/>
      <c r="BF134" s="50"/>
      <c r="BG134" s="50"/>
      <c r="BH134" s="50"/>
      <c r="BI134" s="50"/>
      <c r="BJ134" s="50"/>
      <c r="BK134" s="86">
        <f>AVERAGE(BK130:BK133)</f>
        <v>0.75</v>
      </c>
      <c r="BL134" s="50"/>
      <c r="BM134" s="73">
        <f>AVERAGE(BM130:BM133)</f>
        <v>0.6875</v>
      </c>
      <c r="BN134" s="50"/>
      <c r="BO134" s="50"/>
      <c r="BP134" s="50"/>
      <c r="BQ134" s="50"/>
      <c r="BR134" s="50"/>
      <c r="BS134" s="50"/>
      <c r="BT134" s="50"/>
      <c r="BU134" s="50"/>
      <c r="BV134" s="50"/>
      <c r="BW134" s="50"/>
      <c r="BX134" s="50"/>
      <c r="BY134" s="50"/>
      <c r="BZ134" s="50"/>
      <c r="CA134" s="50"/>
      <c r="CB134" s="49"/>
      <c r="CC134" s="59"/>
      <c r="CD134" s="60"/>
      <c r="CE134" s="50"/>
      <c r="CF134" s="61"/>
      <c r="CG134" s="61"/>
      <c r="CH134" s="49"/>
      <c r="CI134" s="49"/>
      <c r="CJ134" s="49"/>
      <c r="CK134" s="49"/>
      <c r="CL134" s="49"/>
      <c r="CM134" s="49"/>
      <c r="CN134" s="49"/>
      <c r="CO134" s="50"/>
      <c r="CP134" s="50"/>
      <c r="CQ134" s="49"/>
      <c r="CR134" s="49"/>
      <c r="CS134" s="49"/>
      <c r="CT134" s="49"/>
      <c r="CU134" s="49"/>
      <c r="CV134" s="49"/>
      <c r="CW134" s="49"/>
      <c r="CX134" s="49"/>
    </row>
    <row r="135" spans="1:102" ht="30" customHeight="1" x14ac:dyDescent="0.2">
      <c r="A135" s="1811"/>
      <c r="B135" s="1807"/>
      <c r="C135" s="49"/>
      <c r="D135" s="50"/>
      <c r="E135" s="49"/>
      <c r="F135" s="49"/>
      <c r="G135" s="49"/>
      <c r="H135" s="49"/>
      <c r="I135" s="49"/>
      <c r="J135" s="49"/>
      <c r="K135" s="49"/>
      <c r="L135" s="49"/>
      <c r="M135" s="49"/>
      <c r="N135" s="49"/>
      <c r="O135" s="49"/>
      <c r="P135" s="49"/>
      <c r="Q135" s="49"/>
      <c r="R135" s="49"/>
      <c r="S135" s="49"/>
      <c r="T135" s="1809" t="s">
        <v>446</v>
      </c>
      <c r="U135" s="51" t="s">
        <v>447</v>
      </c>
      <c r="V135" s="51">
        <v>327</v>
      </c>
      <c r="W135" s="1431" t="s">
        <v>448</v>
      </c>
      <c r="X135" s="50">
        <v>327</v>
      </c>
      <c r="Y135" s="50" t="s">
        <v>177</v>
      </c>
      <c r="Z135" s="50"/>
      <c r="AA135" s="50">
        <v>100</v>
      </c>
      <c r="AB135" s="50"/>
      <c r="AC135" s="50"/>
      <c r="AD135" s="54">
        <f>AA135/X135</f>
        <v>0.3058103975535168</v>
      </c>
      <c r="AE135" s="50"/>
      <c r="AF135" s="50"/>
      <c r="AG135" s="50"/>
      <c r="AH135" s="50"/>
      <c r="AI135" s="50"/>
      <c r="AJ135" s="50"/>
      <c r="AK135" s="50"/>
      <c r="AL135" s="50"/>
      <c r="AM135" s="50"/>
      <c r="AN135" s="117">
        <v>100</v>
      </c>
      <c r="AO135" s="117">
        <v>0</v>
      </c>
      <c r="AP135" s="117"/>
      <c r="AQ135" s="117">
        <v>0</v>
      </c>
      <c r="AR135" s="117"/>
      <c r="AS135" s="117">
        <v>66</v>
      </c>
      <c r="AT135" s="117"/>
      <c r="AU135" s="117">
        <v>34</v>
      </c>
      <c r="AV135" s="117"/>
      <c r="AW135" s="50">
        <f>AO135+AS135+AU135</f>
        <v>100</v>
      </c>
      <c r="AX135" s="54">
        <f>AW135/AN135</f>
        <v>1</v>
      </c>
      <c r="AY135" s="50">
        <f>AW135+AL135</f>
        <v>100</v>
      </c>
      <c r="AZ135" s="57">
        <f>+AY135/X135</f>
        <v>0.3058103975535168</v>
      </c>
      <c r="BA135" s="50">
        <v>100</v>
      </c>
      <c r="BB135" s="50">
        <v>43</v>
      </c>
      <c r="BC135" s="50"/>
      <c r="BD135" s="50">
        <v>77</v>
      </c>
      <c r="BE135" s="50"/>
      <c r="BF135" s="50">
        <v>30</v>
      </c>
      <c r="BG135" s="50"/>
      <c r="BH135" s="50">
        <v>0</v>
      </c>
      <c r="BI135" s="50"/>
      <c r="BJ135" s="50">
        <f>BB135+BD135+BF135+BH135</f>
        <v>150</v>
      </c>
      <c r="BK135" s="57">
        <v>1</v>
      </c>
      <c r="BL135" s="50">
        <f>AY135+BB135+BD135+BF135</f>
        <v>250</v>
      </c>
      <c r="BM135" s="57">
        <f>BL135/X135</f>
        <v>0.76452599388379205</v>
      </c>
      <c r="BN135" s="50"/>
      <c r="BO135" s="50"/>
      <c r="BP135" s="50"/>
      <c r="BQ135" s="50"/>
      <c r="BR135" s="50"/>
      <c r="BS135" s="50"/>
      <c r="BT135" s="50"/>
      <c r="BU135" s="50"/>
      <c r="BV135" s="50"/>
      <c r="BW135" s="50"/>
      <c r="BX135" s="50"/>
      <c r="BY135" s="50"/>
      <c r="BZ135" s="50"/>
      <c r="CA135" s="50"/>
      <c r="CB135" s="49"/>
      <c r="CC135" s="59"/>
      <c r="CD135" s="60"/>
      <c r="CE135" s="50"/>
      <c r="CF135" s="61"/>
      <c r="CG135" s="61"/>
      <c r="CH135" s="49"/>
      <c r="CI135" s="49"/>
      <c r="CJ135" s="49"/>
      <c r="CK135" s="49"/>
      <c r="CL135" s="49"/>
      <c r="CM135" s="49"/>
      <c r="CN135" s="49"/>
      <c r="CO135" s="50"/>
      <c r="CP135" s="50"/>
      <c r="CQ135" s="49"/>
      <c r="CR135" s="49"/>
      <c r="CS135" s="49"/>
      <c r="CT135" s="49"/>
      <c r="CU135" s="49"/>
      <c r="CV135" s="49"/>
      <c r="CW135" s="49"/>
      <c r="CX135" s="49"/>
    </row>
    <row r="136" spans="1:102" ht="34.5" customHeight="1" x14ac:dyDescent="0.2">
      <c r="A136" s="1811"/>
      <c r="B136" s="1807"/>
      <c r="C136" s="49"/>
      <c r="D136" s="50"/>
      <c r="E136" s="49"/>
      <c r="F136" s="49"/>
      <c r="G136" s="49"/>
      <c r="H136" s="49"/>
      <c r="I136" s="49"/>
      <c r="J136" s="49"/>
      <c r="K136" s="49"/>
      <c r="L136" s="49"/>
      <c r="M136" s="49"/>
      <c r="N136" s="49"/>
      <c r="O136" s="49"/>
      <c r="P136" s="49"/>
      <c r="Q136" s="49"/>
      <c r="R136" s="49"/>
      <c r="S136" s="49"/>
      <c r="T136" s="1807"/>
      <c r="U136" s="51" t="s">
        <v>449</v>
      </c>
      <c r="V136" s="51">
        <v>14</v>
      </c>
      <c r="W136" s="1431" t="s">
        <v>450</v>
      </c>
      <c r="X136" s="50">
        <v>14</v>
      </c>
      <c r="Y136" s="50">
        <v>2</v>
      </c>
      <c r="Z136" s="50">
        <v>14</v>
      </c>
      <c r="AA136" s="50">
        <v>3</v>
      </c>
      <c r="AB136" s="54">
        <f>+Y136/X136</f>
        <v>0.14285714285714285</v>
      </c>
      <c r="AC136" s="54">
        <f>+Z136/X136</f>
        <v>1</v>
      </c>
      <c r="AD136" s="54"/>
      <c r="AE136" s="50">
        <v>2</v>
      </c>
      <c r="AF136" s="50">
        <v>2</v>
      </c>
      <c r="AG136" s="50"/>
      <c r="AH136" s="50">
        <v>2</v>
      </c>
      <c r="AI136" s="50"/>
      <c r="AJ136" s="50">
        <f>+AH136</f>
        <v>2</v>
      </c>
      <c r="AK136" s="54">
        <f>+AJ136/Y136</f>
        <v>1</v>
      </c>
      <c r="AL136" s="50">
        <f>+AJ136</f>
        <v>2</v>
      </c>
      <c r="AM136" s="54">
        <f>+AL136/X136</f>
        <v>0.14285714285714285</v>
      </c>
      <c r="AN136" s="117">
        <v>6</v>
      </c>
      <c r="AO136" s="117">
        <v>3</v>
      </c>
      <c r="AP136" s="117"/>
      <c r="AQ136" s="117">
        <v>1</v>
      </c>
      <c r="AR136" s="117"/>
      <c r="AS136" s="117">
        <v>2</v>
      </c>
      <c r="AT136" s="117"/>
      <c r="AU136" s="117">
        <v>1</v>
      </c>
      <c r="AV136" s="117"/>
      <c r="AW136" s="50">
        <f>AO136+AQ136+AS136+AU136</f>
        <v>7</v>
      </c>
      <c r="AX136" s="54">
        <v>1</v>
      </c>
      <c r="AY136" s="50">
        <f>AW136+AL136</f>
        <v>9</v>
      </c>
      <c r="AZ136" s="153">
        <v>1</v>
      </c>
      <c r="BA136" s="50">
        <v>3</v>
      </c>
      <c r="BB136" s="50">
        <v>0</v>
      </c>
      <c r="BC136" s="50"/>
      <c r="BD136" s="50">
        <v>2</v>
      </c>
      <c r="BE136" s="50"/>
      <c r="BF136" s="50">
        <v>2</v>
      </c>
      <c r="BG136" s="61" t="s">
        <v>2224</v>
      </c>
      <c r="BH136" s="50">
        <v>1</v>
      </c>
      <c r="BI136" s="50"/>
      <c r="BJ136" s="50">
        <f>+BD136+BF136+BH136</f>
        <v>5</v>
      </c>
      <c r="BK136" s="57">
        <v>1</v>
      </c>
      <c r="BL136" s="50">
        <f>AY136+BB136+BD136+BH136</f>
        <v>12</v>
      </c>
      <c r="BM136" s="57">
        <f>AZ136</f>
        <v>1</v>
      </c>
      <c r="BN136" s="50"/>
      <c r="BO136" s="50"/>
      <c r="BP136" s="50"/>
      <c r="BQ136" s="50"/>
      <c r="BR136" s="50"/>
      <c r="BS136" s="50"/>
      <c r="BT136" s="50"/>
      <c r="BU136" s="50"/>
      <c r="BV136" s="50"/>
      <c r="BW136" s="50"/>
      <c r="BX136" s="50"/>
      <c r="BY136" s="50"/>
      <c r="BZ136" s="50"/>
      <c r="CA136" s="50"/>
      <c r="CB136" s="49"/>
      <c r="CC136" s="59"/>
      <c r="CD136" s="60"/>
      <c r="CE136" s="50"/>
      <c r="CF136" s="61"/>
      <c r="CG136" s="61"/>
      <c r="CH136" s="49"/>
      <c r="CI136" s="49"/>
      <c r="CJ136" s="49"/>
      <c r="CK136" s="49"/>
      <c r="CL136" s="49"/>
      <c r="CM136" s="49"/>
      <c r="CN136" s="49"/>
      <c r="CO136" s="50"/>
      <c r="CP136" s="50"/>
      <c r="CQ136" s="49"/>
      <c r="CR136" s="49"/>
      <c r="CS136" s="49"/>
      <c r="CT136" s="49"/>
      <c r="CU136" s="49"/>
      <c r="CV136" s="49"/>
      <c r="CW136" s="49"/>
      <c r="CX136" s="49"/>
    </row>
    <row r="137" spans="1:102" ht="32.25" customHeight="1" x14ac:dyDescent="0.2">
      <c r="A137" s="1811"/>
      <c r="B137" s="1807"/>
      <c r="C137" s="49"/>
      <c r="D137" s="50"/>
      <c r="E137" s="49"/>
      <c r="F137" s="49"/>
      <c r="G137" s="49"/>
      <c r="H137" s="49"/>
      <c r="I137" s="49"/>
      <c r="J137" s="49"/>
      <c r="K137" s="49"/>
      <c r="L137" s="49"/>
      <c r="M137" s="49"/>
      <c r="N137" s="49"/>
      <c r="O137" s="49"/>
      <c r="P137" s="49"/>
      <c r="Q137" s="49"/>
      <c r="R137" s="49"/>
      <c r="S137" s="49"/>
      <c r="T137" s="1807"/>
      <c r="U137" s="51" t="s">
        <v>451</v>
      </c>
      <c r="V137" s="51">
        <v>3000</v>
      </c>
      <c r="W137" s="1431" t="s">
        <v>452</v>
      </c>
      <c r="X137" s="63">
        <v>4000</v>
      </c>
      <c r="Y137" s="63">
        <v>500</v>
      </c>
      <c r="Z137" s="63">
        <v>1166</v>
      </c>
      <c r="AA137" s="63">
        <v>1167</v>
      </c>
      <c r="AB137" s="65">
        <f>+Y137/X137</f>
        <v>0.125</v>
      </c>
      <c r="AC137" s="54">
        <f>+Z137/X137</f>
        <v>0.29149999999999998</v>
      </c>
      <c r="AD137" s="54"/>
      <c r="AE137" s="63">
        <v>0</v>
      </c>
      <c r="AF137" s="63">
        <v>6620</v>
      </c>
      <c r="AG137" s="50"/>
      <c r="AH137" s="50">
        <v>7057</v>
      </c>
      <c r="AI137" s="50"/>
      <c r="AJ137" s="50">
        <f>+AH137</f>
        <v>7057</v>
      </c>
      <c r="AK137" s="54">
        <v>1</v>
      </c>
      <c r="AL137" s="50">
        <f>+AH137</f>
        <v>7057</v>
      </c>
      <c r="AM137" s="54">
        <v>0.95</v>
      </c>
      <c r="AN137" s="63">
        <v>1166</v>
      </c>
      <c r="AO137" s="117">
        <v>42</v>
      </c>
      <c r="AP137" s="50"/>
      <c r="AQ137" s="50">
        <v>150</v>
      </c>
      <c r="AR137" s="50"/>
      <c r="AS137" s="50">
        <v>176</v>
      </c>
      <c r="AT137" s="50"/>
      <c r="AU137" s="50">
        <v>504</v>
      </c>
      <c r="AV137" s="50"/>
      <c r="AW137" s="50">
        <f>AO137+AQ137+AS137+AU137</f>
        <v>872</v>
      </c>
      <c r="AX137" s="54">
        <f>AW137/AN137</f>
        <v>0.74785591766723847</v>
      </c>
      <c r="AY137" s="50">
        <f>AW137+AL137</f>
        <v>7929</v>
      </c>
      <c r="AZ137" s="154">
        <v>1</v>
      </c>
      <c r="BA137" s="50">
        <v>1167</v>
      </c>
      <c r="BB137" s="50">
        <v>1281</v>
      </c>
      <c r="BC137" s="50"/>
      <c r="BD137" s="50">
        <v>1443</v>
      </c>
      <c r="BE137" s="50"/>
      <c r="BF137" s="50">
        <v>2343</v>
      </c>
      <c r="BG137" s="61" t="s">
        <v>2224</v>
      </c>
      <c r="BH137" s="50">
        <v>819</v>
      </c>
      <c r="BI137" s="50"/>
      <c r="BJ137" s="50">
        <f>BB137+BD137+BF137+BH137</f>
        <v>5886</v>
      </c>
      <c r="BK137" s="58">
        <f>IFERROR(IF((+BJ137/BA137)&gt;100%,100%,(+BJ137/BA137)),"NP")</f>
        <v>1</v>
      </c>
      <c r="BL137" s="50">
        <f>AY137+BB137+BH137</f>
        <v>10029</v>
      </c>
      <c r="BM137" s="58">
        <f>IFERROR(IF((+BL137/X137)&gt;100%,100%,(+BL137/X137)),"NP")</f>
        <v>1</v>
      </c>
      <c r="BN137" s="50"/>
      <c r="BO137" s="50"/>
      <c r="BP137" s="50"/>
      <c r="BQ137" s="50"/>
      <c r="BR137" s="50"/>
      <c r="BS137" s="50"/>
      <c r="BT137" s="50"/>
      <c r="BU137" s="50"/>
      <c r="BV137" s="50"/>
      <c r="BW137" s="50"/>
      <c r="BX137" s="50"/>
      <c r="BY137" s="50"/>
      <c r="BZ137" s="50"/>
      <c r="CA137" s="50"/>
      <c r="CB137" s="49"/>
      <c r="CC137" s="59"/>
      <c r="CD137" s="60"/>
      <c r="CE137" s="50"/>
      <c r="CF137" s="61"/>
      <c r="CG137" s="61"/>
      <c r="CH137" s="49"/>
      <c r="CI137" s="49"/>
      <c r="CJ137" s="49"/>
      <c r="CK137" s="49"/>
      <c r="CL137" s="49"/>
      <c r="CM137" s="49"/>
      <c r="CN137" s="49"/>
      <c r="CO137" s="50"/>
      <c r="CP137" s="50"/>
      <c r="CQ137" s="49"/>
      <c r="CR137" s="49"/>
      <c r="CS137" s="49"/>
      <c r="CT137" s="49"/>
      <c r="CU137" s="49"/>
      <c r="CV137" s="49"/>
      <c r="CW137" s="49"/>
      <c r="CX137" s="49"/>
    </row>
    <row r="138" spans="1:102" ht="31.5" customHeight="1" x14ac:dyDescent="0.2">
      <c r="A138" s="1811"/>
      <c r="B138" s="1807"/>
      <c r="C138" s="49"/>
      <c r="D138" s="50"/>
      <c r="E138" s="49"/>
      <c r="F138" s="49"/>
      <c r="G138" s="49"/>
      <c r="H138" s="49"/>
      <c r="I138" s="49"/>
      <c r="J138" s="49"/>
      <c r="K138" s="49"/>
      <c r="L138" s="49"/>
      <c r="M138" s="49"/>
      <c r="N138" s="49"/>
      <c r="O138" s="49"/>
      <c r="P138" s="49"/>
      <c r="Q138" s="49"/>
      <c r="R138" s="49"/>
      <c r="S138" s="49"/>
      <c r="T138" s="1807"/>
      <c r="U138" s="51" t="s">
        <v>453</v>
      </c>
      <c r="V138" s="51">
        <v>1000</v>
      </c>
      <c r="W138" s="1431" t="s">
        <v>454</v>
      </c>
      <c r="X138" s="50">
        <v>2000</v>
      </c>
      <c r="Y138" s="50">
        <v>250</v>
      </c>
      <c r="Z138" s="50">
        <v>600</v>
      </c>
      <c r="AA138" s="50">
        <v>600</v>
      </c>
      <c r="AB138" s="54">
        <f>+Y138/X138</f>
        <v>0.125</v>
      </c>
      <c r="AC138" s="54">
        <f>+Z138/X138</f>
        <v>0.3</v>
      </c>
      <c r="AD138" s="54"/>
      <c r="AE138" s="50">
        <v>1300</v>
      </c>
      <c r="AF138" s="50">
        <v>1643</v>
      </c>
      <c r="AG138" s="50"/>
      <c r="AH138" s="50">
        <v>1643</v>
      </c>
      <c r="AI138" s="50"/>
      <c r="AJ138" s="50">
        <f>+AH138</f>
        <v>1643</v>
      </c>
      <c r="AK138" s="54">
        <v>1</v>
      </c>
      <c r="AL138" s="50">
        <f>+AJ138</f>
        <v>1643</v>
      </c>
      <c r="AM138" s="54">
        <f>+AL138/X138</f>
        <v>0.82150000000000001</v>
      </c>
      <c r="AN138" s="50">
        <v>600</v>
      </c>
      <c r="AO138" s="117">
        <v>93</v>
      </c>
      <c r="AP138" s="117"/>
      <c r="AQ138" s="117">
        <v>339</v>
      </c>
      <c r="AR138" s="117"/>
      <c r="AS138" s="117">
        <v>163</v>
      </c>
      <c r="AT138" s="117"/>
      <c r="AU138" s="117">
        <v>158</v>
      </c>
      <c r="AV138" s="117"/>
      <c r="AW138" s="50">
        <f>AO138+AQ138+AS138+AU138</f>
        <v>753</v>
      </c>
      <c r="AX138" s="54">
        <v>1</v>
      </c>
      <c r="AY138" s="50">
        <f>AW138+AL138</f>
        <v>2396</v>
      </c>
      <c r="AZ138" s="57">
        <v>1</v>
      </c>
      <c r="BA138" s="50">
        <v>600</v>
      </c>
      <c r="BB138" s="50">
        <v>104</v>
      </c>
      <c r="BC138" s="50"/>
      <c r="BD138" s="50">
        <v>294</v>
      </c>
      <c r="BE138" s="50"/>
      <c r="BF138" s="50">
        <v>833</v>
      </c>
      <c r="BG138" s="61" t="s">
        <v>2224</v>
      </c>
      <c r="BH138" s="50"/>
      <c r="BI138" s="50"/>
      <c r="BJ138" s="50">
        <f>BB138+BD138+BF138</f>
        <v>1231</v>
      </c>
      <c r="BK138" s="57">
        <v>1</v>
      </c>
      <c r="BL138" s="50">
        <f>AY138+BB138</f>
        <v>2500</v>
      </c>
      <c r="BM138" s="58">
        <f>IFERROR(IF((+BL138/X138)&gt;100%,100%,(+BL138/X138)),"NP")</f>
        <v>1</v>
      </c>
      <c r="BN138" s="50"/>
      <c r="BO138" s="50"/>
      <c r="BP138" s="50"/>
      <c r="BQ138" s="50"/>
      <c r="BR138" s="50"/>
      <c r="BS138" s="50"/>
      <c r="BT138" s="50"/>
      <c r="BU138" s="50"/>
      <c r="BV138" s="50"/>
      <c r="BW138" s="50"/>
      <c r="BX138" s="50"/>
      <c r="BY138" s="50"/>
      <c r="BZ138" s="50"/>
      <c r="CA138" s="50"/>
      <c r="CB138" s="49"/>
      <c r="CC138" s="59"/>
      <c r="CD138" s="60"/>
      <c r="CE138" s="50"/>
      <c r="CF138" s="61"/>
      <c r="CG138" s="61"/>
      <c r="CH138" s="49"/>
      <c r="CI138" s="49"/>
      <c r="CJ138" s="49"/>
      <c r="CK138" s="49"/>
      <c r="CL138" s="49"/>
      <c r="CM138" s="49"/>
      <c r="CN138" s="49"/>
      <c r="CO138" s="50"/>
      <c r="CP138" s="50"/>
      <c r="CQ138" s="49"/>
      <c r="CR138" s="49"/>
      <c r="CS138" s="49"/>
      <c r="CT138" s="49"/>
      <c r="CU138" s="49"/>
      <c r="CV138" s="49"/>
      <c r="CW138" s="49"/>
      <c r="CX138" s="49"/>
    </row>
    <row r="139" spans="1:102" ht="12.75" customHeight="1" x14ac:dyDescent="0.2">
      <c r="A139" s="1811"/>
      <c r="B139" s="1807"/>
      <c r="C139" s="49"/>
      <c r="D139" s="50"/>
      <c r="E139" s="49"/>
      <c r="F139" s="49"/>
      <c r="G139" s="49"/>
      <c r="H139" s="49"/>
      <c r="I139" s="49"/>
      <c r="J139" s="49"/>
      <c r="K139" s="49"/>
      <c r="L139" s="49"/>
      <c r="M139" s="49"/>
      <c r="N139" s="49"/>
      <c r="O139" s="49"/>
      <c r="P139" s="49"/>
      <c r="Q139" s="49"/>
      <c r="R139" s="49"/>
      <c r="S139" s="49"/>
      <c r="T139" s="1808"/>
      <c r="U139" s="85"/>
      <c r="V139" s="85"/>
      <c r="W139" s="1427"/>
      <c r="X139" s="72"/>
      <c r="Y139" s="72"/>
      <c r="Z139" s="72"/>
      <c r="AA139" s="72"/>
      <c r="AB139" s="86">
        <f>AVERAGE(AB135:AB138)</f>
        <v>0.13095238095238096</v>
      </c>
      <c r="AC139" s="86">
        <f>AVERAGE(AC135:AC138)</f>
        <v>0.53050000000000008</v>
      </c>
      <c r="AD139" s="86">
        <f>AVERAGE(AD135:AD138)</f>
        <v>0.3058103975535168</v>
      </c>
      <c r="AE139" s="72"/>
      <c r="AF139" s="72"/>
      <c r="AG139" s="72"/>
      <c r="AH139" s="72"/>
      <c r="AI139" s="72"/>
      <c r="AJ139" s="72"/>
      <c r="AK139" s="73">
        <f>AVERAGE(AK136:AK138)</f>
        <v>1</v>
      </c>
      <c r="AL139" s="72"/>
      <c r="AM139" s="86">
        <f>AVERAGE(AM136:AM138)</f>
        <v>0.63811904761904759</v>
      </c>
      <c r="AN139" s="72"/>
      <c r="AO139" s="72"/>
      <c r="AP139" s="72"/>
      <c r="AQ139" s="72"/>
      <c r="AR139" s="50"/>
      <c r="AS139" s="50"/>
      <c r="AT139" s="50"/>
      <c r="AU139" s="50"/>
      <c r="AV139" s="50"/>
      <c r="AW139" s="72"/>
      <c r="AX139" s="73">
        <f>AVERAGE(AX135:AX138)</f>
        <v>0.93696397941680964</v>
      </c>
      <c r="AY139" s="125"/>
      <c r="AZ139" s="86">
        <f>AVERAGE(AZ135:AZ138)</f>
        <v>0.82645259938837923</v>
      </c>
      <c r="BA139" s="50"/>
      <c r="BB139" s="50"/>
      <c r="BC139" s="50"/>
      <c r="BD139" s="50"/>
      <c r="BE139" s="50"/>
      <c r="BF139" s="50"/>
      <c r="BG139" s="50"/>
      <c r="BH139" s="50"/>
      <c r="BI139" s="50"/>
      <c r="BJ139" s="50"/>
      <c r="BK139" s="86">
        <f>AVERAGE(BK135:BK138)</f>
        <v>1</v>
      </c>
      <c r="BL139" s="50"/>
      <c r="BM139" s="86">
        <f>AVERAGE(BM135:BM138)</f>
        <v>0.94113149847094801</v>
      </c>
      <c r="BN139" s="50"/>
      <c r="BO139" s="50"/>
      <c r="BP139" s="50"/>
      <c r="BQ139" s="50"/>
      <c r="BR139" s="50"/>
      <c r="BS139" s="50"/>
      <c r="BT139" s="50"/>
      <c r="BU139" s="50"/>
      <c r="BV139" s="50"/>
      <c r="BW139" s="50"/>
      <c r="BX139" s="50"/>
      <c r="BY139" s="50"/>
      <c r="BZ139" s="50"/>
      <c r="CA139" s="50"/>
      <c r="CB139" s="49"/>
      <c r="CC139" s="59"/>
      <c r="CD139" s="60"/>
      <c r="CE139" s="50"/>
      <c r="CF139" s="61"/>
      <c r="CG139" s="61"/>
      <c r="CH139" s="49"/>
      <c r="CI139" s="49"/>
      <c r="CJ139" s="49"/>
      <c r="CK139" s="49"/>
      <c r="CL139" s="49"/>
      <c r="CM139" s="49"/>
      <c r="CN139" s="49"/>
      <c r="CO139" s="50"/>
      <c r="CP139" s="50"/>
      <c r="CQ139" s="49"/>
      <c r="CR139" s="49"/>
      <c r="CS139" s="49"/>
      <c r="CT139" s="49"/>
      <c r="CU139" s="49"/>
      <c r="CV139" s="49"/>
      <c r="CW139" s="49"/>
      <c r="CX139" s="49"/>
    </row>
    <row r="140" spans="1:102" ht="78.75" customHeight="1" x14ac:dyDescent="0.2">
      <c r="A140" s="1811"/>
      <c r="B140" s="1807"/>
      <c r="C140" s="49"/>
      <c r="D140" s="50"/>
      <c r="E140" s="49"/>
      <c r="F140" s="49"/>
      <c r="G140" s="49"/>
      <c r="H140" s="49"/>
      <c r="I140" s="49"/>
      <c r="J140" s="49"/>
      <c r="K140" s="49"/>
      <c r="L140" s="49"/>
      <c r="M140" s="49"/>
      <c r="N140" s="49"/>
      <c r="O140" s="49"/>
      <c r="P140" s="49"/>
      <c r="Q140" s="49"/>
      <c r="R140" s="49"/>
      <c r="S140" s="49"/>
      <c r="T140" s="1809" t="s">
        <v>455</v>
      </c>
      <c r="U140" s="51" t="s">
        <v>456</v>
      </c>
      <c r="V140" s="51">
        <v>1</v>
      </c>
      <c r="W140" s="1431" t="s">
        <v>457</v>
      </c>
      <c r="X140" s="50">
        <v>1</v>
      </c>
      <c r="Y140" s="50">
        <v>1</v>
      </c>
      <c r="Z140" s="50">
        <v>1</v>
      </c>
      <c r="AA140" s="50">
        <v>1</v>
      </c>
      <c r="AB140" s="54">
        <v>0.25</v>
      </c>
      <c r="AC140" s="54">
        <v>0.25</v>
      </c>
      <c r="AD140" s="54">
        <v>0.15</v>
      </c>
      <c r="AE140" s="50">
        <v>1</v>
      </c>
      <c r="AF140" s="50">
        <v>1</v>
      </c>
      <c r="AG140" s="50"/>
      <c r="AH140" s="50">
        <v>1</v>
      </c>
      <c r="AI140" s="50"/>
      <c r="AJ140" s="50">
        <f>+AH140</f>
        <v>1</v>
      </c>
      <c r="AK140" s="54">
        <f>+AJ140/Y140</f>
        <v>1</v>
      </c>
      <c r="AL140" s="50">
        <v>1</v>
      </c>
      <c r="AM140" s="54">
        <f>+AK140/X140</f>
        <v>1</v>
      </c>
      <c r="AN140" s="50">
        <v>0.5</v>
      </c>
      <c r="AO140" s="117">
        <v>0</v>
      </c>
      <c r="AP140" s="117"/>
      <c r="AQ140" s="117">
        <v>0.3</v>
      </c>
      <c r="AR140" s="117"/>
      <c r="AS140" s="117">
        <v>0.4</v>
      </c>
      <c r="AT140" s="117"/>
      <c r="AU140" s="117">
        <v>0.1</v>
      </c>
      <c r="AV140" s="117"/>
      <c r="AW140" s="54">
        <f>+AQ140+AS140+AU140</f>
        <v>0.79999999999999993</v>
      </c>
      <c r="AX140" s="54">
        <f>+AW140</f>
        <v>0.79999999999999993</v>
      </c>
      <c r="AY140" s="54">
        <f>+AX140</f>
        <v>0.79999999999999993</v>
      </c>
      <c r="AZ140" s="57">
        <f>+AY140</f>
        <v>0.79999999999999993</v>
      </c>
      <c r="BA140" s="50">
        <v>1</v>
      </c>
      <c r="BB140" s="50">
        <v>0.05</v>
      </c>
      <c r="BC140" s="50"/>
      <c r="BD140" s="50">
        <v>0.03</v>
      </c>
      <c r="BE140" s="50"/>
      <c r="BF140" s="50">
        <v>0.1</v>
      </c>
      <c r="BG140" s="50"/>
      <c r="BH140" s="50">
        <v>0.15</v>
      </c>
      <c r="BI140" s="50"/>
      <c r="BJ140" s="50">
        <f>+BH140</f>
        <v>0.15</v>
      </c>
      <c r="BK140" s="57">
        <f>BJ140/BA140</f>
        <v>0.15</v>
      </c>
      <c r="BL140" s="54">
        <f>+BH140+AZ140</f>
        <v>0.95</v>
      </c>
      <c r="BM140" s="57">
        <f>BL140/X140</f>
        <v>0.95</v>
      </c>
      <c r="BN140" s="50"/>
      <c r="BO140" s="50"/>
      <c r="BP140" s="50"/>
      <c r="BQ140" s="50"/>
      <c r="BR140" s="50"/>
      <c r="BS140" s="50"/>
      <c r="BT140" s="50"/>
      <c r="BU140" s="50"/>
      <c r="BV140" s="50"/>
      <c r="BW140" s="50"/>
      <c r="BX140" s="50"/>
      <c r="BY140" s="50"/>
      <c r="BZ140" s="50"/>
      <c r="CA140" s="50"/>
      <c r="CB140" s="49"/>
      <c r="CC140" s="59"/>
      <c r="CD140" s="60"/>
      <c r="CE140" s="50"/>
      <c r="CF140" s="61"/>
      <c r="CG140" s="61"/>
      <c r="CH140" s="49"/>
      <c r="CI140" s="49"/>
      <c r="CJ140" s="49"/>
      <c r="CK140" s="49"/>
      <c r="CL140" s="49"/>
      <c r="CM140" s="49"/>
      <c r="CN140" s="49"/>
      <c r="CO140" s="50"/>
      <c r="CP140" s="50"/>
      <c r="CQ140" s="49"/>
      <c r="CR140" s="49"/>
      <c r="CS140" s="49"/>
      <c r="CT140" s="49"/>
      <c r="CU140" s="49"/>
      <c r="CV140" s="49"/>
      <c r="CW140" s="49"/>
      <c r="CX140" s="49"/>
    </row>
    <row r="141" spans="1:102" ht="42.75" customHeight="1" x14ac:dyDescent="0.2">
      <c r="A141" s="1811"/>
      <c r="B141" s="1807"/>
      <c r="C141" s="49"/>
      <c r="D141" s="50"/>
      <c r="E141" s="49"/>
      <c r="F141" s="49"/>
      <c r="G141" s="49"/>
      <c r="H141" s="49"/>
      <c r="I141" s="49"/>
      <c r="J141" s="49"/>
      <c r="K141" s="49"/>
      <c r="L141" s="49"/>
      <c r="M141" s="49"/>
      <c r="N141" s="49"/>
      <c r="O141" s="49"/>
      <c r="P141" s="49"/>
      <c r="Q141" s="49"/>
      <c r="R141" s="49"/>
      <c r="S141" s="49"/>
      <c r="T141" s="1807"/>
      <c r="U141" s="51" t="s">
        <v>458</v>
      </c>
      <c r="V141" s="51">
        <v>48</v>
      </c>
      <c r="W141" s="1431" t="s">
        <v>459</v>
      </c>
      <c r="X141" s="50">
        <v>120</v>
      </c>
      <c r="Y141" s="50">
        <v>20</v>
      </c>
      <c r="Z141" s="50">
        <v>35</v>
      </c>
      <c r="AA141" s="50">
        <v>35</v>
      </c>
      <c r="AB141" s="54">
        <f>+Y141/X141</f>
        <v>0.16666666666666666</v>
      </c>
      <c r="AC141" s="54">
        <f>+Z141/X141</f>
        <v>0.29166666666666669</v>
      </c>
      <c r="AD141" s="54">
        <f>AA141/X141</f>
        <v>0.29166666666666669</v>
      </c>
      <c r="AE141" s="50">
        <v>28</v>
      </c>
      <c r="AF141" s="50">
        <v>29</v>
      </c>
      <c r="AG141" s="50"/>
      <c r="AH141" s="50">
        <v>29</v>
      </c>
      <c r="AI141" s="50"/>
      <c r="AJ141" s="50">
        <f>+AH141</f>
        <v>29</v>
      </c>
      <c r="AK141" s="54">
        <v>1</v>
      </c>
      <c r="AL141" s="50">
        <f>+AJ141</f>
        <v>29</v>
      </c>
      <c r="AM141" s="54">
        <f>+AL141/X141</f>
        <v>0.24166666666666667</v>
      </c>
      <c r="AN141" s="50">
        <v>35</v>
      </c>
      <c r="AO141" s="117">
        <v>12</v>
      </c>
      <c r="AP141" s="50"/>
      <c r="AQ141" s="50">
        <v>15</v>
      </c>
      <c r="AR141" s="50"/>
      <c r="AS141" s="50">
        <v>3</v>
      </c>
      <c r="AT141" s="50"/>
      <c r="AU141" s="50">
        <v>6</v>
      </c>
      <c r="AV141" s="50"/>
      <c r="AW141" s="50">
        <f>AO141+AQ141+AS141+AU141</f>
        <v>36</v>
      </c>
      <c r="AX141" s="54">
        <v>1</v>
      </c>
      <c r="AY141" s="50">
        <v>66</v>
      </c>
      <c r="AZ141" s="57">
        <f>AY141/X141</f>
        <v>0.55000000000000004</v>
      </c>
      <c r="BA141" s="50">
        <v>35</v>
      </c>
      <c r="BB141" s="50">
        <v>0</v>
      </c>
      <c r="BC141" s="50"/>
      <c r="BD141" s="50">
        <v>12</v>
      </c>
      <c r="BE141" s="50"/>
      <c r="BF141" s="50">
        <v>0</v>
      </c>
      <c r="BG141" s="50"/>
      <c r="BH141" s="50">
        <v>26</v>
      </c>
      <c r="BI141" s="50"/>
      <c r="BJ141" s="50">
        <f>+BD141+BH141</f>
        <v>38</v>
      </c>
      <c r="BK141" s="57">
        <v>1</v>
      </c>
      <c r="BL141" s="50">
        <f>AY141+BB141+BD141+BH141</f>
        <v>104</v>
      </c>
      <c r="BM141" s="57">
        <f>BL141/X141</f>
        <v>0.8666666666666667</v>
      </c>
      <c r="BN141" s="50"/>
      <c r="BO141" s="50"/>
      <c r="BP141" s="50"/>
      <c r="BQ141" s="50"/>
      <c r="BR141" s="50"/>
      <c r="BS141" s="50"/>
      <c r="BT141" s="50"/>
      <c r="BU141" s="50"/>
      <c r="BV141" s="50"/>
      <c r="BW141" s="50"/>
      <c r="BX141" s="50"/>
      <c r="BY141" s="50"/>
      <c r="BZ141" s="50"/>
      <c r="CA141" s="50"/>
      <c r="CB141" s="49"/>
      <c r="CC141" s="59"/>
      <c r="CD141" s="60"/>
      <c r="CE141" s="50"/>
      <c r="CF141" s="61"/>
      <c r="CG141" s="61"/>
      <c r="CH141" s="49"/>
      <c r="CI141" s="49"/>
      <c r="CJ141" s="49"/>
      <c r="CK141" s="49"/>
      <c r="CL141" s="49"/>
      <c r="CM141" s="49"/>
      <c r="CN141" s="49"/>
      <c r="CO141" s="50"/>
      <c r="CP141" s="50"/>
      <c r="CQ141" s="49"/>
      <c r="CR141" s="49"/>
      <c r="CS141" s="49"/>
      <c r="CT141" s="49"/>
      <c r="CU141" s="49"/>
      <c r="CV141" s="49"/>
      <c r="CW141" s="49"/>
      <c r="CX141" s="49"/>
    </row>
    <row r="142" spans="1:102" ht="37.5" customHeight="1" x14ac:dyDescent="0.2">
      <c r="A142" s="1811"/>
      <c r="B142" s="1807"/>
      <c r="C142" s="49"/>
      <c r="D142" s="50"/>
      <c r="E142" s="49"/>
      <c r="F142" s="49"/>
      <c r="G142" s="49"/>
      <c r="H142" s="49"/>
      <c r="I142" s="49"/>
      <c r="J142" s="49"/>
      <c r="K142" s="49"/>
      <c r="L142" s="49"/>
      <c r="M142" s="49"/>
      <c r="N142" s="49"/>
      <c r="O142" s="49"/>
      <c r="P142" s="49"/>
      <c r="Q142" s="49"/>
      <c r="R142" s="49"/>
      <c r="S142" s="49"/>
      <c r="T142" s="1807"/>
      <c r="U142" s="51" t="s">
        <v>460</v>
      </c>
      <c r="V142" s="51">
        <v>25</v>
      </c>
      <c r="W142" s="1431" t="s">
        <v>461</v>
      </c>
      <c r="X142" s="50">
        <v>100</v>
      </c>
      <c r="Y142" s="50">
        <v>20</v>
      </c>
      <c r="Z142" s="50">
        <v>35</v>
      </c>
      <c r="AA142" s="50">
        <v>25</v>
      </c>
      <c r="AB142" s="54">
        <f>+Y142/X142</f>
        <v>0.2</v>
      </c>
      <c r="AC142" s="54">
        <f>+Z142/X142</f>
        <v>0.35</v>
      </c>
      <c r="AD142" s="54"/>
      <c r="AE142" s="50">
        <v>0</v>
      </c>
      <c r="AF142" s="50">
        <v>1</v>
      </c>
      <c r="AG142" s="50"/>
      <c r="AH142" s="50">
        <v>301</v>
      </c>
      <c r="AI142" s="50"/>
      <c r="AJ142" s="50">
        <f>+AH142</f>
        <v>301</v>
      </c>
      <c r="AK142" s="54">
        <v>1</v>
      </c>
      <c r="AL142" s="50">
        <f>+AJ142</f>
        <v>301</v>
      </c>
      <c r="AM142" s="55">
        <v>1</v>
      </c>
      <c r="AN142" s="50">
        <v>35</v>
      </c>
      <c r="AO142" s="117">
        <v>0</v>
      </c>
      <c r="AP142" s="117"/>
      <c r="AQ142" s="117">
        <v>31</v>
      </c>
      <c r="AR142" s="117"/>
      <c r="AS142" s="117">
        <v>48</v>
      </c>
      <c r="AT142" s="117"/>
      <c r="AU142" s="117">
        <v>125</v>
      </c>
      <c r="AV142" s="117"/>
      <c r="AW142" s="50">
        <f>+AQ142+AS142+AU142</f>
        <v>204</v>
      </c>
      <c r="AX142" s="54">
        <v>1</v>
      </c>
      <c r="AY142" s="50">
        <f>AW142+AL142</f>
        <v>505</v>
      </c>
      <c r="AZ142" s="57">
        <v>1</v>
      </c>
      <c r="BA142" s="50">
        <v>25</v>
      </c>
      <c r="BB142" s="50">
        <v>44</v>
      </c>
      <c r="BC142" s="50"/>
      <c r="BD142" s="50">
        <v>30</v>
      </c>
      <c r="BE142" s="50"/>
      <c r="BF142" s="50">
        <v>40</v>
      </c>
      <c r="BG142" s="61" t="s">
        <v>2224</v>
      </c>
      <c r="BH142" s="50">
        <v>80</v>
      </c>
      <c r="BI142" s="50"/>
      <c r="BJ142" s="50">
        <f>BB142+BD142+BF142+BH142</f>
        <v>194</v>
      </c>
      <c r="BK142" s="58">
        <f>IFERROR(IF((+BJ142/BA142)&gt;100%,100%,(+BJ142/BA142)),"NP")</f>
        <v>1</v>
      </c>
      <c r="BL142" s="50">
        <f>AY142+BB142+BH142</f>
        <v>629</v>
      </c>
      <c r="BM142" s="58">
        <f>IFERROR(IF((+BL142/X142)&gt;100%,100%,(+BL142/X142)),"NP")</f>
        <v>1</v>
      </c>
      <c r="BN142" s="50"/>
      <c r="BO142" s="50"/>
      <c r="BP142" s="50"/>
      <c r="BQ142" s="50"/>
      <c r="BR142" s="50"/>
      <c r="BS142" s="50"/>
      <c r="BT142" s="50"/>
      <c r="BU142" s="50"/>
      <c r="BV142" s="50"/>
      <c r="BW142" s="50"/>
      <c r="BX142" s="50"/>
      <c r="BY142" s="50"/>
      <c r="BZ142" s="50"/>
      <c r="CA142" s="50"/>
      <c r="CB142" s="49"/>
      <c r="CC142" s="59"/>
      <c r="CD142" s="60"/>
      <c r="CE142" s="50"/>
      <c r="CF142" s="61"/>
      <c r="CG142" s="61"/>
      <c r="CH142" s="49"/>
      <c r="CI142" s="49"/>
      <c r="CJ142" s="49"/>
      <c r="CK142" s="49"/>
      <c r="CL142" s="49"/>
      <c r="CM142" s="49"/>
      <c r="CN142" s="49"/>
      <c r="CO142" s="50"/>
      <c r="CP142" s="50"/>
      <c r="CQ142" s="49"/>
      <c r="CR142" s="49"/>
      <c r="CS142" s="49"/>
      <c r="CT142" s="49"/>
      <c r="CU142" s="49"/>
      <c r="CV142" s="49"/>
      <c r="CW142" s="49"/>
      <c r="CX142" s="49"/>
    </row>
    <row r="143" spans="1:102" ht="46.5" customHeight="1" x14ac:dyDescent="0.2">
      <c r="A143" s="1811"/>
      <c r="B143" s="1807"/>
      <c r="C143" s="49"/>
      <c r="D143" s="50"/>
      <c r="E143" s="49"/>
      <c r="F143" s="49"/>
      <c r="G143" s="49"/>
      <c r="H143" s="49"/>
      <c r="I143" s="49"/>
      <c r="J143" s="49"/>
      <c r="K143" s="49"/>
      <c r="L143" s="49"/>
      <c r="M143" s="49"/>
      <c r="N143" s="49"/>
      <c r="O143" s="49"/>
      <c r="P143" s="49"/>
      <c r="Q143" s="49"/>
      <c r="R143" s="49"/>
      <c r="S143" s="49"/>
      <c r="T143" s="1807"/>
      <c r="U143" s="51" t="s">
        <v>462</v>
      </c>
      <c r="V143" s="51">
        <v>1800</v>
      </c>
      <c r="W143" s="1431" t="s">
        <v>463</v>
      </c>
      <c r="X143" s="63">
        <v>1620</v>
      </c>
      <c r="Y143" s="63">
        <v>1650</v>
      </c>
      <c r="Z143" s="63">
        <v>1620</v>
      </c>
      <c r="AA143" s="63">
        <v>1620</v>
      </c>
      <c r="AB143" s="65">
        <v>0.25</v>
      </c>
      <c r="AC143" s="54">
        <v>0.25</v>
      </c>
      <c r="AD143" s="54"/>
      <c r="AE143" s="63">
        <v>1506</v>
      </c>
      <c r="AF143" s="63">
        <v>9</v>
      </c>
      <c r="AG143" s="50"/>
      <c r="AH143" s="50">
        <v>1518</v>
      </c>
      <c r="AI143" s="50"/>
      <c r="AJ143" s="50">
        <f>+AH143</f>
        <v>1518</v>
      </c>
      <c r="AK143" s="54">
        <f>+AJ143/Y143</f>
        <v>0.92</v>
      </c>
      <c r="AL143" s="50">
        <f>+AJ143</f>
        <v>1518</v>
      </c>
      <c r="AM143" s="55">
        <v>1</v>
      </c>
      <c r="AN143" s="63">
        <v>1620</v>
      </c>
      <c r="AO143" s="117">
        <v>1379</v>
      </c>
      <c r="AP143" s="117"/>
      <c r="AQ143" s="117">
        <v>1432</v>
      </c>
      <c r="AR143" s="117"/>
      <c r="AS143" s="117">
        <v>1399</v>
      </c>
      <c r="AT143" s="117"/>
      <c r="AU143" s="117">
        <v>1434</v>
      </c>
      <c r="AV143" s="117"/>
      <c r="AW143" s="50">
        <f>+AU143</f>
        <v>1434</v>
      </c>
      <c r="AX143" s="54">
        <v>1</v>
      </c>
      <c r="AY143" s="50">
        <f>+AW143</f>
        <v>1434</v>
      </c>
      <c r="AZ143" s="57">
        <v>1</v>
      </c>
      <c r="BA143" s="50">
        <v>1620</v>
      </c>
      <c r="BB143" s="50">
        <v>845</v>
      </c>
      <c r="BC143" s="50"/>
      <c r="BD143" s="50">
        <v>1222</v>
      </c>
      <c r="BE143" s="50"/>
      <c r="BF143" s="50">
        <v>1024</v>
      </c>
      <c r="BG143" s="61" t="s">
        <v>2224</v>
      </c>
      <c r="BH143" s="50">
        <v>1021</v>
      </c>
      <c r="BI143" s="50"/>
      <c r="BJ143" s="50">
        <f>+BH143</f>
        <v>1021</v>
      </c>
      <c r="BK143" s="57">
        <v>1</v>
      </c>
      <c r="BL143" s="50">
        <f>AL143+BH143</f>
        <v>2539</v>
      </c>
      <c r="BM143" s="58">
        <f>IFERROR(IF((+BL143/X143)&gt;100%,100%,(+BL143/X143)),"NP")</f>
        <v>1</v>
      </c>
      <c r="BN143" s="50"/>
      <c r="BO143" s="50"/>
      <c r="BP143" s="50"/>
      <c r="BQ143" s="50"/>
      <c r="BR143" s="50"/>
      <c r="BS143" s="50"/>
      <c r="BT143" s="50"/>
      <c r="BU143" s="50"/>
      <c r="BV143" s="50"/>
      <c r="BW143" s="50"/>
      <c r="BX143" s="50"/>
      <c r="BY143" s="50"/>
      <c r="BZ143" s="50"/>
      <c r="CA143" s="50"/>
      <c r="CB143" s="49"/>
      <c r="CC143" s="59"/>
      <c r="CD143" s="60"/>
      <c r="CE143" s="50"/>
      <c r="CF143" s="61"/>
      <c r="CG143" s="61"/>
      <c r="CH143" s="49"/>
      <c r="CI143" s="49"/>
      <c r="CJ143" s="49"/>
      <c r="CK143" s="49"/>
      <c r="CL143" s="49"/>
      <c r="CM143" s="49"/>
      <c r="CN143" s="49"/>
      <c r="CO143" s="50"/>
      <c r="CP143" s="50"/>
      <c r="CQ143" s="49"/>
      <c r="CR143" s="49"/>
      <c r="CS143" s="49"/>
      <c r="CT143" s="49"/>
      <c r="CU143" s="49"/>
      <c r="CV143" s="49"/>
      <c r="CW143" s="49"/>
      <c r="CX143" s="49"/>
    </row>
    <row r="144" spans="1:102" ht="43.5" customHeight="1" x14ac:dyDescent="0.2">
      <c r="A144" s="1811"/>
      <c r="B144" s="1807"/>
      <c r="C144" s="49"/>
      <c r="D144" s="50"/>
      <c r="E144" s="49"/>
      <c r="F144" s="49"/>
      <c r="G144" s="49"/>
      <c r="H144" s="49"/>
      <c r="I144" s="49"/>
      <c r="J144" s="49"/>
      <c r="K144" s="49"/>
      <c r="L144" s="49"/>
      <c r="M144" s="49"/>
      <c r="N144" s="49"/>
      <c r="O144" s="49"/>
      <c r="P144" s="49"/>
      <c r="Q144" s="49"/>
      <c r="R144" s="49"/>
      <c r="S144" s="49"/>
      <c r="T144" s="1807"/>
      <c r="U144" s="51" t="s">
        <v>464</v>
      </c>
      <c r="V144" s="51">
        <v>0</v>
      </c>
      <c r="W144" s="1431" t="s">
        <v>465</v>
      </c>
      <c r="X144" s="50">
        <v>1</v>
      </c>
      <c r="Y144" s="50" t="s">
        <v>177</v>
      </c>
      <c r="Z144" s="50">
        <v>1</v>
      </c>
      <c r="AA144" s="50">
        <v>1</v>
      </c>
      <c r="AB144" s="54"/>
      <c r="AC144" s="54">
        <f>+Z144/X144</f>
        <v>1</v>
      </c>
      <c r="AD144" s="54">
        <v>0.16</v>
      </c>
      <c r="AE144" s="50"/>
      <c r="AF144" s="50"/>
      <c r="AG144" s="50"/>
      <c r="AH144" s="50"/>
      <c r="AI144" s="50"/>
      <c r="AJ144" s="50"/>
      <c r="AK144" s="54"/>
      <c r="AL144" s="50"/>
      <c r="AM144" s="54"/>
      <c r="AN144" s="50">
        <v>1</v>
      </c>
      <c r="AO144" s="117">
        <v>0.4</v>
      </c>
      <c r="AP144" s="117"/>
      <c r="AQ144" s="117">
        <v>0.2</v>
      </c>
      <c r="AR144" s="117"/>
      <c r="AS144" s="117">
        <v>0.15</v>
      </c>
      <c r="AT144" s="117"/>
      <c r="AU144" s="117">
        <v>0.05</v>
      </c>
      <c r="AV144" s="117"/>
      <c r="AW144" s="50">
        <f>AO144+AQ144+AS144+AU144</f>
        <v>0.80000000000000016</v>
      </c>
      <c r="AX144" s="54">
        <f>AW144/AN144</f>
        <v>0.80000000000000016</v>
      </c>
      <c r="AY144" s="50">
        <f>AW144+AL144</f>
        <v>0.80000000000000016</v>
      </c>
      <c r="AZ144" s="57">
        <f>AY144/X144</f>
        <v>0.80000000000000016</v>
      </c>
      <c r="BA144" s="50">
        <v>1</v>
      </c>
      <c r="BB144" s="54">
        <v>0.01</v>
      </c>
      <c r="BC144" s="50"/>
      <c r="BD144" s="54">
        <v>0.02</v>
      </c>
      <c r="BE144" s="50"/>
      <c r="BF144" s="54">
        <v>0.04</v>
      </c>
      <c r="BG144" s="50"/>
      <c r="BH144" s="54">
        <v>0.02</v>
      </c>
      <c r="BI144" s="50"/>
      <c r="BJ144" s="54">
        <f>BB144+BD144+BF144+BH144</f>
        <v>9.0000000000000011E-2</v>
      </c>
      <c r="BK144" s="57">
        <f>BJ144/BA144</f>
        <v>9.0000000000000011E-2</v>
      </c>
      <c r="BL144" s="54">
        <f>AY144+BB144+BD144+BF144+BH144</f>
        <v>0.89000000000000024</v>
      </c>
      <c r="BM144" s="57">
        <f>BL144/X144</f>
        <v>0.89000000000000024</v>
      </c>
      <c r="BN144" s="50"/>
      <c r="BO144" s="50"/>
      <c r="BP144" s="50"/>
      <c r="BQ144" s="50"/>
      <c r="BR144" s="50"/>
      <c r="BS144" s="50"/>
      <c r="BT144" s="50"/>
      <c r="BU144" s="50"/>
      <c r="BV144" s="50"/>
      <c r="BW144" s="50"/>
      <c r="BX144" s="50"/>
      <c r="BY144" s="50"/>
      <c r="BZ144" s="50"/>
      <c r="CA144" s="50"/>
      <c r="CB144" s="49"/>
      <c r="CC144" s="59"/>
      <c r="CD144" s="60"/>
      <c r="CE144" s="50"/>
      <c r="CF144" s="61"/>
      <c r="CG144" s="61"/>
      <c r="CH144" s="49"/>
      <c r="CI144" s="49"/>
      <c r="CJ144" s="49"/>
      <c r="CK144" s="49"/>
      <c r="CL144" s="49"/>
      <c r="CM144" s="49"/>
      <c r="CN144" s="49"/>
      <c r="CO144" s="50"/>
      <c r="CP144" s="50"/>
      <c r="CQ144" s="49"/>
      <c r="CR144" s="49"/>
      <c r="CS144" s="49"/>
      <c r="CT144" s="49"/>
      <c r="CU144" s="49"/>
      <c r="CV144" s="49"/>
      <c r="CW144" s="49"/>
      <c r="CX144" s="49"/>
    </row>
    <row r="145" spans="1:102" ht="42" customHeight="1" x14ac:dyDescent="0.2">
      <c r="A145" s="1811"/>
      <c r="B145" s="1807"/>
      <c r="C145" s="49"/>
      <c r="D145" s="50"/>
      <c r="E145" s="49"/>
      <c r="F145" s="49"/>
      <c r="G145" s="49"/>
      <c r="H145" s="49"/>
      <c r="I145" s="49"/>
      <c r="J145" s="49"/>
      <c r="K145" s="49"/>
      <c r="L145" s="49"/>
      <c r="M145" s="49"/>
      <c r="N145" s="49"/>
      <c r="O145" s="49"/>
      <c r="P145" s="49"/>
      <c r="Q145" s="49"/>
      <c r="R145" s="49"/>
      <c r="S145" s="49"/>
      <c r="T145" s="1807"/>
      <c r="U145" s="51" t="s">
        <v>466</v>
      </c>
      <c r="V145" s="51" t="s">
        <v>201</v>
      </c>
      <c r="W145" s="1431" t="s">
        <v>467</v>
      </c>
      <c r="X145" s="54">
        <v>1</v>
      </c>
      <c r="Y145" s="54">
        <v>1</v>
      </c>
      <c r="Z145" s="54">
        <v>0.25</v>
      </c>
      <c r="AA145" s="54">
        <v>1</v>
      </c>
      <c r="AB145" s="54">
        <v>0.25</v>
      </c>
      <c r="AC145" s="54">
        <f>+Z145/X145</f>
        <v>0.25</v>
      </c>
      <c r="AD145" s="54"/>
      <c r="AE145" s="54">
        <v>1</v>
      </c>
      <c r="AF145" s="54">
        <v>1</v>
      </c>
      <c r="AG145" s="50"/>
      <c r="AH145" s="54">
        <v>1</v>
      </c>
      <c r="AI145" s="50"/>
      <c r="AJ145" s="54">
        <f>+AH145</f>
        <v>1</v>
      </c>
      <c r="AK145" s="54">
        <f>+AJ145/Y145</f>
        <v>1</v>
      </c>
      <c r="AL145" s="54">
        <v>1</v>
      </c>
      <c r="AM145" s="54">
        <v>1</v>
      </c>
      <c r="AN145" s="124">
        <v>1</v>
      </c>
      <c r="AO145" s="124">
        <v>0.12</v>
      </c>
      <c r="AP145" s="117"/>
      <c r="AQ145" s="124">
        <v>0.88</v>
      </c>
      <c r="AR145" s="117"/>
      <c r="AS145" s="124">
        <v>1</v>
      </c>
      <c r="AT145" s="117"/>
      <c r="AU145" s="124">
        <v>1</v>
      </c>
      <c r="AV145" s="117"/>
      <c r="AW145" s="54">
        <f>AO145+AQ145</f>
        <v>1</v>
      </c>
      <c r="AX145" s="54">
        <f>AW145/AN145</f>
        <v>1</v>
      </c>
      <c r="AY145" s="124">
        <v>1</v>
      </c>
      <c r="AZ145" s="57">
        <v>1</v>
      </c>
      <c r="BA145" s="57">
        <v>1</v>
      </c>
      <c r="BB145" s="57">
        <v>1</v>
      </c>
      <c r="BC145" s="50"/>
      <c r="BD145" s="54">
        <v>1</v>
      </c>
      <c r="BE145" s="50"/>
      <c r="BF145" s="54">
        <v>1</v>
      </c>
      <c r="BG145" s="61" t="s">
        <v>2224</v>
      </c>
      <c r="BH145" s="54">
        <v>1</v>
      </c>
      <c r="BI145" s="50"/>
      <c r="BJ145" s="57">
        <f>BB145</f>
        <v>1</v>
      </c>
      <c r="BK145" s="57">
        <f>BJ145/BA145</f>
        <v>1</v>
      </c>
      <c r="BL145" s="57">
        <v>1</v>
      </c>
      <c r="BM145" s="57">
        <f>BL145/X145</f>
        <v>1</v>
      </c>
      <c r="BN145" s="50"/>
      <c r="BO145" s="50"/>
      <c r="BP145" s="50"/>
      <c r="BQ145" s="50"/>
      <c r="BR145" s="50"/>
      <c r="BS145" s="50"/>
      <c r="BT145" s="50"/>
      <c r="BU145" s="50"/>
      <c r="BV145" s="50"/>
      <c r="BW145" s="50"/>
      <c r="BX145" s="50"/>
      <c r="BY145" s="50"/>
      <c r="BZ145" s="50"/>
      <c r="CA145" s="50"/>
      <c r="CB145" s="49"/>
      <c r="CC145" s="59"/>
      <c r="CD145" s="60"/>
      <c r="CE145" s="50"/>
      <c r="CF145" s="61"/>
      <c r="CG145" s="61"/>
      <c r="CH145" s="49"/>
      <c r="CI145" s="49"/>
      <c r="CJ145" s="49"/>
      <c r="CK145" s="49"/>
      <c r="CL145" s="49"/>
      <c r="CM145" s="49"/>
      <c r="CN145" s="49"/>
      <c r="CO145" s="50"/>
      <c r="CP145" s="50"/>
      <c r="CQ145" s="49"/>
      <c r="CR145" s="49"/>
      <c r="CS145" s="49"/>
      <c r="CT145" s="49"/>
      <c r="CU145" s="49"/>
      <c r="CV145" s="49"/>
      <c r="CW145" s="49"/>
      <c r="CX145" s="49"/>
    </row>
    <row r="146" spans="1:102" ht="12.75" customHeight="1" x14ac:dyDescent="0.2">
      <c r="A146" s="1811"/>
      <c r="B146" s="1807"/>
      <c r="C146" s="49"/>
      <c r="D146" s="50"/>
      <c r="E146" s="49"/>
      <c r="F146" s="49"/>
      <c r="G146" s="49"/>
      <c r="H146" s="49"/>
      <c r="I146" s="49"/>
      <c r="J146" s="49"/>
      <c r="K146" s="49"/>
      <c r="L146" s="49"/>
      <c r="M146" s="49"/>
      <c r="N146" s="49"/>
      <c r="O146" s="49"/>
      <c r="P146" s="49"/>
      <c r="Q146" s="49"/>
      <c r="R146" s="49"/>
      <c r="S146" s="49"/>
      <c r="T146" s="1808"/>
      <c r="U146" s="85"/>
      <c r="V146" s="85"/>
      <c r="W146" s="1427"/>
      <c r="X146" s="72"/>
      <c r="Y146" s="72"/>
      <c r="Z146" s="72"/>
      <c r="AA146" s="72"/>
      <c r="AB146" s="86">
        <f>AVERAGE(AB140:AB145)</f>
        <v>0.22333333333333333</v>
      </c>
      <c r="AC146" s="86">
        <f>AVERAGE(AC140:AC145)</f>
        <v>0.39861111111111108</v>
      </c>
      <c r="AD146" s="86">
        <f>AVERAGE(AD140:AD145)</f>
        <v>0.20055555555555557</v>
      </c>
      <c r="AE146" s="72"/>
      <c r="AF146" s="72"/>
      <c r="AG146" s="72"/>
      <c r="AH146" s="72"/>
      <c r="AI146" s="72"/>
      <c r="AJ146" s="72"/>
      <c r="AK146" s="86">
        <f>AVERAGE(AK140:AK145)</f>
        <v>0.98399999999999999</v>
      </c>
      <c r="AL146" s="72"/>
      <c r="AM146" s="86">
        <f>AVERAGE(AM140:AM145)</f>
        <v>0.84833333333333338</v>
      </c>
      <c r="AN146" s="72"/>
      <c r="AO146" s="72"/>
      <c r="AP146" s="50"/>
      <c r="AQ146" s="50"/>
      <c r="AR146" s="50"/>
      <c r="AS146" s="50"/>
      <c r="AT146" s="50"/>
      <c r="AU146" s="50"/>
      <c r="AV146" s="50"/>
      <c r="AW146" s="50"/>
      <c r="AX146" s="86">
        <f>AVERAGE(AX140:AX145)</f>
        <v>0.93333333333333324</v>
      </c>
      <c r="AY146" s="86"/>
      <c r="AZ146" s="86">
        <f>AVERAGE(AZ140:AZ145)</f>
        <v>0.85833333333333339</v>
      </c>
      <c r="BA146" s="50"/>
      <c r="BB146" s="50"/>
      <c r="BC146" s="50"/>
      <c r="BD146" s="50"/>
      <c r="BE146" s="50"/>
      <c r="BF146" s="50"/>
      <c r="BG146" s="50"/>
      <c r="BH146" s="50"/>
      <c r="BI146" s="50"/>
      <c r="BJ146" s="50"/>
      <c r="BK146" s="73">
        <f>AVERAGE(BK140:BK145)</f>
        <v>0.70666666666666667</v>
      </c>
      <c r="BL146" s="50"/>
      <c r="BM146" s="86">
        <f>AVERAGE(BM140:BM145)</f>
        <v>0.95111111111111113</v>
      </c>
      <c r="BN146" s="50"/>
      <c r="BO146" s="50"/>
      <c r="BP146" s="50"/>
      <c r="BQ146" s="50"/>
      <c r="BR146" s="50"/>
      <c r="BS146" s="50"/>
      <c r="BT146" s="50"/>
      <c r="BU146" s="50"/>
      <c r="BV146" s="50"/>
      <c r="BW146" s="50"/>
      <c r="BX146" s="50"/>
      <c r="BY146" s="50"/>
      <c r="BZ146" s="50"/>
      <c r="CA146" s="50"/>
      <c r="CB146" s="49"/>
      <c r="CC146" s="59"/>
      <c r="CD146" s="60"/>
      <c r="CE146" s="50"/>
      <c r="CF146" s="61"/>
      <c r="CG146" s="61"/>
      <c r="CH146" s="49"/>
      <c r="CI146" s="49"/>
      <c r="CJ146" s="49"/>
      <c r="CK146" s="49"/>
      <c r="CL146" s="49"/>
      <c r="CM146" s="49"/>
      <c r="CN146" s="49"/>
      <c r="CO146" s="50"/>
      <c r="CP146" s="50"/>
      <c r="CQ146" s="49"/>
      <c r="CR146" s="49"/>
      <c r="CS146" s="49"/>
      <c r="CT146" s="49"/>
      <c r="CU146" s="49"/>
      <c r="CV146" s="49"/>
      <c r="CW146" s="49"/>
      <c r="CX146" s="49"/>
    </row>
    <row r="147" spans="1:102" ht="51" customHeight="1" x14ac:dyDescent="0.2">
      <c r="A147" s="1811"/>
      <c r="B147" s="1807"/>
      <c r="C147" s="49"/>
      <c r="D147" s="50"/>
      <c r="E147" s="49"/>
      <c r="F147" s="49"/>
      <c r="G147" s="49"/>
      <c r="H147" s="49"/>
      <c r="I147" s="49"/>
      <c r="J147" s="49"/>
      <c r="K147" s="49"/>
      <c r="L147" s="49"/>
      <c r="M147" s="49"/>
      <c r="N147" s="49"/>
      <c r="O147" s="49"/>
      <c r="P147" s="49"/>
      <c r="Q147" s="49"/>
      <c r="R147" s="49"/>
      <c r="S147" s="49"/>
      <c r="T147" s="1809" t="s">
        <v>468</v>
      </c>
      <c r="U147" s="51" t="s">
        <v>469</v>
      </c>
      <c r="V147" s="51" t="s">
        <v>470</v>
      </c>
      <c r="W147" s="1425" t="s">
        <v>471</v>
      </c>
      <c r="X147" s="50">
        <v>1</v>
      </c>
      <c r="Y147" s="50" t="s">
        <v>177</v>
      </c>
      <c r="Z147" s="50">
        <v>1</v>
      </c>
      <c r="AA147" s="50">
        <v>1</v>
      </c>
      <c r="AB147" s="50"/>
      <c r="AC147" s="54">
        <f>+Z147/X147</f>
        <v>1</v>
      </c>
      <c r="AD147" s="54">
        <v>1</v>
      </c>
      <c r="AE147" s="50"/>
      <c r="AF147" s="50"/>
      <c r="AG147" s="50"/>
      <c r="AH147" s="50"/>
      <c r="AI147" s="50"/>
      <c r="AJ147" s="50"/>
      <c r="AK147" s="50"/>
      <c r="AL147" s="50"/>
      <c r="AM147" s="50"/>
      <c r="AN147" s="50">
        <v>1</v>
      </c>
      <c r="AO147" s="117">
        <v>0</v>
      </c>
      <c r="AP147" s="50"/>
      <c r="AQ147" s="50">
        <v>0</v>
      </c>
      <c r="AR147" s="50"/>
      <c r="AS147" s="50"/>
      <c r="AT147" s="50"/>
      <c r="AU147" s="50">
        <v>0</v>
      </c>
      <c r="AV147" s="50"/>
      <c r="AW147" s="50">
        <f>AO147+AQ147</f>
        <v>0</v>
      </c>
      <c r="AX147" s="57">
        <f>AW147/AN147</f>
        <v>0</v>
      </c>
      <c r="AY147" s="50">
        <f>AW147+AL147</f>
        <v>0</v>
      </c>
      <c r="AZ147" s="57">
        <f>AY147/X147</f>
        <v>0</v>
      </c>
      <c r="BA147" s="50">
        <v>1</v>
      </c>
      <c r="BB147" s="50">
        <v>0</v>
      </c>
      <c r="BC147" s="50"/>
      <c r="BD147" s="50"/>
      <c r="BE147" s="50"/>
      <c r="BF147" s="50"/>
      <c r="BG147" s="50"/>
      <c r="BH147" s="50">
        <v>0</v>
      </c>
      <c r="BI147" s="50"/>
      <c r="BJ147" s="50">
        <v>0</v>
      </c>
      <c r="BK147" s="57">
        <v>0</v>
      </c>
      <c r="BL147" s="50">
        <f>BJ147+AY147</f>
        <v>0</v>
      </c>
      <c r="BM147" s="57">
        <f>BL147/X147</f>
        <v>0</v>
      </c>
      <c r="BN147" s="50"/>
      <c r="BO147" s="50"/>
      <c r="BP147" s="50"/>
      <c r="BQ147" s="50"/>
      <c r="BR147" s="50"/>
      <c r="BS147" s="50"/>
      <c r="BT147" s="50"/>
      <c r="BU147" s="50"/>
      <c r="BV147" s="50"/>
      <c r="BW147" s="50"/>
      <c r="BX147" s="50"/>
      <c r="BY147" s="50"/>
      <c r="BZ147" s="50"/>
      <c r="CA147" s="50"/>
      <c r="CB147" s="49"/>
      <c r="CC147" s="59"/>
      <c r="CD147" s="60"/>
      <c r="CE147" s="50"/>
      <c r="CF147" s="61"/>
      <c r="CG147" s="61"/>
      <c r="CH147" s="49"/>
      <c r="CI147" s="49"/>
      <c r="CJ147" s="49"/>
      <c r="CK147" s="49"/>
      <c r="CL147" s="49"/>
      <c r="CM147" s="49"/>
      <c r="CN147" s="49"/>
      <c r="CO147" s="50"/>
      <c r="CP147" s="50"/>
      <c r="CQ147" s="49"/>
      <c r="CR147" s="49"/>
      <c r="CS147" s="49"/>
      <c r="CT147" s="49"/>
      <c r="CU147" s="49"/>
      <c r="CV147" s="49"/>
      <c r="CW147" s="49"/>
      <c r="CX147" s="49"/>
    </row>
    <row r="148" spans="1:102" ht="53.25" customHeight="1" x14ac:dyDescent="0.2">
      <c r="A148" s="1811"/>
      <c r="B148" s="1807"/>
      <c r="C148" s="49"/>
      <c r="D148" s="50"/>
      <c r="E148" s="49"/>
      <c r="F148" s="49"/>
      <c r="G148" s="49"/>
      <c r="H148" s="49"/>
      <c r="I148" s="49"/>
      <c r="J148" s="49"/>
      <c r="K148" s="49"/>
      <c r="L148" s="49"/>
      <c r="M148" s="49"/>
      <c r="N148" s="49"/>
      <c r="O148" s="49"/>
      <c r="P148" s="49"/>
      <c r="Q148" s="49"/>
      <c r="R148" s="49"/>
      <c r="S148" s="49"/>
      <c r="T148" s="1807"/>
      <c r="U148" s="51" t="s">
        <v>472</v>
      </c>
      <c r="V148" s="1257" t="s">
        <v>473</v>
      </c>
      <c r="W148" s="1425" t="s">
        <v>474</v>
      </c>
      <c r="X148" s="50">
        <v>1</v>
      </c>
      <c r="Y148" s="50" t="s">
        <v>177</v>
      </c>
      <c r="Z148" s="50" t="s">
        <v>177</v>
      </c>
      <c r="AA148" s="50"/>
      <c r="AB148" s="50"/>
      <c r="AC148" s="50"/>
      <c r="AD148" s="50"/>
      <c r="AE148" s="50"/>
      <c r="AF148" s="50"/>
      <c r="AG148" s="50"/>
      <c r="AH148" s="50"/>
      <c r="AI148" s="50"/>
      <c r="AJ148" s="50"/>
      <c r="AK148" s="50"/>
      <c r="AL148" s="50"/>
      <c r="AM148" s="50"/>
      <c r="AN148" s="50" t="s">
        <v>177</v>
      </c>
      <c r="AO148" s="117"/>
      <c r="AP148" s="50"/>
      <c r="AQ148" s="50"/>
      <c r="AR148" s="50"/>
      <c r="AS148" s="50"/>
      <c r="AT148" s="50"/>
      <c r="AU148" s="50">
        <v>0</v>
      </c>
      <c r="AV148" s="50"/>
      <c r="AW148" s="117">
        <v>0</v>
      </c>
      <c r="AX148" s="154"/>
      <c r="AY148" s="117">
        <v>0</v>
      </c>
      <c r="AZ148" s="154"/>
      <c r="BA148" s="50"/>
      <c r="BB148" s="50"/>
      <c r="BC148" s="50"/>
      <c r="BD148" s="50"/>
      <c r="BE148" s="50"/>
      <c r="BF148" s="50"/>
      <c r="BG148" s="1202" t="s">
        <v>2261</v>
      </c>
      <c r="BH148" s="50"/>
      <c r="BI148" s="50"/>
      <c r="BJ148" s="50"/>
      <c r="BK148" s="50"/>
      <c r="BL148" s="50"/>
      <c r="BM148" s="50">
        <v>0</v>
      </c>
      <c r="BN148" s="50"/>
      <c r="BO148" s="50"/>
      <c r="BP148" s="50"/>
      <c r="BQ148" s="50"/>
      <c r="BR148" s="50"/>
      <c r="BS148" s="50"/>
      <c r="BT148" s="50"/>
      <c r="BU148" s="50"/>
      <c r="BV148" s="50"/>
      <c r="BW148" s="50"/>
      <c r="BX148" s="50"/>
      <c r="BY148" s="50"/>
      <c r="BZ148" s="50"/>
      <c r="CA148" s="50"/>
      <c r="CB148" s="49"/>
      <c r="CC148" s="59"/>
      <c r="CD148" s="60"/>
      <c r="CE148" s="50"/>
      <c r="CF148" s="61"/>
      <c r="CG148" s="61"/>
      <c r="CH148" s="49"/>
      <c r="CI148" s="49"/>
      <c r="CJ148" s="49"/>
      <c r="CK148" s="49"/>
      <c r="CL148" s="49"/>
      <c r="CM148" s="49"/>
      <c r="CN148" s="49"/>
      <c r="CO148" s="50"/>
      <c r="CP148" s="50"/>
      <c r="CQ148" s="49"/>
      <c r="CR148" s="49"/>
      <c r="CS148" s="49"/>
      <c r="CT148" s="49"/>
      <c r="CU148" s="49"/>
      <c r="CV148" s="49"/>
      <c r="CW148" s="49"/>
      <c r="CX148" s="49"/>
    </row>
    <row r="149" spans="1:102" ht="53.25" customHeight="1" x14ac:dyDescent="0.2">
      <c r="A149" s="1811"/>
      <c r="B149" s="1807"/>
      <c r="C149" s="49"/>
      <c r="D149" s="50"/>
      <c r="E149" s="49"/>
      <c r="F149" s="49"/>
      <c r="G149" s="49"/>
      <c r="H149" s="49"/>
      <c r="I149" s="49"/>
      <c r="J149" s="49"/>
      <c r="K149" s="49"/>
      <c r="L149" s="49"/>
      <c r="M149" s="49"/>
      <c r="N149" s="49"/>
      <c r="O149" s="49"/>
      <c r="P149" s="49"/>
      <c r="Q149" s="49"/>
      <c r="R149" s="49"/>
      <c r="S149" s="49"/>
      <c r="T149" s="1807"/>
      <c r="U149" s="51" t="s">
        <v>2190</v>
      </c>
      <c r="V149" s="1258">
        <v>3</v>
      </c>
      <c r="W149" s="1425" t="s">
        <v>2191</v>
      </c>
      <c r="X149" s="50"/>
      <c r="Y149" s="50"/>
      <c r="Z149" s="50"/>
      <c r="AA149" s="50"/>
      <c r="AB149" s="50"/>
      <c r="AC149" s="50"/>
      <c r="AD149" s="50"/>
      <c r="AE149" s="50"/>
      <c r="AF149" s="50"/>
      <c r="AG149" s="50"/>
      <c r="AH149" s="50"/>
      <c r="AI149" s="50"/>
      <c r="AJ149" s="50"/>
      <c r="AK149" s="50"/>
      <c r="AL149" s="50"/>
      <c r="AM149" s="50"/>
      <c r="AN149" s="50"/>
      <c r="AO149" s="117"/>
      <c r="AP149" s="50"/>
      <c r="AQ149" s="50"/>
      <c r="AR149" s="50"/>
      <c r="AS149" s="50"/>
      <c r="AT149" s="50"/>
      <c r="AU149" s="50"/>
      <c r="AV149" s="50"/>
      <c r="AW149" s="117"/>
      <c r="AX149" s="154"/>
      <c r="AY149" s="117"/>
      <c r="AZ149" s="154"/>
      <c r="BA149" s="50"/>
      <c r="BB149" s="50">
        <v>3</v>
      </c>
      <c r="BC149" s="50"/>
      <c r="BD149" s="50">
        <v>3</v>
      </c>
      <c r="BE149" s="50"/>
      <c r="BF149" s="50">
        <v>3</v>
      </c>
      <c r="BG149" s="61" t="s">
        <v>2224</v>
      </c>
      <c r="BH149" s="50">
        <v>0</v>
      </c>
      <c r="BI149" s="50"/>
      <c r="BJ149" s="50">
        <v>3</v>
      </c>
      <c r="BK149" s="54">
        <v>1</v>
      </c>
      <c r="BL149" s="50">
        <f>+BJ149</f>
        <v>3</v>
      </c>
      <c r="BM149" s="54">
        <v>1</v>
      </c>
      <c r="BN149" s="50"/>
      <c r="BO149" s="50"/>
      <c r="BP149" s="50"/>
      <c r="BQ149" s="50"/>
      <c r="BR149" s="50"/>
      <c r="BS149" s="50"/>
      <c r="BT149" s="50"/>
      <c r="BU149" s="50"/>
      <c r="BV149" s="50"/>
      <c r="BW149" s="50"/>
      <c r="BX149" s="50"/>
      <c r="BY149" s="50"/>
      <c r="BZ149" s="50"/>
      <c r="CA149" s="50"/>
      <c r="CB149" s="49"/>
      <c r="CC149" s="59"/>
      <c r="CD149" s="60"/>
      <c r="CE149" s="50"/>
      <c r="CF149" s="61"/>
      <c r="CG149" s="61"/>
      <c r="CH149" s="49"/>
      <c r="CI149" s="49"/>
      <c r="CJ149" s="49"/>
      <c r="CK149" s="49"/>
      <c r="CL149" s="49"/>
      <c r="CM149" s="49"/>
      <c r="CN149" s="49"/>
      <c r="CO149" s="50"/>
      <c r="CP149" s="50"/>
      <c r="CQ149" s="49"/>
      <c r="CR149" s="49"/>
      <c r="CS149" s="49"/>
      <c r="CT149" s="49"/>
      <c r="CU149" s="49"/>
      <c r="CV149" s="49"/>
      <c r="CW149" s="49"/>
      <c r="CX149" s="49"/>
    </row>
    <row r="150" spans="1:102" ht="12.75" customHeight="1" x14ac:dyDescent="0.2">
      <c r="A150" s="1811"/>
      <c r="B150" s="1807"/>
      <c r="C150" s="49"/>
      <c r="D150" s="50"/>
      <c r="E150" s="49"/>
      <c r="F150" s="49"/>
      <c r="G150" s="49"/>
      <c r="H150" s="49"/>
      <c r="I150" s="49"/>
      <c r="J150" s="49"/>
      <c r="K150" s="49"/>
      <c r="L150" s="49"/>
      <c r="M150" s="49"/>
      <c r="N150" s="49"/>
      <c r="O150" s="49"/>
      <c r="P150" s="49"/>
      <c r="Q150" s="49"/>
      <c r="R150" s="49"/>
      <c r="S150" s="49"/>
      <c r="T150" s="1808"/>
      <c r="U150" s="85"/>
      <c r="V150" s="85"/>
      <c r="W150" s="1427"/>
      <c r="X150" s="72"/>
      <c r="Y150" s="72"/>
      <c r="Z150" s="72"/>
      <c r="AA150" s="72"/>
      <c r="AB150" s="72"/>
      <c r="AC150" s="97">
        <f>+AC147</f>
        <v>1</v>
      </c>
      <c r="AD150" s="107">
        <f>AVERAGE(AD147:AD148)</f>
        <v>1</v>
      </c>
      <c r="AE150" s="72"/>
      <c r="AF150" s="72"/>
      <c r="AG150" s="72"/>
      <c r="AH150" s="72"/>
      <c r="AI150" s="72"/>
      <c r="AJ150" s="72"/>
      <c r="AK150" s="72"/>
      <c r="AL150" s="72"/>
      <c r="AM150" s="72"/>
      <c r="AN150" s="72"/>
      <c r="AO150" s="72"/>
      <c r="AP150" s="72"/>
      <c r="AQ150" s="72"/>
      <c r="AR150" s="50"/>
      <c r="AS150" s="50"/>
      <c r="AT150" s="50"/>
      <c r="AU150" s="50"/>
      <c r="AV150" s="50"/>
      <c r="AW150" s="50"/>
      <c r="AX150" s="107">
        <f>+AX147</f>
        <v>0</v>
      </c>
      <c r="AY150" s="50"/>
      <c r="AZ150" s="107">
        <f>+AZ147</f>
        <v>0</v>
      </c>
      <c r="BA150" s="50"/>
      <c r="BB150" s="50"/>
      <c r="BC150" s="50"/>
      <c r="BD150" s="50"/>
      <c r="BE150" s="50"/>
      <c r="BF150" s="50"/>
      <c r="BG150" s="50"/>
      <c r="BH150" s="50"/>
      <c r="BI150" s="50"/>
      <c r="BJ150" s="50"/>
      <c r="BK150" s="107">
        <f>AVERAGE(BK147:BK149)</f>
        <v>0.5</v>
      </c>
      <c r="BL150" s="50"/>
      <c r="BM150" s="107">
        <f>AVERAGE(BM147:BM149)</f>
        <v>0.33333333333333331</v>
      </c>
      <c r="BN150" s="50"/>
      <c r="BO150" s="50"/>
      <c r="BP150" s="50"/>
      <c r="BQ150" s="50"/>
      <c r="BR150" s="50"/>
      <c r="BS150" s="50"/>
      <c r="BT150" s="50"/>
      <c r="BU150" s="50"/>
      <c r="BV150" s="50"/>
      <c r="BW150" s="50"/>
      <c r="BX150" s="50"/>
      <c r="BY150" s="50"/>
      <c r="BZ150" s="50"/>
      <c r="CA150" s="50"/>
      <c r="CB150" s="49"/>
      <c r="CC150" s="59"/>
      <c r="CD150" s="60"/>
      <c r="CE150" s="50"/>
      <c r="CF150" s="61"/>
      <c r="CG150" s="61"/>
      <c r="CH150" s="49"/>
      <c r="CI150" s="49"/>
      <c r="CJ150" s="49"/>
      <c r="CK150" s="49"/>
      <c r="CL150" s="49"/>
      <c r="CM150" s="49"/>
      <c r="CN150" s="49"/>
      <c r="CO150" s="50"/>
      <c r="CP150" s="50"/>
      <c r="CQ150" s="49"/>
      <c r="CR150" s="49"/>
      <c r="CS150" s="49"/>
      <c r="CT150" s="49"/>
      <c r="CU150" s="49"/>
      <c r="CV150" s="49"/>
      <c r="CW150" s="49"/>
      <c r="CX150" s="49"/>
    </row>
    <row r="151" spans="1:102" ht="12.75" customHeight="1" x14ac:dyDescent="0.2">
      <c r="A151" s="1811"/>
      <c r="B151" s="1808"/>
      <c r="C151" s="49"/>
      <c r="D151" s="50"/>
      <c r="E151" s="49"/>
      <c r="F151" s="49"/>
      <c r="G151" s="49"/>
      <c r="H151" s="49"/>
      <c r="I151" s="49"/>
      <c r="J151" s="49"/>
      <c r="K151" s="49"/>
      <c r="L151" s="49"/>
      <c r="M151" s="49"/>
      <c r="N151" s="49"/>
      <c r="O151" s="49"/>
      <c r="P151" s="49"/>
      <c r="Q151" s="49"/>
      <c r="R151" s="49"/>
      <c r="S151" s="49"/>
      <c r="T151" s="108"/>
      <c r="U151" s="109"/>
      <c r="V151" s="109"/>
      <c r="W151" s="1429"/>
      <c r="X151" s="110"/>
      <c r="Y151" s="110"/>
      <c r="Z151" s="110"/>
      <c r="AA151" s="110"/>
      <c r="AB151" s="112">
        <f>+(AB150+AB146+AB139+AB134)/3</f>
        <v>0.32642857142857146</v>
      </c>
      <c r="AC151" s="112">
        <f>+(AC150+AC146+AC139+AC134)/4</f>
        <v>0.60727777777777781</v>
      </c>
      <c r="AD151" s="112">
        <f>+(AD150+AD146+AD139+AD134)/4</f>
        <v>0.47034148827726807</v>
      </c>
      <c r="AE151" s="110"/>
      <c r="AF151" s="110"/>
      <c r="AG151" s="110"/>
      <c r="AH151" s="110"/>
      <c r="AI151" s="110"/>
      <c r="AJ151" s="110"/>
      <c r="AK151" s="112">
        <f>+(AK150+AK146+AK139+AK134)/3</f>
        <v>0.67799999999999994</v>
      </c>
      <c r="AL151" s="110"/>
      <c r="AM151" s="112">
        <f>+(AM150+AM146+AM139+AM134)/4</f>
        <v>0.40286309523809527</v>
      </c>
      <c r="AN151" s="110"/>
      <c r="AO151" s="110"/>
      <c r="AP151" s="110"/>
      <c r="AQ151" s="110"/>
      <c r="AR151" s="110"/>
      <c r="AS151" s="110"/>
      <c r="AT151" s="110"/>
      <c r="AU151" s="50"/>
      <c r="AV151" s="50"/>
      <c r="AW151" s="50"/>
      <c r="AX151" s="112">
        <f>+(AX150+AX146+AX139+AX134)/4</f>
        <v>0.71757432818753575</v>
      </c>
      <c r="AY151" s="110"/>
      <c r="AZ151" s="112">
        <f>+(AZ150+AZ146+AZ139+AZ134)/4</f>
        <v>0.6295298165137615</v>
      </c>
      <c r="BA151" s="50"/>
      <c r="BB151" s="50"/>
      <c r="BC151" s="50"/>
      <c r="BD151" s="50"/>
      <c r="BE151" s="50"/>
      <c r="BF151" s="50"/>
      <c r="BG151" s="50"/>
      <c r="BH151" s="50"/>
      <c r="BI151" s="50"/>
      <c r="BJ151" s="50"/>
      <c r="BK151" s="111">
        <f>+(BK150+BK146+BK139+BK134)/4</f>
        <v>0.73916666666666664</v>
      </c>
      <c r="BL151" s="50"/>
      <c r="BM151" s="112">
        <f>+(BM150+BM146+BM139+BM134)/4</f>
        <v>0.72826898572884813</v>
      </c>
      <c r="BN151" s="50"/>
      <c r="BO151" s="50"/>
      <c r="BP151" s="50"/>
      <c r="BQ151" s="50"/>
      <c r="BR151" s="50"/>
      <c r="BS151" s="50"/>
      <c r="BT151" s="50"/>
      <c r="BU151" s="50"/>
      <c r="BV151" s="50"/>
      <c r="BW151" s="50"/>
      <c r="BX151" s="50"/>
      <c r="BY151" s="50"/>
      <c r="BZ151" s="50"/>
      <c r="CA151" s="50"/>
      <c r="CB151" s="49"/>
      <c r="CC151" s="59"/>
      <c r="CD151" s="60"/>
      <c r="CE151" s="50"/>
      <c r="CF151" s="61"/>
      <c r="CG151" s="61"/>
      <c r="CH151" s="49"/>
      <c r="CI151" s="49"/>
      <c r="CJ151" s="49"/>
      <c r="CK151" s="49"/>
      <c r="CL151" s="49"/>
      <c r="CM151" s="49"/>
      <c r="CN151" s="49"/>
      <c r="CO151" s="50"/>
      <c r="CP151" s="50"/>
      <c r="CQ151" s="49"/>
      <c r="CR151" s="49"/>
      <c r="CS151" s="49"/>
      <c r="CT151" s="49"/>
      <c r="CU151" s="49"/>
      <c r="CV151" s="49"/>
      <c r="CW151" s="49"/>
      <c r="CX151" s="49"/>
    </row>
    <row r="152" spans="1:102" ht="43.5" customHeight="1" x14ac:dyDescent="0.2">
      <c r="A152" s="1811"/>
      <c r="B152" s="1813" t="s">
        <v>475</v>
      </c>
      <c r="C152" s="49"/>
      <c r="D152" s="50"/>
      <c r="E152" s="49"/>
      <c r="F152" s="49"/>
      <c r="G152" s="49"/>
      <c r="H152" s="49"/>
      <c r="I152" s="49"/>
      <c r="J152" s="49"/>
      <c r="K152" s="49"/>
      <c r="L152" s="49"/>
      <c r="M152" s="49"/>
      <c r="N152" s="49"/>
      <c r="O152" s="49"/>
      <c r="P152" s="49"/>
      <c r="Q152" s="49"/>
      <c r="R152" s="49"/>
      <c r="S152" s="49"/>
      <c r="T152" s="1809" t="s">
        <v>476</v>
      </c>
      <c r="U152" s="136" t="s">
        <v>477</v>
      </c>
      <c r="V152" s="51" t="s">
        <v>478</v>
      </c>
      <c r="W152" s="1425" t="s">
        <v>479</v>
      </c>
      <c r="X152" s="50">
        <v>5000</v>
      </c>
      <c r="Y152" s="50">
        <v>1718</v>
      </c>
      <c r="Z152" s="50">
        <v>989</v>
      </c>
      <c r="AA152" s="50">
        <v>1450</v>
      </c>
      <c r="AB152" s="54">
        <f>+Y152/X152</f>
        <v>0.34360000000000002</v>
      </c>
      <c r="AC152" s="54">
        <f>+Z152/X152</f>
        <v>0.1978</v>
      </c>
      <c r="AD152" s="54">
        <f>AA152/X152</f>
        <v>0.28999999999999998</v>
      </c>
      <c r="AE152" s="50">
        <v>1030</v>
      </c>
      <c r="AF152" s="50">
        <v>1059</v>
      </c>
      <c r="AG152" s="50"/>
      <c r="AH152" s="50">
        <v>1948</v>
      </c>
      <c r="AI152" s="50"/>
      <c r="AJ152" s="50">
        <f>+AH152</f>
        <v>1948</v>
      </c>
      <c r="AK152" s="54">
        <v>1</v>
      </c>
      <c r="AL152" s="50">
        <f>+AJ152</f>
        <v>1948</v>
      </c>
      <c r="AM152" s="54">
        <f>+AL152/X152</f>
        <v>0.3896</v>
      </c>
      <c r="AN152" s="117">
        <v>624</v>
      </c>
      <c r="AO152" s="117">
        <v>0</v>
      </c>
      <c r="AP152" s="117"/>
      <c r="AQ152" s="117">
        <v>0</v>
      </c>
      <c r="AR152" s="117"/>
      <c r="AS152" s="117">
        <v>76</v>
      </c>
      <c r="AT152" s="117"/>
      <c r="AU152" s="117">
        <v>398</v>
      </c>
      <c r="AV152" s="117"/>
      <c r="AW152" s="50">
        <f>+AS152+AU152</f>
        <v>474</v>
      </c>
      <c r="AX152" s="57">
        <f>AW152/AN152</f>
        <v>0.75961538461538458</v>
      </c>
      <c r="AY152" s="50">
        <f>AW152+AL152</f>
        <v>2422</v>
      </c>
      <c r="AZ152" s="57">
        <f>AY152/X152</f>
        <v>0.4844</v>
      </c>
      <c r="BA152" s="50">
        <v>763</v>
      </c>
      <c r="BB152" s="50">
        <v>46</v>
      </c>
      <c r="BC152" s="50"/>
      <c r="BD152" s="50">
        <v>87</v>
      </c>
      <c r="BE152" s="50"/>
      <c r="BF152" s="50">
        <v>1</v>
      </c>
      <c r="BG152" s="1444" t="s">
        <v>2235</v>
      </c>
      <c r="BH152" s="50">
        <v>9</v>
      </c>
      <c r="BI152" s="50"/>
      <c r="BJ152" s="50">
        <f>BB152+BD152+BF152+BH152</f>
        <v>143</v>
      </c>
      <c r="BK152" s="57">
        <f>+BJ152/(BA152+150)</f>
        <v>0.15662650602409639</v>
      </c>
      <c r="BL152" s="50">
        <f>BJ152+AY152</f>
        <v>2565</v>
      </c>
      <c r="BM152" s="57">
        <f>BL152/X152</f>
        <v>0.51300000000000001</v>
      </c>
      <c r="BN152" s="50"/>
      <c r="BO152" s="50"/>
      <c r="BP152" s="50"/>
      <c r="BQ152" s="50"/>
      <c r="BR152" s="50"/>
      <c r="BS152" s="50"/>
      <c r="BT152" s="50"/>
      <c r="BU152" s="50"/>
      <c r="BV152" s="50"/>
      <c r="BW152" s="50"/>
      <c r="BX152" s="50"/>
      <c r="BY152" s="50"/>
      <c r="BZ152" s="50"/>
      <c r="CA152" s="50"/>
      <c r="CB152" s="49"/>
      <c r="CC152" s="59"/>
      <c r="CD152" s="60"/>
      <c r="CE152" s="50"/>
      <c r="CF152" s="61"/>
      <c r="CG152" s="61"/>
      <c r="CH152" s="49"/>
      <c r="CI152" s="49"/>
      <c r="CJ152" s="49"/>
      <c r="CK152" s="49"/>
      <c r="CL152" s="49"/>
      <c r="CM152" s="49"/>
      <c r="CN152" s="49"/>
      <c r="CO152" s="50"/>
      <c r="CP152" s="50"/>
      <c r="CQ152" s="49"/>
      <c r="CR152" s="49"/>
      <c r="CS152" s="49"/>
      <c r="CT152" s="49"/>
      <c r="CU152" s="49"/>
      <c r="CV152" s="49"/>
      <c r="CW152" s="49"/>
      <c r="CX152" s="49"/>
    </row>
    <row r="153" spans="1:102" ht="43.5" customHeight="1" x14ac:dyDescent="0.2">
      <c r="A153" s="1811"/>
      <c r="B153" s="1807"/>
      <c r="C153" s="49"/>
      <c r="D153" s="50"/>
      <c r="E153" s="49"/>
      <c r="F153" s="49"/>
      <c r="G153" s="49"/>
      <c r="H153" s="49"/>
      <c r="I153" s="49"/>
      <c r="J153" s="49"/>
      <c r="K153" s="49"/>
      <c r="L153" s="49"/>
      <c r="M153" s="49"/>
      <c r="N153" s="49"/>
      <c r="O153" s="49"/>
      <c r="P153" s="49"/>
      <c r="Q153" s="49"/>
      <c r="R153" s="49"/>
      <c r="S153" s="49"/>
      <c r="T153" s="1807"/>
      <c r="U153" s="51" t="s">
        <v>480</v>
      </c>
      <c r="V153" s="51"/>
      <c r="W153" s="1425" t="s">
        <v>481</v>
      </c>
      <c r="X153" s="50">
        <v>4000</v>
      </c>
      <c r="Y153" s="50" t="s">
        <v>177</v>
      </c>
      <c r="Z153" s="50">
        <v>688</v>
      </c>
      <c r="AA153" s="50">
        <v>1200</v>
      </c>
      <c r="AB153" s="50"/>
      <c r="AC153" s="54">
        <f>+Z153/X153</f>
        <v>0.17199999999999999</v>
      </c>
      <c r="AD153" s="54">
        <f>AA153/X153</f>
        <v>0.3</v>
      </c>
      <c r="AE153" s="50"/>
      <c r="AF153" s="147"/>
      <c r="AG153" s="147"/>
      <c r="AH153" s="147"/>
      <c r="AI153" s="147"/>
      <c r="AJ153" s="119"/>
      <c r="AK153" s="119"/>
      <c r="AL153" s="119">
        <f>1824</f>
        <v>1824</v>
      </c>
      <c r="AM153" s="50"/>
      <c r="AN153" s="50">
        <v>814</v>
      </c>
      <c r="AO153" s="117">
        <v>0</v>
      </c>
      <c r="AP153" s="117"/>
      <c r="AQ153" s="117">
        <v>126</v>
      </c>
      <c r="AR153" s="117"/>
      <c r="AS153" s="117">
        <v>0</v>
      </c>
      <c r="AT153" s="117"/>
      <c r="AU153" s="117">
        <v>688</v>
      </c>
      <c r="AV153" s="117"/>
      <c r="AW153" s="63">
        <f>+AQ153+AU153</f>
        <v>814</v>
      </c>
      <c r="AX153" s="57">
        <v>1</v>
      </c>
      <c r="AY153" s="50">
        <f>AW153+AL153</f>
        <v>2638</v>
      </c>
      <c r="AZ153" s="57">
        <f>AY153/X153</f>
        <v>0.65949999999999998</v>
      </c>
      <c r="BA153" s="50">
        <v>803</v>
      </c>
      <c r="BB153" s="50">
        <v>0</v>
      </c>
      <c r="BC153" s="50"/>
      <c r="BD153" s="50">
        <v>7</v>
      </c>
      <c r="BE153" s="50"/>
      <c r="BF153" s="50">
        <v>0</v>
      </c>
      <c r="BG153" s="1444" t="s">
        <v>2235</v>
      </c>
      <c r="BH153" s="50">
        <v>0</v>
      </c>
      <c r="BI153" s="50"/>
      <c r="BJ153" s="50">
        <f>+BD153</f>
        <v>7</v>
      </c>
      <c r="BK153" s="57">
        <f>+BJ153/(BA153)</f>
        <v>8.717310087173101E-3</v>
      </c>
      <c r="BL153" s="50">
        <f>BJ153+AY153</f>
        <v>2645</v>
      </c>
      <c r="BM153" s="57">
        <f>BL153/X153</f>
        <v>0.66125</v>
      </c>
      <c r="BN153" s="50"/>
      <c r="BO153" s="50"/>
      <c r="BP153" s="50"/>
      <c r="BQ153" s="50"/>
      <c r="BR153" s="50"/>
      <c r="BS153" s="50"/>
      <c r="BT153" s="50"/>
      <c r="BU153" s="50"/>
      <c r="BV153" s="50"/>
      <c r="BW153" s="50"/>
      <c r="BX153" s="50"/>
      <c r="BY153" s="50"/>
      <c r="BZ153" s="50"/>
      <c r="CA153" s="50"/>
      <c r="CB153" s="49"/>
      <c r="CC153" s="59"/>
      <c r="CD153" s="60"/>
      <c r="CE153" s="50"/>
      <c r="CF153" s="61"/>
      <c r="CG153" s="61"/>
      <c r="CH153" s="49"/>
      <c r="CI153" s="49"/>
      <c r="CJ153" s="49"/>
      <c r="CK153" s="49"/>
      <c r="CL153" s="49"/>
      <c r="CM153" s="49"/>
      <c r="CN153" s="49"/>
      <c r="CO153" s="50"/>
      <c r="CP153" s="50"/>
      <c r="CQ153" s="49"/>
      <c r="CR153" s="49"/>
      <c r="CS153" s="49"/>
      <c r="CT153" s="49"/>
      <c r="CU153" s="49"/>
      <c r="CV153" s="49"/>
      <c r="CW153" s="49"/>
      <c r="CX153" s="49"/>
    </row>
    <row r="154" spans="1:102" ht="17.25" customHeight="1" x14ac:dyDescent="0.2">
      <c r="A154" s="1811"/>
      <c r="B154" s="1807"/>
      <c r="C154" s="49"/>
      <c r="D154" s="50"/>
      <c r="E154" s="49"/>
      <c r="F154" s="49"/>
      <c r="G154" s="49"/>
      <c r="H154" s="49"/>
      <c r="I154" s="49"/>
      <c r="J154" s="49"/>
      <c r="K154" s="49"/>
      <c r="L154" s="49"/>
      <c r="M154" s="49"/>
      <c r="N154" s="49"/>
      <c r="O154" s="49"/>
      <c r="P154" s="49"/>
      <c r="Q154" s="49"/>
      <c r="R154" s="49"/>
      <c r="S154" s="49"/>
      <c r="T154" s="1808"/>
      <c r="U154" s="85"/>
      <c r="V154" s="85"/>
      <c r="W154" s="1432"/>
      <c r="X154" s="72"/>
      <c r="Y154" s="72"/>
      <c r="Z154" s="72"/>
      <c r="AA154" s="72"/>
      <c r="AB154" s="86">
        <f>+AB152</f>
        <v>0.34360000000000002</v>
      </c>
      <c r="AC154" s="107">
        <f>+AC152</f>
        <v>0.1978</v>
      </c>
      <c r="AD154" s="86">
        <f>AVERAGE(AD152:AD153)</f>
        <v>0.29499999999999998</v>
      </c>
      <c r="AE154" s="72"/>
      <c r="AF154" s="72"/>
      <c r="AG154" s="72"/>
      <c r="AH154" s="72"/>
      <c r="AI154" s="72"/>
      <c r="AJ154" s="72"/>
      <c r="AK154" s="86">
        <f>AVERAGE(AK152:AK153)</f>
        <v>1</v>
      </c>
      <c r="AL154" s="72"/>
      <c r="AM154" s="86">
        <f>AVERAGE(AM152:AM153)</f>
        <v>0.3896</v>
      </c>
      <c r="AN154" s="72"/>
      <c r="AO154" s="50"/>
      <c r="AP154" s="50"/>
      <c r="AQ154" s="50"/>
      <c r="AR154" s="50"/>
      <c r="AS154" s="50"/>
      <c r="AT154" s="50"/>
      <c r="AU154" s="50"/>
      <c r="AV154" s="50"/>
      <c r="AW154" s="50"/>
      <c r="AX154" s="107">
        <f>AVERAGE(AX152:AX153)</f>
        <v>0.87980769230769229</v>
      </c>
      <c r="AY154" s="125"/>
      <c r="AZ154" s="86">
        <f>AVERAGE(AZ152:AZ153)</f>
        <v>0.57194999999999996</v>
      </c>
      <c r="BA154" s="50"/>
      <c r="BB154" s="50"/>
      <c r="BC154" s="50"/>
      <c r="BD154" s="50"/>
      <c r="BE154" s="50"/>
      <c r="BF154" s="50"/>
      <c r="BG154" s="50"/>
      <c r="BH154" s="50"/>
      <c r="BI154" s="50"/>
      <c r="BJ154" s="50"/>
      <c r="BK154" s="107">
        <f>AVERAGE(BK152:BK153)</f>
        <v>8.2671908055634749E-2</v>
      </c>
      <c r="BL154" s="50"/>
      <c r="BM154" s="73">
        <f>AVERAGE(BM152:BM153)</f>
        <v>0.58712500000000001</v>
      </c>
      <c r="BN154" s="50"/>
      <c r="BO154" s="50"/>
      <c r="BP154" s="50"/>
      <c r="BQ154" s="50"/>
      <c r="BR154" s="50"/>
      <c r="BS154" s="50"/>
      <c r="BT154" s="50"/>
      <c r="BU154" s="50"/>
      <c r="BV154" s="50"/>
      <c r="BW154" s="50"/>
      <c r="BX154" s="50"/>
      <c r="BY154" s="50"/>
      <c r="BZ154" s="50"/>
      <c r="CA154" s="50"/>
      <c r="CB154" s="49"/>
      <c r="CC154" s="59"/>
      <c r="CD154" s="60"/>
      <c r="CE154" s="50"/>
      <c r="CF154" s="61"/>
      <c r="CG154" s="61"/>
      <c r="CH154" s="49"/>
      <c r="CI154" s="49"/>
      <c r="CJ154" s="49"/>
      <c r="CK154" s="49"/>
      <c r="CL154" s="49"/>
      <c r="CM154" s="49"/>
      <c r="CN154" s="49"/>
      <c r="CO154" s="50"/>
      <c r="CP154" s="50"/>
      <c r="CQ154" s="49"/>
      <c r="CR154" s="49"/>
      <c r="CS154" s="49"/>
      <c r="CT154" s="49"/>
      <c r="CU154" s="49"/>
      <c r="CV154" s="49"/>
      <c r="CW154" s="49"/>
      <c r="CX154" s="49"/>
    </row>
    <row r="155" spans="1:102" ht="48" customHeight="1" x14ac:dyDescent="0.2">
      <c r="A155" s="1811"/>
      <c r="B155" s="1807"/>
      <c r="C155" s="49"/>
      <c r="D155" s="50"/>
      <c r="E155" s="49"/>
      <c r="F155" s="49"/>
      <c r="G155" s="49"/>
      <c r="H155" s="49"/>
      <c r="I155" s="49"/>
      <c r="J155" s="49"/>
      <c r="K155" s="49"/>
      <c r="L155" s="49"/>
      <c r="M155" s="49"/>
      <c r="N155" s="49"/>
      <c r="O155" s="49"/>
      <c r="P155" s="49"/>
      <c r="Q155" s="49"/>
      <c r="R155" s="49"/>
      <c r="S155" s="49"/>
      <c r="T155" s="1809" t="s">
        <v>482</v>
      </c>
      <c r="U155" s="51" t="s">
        <v>483</v>
      </c>
      <c r="V155" s="52">
        <v>19258</v>
      </c>
      <c r="W155" s="1425" t="s">
        <v>484</v>
      </c>
      <c r="X155" s="50">
        <v>3500</v>
      </c>
      <c r="Y155" s="50">
        <v>500</v>
      </c>
      <c r="Z155" s="50">
        <v>996</v>
      </c>
      <c r="AA155" s="50">
        <v>1136</v>
      </c>
      <c r="AB155" s="54">
        <f>+Y155/X155</f>
        <v>0.14285714285714285</v>
      </c>
      <c r="AC155" s="54">
        <f>+Z155/X155</f>
        <v>0.28457142857142859</v>
      </c>
      <c r="AD155" s="54">
        <f>AA155/X155</f>
        <v>0.32457142857142857</v>
      </c>
      <c r="AE155" s="50">
        <v>0</v>
      </c>
      <c r="AF155" s="50">
        <v>1824</v>
      </c>
      <c r="AG155" s="50"/>
      <c r="AH155" s="100">
        <v>1824</v>
      </c>
      <c r="AI155" s="50"/>
      <c r="AJ155" s="100">
        <f>+AH155</f>
        <v>1824</v>
      </c>
      <c r="AK155" s="54">
        <v>1</v>
      </c>
      <c r="AL155" s="50">
        <v>0</v>
      </c>
      <c r="AM155" s="54">
        <f>+AL155/X155</f>
        <v>0</v>
      </c>
      <c r="AN155" s="50">
        <v>996</v>
      </c>
      <c r="AO155" s="117">
        <v>0</v>
      </c>
      <c r="AP155" s="50"/>
      <c r="AQ155" s="50">
        <v>340</v>
      </c>
      <c r="AR155" s="50"/>
      <c r="AS155" s="50">
        <v>38</v>
      </c>
      <c r="AT155" s="50"/>
      <c r="AU155" s="50">
        <v>94</v>
      </c>
      <c r="AV155" s="50"/>
      <c r="AW155" s="50">
        <f>+AQ155+AS155+AU155</f>
        <v>472</v>
      </c>
      <c r="AX155" s="57">
        <f>AW155/AN155</f>
        <v>0.47389558232931728</v>
      </c>
      <c r="AY155" s="50">
        <f>AW155+AL155</f>
        <v>472</v>
      </c>
      <c r="AZ155" s="57">
        <f>AY155/X155</f>
        <v>0.13485714285714287</v>
      </c>
      <c r="BA155" s="50">
        <v>2289</v>
      </c>
      <c r="BB155" s="50">
        <v>375</v>
      </c>
      <c r="BC155" s="50"/>
      <c r="BD155" s="50">
        <v>692</v>
      </c>
      <c r="BE155" s="50"/>
      <c r="BF155" s="50">
        <v>295</v>
      </c>
      <c r="BG155" s="1444" t="s">
        <v>2235</v>
      </c>
      <c r="BH155" s="50">
        <v>168</v>
      </c>
      <c r="BI155" s="50"/>
      <c r="BJ155" s="50">
        <f>BB155+BD155+BF155+BH155</f>
        <v>1530</v>
      </c>
      <c r="BK155" s="57">
        <f>+BJ155/(BA155+524)</f>
        <v>0.54390330607891935</v>
      </c>
      <c r="BL155" s="50">
        <f>BJ155+AY155</f>
        <v>2002</v>
      </c>
      <c r="BM155" s="57">
        <f>BL155/X155</f>
        <v>0.57199999999999995</v>
      </c>
      <c r="BN155" s="50"/>
      <c r="BO155" s="50"/>
      <c r="BP155" s="50"/>
      <c r="BQ155" s="50"/>
      <c r="BR155" s="50"/>
      <c r="BS155" s="50"/>
      <c r="BT155" s="50"/>
      <c r="BU155" s="50"/>
      <c r="BV155" s="50"/>
      <c r="BW155" s="50"/>
      <c r="BX155" s="50"/>
      <c r="BY155" s="50"/>
      <c r="BZ155" s="50"/>
      <c r="CA155" s="50"/>
      <c r="CB155" s="49"/>
      <c r="CC155" s="59"/>
      <c r="CD155" s="60"/>
      <c r="CE155" s="50"/>
      <c r="CF155" s="61"/>
      <c r="CG155" s="61"/>
      <c r="CH155" s="49"/>
      <c r="CI155" s="49"/>
      <c r="CJ155" s="49"/>
      <c r="CK155" s="49"/>
      <c r="CL155" s="49"/>
      <c r="CM155" s="49"/>
      <c r="CN155" s="49"/>
      <c r="CO155" s="50"/>
      <c r="CP155" s="50"/>
      <c r="CQ155" s="49"/>
      <c r="CR155" s="49"/>
      <c r="CS155" s="49"/>
      <c r="CT155" s="49"/>
      <c r="CU155" s="49"/>
      <c r="CV155" s="49"/>
      <c r="CW155" s="49"/>
      <c r="CX155" s="49"/>
    </row>
    <row r="156" spans="1:102" ht="57" customHeight="1" x14ac:dyDescent="0.2">
      <c r="A156" s="1811"/>
      <c r="B156" s="1807"/>
      <c r="C156" s="49"/>
      <c r="D156" s="50"/>
      <c r="E156" s="49"/>
      <c r="F156" s="49"/>
      <c r="G156" s="49"/>
      <c r="H156" s="49"/>
      <c r="I156" s="49"/>
      <c r="J156" s="49"/>
      <c r="K156" s="49"/>
      <c r="L156" s="49"/>
      <c r="M156" s="49"/>
      <c r="N156" s="49"/>
      <c r="O156" s="49"/>
      <c r="P156" s="49"/>
      <c r="Q156" s="49"/>
      <c r="R156" s="49"/>
      <c r="S156" s="49"/>
      <c r="T156" s="1807"/>
      <c r="U156" s="51" t="s">
        <v>485</v>
      </c>
      <c r="V156" s="51" t="s">
        <v>486</v>
      </c>
      <c r="W156" s="1425" t="s">
        <v>487</v>
      </c>
      <c r="X156" s="50">
        <v>1000</v>
      </c>
      <c r="Y156" s="50">
        <v>62</v>
      </c>
      <c r="Z156" s="50">
        <v>97</v>
      </c>
      <c r="AA156" s="50">
        <v>345</v>
      </c>
      <c r="AB156" s="54">
        <f>+Y156/X156</f>
        <v>6.2E-2</v>
      </c>
      <c r="AC156" s="54">
        <f>+Z156/X156</f>
        <v>9.7000000000000003E-2</v>
      </c>
      <c r="AD156" s="54">
        <f>AA156/X156</f>
        <v>0.34499999999999997</v>
      </c>
      <c r="AE156" s="50">
        <v>0</v>
      </c>
      <c r="AF156" s="50">
        <v>0</v>
      </c>
      <c r="AG156" s="50"/>
      <c r="AH156" s="50">
        <v>0</v>
      </c>
      <c r="AI156" s="50"/>
      <c r="AJ156" s="50">
        <f>+AH156</f>
        <v>0</v>
      </c>
      <c r="AK156" s="54">
        <f>+AE156/Y156</f>
        <v>0</v>
      </c>
      <c r="AL156" s="50">
        <f>+AJ156</f>
        <v>0</v>
      </c>
      <c r="AM156" s="54">
        <f>+AL156/X156</f>
        <v>0</v>
      </c>
      <c r="AN156" s="50">
        <v>47</v>
      </c>
      <c r="AO156" s="117">
        <v>14</v>
      </c>
      <c r="AP156" s="50"/>
      <c r="AQ156" s="50">
        <v>8</v>
      </c>
      <c r="AR156" s="50"/>
      <c r="AS156" s="50">
        <v>0</v>
      </c>
      <c r="AT156" s="50"/>
      <c r="AU156" s="50">
        <v>17</v>
      </c>
      <c r="AV156" s="50"/>
      <c r="AW156" s="50">
        <f>+AO156+AQ156+AS156+AU156</f>
        <v>39</v>
      </c>
      <c r="AX156" s="57">
        <f>AW156/AN156</f>
        <v>0.82978723404255317</v>
      </c>
      <c r="AY156" s="50">
        <f>AW156+AL156</f>
        <v>39</v>
      </c>
      <c r="AZ156" s="57">
        <f>AY156/X156</f>
        <v>3.9E-2</v>
      </c>
      <c r="BA156" s="50">
        <v>245</v>
      </c>
      <c r="BB156" s="50">
        <v>0</v>
      </c>
      <c r="BC156" s="50"/>
      <c r="BD156" s="50">
        <v>2</v>
      </c>
      <c r="BE156" s="50"/>
      <c r="BF156" s="50"/>
      <c r="BG156" s="50"/>
      <c r="BH156" s="50">
        <v>0</v>
      </c>
      <c r="BI156" s="50"/>
      <c r="BJ156" s="50">
        <f>+BD156</f>
        <v>2</v>
      </c>
      <c r="BK156" s="57">
        <f>+BJ156/(BA156+8)</f>
        <v>7.9051383399209481E-3</v>
      </c>
      <c r="BL156" s="50">
        <f>BJ156+AY156</f>
        <v>41</v>
      </c>
      <c r="BM156" s="57">
        <f>BL156/X156</f>
        <v>4.1000000000000002E-2</v>
      </c>
      <c r="BN156" s="50"/>
      <c r="BO156" s="50"/>
      <c r="BP156" s="50"/>
      <c r="BQ156" s="50"/>
      <c r="BR156" s="50"/>
      <c r="BS156" s="50"/>
      <c r="BT156" s="50"/>
      <c r="BU156" s="50"/>
      <c r="BV156" s="50"/>
      <c r="BW156" s="50"/>
      <c r="BX156" s="50"/>
      <c r="BY156" s="50"/>
      <c r="BZ156" s="50"/>
      <c r="CA156" s="50"/>
      <c r="CB156" s="49"/>
      <c r="CC156" s="59"/>
      <c r="CD156" s="60"/>
      <c r="CE156" s="50"/>
      <c r="CF156" s="61"/>
      <c r="CG156" s="61"/>
      <c r="CH156" s="49"/>
      <c r="CI156" s="49"/>
      <c r="CJ156" s="49"/>
      <c r="CK156" s="49"/>
      <c r="CL156" s="49"/>
      <c r="CM156" s="49"/>
      <c r="CN156" s="49"/>
      <c r="CO156" s="50"/>
      <c r="CP156" s="50"/>
      <c r="CQ156" s="49"/>
      <c r="CR156" s="49"/>
      <c r="CS156" s="49"/>
      <c r="CT156" s="49"/>
      <c r="CU156" s="49"/>
      <c r="CV156" s="49"/>
      <c r="CW156" s="49"/>
      <c r="CX156" s="49"/>
    </row>
    <row r="157" spans="1:102" ht="18.75" customHeight="1" x14ac:dyDescent="0.2">
      <c r="A157" s="1811"/>
      <c r="B157" s="1807"/>
      <c r="C157" s="49"/>
      <c r="D157" s="50"/>
      <c r="E157" s="49"/>
      <c r="F157" s="49"/>
      <c r="G157" s="49"/>
      <c r="H157" s="49"/>
      <c r="I157" s="49"/>
      <c r="J157" s="49"/>
      <c r="K157" s="49"/>
      <c r="L157" s="49"/>
      <c r="M157" s="49"/>
      <c r="N157" s="49"/>
      <c r="O157" s="49"/>
      <c r="P157" s="49"/>
      <c r="Q157" s="49"/>
      <c r="R157" s="49"/>
      <c r="S157" s="49"/>
      <c r="T157" s="1808"/>
      <c r="U157" s="85"/>
      <c r="V157" s="85"/>
      <c r="W157" s="1427"/>
      <c r="X157" s="72"/>
      <c r="Y157" s="72"/>
      <c r="Z157" s="72"/>
      <c r="AA157" s="72"/>
      <c r="AB157" s="86">
        <f>AVERAGE(AB155:AB156)</f>
        <v>0.10242857142857142</v>
      </c>
      <c r="AC157" s="86">
        <f>+AC155</f>
        <v>0.28457142857142859</v>
      </c>
      <c r="AD157" s="86">
        <f>AVERAGE(AD155:AD156)</f>
        <v>0.33478571428571424</v>
      </c>
      <c r="AE157" s="72"/>
      <c r="AF157" s="72"/>
      <c r="AG157" s="72"/>
      <c r="AH157" s="72"/>
      <c r="AI157" s="72"/>
      <c r="AJ157" s="72"/>
      <c r="AK157" s="86">
        <f>AVERAGE(AK155:AK156)</f>
        <v>0.5</v>
      </c>
      <c r="AL157" s="72"/>
      <c r="AM157" s="86">
        <f>AVERAGE(AM155:AM156)</f>
        <v>0</v>
      </c>
      <c r="AN157" s="72"/>
      <c r="AO157" s="50"/>
      <c r="AP157" s="50"/>
      <c r="AQ157" s="50"/>
      <c r="AR157" s="50"/>
      <c r="AS157" s="50"/>
      <c r="AT157" s="50"/>
      <c r="AU157" s="50"/>
      <c r="AV157" s="50"/>
      <c r="AW157" s="50"/>
      <c r="AX157" s="86">
        <f>AVERAGE(AX155:AX156)</f>
        <v>0.65184140818593517</v>
      </c>
      <c r="AY157" s="125"/>
      <c r="AZ157" s="86">
        <f>AVERAGE(AZ155:AZ156)</f>
        <v>8.6928571428571438E-2</v>
      </c>
      <c r="BA157" s="50"/>
      <c r="BB157" s="50"/>
      <c r="BC157" s="50"/>
      <c r="BD157" s="50"/>
      <c r="BE157" s="50"/>
      <c r="BF157" s="50"/>
      <c r="BG157" s="50"/>
      <c r="BH157" s="50"/>
      <c r="BI157" s="50"/>
      <c r="BJ157" s="50"/>
      <c r="BK157" s="73">
        <f>AVERAGE(BK155:BK156)</f>
        <v>0.27590422220942012</v>
      </c>
      <c r="BL157" s="50"/>
      <c r="BM157" s="107">
        <f>AVERAGE(BM155:BM156)</f>
        <v>0.30649999999999999</v>
      </c>
      <c r="BN157" s="50"/>
      <c r="BO157" s="50"/>
      <c r="BP157" s="50"/>
      <c r="BQ157" s="50"/>
      <c r="BR157" s="50"/>
      <c r="BS157" s="50"/>
      <c r="BT157" s="50"/>
      <c r="BU157" s="50"/>
      <c r="BV157" s="50"/>
      <c r="BW157" s="50"/>
      <c r="BX157" s="50"/>
      <c r="BY157" s="50"/>
      <c r="BZ157" s="50"/>
      <c r="CA157" s="50"/>
      <c r="CB157" s="49"/>
      <c r="CC157" s="59"/>
      <c r="CD157" s="60"/>
      <c r="CE157" s="50"/>
      <c r="CF157" s="61"/>
      <c r="CG157" s="61"/>
      <c r="CH157" s="49"/>
      <c r="CI157" s="49"/>
      <c r="CJ157" s="49"/>
      <c r="CK157" s="49"/>
      <c r="CL157" s="49"/>
      <c r="CM157" s="49"/>
      <c r="CN157" s="49"/>
      <c r="CO157" s="50"/>
      <c r="CP157" s="50"/>
      <c r="CQ157" s="49"/>
      <c r="CR157" s="49"/>
      <c r="CS157" s="49"/>
      <c r="CT157" s="49"/>
      <c r="CU157" s="49"/>
      <c r="CV157" s="49"/>
      <c r="CW157" s="49"/>
      <c r="CX157" s="49"/>
    </row>
    <row r="158" spans="1:102" ht="37.5" customHeight="1" x14ac:dyDescent="0.2">
      <c r="A158" s="1811"/>
      <c r="B158" s="1807"/>
      <c r="C158" s="49"/>
      <c r="D158" s="50"/>
      <c r="E158" s="49"/>
      <c r="F158" s="49"/>
      <c r="G158" s="49"/>
      <c r="H158" s="49"/>
      <c r="I158" s="49"/>
      <c r="J158" s="49"/>
      <c r="K158" s="49"/>
      <c r="L158" s="49"/>
      <c r="M158" s="49"/>
      <c r="N158" s="49"/>
      <c r="O158" s="49"/>
      <c r="P158" s="49"/>
      <c r="Q158" s="49"/>
      <c r="R158" s="49"/>
      <c r="S158" s="49"/>
      <c r="T158" s="1809" t="s">
        <v>488</v>
      </c>
      <c r="U158" s="51" t="s">
        <v>489</v>
      </c>
      <c r="V158" s="51" t="s">
        <v>490</v>
      </c>
      <c r="W158" s="1425" t="s">
        <v>491</v>
      </c>
      <c r="X158" s="50">
        <v>4500</v>
      </c>
      <c r="Y158" s="50">
        <v>650</v>
      </c>
      <c r="Z158" s="50">
        <v>252</v>
      </c>
      <c r="AA158" s="50">
        <v>3500</v>
      </c>
      <c r="AB158" s="54">
        <f>+Y158/X158</f>
        <v>0.14444444444444443</v>
      </c>
      <c r="AC158" s="54">
        <f>+Z158/X158</f>
        <v>5.6000000000000001E-2</v>
      </c>
      <c r="AD158" s="54">
        <f>AA158/X158</f>
        <v>0.77777777777777779</v>
      </c>
      <c r="AE158" s="50">
        <v>412</v>
      </c>
      <c r="AF158" s="50">
        <v>163</v>
      </c>
      <c r="AG158" s="50"/>
      <c r="AH158" s="50">
        <v>487</v>
      </c>
      <c r="AI158" s="50"/>
      <c r="AJ158" s="63">
        <v>412</v>
      </c>
      <c r="AK158" s="54">
        <f>+AE158/Y158</f>
        <v>0.63384615384615384</v>
      </c>
      <c r="AL158" s="50">
        <v>412</v>
      </c>
      <c r="AM158" s="55">
        <f>+AL158/X158</f>
        <v>9.1555555555555557E-2</v>
      </c>
      <c r="AN158" s="50">
        <v>252</v>
      </c>
      <c r="AO158" s="117">
        <v>0</v>
      </c>
      <c r="AP158" s="50"/>
      <c r="AQ158" s="50">
        <v>0</v>
      </c>
      <c r="AR158" s="50"/>
      <c r="AS158" s="50">
        <v>31</v>
      </c>
      <c r="AT158" s="50"/>
      <c r="AU158" s="50">
        <v>40</v>
      </c>
      <c r="AV158" s="50"/>
      <c r="AW158" s="50">
        <f>+AS158+AU158</f>
        <v>71</v>
      </c>
      <c r="AX158" s="57">
        <f>AW158/AN158</f>
        <v>0.28174603174603174</v>
      </c>
      <c r="AY158" s="50">
        <f>AW158+AL158</f>
        <v>483</v>
      </c>
      <c r="AZ158" s="57">
        <f>AY158/X158</f>
        <v>0.10733333333333334</v>
      </c>
      <c r="BA158" s="50">
        <v>3500</v>
      </c>
      <c r="BB158" s="50">
        <v>9</v>
      </c>
      <c r="BC158" s="50"/>
      <c r="BD158" s="50">
        <v>244</v>
      </c>
      <c r="BE158" s="50"/>
      <c r="BF158" s="50">
        <v>486</v>
      </c>
      <c r="BG158" s="50"/>
      <c r="BH158" s="50">
        <v>446</v>
      </c>
      <c r="BI158" s="50"/>
      <c r="BJ158" s="50">
        <f>BB158+BD158+BF158+BH158</f>
        <v>1185</v>
      </c>
      <c r="BK158" s="57">
        <f>BJ158/BA158</f>
        <v>0.33857142857142858</v>
      </c>
      <c r="BL158" s="50">
        <f>BJ158+AY158</f>
        <v>1668</v>
      </c>
      <c r="BM158" s="57">
        <f>BL158/X158</f>
        <v>0.37066666666666664</v>
      </c>
      <c r="BN158" s="50"/>
      <c r="BO158" s="50"/>
      <c r="BP158" s="50"/>
      <c r="BQ158" s="50"/>
      <c r="BR158" s="50"/>
      <c r="BS158" s="50"/>
      <c r="BT158" s="50"/>
      <c r="BU158" s="50"/>
      <c r="BV158" s="50"/>
      <c r="BW158" s="50"/>
      <c r="BX158" s="50"/>
      <c r="BY158" s="50"/>
      <c r="BZ158" s="50"/>
      <c r="CA158" s="50"/>
      <c r="CB158" s="49"/>
      <c r="CC158" s="59"/>
      <c r="CD158" s="60"/>
      <c r="CE158" s="50"/>
      <c r="CF158" s="61"/>
      <c r="CG158" s="61"/>
      <c r="CH158" s="49"/>
      <c r="CI158" s="49"/>
      <c r="CJ158" s="49"/>
      <c r="CK158" s="49"/>
      <c r="CL158" s="49"/>
      <c r="CM158" s="49"/>
      <c r="CN158" s="49"/>
      <c r="CO158" s="50"/>
      <c r="CP158" s="50"/>
      <c r="CQ158" s="49"/>
      <c r="CR158" s="49"/>
      <c r="CS158" s="49"/>
      <c r="CT158" s="49"/>
      <c r="CU158" s="49"/>
      <c r="CV158" s="49"/>
      <c r="CW158" s="49"/>
      <c r="CX158" s="49"/>
    </row>
    <row r="159" spans="1:102" ht="42" customHeight="1" x14ac:dyDescent="0.2">
      <c r="A159" s="1811"/>
      <c r="B159" s="1807"/>
      <c r="C159" s="49"/>
      <c r="D159" s="50"/>
      <c r="E159" s="49"/>
      <c r="F159" s="49"/>
      <c r="G159" s="49"/>
      <c r="H159" s="49"/>
      <c r="I159" s="49"/>
      <c r="J159" s="49"/>
      <c r="K159" s="49"/>
      <c r="L159" s="49"/>
      <c r="M159" s="49"/>
      <c r="N159" s="49"/>
      <c r="O159" s="49"/>
      <c r="P159" s="49"/>
      <c r="Q159" s="49"/>
      <c r="R159" s="49"/>
      <c r="S159" s="49"/>
      <c r="T159" s="1808"/>
      <c r="U159" s="85"/>
      <c r="V159" s="85"/>
      <c r="W159" s="1427"/>
      <c r="X159" s="72"/>
      <c r="Y159" s="72"/>
      <c r="Z159" s="72"/>
      <c r="AA159" s="72"/>
      <c r="AB159" s="86">
        <f>+AB158</f>
        <v>0.14444444444444443</v>
      </c>
      <c r="AC159" s="86">
        <f>+AC158</f>
        <v>5.6000000000000001E-2</v>
      </c>
      <c r="AD159" s="86">
        <f>+AD158</f>
        <v>0.77777777777777779</v>
      </c>
      <c r="AE159" s="72"/>
      <c r="AF159" s="72"/>
      <c r="AG159" s="72"/>
      <c r="AH159" s="72"/>
      <c r="AI159" s="72"/>
      <c r="AJ159" s="72"/>
      <c r="AK159" s="86">
        <f>AVERAGE(AK158)</f>
        <v>0.63384615384615384</v>
      </c>
      <c r="AL159" s="72"/>
      <c r="AM159" s="73">
        <f>AVERAGE(AM158)</f>
        <v>9.1555555555555557E-2</v>
      </c>
      <c r="AN159" s="72"/>
      <c r="AO159" s="72"/>
      <c r="AP159" s="72"/>
      <c r="AQ159" s="72"/>
      <c r="AR159" s="72"/>
      <c r="AS159" s="72"/>
      <c r="AT159" s="72"/>
      <c r="AU159" s="72"/>
      <c r="AV159" s="50"/>
      <c r="AW159" s="50"/>
      <c r="AX159" s="86">
        <f>AVERAGE(AX157:AX158)</f>
        <v>0.46679371996598346</v>
      </c>
      <c r="AY159" s="125"/>
      <c r="AZ159" s="107">
        <f>+AZ158</f>
        <v>0.10733333333333334</v>
      </c>
      <c r="BA159" s="50"/>
      <c r="BB159" s="50"/>
      <c r="BC159" s="50"/>
      <c r="BD159" s="50"/>
      <c r="BE159" s="50"/>
      <c r="BF159" s="50"/>
      <c r="BG159" s="50"/>
      <c r="BH159" s="50"/>
      <c r="BI159" s="50"/>
      <c r="BJ159" s="50"/>
      <c r="BK159" s="107">
        <f>+BK158</f>
        <v>0.33857142857142858</v>
      </c>
      <c r="BL159" s="50"/>
      <c r="BM159" s="107">
        <f>+BM158</f>
        <v>0.37066666666666664</v>
      </c>
      <c r="BN159" s="50"/>
      <c r="BO159" s="50"/>
      <c r="BP159" s="50"/>
      <c r="BQ159" s="50"/>
      <c r="BR159" s="50"/>
      <c r="BS159" s="50"/>
      <c r="BT159" s="50"/>
      <c r="BU159" s="50"/>
      <c r="BV159" s="50"/>
      <c r="BW159" s="50"/>
      <c r="BX159" s="50"/>
      <c r="BY159" s="50"/>
      <c r="BZ159" s="50"/>
      <c r="CA159" s="50"/>
      <c r="CB159" s="49"/>
      <c r="CC159" s="59"/>
      <c r="CD159" s="60"/>
      <c r="CE159" s="50"/>
      <c r="CF159" s="61"/>
      <c r="CG159" s="61"/>
      <c r="CH159" s="49"/>
      <c r="CI159" s="49"/>
      <c r="CJ159" s="49"/>
      <c r="CK159" s="49"/>
      <c r="CL159" s="49"/>
      <c r="CM159" s="49"/>
      <c r="CN159" s="49"/>
      <c r="CO159" s="50"/>
      <c r="CP159" s="50"/>
      <c r="CQ159" s="49"/>
      <c r="CR159" s="49"/>
      <c r="CS159" s="49"/>
      <c r="CT159" s="49"/>
      <c r="CU159" s="49"/>
      <c r="CV159" s="49"/>
      <c r="CW159" s="49"/>
      <c r="CX159" s="49"/>
    </row>
    <row r="160" spans="1:102" ht="53.25" customHeight="1" x14ac:dyDescent="0.2">
      <c r="A160" s="1811"/>
      <c r="B160" s="1807"/>
      <c r="C160" s="49"/>
      <c r="D160" s="50"/>
      <c r="E160" s="49"/>
      <c r="F160" s="49"/>
      <c r="G160" s="49"/>
      <c r="H160" s="49"/>
      <c r="I160" s="49"/>
      <c r="J160" s="49"/>
      <c r="K160" s="49"/>
      <c r="L160" s="49"/>
      <c r="M160" s="49"/>
      <c r="N160" s="49"/>
      <c r="O160" s="49"/>
      <c r="P160" s="49"/>
      <c r="Q160" s="49"/>
      <c r="R160" s="49"/>
      <c r="S160" s="49"/>
      <c r="T160" s="1809" t="s">
        <v>492</v>
      </c>
      <c r="U160" s="51" t="s">
        <v>493</v>
      </c>
      <c r="V160" s="51" t="s">
        <v>201</v>
      </c>
      <c r="W160" s="1425" t="s">
        <v>494</v>
      </c>
      <c r="X160" s="50">
        <v>2</v>
      </c>
      <c r="Y160" s="50">
        <v>0.3</v>
      </c>
      <c r="Z160" s="50">
        <v>1</v>
      </c>
      <c r="AA160" s="50">
        <v>1</v>
      </c>
      <c r="AB160" s="54">
        <f>+Y160/X160</f>
        <v>0.15</v>
      </c>
      <c r="AC160" s="54">
        <f>+Z160/X160</f>
        <v>0.5</v>
      </c>
      <c r="AD160" s="859">
        <f>AA160/X160</f>
        <v>0.5</v>
      </c>
      <c r="AE160" s="50">
        <v>0</v>
      </c>
      <c r="AF160" s="50">
        <v>0</v>
      </c>
      <c r="AG160" s="50"/>
      <c r="AH160" s="50">
        <v>0</v>
      </c>
      <c r="AI160" s="50"/>
      <c r="AJ160" s="50">
        <v>0</v>
      </c>
      <c r="AK160" s="54">
        <v>0</v>
      </c>
      <c r="AL160" s="50">
        <v>0</v>
      </c>
      <c r="AM160" s="54">
        <v>0</v>
      </c>
      <c r="AN160" s="117">
        <v>1</v>
      </c>
      <c r="AO160" s="50"/>
      <c r="AP160" s="50"/>
      <c r="AQ160" s="50"/>
      <c r="AR160" s="50"/>
      <c r="AS160" s="50">
        <v>0.23</v>
      </c>
      <c r="AT160" s="50"/>
      <c r="AU160" s="54">
        <v>0.77</v>
      </c>
      <c r="AV160" s="50"/>
      <c r="AW160" s="56">
        <f>+AU160+AS160</f>
        <v>1</v>
      </c>
      <c r="AX160" s="54">
        <v>1</v>
      </c>
      <c r="AY160" s="56">
        <f>+AW160</f>
        <v>1</v>
      </c>
      <c r="AZ160" s="54">
        <f>+AY160/2</f>
        <v>0.5</v>
      </c>
      <c r="BA160" s="50">
        <v>1</v>
      </c>
      <c r="BB160" s="50">
        <v>0</v>
      </c>
      <c r="BC160" s="50"/>
      <c r="BD160" s="50">
        <v>0.6</v>
      </c>
      <c r="BE160" s="50"/>
      <c r="BF160" s="50">
        <v>0.4</v>
      </c>
      <c r="BG160" s="50"/>
      <c r="BH160" s="50"/>
      <c r="BI160" s="50"/>
      <c r="BJ160" s="50">
        <f>+BD160+BF160</f>
        <v>1</v>
      </c>
      <c r="BK160" s="57">
        <f>BJ160/BA160</f>
        <v>1</v>
      </c>
      <c r="BL160" s="56">
        <f>BJ160+AY160</f>
        <v>2</v>
      </c>
      <c r="BM160" s="1154">
        <f>BL160/X160</f>
        <v>1</v>
      </c>
      <c r="BN160" s="50"/>
      <c r="BO160" s="50"/>
      <c r="BP160" s="50"/>
      <c r="BQ160" s="50"/>
      <c r="BR160" s="50"/>
      <c r="BS160" s="50"/>
      <c r="BT160" s="50"/>
      <c r="BU160" s="50"/>
      <c r="BV160" s="50"/>
      <c r="BW160" s="50"/>
      <c r="BX160" s="50"/>
      <c r="BY160" s="50"/>
      <c r="BZ160" s="50"/>
      <c r="CA160" s="50"/>
      <c r="CB160" s="49"/>
      <c r="CC160" s="59"/>
      <c r="CD160" s="60"/>
      <c r="CE160" s="50"/>
      <c r="CF160" s="61"/>
      <c r="CG160" s="61"/>
      <c r="CH160" s="49"/>
      <c r="CI160" s="49"/>
      <c r="CJ160" s="49"/>
      <c r="CK160" s="49"/>
      <c r="CL160" s="49"/>
      <c r="CM160" s="49"/>
      <c r="CN160" s="49"/>
      <c r="CO160" s="50"/>
      <c r="CP160" s="50"/>
      <c r="CQ160" s="49"/>
      <c r="CR160" s="49"/>
      <c r="CS160" s="49"/>
      <c r="CT160" s="49"/>
      <c r="CU160" s="49"/>
      <c r="CV160" s="49"/>
      <c r="CW160" s="49"/>
      <c r="CX160" s="49"/>
    </row>
    <row r="161" spans="1:102" ht="63.75" customHeight="1" x14ac:dyDescent="0.2">
      <c r="A161" s="1811"/>
      <c r="B161" s="1807"/>
      <c r="C161" s="49"/>
      <c r="D161" s="50"/>
      <c r="E161" s="49"/>
      <c r="F161" s="49"/>
      <c r="G161" s="49"/>
      <c r="H161" s="49"/>
      <c r="I161" s="49"/>
      <c r="J161" s="49"/>
      <c r="K161" s="49"/>
      <c r="L161" s="49"/>
      <c r="M161" s="49"/>
      <c r="N161" s="49"/>
      <c r="O161" s="49"/>
      <c r="P161" s="49"/>
      <c r="Q161" s="49"/>
      <c r="R161" s="49"/>
      <c r="S161" s="49"/>
      <c r="T161" s="1807"/>
      <c r="U161" s="51" t="s">
        <v>495</v>
      </c>
      <c r="V161" s="51" t="s">
        <v>201</v>
      </c>
      <c r="W161" s="1425" t="s">
        <v>496</v>
      </c>
      <c r="X161" s="50">
        <v>10</v>
      </c>
      <c r="Y161" s="50" t="s">
        <v>177</v>
      </c>
      <c r="Z161" s="50"/>
      <c r="AA161" s="50" t="s">
        <v>177</v>
      </c>
      <c r="AB161" s="50"/>
      <c r="AC161" s="857"/>
      <c r="AD161" s="860"/>
      <c r="AE161" s="858"/>
      <c r="AF161" s="50"/>
      <c r="AG161" s="50"/>
      <c r="AH161" s="50"/>
      <c r="AI161" s="50"/>
      <c r="AJ161" s="50"/>
      <c r="AK161" s="50"/>
      <c r="AL161" s="50"/>
      <c r="AM161" s="50"/>
      <c r="AN161" s="117" t="s">
        <v>177</v>
      </c>
      <c r="AO161" s="50"/>
      <c r="AP161" s="50"/>
      <c r="AQ161" s="50"/>
      <c r="AR161" s="50"/>
      <c r="AS161" s="50"/>
      <c r="AT161" s="50"/>
      <c r="AU161" s="50"/>
      <c r="AV161" s="50"/>
      <c r="AW161" s="50"/>
      <c r="AX161" s="50"/>
      <c r="AY161" s="50"/>
      <c r="AZ161" s="50"/>
      <c r="BA161" s="50" t="s">
        <v>177</v>
      </c>
      <c r="BB161" s="50"/>
      <c r="BC161" s="50"/>
      <c r="BD161" s="50"/>
      <c r="BE161" s="50"/>
      <c r="BF161" s="50"/>
      <c r="BG161" s="50"/>
      <c r="BH161" s="50"/>
      <c r="BI161" s="1202" t="s">
        <v>2300</v>
      </c>
      <c r="BJ161" s="50"/>
      <c r="BK161" s="50"/>
      <c r="BL161" s="50"/>
      <c r="BM161" s="1154">
        <v>0</v>
      </c>
      <c r="BN161" s="50"/>
      <c r="BO161" s="50"/>
      <c r="BP161" s="50"/>
      <c r="BQ161" s="50"/>
      <c r="BR161" s="50"/>
      <c r="BS161" s="50"/>
      <c r="BT161" s="50"/>
      <c r="BU161" s="50"/>
      <c r="BV161" s="50"/>
      <c r="BW161" s="50"/>
      <c r="BX161" s="50"/>
      <c r="BY161" s="50"/>
      <c r="BZ161" s="50"/>
      <c r="CA161" s="50"/>
      <c r="CB161" s="49"/>
      <c r="CC161" s="59"/>
      <c r="CD161" s="60"/>
      <c r="CE161" s="50"/>
      <c r="CF161" s="61"/>
      <c r="CG161" s="61"/>
      <c r="CH161" s="49"/>
      <c r="CI161" s="49"/>
      <c r="CJ161" s="49"/>
      <c r="CK161" s="49"/>
      <c r="CL161" s="49"/>
      <c r="CM161" s="49"/>
      <c r="CN161" s="49"/>
      <c r="CO161" s="50"/>
      <c r="CP161" s="50"/>
      <c r="CQ161" s="49"/>
      <c r="CR161" s="49"/>
      <c r="CS161" s="49"/>
      <c r="CT161" s="49"/>
      <c r="CU161" s="49"/>
      <c r="CV161" s="49"/>
      <c r="CW161" s="49"/>
      <c r="CX161" s="49"/>
    </row>
    <row r="162" spans="1:102" ht="12.75" customHeight="1" x14ac:dyDescent="0.2">
      <c r="A162" s="1811"/>
      <c r="B162" s="1807"/>
      <c r="C162" s="49"/>
      <c r="D162" s="50"/>
      <c r="E162" s="49"/>
      <c r="F162" s="49"/>
      <c r="G162" s="49"/>
      <c r="H162" s="49"/>
      <c r="I162" s="49"/>
      <c r="J162" s="49"/>
      <c r="K162" s="49"/>
      <c r="L162" s="49"/>
      <c r="M162" s="49"/>
      <c r="N162" s="49"/>
      <c r="O162" s="49"/>
      <c r="P162" s="49"/>
      <c r="Q162" s="49"/>
      <c r="R162" s="49"/>
      <c r="S162" s="49"/>
      <c r="T162" s="1808"/>
      <c r="U162" s="85"/>
      <c r="V162" s="85"/>
      <c r="W162" s="1427"/>
      <c r="X162" s="72"/>
      <c r="Y162" s="72"/>
      <c r="Z162" s="72"/>
      <c r="AA162" s="72"/>
      <c r="AB162" s="86">
        <f>+AB160</f>
        <v>0.15</v>
      </c>
      <c r="AC162" s="86">
        <f>+AC160</f>
        <v>0.5</v>
      </c>
      <c r="AD162" s="181">
        <f>+AD160</f>
        <v>0.5</v>
      </c>
      <c r="AE162" s="72"/>
      <c r="AF162" s="72"/>
      <c r="AG162" s="72"/>
      <c r="AH162" s="72"/>
      <c r="AI162" s="72"/>
      <c r="AJ162" s="72"/>
      <c r="AK162" s="86">
        <f>AVERAGE(AK160:AK161)</f>
        <v>0</v>
      </c>
      <c r="AL162" s="72"/>
      <c r="AM162" s="86">
        <f>AVERAGE(AM160:AM161)</f>
        <v>0</v>
      </c>
      <c r="AN162" s="72"/>
      <c r="AO162" s="72"/>
      <c r="AP162" s="72"/>
      <c r="AQ162" s="50"/>
      <c r="AR162" s="50"/>
      <c r="AS162" s="50"/>
      <c r="AT162" s="50"/>
      <c r="AU162" s="50"/>
      <c r="AV162" s="50"/>
      <c r="AW162" s="50"/>
      <c r="AX162" s="86">
        <f>+AX160</f>
        <v>1</v>
      </c>
      <c r="AY162" s="133"/>
      <c r="AZ162" s="86">
        <f>+AZ160</f>
        <v>0.5</v>
      </c>
      <c r="BA162" s="50"/>
      <c r="BB162" s="50"/>
      <c r="BC162" s="50"/>
      <c r="BD162" s="50"/>
      <c r="BE162" s="50"/>
      <c r="BF162" s="50"/>
      <c r="BG162" s="50"/>
      <c r="BH162" s="50"/>
      <c r="BI162" s="50"/>
      <c r="BJ162" s="50"/>
      <c r="BK162" s="86">
        <f>+BK160</f>
        <v>1</v>
      </c>
      <c r="BL162" s="50"/>
      <c r="BM162" s="86">
        <f>AVERAGE(BM160:BM161)</f>
        <v>0.5</v>
      </c>
      <c r="BN162" s="50"/>
      <c r="BO162" s="50"/>
      <c r="BP162" s="50"/>
      <c r="BQ162" s="50"/>
      <c r="BR162" s="50"/>
      <c r="BS162" s="50"/>
      <c r="BT162" s="50"/>
      <c r="BU162" s="50"/>
      <c r="BV162" s="50"/>
      <c r="BW162" s="50"/>
      <c r="BX162" s="50"/>
      <c r="BY162" s="50"/>
      <c r="BZ162" s="50"/>
      <c r="CA162" s="50"/>
      <c r="CB162" s="49"/>
      <c r="CC162" s="59"/>
      <c r="CD162" s="60"/>
      <c r="CE162" s="50"/>
      <c r="CF162" s="61"/>
      <c r="CG162" s="61"/>
      <c r="CH162" s="49"/>
      <c r="CI162" s="49"/>
      <c r="CJ162" s="49"/>
      <c r="CK162" s="49"/>
      <c r="CL162" s="49"/>
      <c r="CM162" s="49"/>
      <c r="CN162" s="49"/>
      <c r="CO162" s="50"/>
      <c r="CP162" s="50"/>
      <c r="CQ162" s="49"/>
      <c r="CR162" s="49"/>
      <c r="CS162" s="49"/>
      <c r="CT162" s="49"/>
      <c r="CU162" s="49"/>
      <c r="CV162" s="49"/>
      <c r="CW162" s="49"/>
      <c r="CX162" s="49"/>
    </row>
    <row r="163" spans="1:102" ht="68.25" customHeight="1" x14ac:dyDescent="0.2">
      <c r="A163" s="1811"/>
      <c r="B163" s="1807"/>
      <c r="C163" s="49"/>
      <c r="D163" s="50"/>
      <c r="E163" s="49"/>
      <c r="F163" s="49"/>
      <c r="G163" s="49"/>
      <c r="H163" s="49"/>
      <c r="I163" s="49"/>
      <c r="J163" s="49"/>
      <c r="K163" s="49"/>
      <c r="L163" s="49"/>
      <c r="M163" s="49"/>
      <c r="N163" s="49"/>
      <c r="O163" s="49"/>
      <c r="P163" s="49"/>
      <c r="Q163" s="49"/>
      <c r="R163" s="49"/>
      <c r="S163" s="49"/>
      <c r="T163" s="1809" t="s">
        <v>497</v>
      </c>
      <c r="U163" s="51" t="s">
        <v>498</v>
      </c>
      <c r="V163" s="51" t="s">
        <v>201</v>
      </c>
      <c r="W163" s="1425" t="s">
        <v>499</v>
      </c>
      <c r="X163" s="50">
        <v>1</v>
      </c>
      <c r="Y163" s="50">
        <v>1</v>
      </c>
      <c r="Z163" s="50">
        <v>1</v>
      </c>
      <c r="AA163" s="50" t="s">
        <v>177</v>
      </c>
      <c r="AB163" s="54">
        <v>0.25</v>
      </c>
      <c r="AC163" s="54">
        <v>0.25</v>
      </c>
      <c r="AD163" s="54"/>
      <c r="AE163" s="50">
        <v>0</v>
      </c>
      <c r="AF163" s="54">
        <v>0.5</v>
      </c>
      <c r="AG163" s="50"/>
      <c r="AH163" s="54">
        <f>+AF163</f>
        <v>0.5</v>
      </c>
      <c r="AI163" s="50"/>
      <c r="AJ163" s="54">
        <f>+AH163</f>
        <v>0.5</v>
      </c>
      <c r="AK163" s="54">
        <f>+AJ163/Y163</f>
        <v>0.5</v>
      </c>
      <c r="AL163" s="54">
        <f>+AJ163</f>
        <v>0.5</v>
      </c>
      <c r="AM163" s="54">
        <f>+AL163/X163</f>
        <v>0.5</v>
      </c>
      <c r="AN163" s="117" t="s">
        <v>177</v>
      </c>
      <c r="AO163" s="50"/>
      <c r="AP163" s="50"/>
      <c r="AQ163" s="50"/>
      <c r="AR163" s="50"/>
      <c r="AS163" s="50"/>
      <c r="AT163" s="50"/>
      <c r="AU163" s="50"/>
      <c r="AV163" s="50"/>
      <c r="AW163" s="50"/>
      <c r="AX163" s="50"/>
      <c r="AY163" s="50"/>
      <c r="AZ163" s="50"/>
      <c r="BA163" s="50" t="s">
        <v>177</v>
      </c>
      <c r="BB163" s="50"/>
      <c r="BC163" s="50"/>
      <c r="BD163" s="50"/>
      <c r="BE163" s="50"/>
      <c r="BF163" s="50"/>
      <c r="BG163" s="50"/>
      <c r="BH163" s="50"/>
      <c r="BI163" s="1202" t="s">
        <v>2300</v>
      </c>
      <c r="BJ163" s="50"/>
      <c r="BK163" s="50"/>
      <c r="BL163" s="50"/>
      <c r="BM163" s="1421">
        <v>0</v>
      </c>
      <c r="BN163" s="50"/>
      <c r="BO163" s="50"/>
      <c r="BP163" s="50"/>
      <c r="BQ163" s="50"/>
      <c r="BR163" s="50"/>
      <c r="BS163" s="50"/>
      <c r="BT163" s="50"/>
      <c r="BU163" s="50"/>
      <c r="BV163" s="50"/>
      <c r="BW163" s="50"/>
      <c r="BX163" s="50"/>
      <c r="BY163" s="50"/>
      <c r="BZ163" s="50"/>
      <c r="CA163" s="50"/>
      <c r="CB163" s="49"/>
      <c r="CC163" s="59"/>
      <c r="CD163" s="60"/>
      <c r="CE163" s="50"/>
      <c r="CF163" s="61"/>
      <c r="CG163" s="61"/>
      <c r="CH163" s="49"/>
      <c r="CI163" s="49"/>
      <c r="CJ163" s="49"/>
      <c r="CK163" s="49"/>
      <c r="CL163" s="49"/>
      <c r="CM163" s="49"/>
      <c r="CN163" s="49"/>
      <c r="CO163" s="50"/>
      <c r="CP163" s="50"/>
      <c r="CQ163" s="49"/>
      <c r="CR163" s="49"/>
      <c r="CS163" s="49"/>
      <c r="CT163" s="49"/>
      <c r="CU163" s="49"/>
      <c r="CV163" s="49"/>
      <c r="CW163" s="49"/>
      <c r="CX163" s="49"/>
    </row>
    <row r="164" spans="1:102" ht="38.25" customHeight="1" x14ac:dyDescent="0.2">
      <c r="A164" s="1811"/>
      <c r="B164" s="1807"/>
      <c r="C164" s="49"/>
      <c r="D164" s="50"/>
      <c r="E164" s="49"/>
      <c r="F164" s="49"/>
      <c r="G164" s="49"/>
      <c r="H164" s="49"/>
      <c r="I164" s="49"/>
      <c r="J164" s="49"/>
      <c r="K164" s="49"/>
      <c r="L164" s="49"/>
      <c r="M164" s="49"/>
      <c r="N164" s="49"/>
      <c r="O164" s="49"/>
      <c r="P164" s="49"/>
      <c r="Q164" s="49"/>
      <c r="R164" s="49"/>
      <c r="S164" s="49"/>
      <c r="T164" s="1807"/>
      <c r="U164" s="136" t="s">
        <v>500</v>
      </c>
      <c r="V164" s="51" t="s">
        <v>201</v>
      </c>
      <c r="W164" s="1425" t="s">
        <v>501</v>
      </c>
      <c r="X164" s="50">
        <v>6</v>
      </c>
      <c r="Y164" s="50" t="s">
        <v>177</v>
      </c>
      <c r="Z164" s="50">
        <v>1</v>
      </c>
      <c r="AA164" s="50">
        <v>2.9</v>
      </c>
      <c r="AB164" s="50"/>
      <c r="AC164" s="54">
        <f>+Z164/X164</f>
        <v>0.16666666666666666</v>
      </c>
      <c r="AD164" s="54">
        <f>AA164/X164</f>
        <v>0.48333333333333334</v>
      </c>
      <c r="AE164" s="50"/>
      <c r="AF164" s="50"/>
      <c r="AG164" s="50"/>
      <c r="AH164" s="50"/>
      <c r="AI164" s="50"/>
      <c r="AJ164" s="50"/>
      <c r="AK164" s="50"/>
      <c r="AL164" s="50"/>
      <c r="AM164" s="50"/>
      <c r="AN164" s="117">
        <v>0.1</v>
      </c>
      <c r="AO164" s="50"/>
      <c r="AP164" s="50"/>
      <c r="AQ164" s="50"/>
      <c r="AR164" s="50"/>
      <c r="AS164" s="50"/>
      <c r="AT164" s="50"/>
      <c r="AU164" s="50">
        <v>0.1</v>
      </c>
      <c r="AV164" s="50"/>
      <c r="AW164" s="50">
        <f>+AU164</f>
        <v>0.1</v>
      </c>
      <c r="AX164" s="54">
        <v>1</v>
      </c>
      <c r="AY164" s="50">
        <f>+AU164</f>
        <v>0.1</v>
      </c>
      <c r="AZ164" s="55">
        <f>+AY164/6</f>
        <v>1.6666666666666666E-2</v>
      </c>
      <c r="BA164" s="50">
        <v>5.9</v>
      </c>
      <c r="BB164" s="50">
        <v>0</v>
      </c>
      <c r="BC164" s="50"/>
      <c r="BD164" s="50">
        <v>0.8</v>
      </c>
      <c r="BE164" s="50"/>
      <c r="BF164" s="50"/>
      <c r="BG164" s="1444" t="s">
        <v>2235</v>
      </c>
      <c r="BH164" s="50"/>
      <c r="BI164" s="50">
        <v>0</v>
      </c>
      <c r="BJ164" s="50">
        <f>+BD164</f>
        <v>0.8</v>
      </c>
      <c r="BK164" s="57">
        <f>+BJ164/(BA164)</f>
        <v>0.13559322033898305</v>
      </c>
      <c r="BL164" s="50">
        <f>BJ164+AY164</f>
        <v>0.9</v>
      </c>
      <c r="BM164" s="55">
        <f>BL164/X164</f>
        <v>0.15</v>
      </c>
      <c r="BN164" s="50"/>
      <c r="BO164" s="50"/>
      <c r="BP164" s="50"/>
      <c r="BQ164" s="50"/>
      <c r="BR164" s="50"/>
      <c r="BS164" s="50"/>
      <c r="BT164" s="50"/>
      <c r="BU164" s="50"/>
      <c r="BV164" s="50"/>
      <c r="BW164" s="50"/>
      <c r="BX164" s="50"/>
      <c r="BY164" s="50"/>
      <c r="BZ164" s="50"/>
      <c r="CA164" s="50"/>
      <c r="CB164" s="49"/>
      <c r="CC164" s="59"/>
      <c r="CD164" s="60"/>
      <c r="CE164" s="50"/>
      <c r="CF164" s="61"/>
      <c r="CG164" s="61"/>
      <c r="CH164" s="49"/>
      <c r="CI164" s="49"/>
      <c r="CJ164" s="49"/>
      <c r="CK164" s="49"/>
      <c r="CL164" s="49"/>
      <c r="CM164" s="49"/>
      <c r="CN164" s="49"/>
      <c r="CO164" s="50"/>
      <c r="CP164" s="50"/>
      <c r="CQ164" s="49"/>
      <c r="CR164" s="49"/>
      <c r="CS164" s="49"/>
      <c r="CT164" s="49"/>
      <c r="CU164" s="49"/>
      <c r="CV164" s="49"/>
      <c r="CW164" s="49"/>
      <c r="CX164" s="49"/>
    </row>
    <row r="165" spans="1:102" ht="41.25" customHeight="1" x14ac:dyDescent="0.2">
      <c r="A165" s="1811"/>
      <c r="B165" s="1807"/>
      <c r="C165" s="49"/>
      <c r="D165" s="50"/>
      <c r="E165" s="49"/>
      <c r="F165" s="49"/>
      <c r="G165" s="49"/>
      <c r="H165" s="49"/>
      <c r="I165" s="49"/>
      <c r="J165" s="49"/>
      <c r="K165" s="49"/>
      <c r="L165" s="49"/>
      <c r="M165" s="49"/>
      <c r="N165" s="49"/>
      <c r="O165" s="49"/>
      <c r="P165" s="49"/>
      <c r="Q165" s="49"/>
      <c r="R165" s="49"/>
      <c r="S165" s="49"/>
      <c r="T165" s="1807"/>
      <c r="U165" s="136" t="s">
        <v>502</v>
      </c>
      <c r="V165" s="51" t="s">
        <v>201</v>
      </c>
      <c r="W165" s="1425" t="s">
        <v>503</v>
      </c>
      <c r="X165" s="50">
        <v>1</v>
      </c>
      <c r="Y165" s="50" t="s">
        <v>177</v>
      </c>
      <c r="Z165" s="50">
        <v>1</v>
      </c>
      <c r="AA165" s="50">
        <v>1</v>
      </c>
      <c r="AB165" s="50"/>
      <c r="AC165" s="54">
        <f>+Z165/X165</f>
        <v>1</v>
      </c>
      <c r="AD165" s="54">
        <f>AA165/X165</f>
        <v>1</v>
      </c>
      <c r="AE165" s="50"/>
      <c r="AF165" s="50"/>
      <c r="AG165" s="50"/>
      <c r="AH165" s="50"/>
      <c r="AI165" s="50"/>
      <c r="AJ165" s="50"/>
      <c r="AK165" s="50"/>
      <c r="AL165" s="50"/>
      <c r="AM165" s="50"/>
      <c r="AN165" s="117" t="s">
        <v>177</v>
      </c>
      <c r="AO165" s="50"/>
      <c r="AP165" s="50"/>
      <c r="AQ165" s="50"/>
      <c r="AR165" s="50"/>
      <c r="AS165" s="50"/>
      <c r="AT165" s="50"/>
      <c r="AU165" s="50"/>
      <c r="AV165" s="50"/>
      <c r="AW165" s="50"/>
      <c r="AX165" s="50"/>
      <c r="AY165" s="50"/>
      <c r="AZ165" s="50"/>
      <c r="BA165" s="50">
        <v>1</v>
      </c>
      <c r="BB165" s="50">
        <v>0</v>
      </c>
      <c r="BC165" s="50"/>
      <c r="BD165" s="50">
        <v>0.85</v>
      </c>
      <c r="BE165" s="50"/>
      <c r="BF165" s="50">
        <v>0.15</v>
      </c>
      <c r="BG165" s="50"/>
      <c r="BH165" s="50"/>
      <c r="BI165" s="50">
        <v>0</v>
      </c>
      <c r="BJ165" s="50">
        <f>+BD165+BF165</f>
        <v>1</v>
      </c>
      <c r="BK165" s="57">
        <f>BJ165/BA165</f>
        <v>1</v>
      </c>
      <c r="BL165" s="50">
        <f>BJ165+AY165</f>
        <v>1</v>
      </c>
      <c r="BM165" s="57">
        <f>+BL165</f>
        <v>1</v>
      </c>
      <c r="BN165" s="50"/>
      <c r="BO165" s="50"/>
      <c r="BP165" s="50"/>
      <c r="BQ165" s="50"/>
      <c r="BR165" s="50"/>
      <c r="BS165" s="50"/>
      <c r="BT165" s="50"/>
      <c r="BU165" s="50"/>
      <c r="BV165" s="50"/>
      <c r="BW165" s="50"/>
      <c r="BX165" s="50"/>
      <c r="BY165" s="50"/>
      <c r="BZ165" s="50"/>
      <c r="CA165" s="50"/>
      <c r="CB165" s="49"/>
      <c r="CC165" s="59"/>
      <c r="CD165" s="60"/>
      <c r="CE165" s="50"/>
      <c r="CF165" s="61"/>
      <c r="CG165" s="61"/>
      <c r="CH165" s="49"/>
      <c r="CI165" s="49"/>
      <c r="CJ165" s="49"/>
      <c r="CK165" s="49"/>
      <c r="CL165" s="49"/>
      <c r="CM165" s="49"/>
      <c r="CN165" s="49"/>
      <c r="CO165" s="50"/>
      <c r="CP165" s="50"/>
      <c r="CQ165" s="49"/>
      <c r="CR165" s="49"/>
      <c r="CS165" s="49"/>
      <c r="CT165" s="49"/>
      <c r="CU165" s="49"/>
      <c r="CV165" s="49"/>
      <c r="CW165" s="49"/>
      <c r="CX165" s="49"/>
    </row>
    <row r="166" spans="1:102" ht="39" customHeight="1" x14ac:dyDescent="0.2">
      <c r="A166" s="1811"/>
      <c r="B166" s="1807"/>
      <c r="C166" s="49"/>
      <c r="D166" s="50"/>
      <c r="E166" s="49"/>
      <c r="F166" s="49"/>
      <c r="G166" s="49"/>
      <c r="H166" s="49"/>
      <c r="I166" s="49"/>
      <c r="J166" s="49"/>
      <c r="K166" s="49"/>
      <c r="L166" s="49"/>
      <c r="M166" s="49"/>
      <c r="N166" s="49"/>
      <c r="O166" s="49"/>
      <c r="P166" s="49"/>
      <c r="Q166" s="49"/>
      <c r="R166" s="49"/>
      <c r="S166" s="49"/>
      <c r="T166" s="1807"/>
      <c r="U166" s="136" t="s">
        <v>504</v>
      </c>
      <c r="V166" s="51" t="s">
        <v>201</v>
      </c>
      <c r="W166" s="1425" t="s">
        <v>505</v>
      </c>
      <c r="X166" s="50">
        <v>3</v>
      </c>
      <c r="Y166" s="50" t="s">
        <v>177</v>
      </c>
      <c r="Z166" s="50">
        <v>1</v>
      </c>
      <c r="AA166" s="50">
        <v>2</v>
      </c>
      <c r="AB166" s="50"/>
      <c r="AC166" s="54">
        <f>+Z166/X166</f>
        <v>0.33333333333333331</v>
      </c>
      <c r="AD166" s="54">
        <f>AA166/X166</f>
        <v>0.66666666666666663</v>
      </c>
      <c r="AE166" s="50"/>
      <c r="AF166" s="50"/>
      <c r="AG166" s="50"/>
      <c r="AH166" s="50"/>
      <c r="AI166" s="50"/>
      <c r="AJ166" s="50"/>
      <c r="AK166" s="50"/>
      <c r="AL166" s="50"/>
      <c r="AM166" s="50"/>
      <c r="AN166" s="117">
        <v>1</v>
      </c>
      <c r="AO166" s="50"/>
      <c r="AP166" s="50"/>
      <c r="AQ166" s="50"/>
      <c r="AR166" s="50"/>
      <c r="AS166" s="50"/>
      <c r="AT166" s="50"/>
      <c r="AU166" s="54">
        <v>1</v>
      </c>
      <c r="AV166" s="50"/>
      <c r="AW166" s="54">
        <f>+AU166</f>
        <v>1</v>
      </c>
      <c r="AX166" s="54">
        <v>1</v>
      </c>
      <c r="AY166" s="50">
        <v>1</v>
      </c>
      <c r="AZ166" s="54">
        <f>+AY166/3</f>
        <v>0.33333333333333331</v>
      </c>
      <c r="BA166" s="50">
        <v>2</v>
      </c>
      <c r="BB166" s="50">
        <v>0</v>
      </c>
      <c r="BC166" s="50"/>
      <c r="BD166" s="50">
        <v>0.2</v>
      </c>
      <c r="BE166" s="50"/>
      <c r="BF166" s="50">
        <v>0.4</v>
      </c>
      <c r="BG166" s="50"/>
      <c r="BH166" s="50"/>
      <c r="BI166" s="50">
        <v>0.4</v>
      </c>
      <c r="BJ166" s="50">
        <f>+BD166+BF166+BI166</f>
        <v>1</v>
      </c>
      <c r="BK166" s="57">
        <f>BJ166/BA166</f>
        <v>0.5</v>
      </c>
      <c r="BL166" s="50">
        <f>BJ166+AY166</f>
        <v>2</v>
      </c>
      <c r="BM166" s="57">
        <f>BL166/X166</f>
        <v>0.66666666666666663</v>
      </c>
      <c r="BN166" s="50"/>
      <c r="BO166" s="50"/>
      <c r="BP166" s="50"/>
      <c r="BQ166" s="50"/>
      <c r="BR166" s="50"/>
      <c r="BS166" s="50"/>
      <c r="BT166" s="50"/>
      <c r="BU166" s="50"/>
      <c r="BV166" s="50"/>
      <c r="BW166" s="50"/>
      <c r="BX166" s="50"/>
      <c r="BY166" s="50"/>
      <c r="BZ166" s="50"/>
      <c r="CA166" s="50"/>
      <c r="CB166" s="49"/>
      <c r="CC166" s="59"/>
      <c r="CD166" s="60"/>
      <c r="CE166" s="50"/>
      <c r="CF166" s="61"/>
      <c r="CG166" s="61"/>
      <c r="CH166" s="49"/>
      <c r="CI166" s="49"/>
      <c r="CJ166" s="49"/>
      <c r="CK166" s="49"/>
      <c r="CL166" s="49"/>
      <c r="CM166" s="49"/>
      <c r="CN166" s="49"/>
      <c r="CO166" s="50"/>
      <c r="CP166" s="50"/>
      <c r="CQ166" s="49"/>
      <c r="CR166" s="49"/>
      <c r="CS166" s="49"/>
      <c r="CT166" s="49"/>
      <c r="CU166" s="49"/>
      <c r="CV166" s="49"/>
      <c r="CW166" s="49"/>
      <c r="CX166" s="49"/>
    </row>
    <row r="167" spans="1:102" ht="12.75" customHeight="1" x14ac:dyDescent="0.2">
      <c r="A167" s="1811"/>
      <c r="B167" s="1807"/>
      <c r="C167" s="49"/>
      <c r="D167" s="50"/>
      <c r="E167" s="49"/>
      <c r="F167" s="49"/>
      <c r="G167" s="49"/>
      <c r="H167" s="49"/>
      <c r="I167" s="49"/>
      <c r="J167" s="49"/>
      <c r="K167" s="49"/>
      <c r="L167" s="49"/>
      <c r="M167" s="49"/>
      <c r="N167" s="49"/>
      <c r="O167" s="49"/>
      <c r="P167" s="49"/>
      <c r="Q167" s="49"/>
      <c r="R167" s="49"/>
      <c r="S167" s="49"/>
      <c r="T167" s="1808"/>
      <c r="U167" s="140"/>
      <c r="V167" s="85"/>
      <c r="W167" s="1427"/>
      <c r="X167" s="72"/>
      <c r="Y167" s="72"/>
      <c r="Z167" s="72"/>
      <c r="AA167" s="72"/>
      <c r="AB167" s="86">
        <f>+AB163</f>
        <v>0.25</v>
      </c>
      <c r="AC167" s="86">
        <f>+(AC163+AC164+AC165+AC166)/4</f>
        <v>0.43749999999999994</v>
      </c>
      <c r="AD167" s="86">
        <f>+(AD164+AD166)/2</f>
        <v>0.57499999999999996</v>
      </c>
      <c r="AE167" s="72"/>
      <c r="AF167" s="72"/>
      <c r="AG167" s="72"/>
      <c r="AH167" s="72"/>
      <c r="AI167" s="72"/>
      <c r="AJ167" s="72"/>
      <c r="AK167" s="86">
        <f>AVERAGE(AK163:AK166)</f>
        <v>0.5</v>
      </c>
      <c r="AL167" s="72"/>
      <c r="AM167" s="86">
        <f>AVERAGE(AM163:AM166)</f>
        <v>0.5</v>
      </c>
      <c r="AN167" s="72"/>
      <c r="AO167" s="72"/>
      <c r="AP167" s="72"/>
      <c r="AQ167" s="50"/>
      <c r="AR167" s="50"/>
      <c r="AS167" s="50"/>
      <c r="AT167" s="50"/>
      <c r="AU167" s="50"/>
      <c r="AV167" s="50"/>
      <c r="AW167" s="50"/>
      <c r="AX167" s="86">
        <f>+(AX164+AX166)/2</f>
        <v>1</v>
      </c>
      <c r="AY167" s="133"/>
      <c r="AZ167" s="86">
        <f>+(AZ164+AZ166)/2</f>
        <v>0.17499999999999999</v>
      </c>
      <c r="BA167" s="50"/>
      <c r="BB167" s="50"/>
      <c r="BC167" s="50"/>
      <c r="BD167" s="50"/>
      <c r="BE167" s="50"/>
      <c r="BF167" s="50"/>
      <c r="BG167" s="50"/>
      <c r="BH167" s="50"/>
      <c r="BI167" s="50"/>
      <c r="BJ167" s="50"/>
      <c r="BK167" s="107">
        <f>AVERAGE(BK163:BK166)</f>
        <v>0.54519774011299438</v>
      </c>
      <c r="BL167" s="50"/>
      <c r="BM167" s="107">
        <f>AVERAGE(BM163:BM166)</f>
        <v>0.45416666666666661</v>
      </c>
      <c r="BN167" s="50"/>
      <c r="BO167" s="50"/>
      <c r="BP167" s="50"/>
      <c r="BQ167" s="50"/>
      <c r="BR167" s="50"/>
      <c r="BS167" s="50"/>
      <c r="BT167" s="50"/>
      <c r="BU167" s="50"/>
      <c r="BV167" s="50"/>
      <c r="BW167" s="50"/>
      <c r="BX167" s="50"/>
      <c r="BY167" s="50"/>
      <c r="BZ167" s="50"/>
      <c r="CA167" s="50"/>
      <c r="CB167" s="49"/>
      <c r="CC167" s="59"/>
      <c r="CD167" s="60"/>
      <c r="CE167" s="50"/>
      <c r="CF167" s="61"/>
      <c r="CG167" s="61"/>
      <c r="CH167" s="49"/>
      <c r="CI167" s="49"/>
      <c r="CJ167" s="49"/>
      <c r="CK167" s="49"/>
      <c r="CL167" s="49"/>
      <c r="CM167" s="49"/>
      <c r="CN167" s="49"/>
      <c r="CO167" s="50"/>
      <c r="CP167" s="50"/>
      <c r="CQ167" s="49"/>
      <c r="CR167" s="49"/>
      <c r="CS167" s="49"/>
      <c r="CT167" s="49"/>
      <c r="CU167" s="49"/>
      <c r="CV167" s="49"/>
      <c r="CW167" s="49"/>
      <c r="CX167" s="49"/>
    </row>
    <row r="168" spans="1:102" ht="12.75" customHeight="1" x14ac:dyDescent="0.2">
      <c r="A168" s="1811"/>
      <c r="B168" s="1808"/>
      <c r="C168" s="49"/>
      <c r="D168" s="50"/>
      <c r="E168" s="49"/>
      <c r="F168" s="49"/>
      <c r="G168" s="49"/>
      <c r="H168" s="49"/>
      <c r="I168" s="49"/>
      <c r="J168" s="49"/>
      <c r="K168" s="49"/>
      <c r="L168" s="49"/>
      <c r="M168" s="49"/>
      <c r="N168" s="49"/>
      <c r="O168" s="49"/>
      <c r="P168" s="49"/>
      <c r="Q168" s="49"/>
      <c r="R168" s="49"/>
      <c r="S168" s="49"/>
      <c r="T168" s="108"/>
      <c r="U168" s="156"/>
      <c r="V168" s="109"/>
      <c r="W168" s="1429"/>
      <c r="X168" s="110"/>
      <c r="Y168" s="110"/>
      <c r="Z168" s="110"/>
      <c r="AA168" s="110"/>
      <c r="AB168" s="112">
        <f>+(AB154+AB157+AB159+AB162+AB167)/5</f>
        <v>0.19809460317460317</v>
      </c>
      <c r="AC168" s="112">
        <f>+(AC154+AC157+AC159+AC162+AC167)/5</f>
        <v>0.29517428571428572</v>
      </c>
      <c r="AD168" s="111">
        <f>+(AD154+AD157+AD159+AD162+AD167)/5</f>
        <v>0.49651269841269841</v>
      </c>
      <c r="AE168" s="110"/>
      <c r="AF168" s="110"/>
      <c r="AG168" s="110"/>
      <c r="AH168" s="110"/>
      <c r="AI168" s="110"/>
      <c r="AJ168" s="110"/>
      <c r="AK168" s="112">
        <f>+(AK167+AK162+AK159+AK157+AK154)/5</f>
        <v>0.52676923076923077</v>
      </c>
      <c r="AL168" s="110"/>
      <c r="AM168" s="111">
        <f>+(AM167+AM162+AM159+AM157+AM154)/5</f>
        <v>0.19623111111111111</v>
      </c>
      <c r="AN168" s="110"/>
      <c r="AO168" s="110"/>
      <c r="AP168" s="110"/>
      <c r="AQ168" s="110"/>
      <c r="AR168" s="110"/>
      <c r="AS168" s="110"/>
      <c r="AT168" s="110"/>
      <c r="AU168" s="110"/>
      <c r="AV168" s="50"/>
      <c r="AW168" s="50"/>
      <c r="AX168" s="111">
        <f>+(AX167+AX162+AX159+AX157+AX154)/5</f>
        <v>0.79968856409192224</v>
      </c>
      <c r="AY168" s="111"/>
      <c r="AZ168" s="111">
        <f>+(AZ154+AZ157+AZ159+AZ162+AZ167)/5</f>
        <v>0.28824238095238097</v>
      </c>
      <c r="BA168" s="50"/>
      <c r="BB168" s="50"/>
      <c r="BC168" s="50"/>
      <c r="BD168" s="50"/>
      <c r="BE168" s="50"/>
      <c r="BF168" s="50"/>
      <c r="BG168" s="50"/>
      <c r="BH168" s="50"/>
      <c r="BI168" s="50"/>
      <c r="BJ168" s="50"/>
      <c r="BK168" s="111">
        <f>+(BK154+BK157+BK159+BK162+BK167)/5</f>
        <v>0.4484690597898956</v>
      </c>
      <c r="BL168" s="50"/>
      <c r="BM168" s="111">
        <f>+(BM154+BM157+BM159+BM162+BM167)/5</f>
        <v>0.44369166666666671</v>
      </c>
      <c r="BN168" s="50"/>
      <c r="BO168" s="50"/>
      <c r="BP168" s="50"/>
      <c r="BQ168" s="50"/>
      <c r="BR168" s="50"/>
      <c r="BS168" s="50"/>
      <c r="BT168" s="50"/>
      <c r="BU168" s="50"/>
      <c r="BV168" s="50"/>
      <c r="BW168" s="50"/>
      <c r="BX168" s="50"/>
      <c r="BY168" s="50"/>
      <c r="BZ168" s="50"/>
      <c r="CA168" s="50"/>
      <c r="CB168" s="49"/>
      <c r="CC168" s="59"/>
      <c r="CD168" s="60"/>
      <c r="CE168" s="50"/>
      <c r="CF168" s="61"/>
      <c r="CG168" s="61"/>
      <c r="CH168" s="49"/>
      <c r="CI168" s="49"/>
      <c r="CJ168" s="49"/>
      <c r="CK168" s="49"/>
      <c r="CL168" s="49"/>
      <c r="CM168" s="49"/>
      <c r="CN168" s="49"/>
      <c r="CO168" s="50"/>
      <c r="CP168" s="50"/>
      <c r="CQ168" s="49"/>
      <c r="CR168" s="49"/>
      <c r="CS168" s="49"/>
      <c r="CT168" s="49"/>
      <c r="CU168" s="49"/>
      <c r="CV168" s="49"/>
      <c r="CW168" s="49"/>
      <c r="CX168" s="49"/>
    </row>
    <row r="169" spans="1:102" ht="68.25" customHeight="1" x14ac:dyDescent="0.2">
      <c r="A169" s="1811"/>
      <c r="B169" s="1806" t="s">
        <v>506</v>
      </c>
      <c r="C169" s="49"/>
      <c r="D169" s="50"/>
      <c r="E169" s="49"/>
      <c r="F169" s="49"/>
      <c r="G169" s="49"/>
      <c r="H169" s="49"/>
      <c r="I169" s="49"/>
      <c r="J169" s="49"/>
      <c r="K169" s="49"/>
      <c r="L169" s="49"/>
      <c r="M169" s="49"/>
      <c r="N169" s="49"/>
      <c r="O169" s="49"/>
      <c r="P169" s="49"/>
      <c r="Q169" s="49"/>
      <c r="R169" s="49"/>
      <c r="S169" s="49"/>
      <c r="T169" s="1809" t="s">
        <v>507</v>
      </c>
      <c r="U169" s="136" t="s">
        <v>508</v>
      </c>
      <c r="V169" s="141">
        <v>0</v>
      </c>
      <c r="W169" s="1433" t="s">
        <v>509</v>
      </c>
      <c r="X169" s="157">
        <v>0.8</v>
      </c>
      <c r="Y169" s="157">
        <v>0.1</v>
      </c>
      <c r="Z169" s="158" t="s">
        <v>177</v>
      </c>
      <c r="AA169" s="157">
        <v>0.12</v>
      </c>
      <c r="AB169" s="157">
        <f>+Y169/X169</f>
        <v>0.125</v>
      </c>
      <c r="AC169" s="157"/>
      <c r="AD169" s="54">
        <f>AA169/X169</f>
        <v>0.15</v>
      </c>
      <c r="AE169" s="157">
        <v>0.1</v>
      </c>
      <c r="AF169" s="157">
        <v>0.1</v>
      </c>
      <c r="AG169" s="158"/>
      <c r="AH169" s="157">
        <f>+AF169</f>
        <v>0.1</v>
      </c>
      <c r="AI169" s="158"/>
      <c r="AJ169" s="157">
        <f>+AH169</f>
        <v>0.1</v>
      </c>
      <c r="AK169" s="157">
        <f>+AJ169/Y169</f>
        <v>1</v>
      </c>
      <c r="AL169" s="157">
        <f>+AJ169</f>
        <v>0.1</v>
      </c>
      <c r="AM169" s="157">
        <f>+AL169/X169</f>
        <v>0.125</v>
      </c>
      <c r="AN169" s="157">
        <v>0.1</v>
      </c>
      <c r="AO169" s="158"/>
      <c r="AP169" s="158"/>
      <c r="AQ169" s="158"/>
      <c r="AR169" s="158"/>
      <c r="AS169" s="158"/>
      <c r="AT169" s="158"/>
      <c r="AU169" s="157">
        <v>0.03</v>
      </c>
      <c r="AV169" s="158"/>
      <c r="AW169" s="157">
        <v>0.03</v>
      </c>
      <c r="AX169" s="57">
        <f>+AU169*AN169</f>
        <v>3.0000000000000001E-3</v>
      </c>
      <c r="AY169" s="54">
        <f>+AW169</f>
        <v>0.03</v>
      </c>
      <c r="AZ169" s="57">
        <f>+AY169/80%</f>
        <v>3.7499999999999999E-2</v>
      </c>
      <c r="BA169" s="54">
        <v>0.12</v>
      </c>
      <c r="BB169" s="54">
        <v>0.03</v>
      </c>
      <c r="BC169" s="50"/>
      <c r="BD169" s="54">
        <v>0.03</v>
      </c>
      <c r="BE169" s="50"/>
      <c r="BF169" s="50"/>
      <c r="BG169" s="50"/>
      <c r="BH169" s="57">
        <v>8.8900000000000007E-2</v>
      </c>
      <c r="BI169" s="50"/>
      <c r="BJ169" s="54">
        <f>BB169+BD169+BH169</f>
        <v>0.1489</v>
      </c>
      <c r="BK169" s="1422">
        <v>1</v>
      </c>
      <c r="BL169" s="1421">
        <f>+BJ169+AZ169</f>
        <v>0.18640000000000001</v>
      </c>
      <c r="BM169" s="1422">
        <f>BL169/X169</f>
        <v>0.23300000000000001</v>
      </c>
      <c r="BN169" s="50"/>
      <c r="BO169" s="50"/>
      <c r="BP169" s="50"/>
      <c r="BQ169" s="50"/>
      <c r="BR169" s="50"/>
      <c r="BS169" s="50"/>
      <c r="BT169" s="50"/>
      <c r="BU169" s="50"/>
      <c r="BV169" s="50"/>
      <c r="BW169" s="50"/>
      <c r="BX169" s="50"/>
      <c r="BY169" s="50"/>
      <c r="BZ169" s="50"/>
      <c r="CA169" s="50"/>
      <c r="CB169" s="49"/>
      <c r="CC169" s="59"/>
      <c r="CD169" s="60"/>
      <c r="CE169" s="50"/>
      <c r="CF169" s="61"/>
      <c r="CG169" s="61"/>
      <c r="CH169" s="49"/>
      <c r="CI169" s="49"/>
      <c r="CJ169" s="49"/>
      <c r="CK169" s="49"/>
      <c r="CL169" s="49"/>
      <c r="CM169" s="49"/>
      <c r="CN169" s="49"/>
      <c r="CO169" s="50"/>
      <c r="CP169" s="50"/>
      <c r="CQ169" s="49"/>
      <c r="CR169" s="49"/>
      <c r="CS169" s="49"/>
      <c r="CT169" s="49"/>
      <c r="CU169" s="49"/>
      <c r="CV169" s="49"/>
      <c r="CW169" s="49"/>
      <c r="CX169" s="49"/>
    </row>
    <row r="170" spans="1:102" ht="55.5" customHeight="1" x14ac:dyDescent="0.2">
      <c r="A170" s="1811"/>
      <c r="B170" s="1807"/>
      <c r="C170" s="49"/>
      <c r="D170" s="50"/>
      <c r="E170" s="49"/>
      <c r="F170" s="49"/>
      <c r="G170" s="49"/>
      <c r="H170" s="49"/>
      <c r="I170" s="49"/>
      <c r="J170" s="49"/>
      <c r="K170" s="49"/>
      <c r="L170" s="49"/>
      <c r="M170" s="49"/>
      <c r="N170" s="49"/>
      <c r="O170" s="49"/>
      <c r="P170" s="49"/>
      <c r="Q170" s="49"/>
      <c r="R170" s="49"/>
      <c r="S170" s="49"/>
      <c r="T170" s="1807"/>
      <c r="U170" s="136" t="s">
        <v>510</v>
      </c>
      <c r="V170" s="141" t="s">
        <v>511</v>
      </c>
      <c r="W170" s="1433" t="s">
        <v>2192</v>
      </c>
      <c r="X170" s="157">
        <v>0.95</v>
      </c>
      <c r="Y170" s="158" t="s">
        <v>177</v>
      </c>
      <c r="Z170" s="158" t="s">
        <v>177</v>
      </c>
      <c r="AA170" s="158"/>
      <c r="AB170" s="158"/>
      <c r="AC170" s="158"/>
      <c r="AD170" s="158"/>
      <c r="AE170" s="158"/>
      <c r="AF170" s="158"/>
      <c r="AG170" s="158"/>
      <c r="AH170" s="158"/>
      <c r="AI170" s="158"/>
      <c r="AJ170" s="158"/>
      <c r="AK170" s="158"/>
      <c r="AL170" s="157">
        <v>0</v>
      </c>
      <c r="AM170" s="158"/>
      <c r="AN170" s="158" t="s">
        <v>177</v>
      </c>
      <c r="AO170" s="158"/>
      <c r="AP170" s="158"/>
      <c r="AQ170" s="158"/>
      <c r="AR170" s="158"/>
      <c r="AS170" s="158"/>
      <c r="AT170" s="158"/>
      <c r="AU170" s="158"/>
      <c r="AV170" s="158"/>
      <c r="AW170" s="158"/>
      <c r="AX170" s="158"/>
      <c r="AY170" s="158"/>
      <c r="AZ170" s="157">
        <v>0</v>
      </c>
      <c r="BA170" s="54">
        <v>0.01</v>
      </c>
      <c r="BB170" s="50"/>
      <c r="BC170" s="50"/>
      <c r="BD170" s="50"/>
      <c r="BE170" s="50"/>
      <c r="BF170" s="50"/>
      <c r="BG170" s="50"/>
      <c r="BH170" s="54">
        <v>0.01</v>
      </c>
      <c r="BI170" s="50"/>
      <c r="BJ170" s="54">
        <f>+BH170</f>
        <v>0.01</v>
      </c>
      <c r="BK170" s="54">
        <v>1</v>
      </c>
      <c r="BL170" s="54">
        <f>+BJ170</f>
        <v>0.01</v>
      </c>
      <c r="BM170" s="54">
        <v>0.25</v>
      </c>
      <c r="BN170" s="50"/>
      <c r="BO170" s="50"/>
      <c r="BP170" s="50"/>
      <c r="BQ170" s="50"/>
      <c r="BR170" s="50"/>
      <c r="BS170" s="50"/>
      <c r="BT170" s="50"/>
      <c r="BU170" s="50"/>
      <c r="BV170" s="50"/>
      <c r="BW170" s="50"/>
      <c r="BX170" s="50"/>
      <c r="BY170" s="50"/>
      <c r="BZ170" s="50"/>
      <c r="CA170" s="50"/>
      <c r="CB170" s="49"/>
      <c r="CC170" s="59"/>
      <c r="CD170" s="60"/>
      <c r="CE170" s="50"/>
      <c r="CF170" s="61"/>
      <c r="CG170" s="61"/>
      <c r="CH170" s="49"/>
      <c r="CI170" s="49"/>
      <c r="CJ170" s="49"/>
      <c r="CK170" s="49"/>
      <c r="CL170" s="49"/>
      <c r="CM170" s="49"/>
      <c r="CN170" s="49"/>
      <c r="CO170" s="50"/>
      <c r="CP170" s="50"/>
      <c r="CQ170" s="49"/>
      <c r="CR170" s="49"/>
      <c r="CS170" s="49"/>
      <c r="CT170" s="49"/>
      <c r="CU170" s="49"/>
      <c r="CV170" s="49"/>
      <c r="CW170" s="49"/>
      <c r="CX170" s="49"/>
    </row>
    <row r="171" spans="1:102" ht="61.5" customHeight="1" x14ac:dyDescent="0.2">
      <c r="A171" s="1811"/>
      <c r="B171" s="1807"/>
      <c r="C171" s="49"/>
      <c r="D171" s="50"/>
      <c r="E171" s="49"/>
      <c r="F171" s="49"/>
      <c r="G171" s="49"/>
      <c r="H171" s="49"/>
      <c r="I171" s="49"/>
      <c r="J171" s="49"/>
      <c r="K171" s="49"/>
      <c r="L171" s="49"/>
      <c r="M171" s="49"/>
      <c r="N171" s="49"/>
      <c r="O171" s="49"/>
      <c r="P171" s="49"/>
      <c r="Q171" s="49"/>
      <c r="R171" s="49"/>
      <c r="S171" s="49"/>
      <c r="T171" s="1807"/>
      <c r="U171" s="136" t="s">
        <v>512</v>
      </c>
      <c r="V171" s="136" t="s">
        <v>513</v>
      </c>
      <c r="W171" s="1433" t="s">
        <v>2168</v>
      </c>
      <c r="X171" s="54">
        <v>0.45</v>
      </c>
      <c r="Y171" s="54">
        <v>0.1</v>
      </c>
      <c r="Z171" s="50" t="s">
        <v>177</v>
      </c>
      <c r="AA171" s="50"/>
      <c r="AB171" s="54">
        <f>+Y171/X171</f>
        <v>0.22222222222222224</v>
      </c>
      <c r="AC171" s="54"/>
      <c r="AD171" s="54">
        <v>0.03</v>
      </c>
      <c r="AE171" s="157">
        <v>0.1</v>
      </c>
      <c r="AF171" s="157">
        <v>0.1</v>
      </c>
      <c r="AG171" s="158"/>
      <c r="AH171" s="159">
        <v>0</v>
      </c>
      <c r="AI171" s="158"/>
      <c r="AJ171" s="157">
        <v>0.1</v>
      </c>
      <c r="AK171" s="157">
        <f>+AJ171</f>
        <v>0.1</v>
      </c>
      <c r="AL171" s="157">
        <f>+AJ171</f>
        <v>0.1</v>
      </c>
      <c r="AM171" s="157">
        <f>+AL171/X171</f>
        <v>0.22222222222222224</v>
      </c>
      <c r="AN171" s="158" t="s">
        <v>177</v>
      </c>
      <c r="AO171" s="158"/>
      <c r="AP171" s="158"/>
      <c r="AQ171" s="158"/>
      <c r="AR171" s="158"/>
      <c r="AS171" s="158"/>
      <c r="AT171" s="158"/>
      <c r="AU171" s="158"/>
      <c r="AV171" s="158"/>
      <c r="AW171" s="158"/>
      <c r="AX171" s="158"/>
      <c r="AY171" s="57">
        <v>2.1999999999999999E-2</v>
      </c>
      <c r="AZ171" s="57">
        <v>2.1999999999999999E-2</v>
      </c>
      <c r="BA171" s="54">
        <v>0.03</v>
      </c>
      <c r="BB171" s="54">
        <v>0.02</v>
      </c>
      <c r="BC171" s="50"/>
      <c r="BD171" s="54">
        <v>0.02</v>
      </c>
      <c r="BE171" s="50"/>
      <c r="BF171" s="54">
        <v>0</v>
      </c>
      <c r="BG171" s="50"/>
      <c r="BH171" s="50">
        <v>7.4999999999999997E-2</v>
      </c>
      <c r="BI171" s="50"/>
      <c r="BJ171" s="54">
        <f>+BB171+BD171+BF171+BH171</f>
        <v>0.11499999999999999</v>
      </c>
      <c r="BK171" s="1167">
        <v>1</v>
      </c>
      <c r="BL171" s="1267">
        <f>+BJ171+AZ171</f>
        <v>0.13699999999999998</v>
      </c>
      <c r="BM171" s="1153">
        <f>+BL171</f>
        <v>0.13699999999999998</v>
      </c>
      <c r="BN171" s="50"/>
      <c r="BO171" s="50"/>
      <c r="BP171" s="50"/>
      <c r="BQ171" s="50"/>
      <c r="BR171" s="50"/>
      <c r="BS171" s="50"/>
      <c r="BT171" s="50"/>
      <c r="BU171" s="50"/>
      <c r="BV171" s="50"/>
      <c r="BW171" s="50"/>
      <c r="BX171" s="50"/>
      <c r="BY171" s="50"/>
      <c r="BZ171" s="50"/>
      <c r="CA171" s="50"/>
      <c r="CB171" s="49"/>
      <c r="CC171" s="59"/>
      <c r="CD171" s="60"/>
      <c r="CE171" s="50"/>
      <c r="CF171" s="61"/>
      <c r="CG171" s="61"/>
      <c r="CH171" s="49"/>
      <c r="CI171" s="49"/>
      <c r="CJ171" s="49"/>
      <c r="CK171" s="49"/>
      <c r="CL171" s="49"/>
      <c r="CM171" s="49"/>
      <c r="CN171" s="49"/>
      <c r="CO171" s="50"/>
      <c r="CP171" s="50"/>
      <c r="CQ171" s="49"/>
      <c r="CR171" s="49"/>
      <c r="CS171" s="49"/>
      <c r="CT171" s="49"/>
      <c r="CU171" s="49"/>
      <c r="CV171" s="49"/>
      <c r="CW171" s="49"/>
      <c r="CX171" s="49"/>
    </row>
    <row r="172" spans="1:102" ht="47.25" customHeight="1" x14ac:dyDescent="0.2">
      <c r="A172" s="1811"/>
      <c r="B172" s="1807"/>
      <c r="C172" s="49"/>
      <c r="D172" s="50"/>
      <c r="E172" s="49"/>
      <c r="F172" s="49"/>
      <c r="G172" s="49"/>
      <c r="H172" s="49"/>
      <c r="I172" s="49"/>
      <c r="J172" s="49"/>
      <c r="K172" s="49"/>
      <c r="L172" s="49"/>
      <c r="M172" s="49"/>
      <c r="N172" s="49"/>
      <c r="O172" s="49"/>
      <c r="P172" s="49"/>
      <c r="Q172" s="49"/>
      <c r="R172" s="49"/>
      <c r="S172" s="49"/>
      <c r="T172" s="1807"/>
      <c r="U172" s="136" t="s">
        <v>514</v>
      </c>
      <c r="V172" s="136" t="s">
        <v>515</v>
      </c>
      <c r="W172" s="1425" t="s">
        <v>516</v>
      </c>
      <c r="X172" s="57">
        <v>6.6500000000000004E-2</v>
      </c>
      <c r="Y172" s="55">
        <v>1.66E-2</v>
      </c>
      <c r="Z172" s="55">
        <v>3.32E-2</v>
      </c>
      <c r="AA172" s="50" t="s">
        <v>319</v>
      </c>
      <c r="AB172" s="54">
        <f>+Y172/X172</f>
        <v>0.24962406015037594</v>
      </c>
      <c r="AC172" s="54">
        <f>+Z172/X172</f>
        <v>0.49924812030075189</v>
      </c>
      <c r="AD172" s="54"/>
      <c r="AE172" s="54">
        <v>0.15</v>
      </c>
      <c r="AF172" s="54">
        <v>0.15</v>
      </c>
      <c r="AG172" s="50"/>
      <c r="AH172" s="160">
        <v>0</v>
      </c>
      <c r="AI172" s="50"/>
      <c r="AJ172" s="54">
        <v>0.15</v>
      </c>
      <c r="AK172" s="54">
        <v>1</v>
      </c>
      <c r="AL172" s="57">
        <v>1.66E-2</v>
      </c>
      <c r="AM172" s="54">
        <v>0.15</v>
      </c>
      <c r="AN172" s="50" t="s">
        <v>177</v>
      </c>
      <c r="AO172" s="50">
        <v>0</v>
      </c>
      <c r="AP172" s="50"/>
      <c r="AQ172" s="50">
        <v>0</v>
      </c>
      <c r="AR172" s="50"/>
      <c r="AS172" s="50"/>
      <c r="AT172" s="50"/>
      <c r="AU172" s="50"/>
      <c r="AV172" s="50"/>
      <c r="AW172" s="50"/>
      <c r="AX172" s="50"/>
      <c r="AY172" s="54">
        <f>+AL172</f>
        <v>1.66E-2</v>
      </c>
      <c r="AZ172" s="55">
        <f>+AY172/(100%-93.35%)</f>
        <v>0.24962406015037594</v>
      </c>
      <c r="BA172" s="50" t="s">
        <v>319</v>
      </c>
      <c r="BB172" s="50"/>
      <c r="BC172" s="50"/>
      <c r="BD172" s="50"/>
      <c r="BE172" s="50"/>
      <c r="BF172" s="50"/>
      <c r="BG172" s="50"/>
      <c r="BH172" s="57">
        <v>2.2000000000000001E-3</v>
      </c>
      <c r="BI172" s="50"/>
      <c r="BJ172" s="57">
        <f>+BH172</f>
        <v>2.2000000000000001E-3</v>
      </c>
      <c r="BK172" s="54"/>
      <c r="BL172" s="57">
        <f>AY172+BJ172</f>
        <v>1.8800000000000001E-2</v>
      </c>
      <c r="BM172" s="55">
        <v>0.33400000000000002</v>
      </c>
      <c r="BN172" s="50"/>
      <c r="BO172" s="50"/>
      <c r="BP172" s="50"/>
      <c r="BQ172" s="50"/>
      <c r="BR172" s="50"/>
      <c r="BS172" s="50"/>
      <c r="BT172" s="50"/>
      <c r="BU172" s="50"/>
      <c r="BV172" s="50"/>
      <c r="BW172" s="50"/>
      <c r="BX172" s="50"/>
      <c r="BY172" s="50"/>
      <c r="BZ172" s="50"/>
      <c r="CA172" s="50"/>
      <c r="CB172" s="49"/>
      <c r="CC172" s="59"/>
      <c r="CD172" s="60"/>
      <c r="CE172" s="50"/>
      <c r="CF172" s="61"/>
      <c r="CG172" s="61"/>
      <c r="CH172" s="49"/>
      <c r="CI172" s="49"/>
      <c r="CJ172" s="49"/>
      <c r="CK172" s="49"/>
      <c r="CL172" s="49"/>
      <c r="CM172" s="49"/>
      <c r="CN172" s="49"/>
      <c r="CO172" s="50"/>
      <c r="CP172" s="50"/>
      <c r="CQ172" s="49"/>
      <c r="CR172" s="49"/>
      <c r="CS172" s="49"/>
      <c r="CT172" s="49"/>
      <c r="CU172" s="49"/>
      <c r="CV172" s="49"/>
      <c r="CW172" s="49"/>
      <c r="CX172" s="49"/>
    </row>
    <row r="173" spans="1:102" ht="46.5" customHeight="1" x14ac:dyDescent="0.2">
      <c r="A173" s="1811"/>
      <c r="B173" s="1807"/>
      <c r="C173" s="49"/>
      <c r="D173" s="50"/>
      <c r="E173" s="49"/>
      <c r="F173" s="49"/>
      <c r="G173" s="49"/>
      <c r="H173" s="49"/>
      <c r="I173" s="49"/>
      <c r="J173" s="49"/>
      <c r="K173" s="49"/>
      <c r="L173" s="49"/>
      <c r="M173" s="49"/>
      <c r="N173" s="49"/>
      <c r="O173" s="49"/>
      <c r="P173" s="49"/>
      <c r="Q173" s="49"/>
      <c r="R173" s="49"/>
      <c r="S173" s="49"/>
      <c r="T173" s="1807"/>
      <c r="U173" s="136" t="s">
        <v>517</v>
      </c>
      <c r="V173" s="136" t="s">
        <v>518</v>
      </c>
      <c r="W173" s="1433" t="s">
        <v>2193</v>
      </c>
      <c r="X173" s="54">
        <v>0.8</v>
      </c>
      <c r="Y173" s="50" t="s">
        <v>177</v>
      </c>
      <c r="Z173" s="50" t="s">
        <v>177</v>
      </c>
      <c r="AA173" s="54">
        <v>0.03</v>
      </c>
      <c r="AB173" s="50"/>
      <c r="AC173" s="50"/>
      <c r="AD173" s="54">
        <f>AA173/X173</f>
        <v>3.7499999999999999E-2</v>
      </c>
      <c r="AE173" s="50"/>
      <c r="AF173" s="50"/>
      <c r="AG173" s="50"/>
      <c r="AH173" s="50"/>
      <c r="AI173" s="50"/>
      <c r="AJ173" s="50"/>
      <c r="AK173" s="50"/>
      <c r="AL173" s="54">
        <v>0</v>
      </c>
      <c r="AM173" s="50"/>
      <c r="AN173" s="50" t="s">
        <v>177</v>
      </c>
      <c r="AO173" s="50"/>
      <c r="AP173" s="50"/>
      <c r="AQ173" s="50"/>
      <c r="AR173" s="50"/>
      <c r="AS173" s="50"/>
      <c r="AT173" s="50"/>
      <c r="AU173" s="50"/>
      <c r="AV173" s="50"/>
      <c r="AW173" s="50"/>
      <c r="AX173" s="50"/>
      <c r="AY173" s="50"/>
      <c r="AZ173" s="54">
        <v>0</v>
      </c>
      <c r="BA173" s="54">
        <v>0.03</v>
      </c>
      <c r="BB173" s="50">
        <v>0</v>
      </c>
      <c r="BC173" s="50"/>
      <c r="BD173" s="50">
        <v>0</v>
      </c>
      <c r="BE173" s="50"/>
      <c r="BF173" s="57">
        <v>2.7E-2</v>
      </c>
      <c r="BG173" s="50"/>
      <c r="BH173" s="57">
        <v>3.0000000000000001E-3</v>
      </c>
      <c r="BI173" s="50"/>
      <c r="BJ173" s="57">
        <f>+BH173+BF173</f>
        <v>0.03</v>
      </c>
      <c r="BK173" s="57">
        <f>BJ173/BA173</f>
        <v>1</v>
      </c>
      <c r="BL173" s="50">
        <f>BJ173+AY173</f>
        <v>0.03</v>
      </c>
      <c r="BM173" s="57">
        <f>BL173/38%</f>
        <v>7.8947368421052627E-2</v>
      </c>
      <c r="BN173" s="50"/>
      <c r="BO173" s="50"/>
      <c r="BP173" s="50"/>
      <c r="BQ173" s="50"/>
      <c r="BR173" s="50"/>
      <c r="BS173" s="50"/>
      <c r="BT173" s="50"/>
      <c r="BU173" s="50"/>
      <c r="BV173" s="50"/>
      <c r="BW173" s="50"/>
      <c r="BX173" s="50"/>
      <c r="BY173" s="50"/>
      <c r="BZ173" s="50"/>
      <c r="CA173" s="50"/>
      <c r="CB173" s="49"/>
      <c r="CC173" s="59"/>
      <c r="CD173" s="60"/>
      <c r="CE173" s="50"/>
      <c r="CF173" s="61"/>
      <c r="CG173" s="61"/>
      <c r="CH173" s="49"/>
      <c r="CI173" s="49"/>
      <c r="CJ173" s="49"/>
      <c r="CK173" s="49"/>
      <c r="CL173" s="49"/>
      <c r="CM173" s="49"/>
      <c r="CN173" s="49"/>
      <c r="CO173" s="50"/>
      <c r="CP173" s="50"/>
      <c r="CQ173" s="49"/>
      <c r="CR173" s="49"/>
      <c r="CS173" s="49"/>
      <c r="CT173" s="49"/>
      <c r="CU173" s="49"/>
      <c r="CV173" s="49"/>
      <c r="CW173" s="49"/>
      <c r="CX173" s="49"/>
    </row>
    <row r="174" spans="1:102" ht="37.5" customHeight="1" x14ac:dyDescent="0.2">
      <c r="A174" s="1811"/>
      <c r="B174" s="1807"/>
      <c r="C174" s="49"/>
      <c r="D174" s="50"/>
      <c r="E174" s="49"/>
      <c r="F174" s="49"/>
      <c r="G174" s="49"/>
      <c r="H174" s="49"/>
      <c r="I174" s="49"/>
      <c r="J174" s="49"/>
      <c r="K174" s="49"/>
      <c r="L174" s="49"/>
      <c r="M174" s="49"/>
      <c r="N174" s="49"/>
      <c r="O174" s="49"/>
      <c r="P174" s="49"/>
      <c r="Q174" s="49"/>
      <c r="R174" s="49"/>
      <c r="S174" s="49"/>
      <c r="T174" s="1807"/>
      <c r="U174" s="136" t="s">
        <v>519</v>
      </c>
      <c r="V174" s="136" t="s">
        <v>520</v>
      </c>
      <c r="W174" s="1425" t="s">
        <v>521</v>
      </c>
      <c r="X174" s="50">
        <v>20</v>
      </c>
      <c r="Y174" s="50" t="s">
        <v>177</v>
      </c>
      <c r="Z174" s="50" t="s">
        <v>177</v>
      </c>
      <c r="AA174" s="50">
        <v>10</v>
      </c>
      <c r="AB174" s="50"/>
      <c r="AC174" s="50"/>
      <c r="AD174" s="50">
        <v>0</v>
      </c>
      <c r="AE174" s="50"/>
      <c r="AF174" s="50"/>
      <c r="AG174" s="50"/>
      <c r="AH174" s="50"/>
      <c r="AI174" s="50"/>
      <c r="AJ174" s="50"/>
      <c r="AK174" s="50"/>
      <c r="AL174" s="50"/>
      <c r="AM174" s="50"/>
      <c r="AN174" s="50">
        <v>5</v>
      </c>
      <c r="AO174" s="50">
        <v>0</v>
      </c>
      <c r="AP174" s="50"/>
      <c r="AQ174" s="50">
        <v>0</v>
      </c>
      <c r="AR174" s="50"/>
      <c r="AS174" s="50">
        <v>0</v>
      </c>
      <c r="AT174" s="50"/>
      <c r="AU174" s="50">
        <v>0</v>
      </c>
      <c r="AV174" s="50"/>
      <c r="AW174" s="50">
        <v>0</v>
      </c>
      <c r="AX174" s="54">
        <v>0</v>
      </c>
      <c r="AY174" s="50">
        <v>0</v>
      </c>
      <c r="AZ174" s="54">
        <v>0</v>
      </c>
      <c r="BA174" s="50">
        <v>10</v>
      </c>
      <c r="BB174" s="50">
        <v>0</v>
      </c>
      <c r="BC174" s="50"/>
      <c r="BD174" s="50">
        <v>0</v>
      </c>
      <c r="BE174" s="50"/>
      <c r="BF174" s="50"/>
      <c r="BG174" s="50"/>
      <c r="BH174" s="50">
        <v>10</v>
      </c>
      <c r="BI174" s="50"/>
      <c r="BJ174" s="50">
        <f>+BH174</f>
        <v>10</v>
      </c>
      <c r="BK174" s="57">
        <f>BJ174/BA174</f>
        <v>1</v>
      </c>
      <c r="BL174" s="50">
        <f>BJ174+AY174</f>
        <v>10</v>
      </c>
      <c r="BM174" s="57">
        <f>BL174/X174</f>
        <v>0.5</v>
      </c>
      <c r="BN174" s="50"/>
      <c r="BO174" s="50"/>
      <c r="BP174" s="50"/>
      <c r="BQ174" s="50"/>
      <c r="BR174" s="50"/>
      <c r="BS174" s="50"/>
      <c r="BT174" s="50"/>
      <c r="BU174" s="50"/>
      <c r="BV174" s="50"/>
      <c r="BW174" s="50"/>
      <c r="BX174" s="50"/>
      <c r="BY174" s="50"/>
      <c r="BZ174" s="50"/>
      <c r="CA174" s="50"/>
      <c r="CB174" s="49"/>
      <c r="CC174" s="59"/>
      <c r="CD174" s="60"/>
      <c r="CE174" s="50"/>
      <c r="CF174" s="61"/>
      <c r="CG174" s="61"/>
      <c r="CH174" s="49"/>
      <c r="CI174" s="49"/>
      <c r="CJ174" s="49"/>
      <c r="CK174" s="49"/>
      <c r="CL174" s="49"/>
      <c r="CM174" s="49"/>
      <c r="CN174" s="49"/>
      <c r="CO174" s="50"/>
      <c r="CP174" s="50"/>
      <c r="CQ174" s="49"/>
      <c r="CR174" s="49"/>
      <c r="CS174" s="49"/>
      <c r="CT174" s="49"/>
      <c r="CU174" s="49"/>
      <c r="CV174" s="49"/>
      <c r="CW174" s="49"/>
      <c r="CX174" s="49"/>
    </row>
    <row r="175" spans="1:102" ht="74.25" customHeight="1" x14ac:dyDescent="0.2">
      <c r="A175" s="1811"/>
      <c r="B175" s="1807"/>
      <c r="C175" s="49"/>
      <c r="D175" s="50"/>
      <c r="E175" s="49"/>
      <c r="F175" s="49"/>
      <c r="G175" s="49"/>
      <c r="H175" s="49"/>
      <c r="I175" s="49"/>
      <c r="J175" s="49"/>
      <c r="K175" s="49"/>
      <c r="L175" s="49"/>
      <c r="M175" s="49"/>
      <c r="N175" s="49"/>
      <c r="O175" s="49"/>
      <c r="P175" s="49"/>
      <c r="Q175" s="49"/>
      <c r="R175" s="49"/>
      <c r="S175" s="49"/>
      <c r="T175" s="1807"/>
      <c r="U175" s="136" t="s">
        <v>522</v>
      </c>
      <c r="V175" s="136" t="s">
        <v>523</v>
      </c>
      <c r="W175" s="1433" t="s">
        <v>2226</v>
      </c>
      <c r="X175" s="54">
        <v>0.5</v>
      </c>
      <c r="Y175" s="50" t="s">
        <v>177</v>
      </c>
      <c r="Z175" s="50" t="s">
        <v>177</v>
      </c>
      <c r="AA175" s="54">
        <v>0.37</v>
      </c>
      <c r="AB175" s="50"/>
      <c r="AC175" s="50"/>
      <c r="AD175" s="54">
        <v>0.33</v>
      </c>
      <c r="AE175" s="50"/>
      <c r="AF175" s="50"/>
      <c r="AG175" s="50"/>
      <c r="AH175" s="50"/>
      <c r="AI175" s="50"/>
      <c r="AJ175" s="50"/>
      <c r="AK175" s="50"/>
      <c r="AL175" s="54">
        <v>0.14000000000000001</v>
      </c>
      <c r="AM175" s="50"/>
      <c r="AN175" s="54">
        <v>0.17</v>
      </c>
      <c r="AO175" s="50"/>
      <c r="AP175" s="50"/>
      <c r="AQ175" s="50"/>
      <c r="AR175" s="50"/>
      <c r="AS175" s="50"/>
      <c r="AT175" s="50"/>
      <c r="AU175" s="50">
        <v>0.66600000000000004</v>
      </c>
      <c r="AV175" s="50"/>
      <c r="AW175" s="50">
        <f>+AU175</f>
        <v>0.66600000000000004</v>
      </c>
      <c r="AX175" s="54">
        <f>+AW175*AN175</f>
        <v>0.11322000000000002</v>
      </c>
      <c r="AY175" s="54">
        <f>+AX175+AL175</f>
        <v>0.25322</v>
      </c>
      <c r="AZ175" s="54">
        <f>+(AW175+AL175)*50%</f>
        <v>0.40300000000000002</v>
      </c>
      <c r="BA175" s="54">
        <v>0.37</v>
      </c>
      <c r="BB175" s="1153">
        <v>8.3299999999999999E-2</v>
      </c>
      <c r="BC175" s="50"/>
      <c r="BD175" s="50">
        <v>0</v>
      </c>
      <c r="BE175" s="50"/>
      <c r="BF175" s="50"/>
      <c r="BG175" s="50"/>
      <c r="BH175" s="54">
        <v>0</v>
      </c>
      <c r="BI175" s="50"/>
      <c r="BJ175" s="1711">
        <f>+BB175</f>
        <v>8.3299999999999999E-2</v>
      </c>
      <c r="BK175" s="57">
        <v>0.22509999999999999</v>
      </c>
      <c r="BL175" s="54">
        <f>+BJ175+AY175</f>
        <v>0.33651999999999999</v>
      </c>
      <c r="BM175" s="57">
        <v>0.66659999999999997</v>
      </c>
      <c r="BN175" s="50"/>
      <c r="BO175" s="50"/>
      <c r="BP175" s="50"/>
      <c r="BQ175" s="50"/>
      <c r="BR175" s="50"/>
      <c r="BS175" s="50"/>
      <c r="BT175" s="50"/>
      <c r="BU175" s="50"/>
      <c r="BV175" s="50"/>
      <c r="BW175" s="50"/>
      <c r="BX175" s="50"/>
      <c r="BY175" s="50"/>
      <c r="BZ175" s="50"/>
      <c r="CA175" s="50"/>
      <c r="CB175" s="49"/>
      <c r="CC175" s="59"/>
      <c r="CD175" s="60"/>
      <c r="CE175" s="50"/>
      <c r="CF175" s="61"/>
      <c r="CG175" s="61"/>
      <c r="CH175" s="49"/>
      <c r="CI175" s="49"/>
      <c r="CJ175" s="49"/>
      <c r="CK175" s="49"/>
      <c r="CL175" s="49"/>
      <c r="CM175" s="49"/>
      <c r="CN175" s="49"/>
      <c r="CO175" s="50"/>
      <c r="CP175" s="50"/>
      <c r="CQ175" s="49"/>
      <c r="CR175" s="49"/>
      <c r="CS175" s="49"/>
      <c r="CT175" s="49"/>
      <c r="CU175" s="49"/>
      <c r="CV175" s="49"/>
      <c r="CW175" s="49"/>
      <c r="CX175" s="49"/>
    </row>
    <row r="176" spans="1:102" ht="60.75" customHeight="1" x14ac:dyDescent="0.2">
      <c r="A176" s="1811"/>
      <c r="B176" s="1807"/>
      <c r="C176" s="49"/>
      <c r="D176" s="50"/>
      <c r="E176" s="49"/>
      <c r="F176" s="49"/>
      <c r="G176" s="49"/>
      <c r="H176" s="49"/>
      <c r="I176" s="49"/>
      <c r="J176" s="49"/>
      <c r="K176" s="49"/>
      <c r="L176" s="49"/>
      <c r="M176" s="49"/>
      <c r="N176" s="49"/>
      <c r="O176" s="49"/>
      <c r="P176" s="49"/>
      <c r="Q176" s="49"/>
      <c r="R176" s="49"/>
      <c r="S176" s="49"/>
      <c r="T176" s="1807"/>
      <c r="U176" s="136" t="s">
        <v>524</v>
      </c>
      <c r="V176" s="136">
        <v>0</v>
      </c>
      <c r="W176" s="1433" t="s">
        <v>2194</v>
      </c>
      <c r="X176" s="54">
        <v>0.5</v>
      </c>
      <c r="Y176" s="50" t="s">
        <v>177</v>
      </c>
      <c r="Z176" s="50" t="s">
        <v>177</v>
      </c>
      <c r="AA176" s="54">
        <v>0.03</v>
      </c>
      <c r="AB176" s="50"/>
      <c r="AC176" s="50"/>
      <c r="AD176" s="54">
        <f>AA176/X176</f>
        <v>0.06</v>
      </c>
      <c r="AE176" s="50"/>
      <c r="AF176" s="50"/>
      <c r="AG176" s="50"/>
      <c r="AH176" s="50"/>
      <c r="AI176" s="50"/>
      <c r="AJ176" s="50"/>
      <c r="AK176" s="50"/>
      <c r="AL176" s="50"/>
      <c r="AM176" s="50"/>
      <c r="AN176" s="54">
        <v>0.2</v>
      </c>
      <c r="AO176" s="50"/>
      <c r="AP176" s="50"/>
      <c r="AQ176" s="50"/>
      <c r="AR176" s="50"/>
      <c r="AS176" s="50"/>
      <c r="AT176" s="50"/>
      <c r="AU176" s="54">
        <v>0.05</v>
      </c>
      <c r="AV176" s="50"/>
      <c r="AW176" s="54">
        <f>+AU176</f>
        <v>0.05</v>
      </c>
      <c r="AX176" s="54">
        <f>+AW176/AN176</f>
        <v>0.25</v>
      </c>
      <c r="AY176" s="54">
        <f>+AW176</f>
        <v>0.05</v>
      </c>
      <c r="AZ176" s="54">
        <f>+AY176/50%</f>
        <v>0.1</v>
      </c>
      <c r="BA176" s="54">
        <v>0.03</v>
      </c>
      <c r="BB176" s="54">
        <v>0.02</v>
      </c>
      <c r="BC176" s="50"/>
      <c r="BD176" s="50">
        <v>0</v>
      </c>
      <c r="BE176" s="50"/>
      <c r="BF176" s="50"/>
      <c r="BG176" s="50"/>
      <c r="BH176" s="50"/>
      <c r="BI176" s="50"/>
      <c r="BJ176" s="54">
        <f>BB176</f>
        <v>0.02</v>
      </c>
      <c r="BK176" s="57">
        <f>BJ176/BA176</f>
        <v>0.66666666666666674</v>
      </c>
      <c r="BL176" s="54">
        <f>BJ176+AY176</f>
        <v>7.0000000000000007E-2</v>
      </c>
      <c r="BM176" s="57">
        <f>BL176/X176</f>
        <v>0.14000000000000001</v>
      </c>
      <c r="BN176" s="50"/>
      <c r="BO176" s="50"/>
      <c r="BP176" s="50"/>
      <c r="BQ176" s="50"/>
      <c r="BR176" s="50"/>
      <c r="BS176" s="50"/>
      <c r="BT176" s="50"/>
      <c r="BU176" s="50"/>
      <c r="BV176" s="50"/>
      <c r="BW176" s="50"/>
      <c r="BX176" s="50"/>
      <c r="BY176" s="50"/>
      <c r="BZ176" s="50"/>
      <c r="CA176" s="50"/>
      <c r="CB176" s="49"/>
      <c r="CC176" s="59"/>
      <c r="CD176" s="60"/>
      <c r="CE176" s="50"/>
      <c r="CF176" s="61"/>
      <c r="CG176" s="61"/>
      <c r="CH176" s="49"/>
      <c r="CI176" s="49"/>
      <c r="CJ176" s="49"/>
      <c r="CK176" s="49"/>
      <c r="CL176" s="49"/>
      <c r="CM176" s="49"/>
      <c r="CN176" s="49"/>
      <c r="CO176" s="50"/>
      <c r="CP176" s="50"/>
      <c r="CQ176" s="49"/>
      <c r="CR176" s="49"/>
      <c r="CS176" s="49"/>
      <c r="CT176" s="49"/>
      <c r="CU176" s="49"/>
      <c r="CV176" s="49"/>
      <c r="CW176" s="49"/>
      <c r="CX176" s="49"/>
    </row>
    <row r="177" spans="1:102" ht="66" customHeight="1" x14ac:dyDescent="0.2">
      <c r="A177" s="1811"/>
      <c r="B177" s="1807"/>
      <c r="C177" s="49"/>
      <c r="D177" s="50"/>
      <c r="E177" s="49"/>
      <c r="F177" s="49"/>
      <c r="G177" s="49"/>
      <c r="H177" s="49"/>
      <c r="I177" s="49"/>
      <c r="J177" s="49"/>
      <c r="K177" s="49"/>
      <c r="L177" s="49"/>
      <c r="M177" s="49"/>
      <c r="N177" s="49"/>
      <c r="O177" s="49"/>
      <c r="P177" s="49"/>
      <c r="Q177" s="49"/>
      <c r="R177" s="49"/>
      <c r="S177" s="49"/>
      <c r="T177" s="1807"/>
      <c r="U177" s="136" t="s">
        <v>525</v>
      </c>
      <c r="V177" s="136" t="s">
        <v>526</v>
      </c>
      <c r="W177" s="1433" t="s">
        <v>2227</v>
      </c>
      <c r="X177" s="54">
        <v>0.5</v>
      </c>
      <c r="Y177" s="50" t="s">
        <v>177</v>
      </c>
      <c r="Z177" s="50" t="s">
        <v>177</v>
      </c>
      <c r="AA177" s="50"/>
      <c r="AB177" s="50"/>
      <c r="AC177" s="50"/>
      <c r="AD177" s="50"/>
      <c r="AE177" s="50"/>
      <c r="AF177" s="50"/>
      <c r="AG177" s="50"/>
      <c r="AH177" s="50"/>
      <c r="AI177" s="50"/>
      <c r="AJ177" s="50"/>
      <c r="AK177" s="50"/>
      <c r="AL177" s="50"/>
      <c r="AM177" s="50"/>
      <c r="AN177" s="50" t="s">
        <v>177</v>
      </c>
      <c r="AO177" s="50"/>
      <c r="AP177" s="50"/>
      <c r="AQ177" s="50"/>
      <c r="AR177" s="50"/>
      <c r="AS177" s="50"/>
      <c r="AT177" s="50"/>
      <c r="AU177" s="50"/>
      <c r="AV177" s="50"/>
      <c r="AW177" s="50"/>
      <c r="AX177" s="50"/>
      <c r="AY177" s="50"/>
      <c r="AZ177" s="50"/>
      <c r="BA177" s="50"/>
      <c r="BB177" s="50"/>
      <c r="BC177" s="50"/>
      <c r="BD177" s="50">
        <v>0</v>
      </c>
      <c r="BE177" s="50"/>
      <c r="BF177" s="50"/>
      <c r="BG177" s="50"/>
      <c r="BH177" s="50">
        <v>0</v>
      </c>
      <c r="BI177" s="50"/>
      <c r="BJ177" s="50"/>
      <c r="BK177" s="50"/>
      <c r="BL177" s="50"/>
      <c r="BM177" s="54">
        <v>0</v>
      </c>
      <c r="BN177" s="50"/>
      <c r="BO177" s="50"/>
      <c r="BP177" s="50"/>
      <c r="BQ177" s="50"/>
      <c r="BR177" s="50"/>
      <c r="BS177" s="50"/>
      <c r="BT177" s="50"/>
      <c r="BU177" s="50"/>
      <c r="BV177" s="50"/>
      <c r="BW177" s="50"/>
      <c r="BX177" s="50"/>
      <c r="BY177" s="50"/>
      <c r="BZ177" s="50"/>
      <c r="CA177" s="50"/>
      <c r="CB177" s="49"/>
      <c r="CC177" s="59"/>
      <c r="CD177" s="60"/>
      <c r="CE177" s="50"/>
      <c r="CF177" s="61"/>
      <c r="CG177" s="61"/>
      <c r="CH177" s="49"/>
      <c r="CI177" s="49"/>
      <c r="CJ177" s="49"/>
      <c r="CK177" s="49"/>
      <c r="CL177" s="49"/>
      <c r="CM177" s="49"/>
      <c r="CN177" s="49"/>
      <c r="CO177" s="50"/>
      <c r="CP177" s="50"/>
      <c r="CQ177" s="49"/>
      <c r="CR177" s="49"/>
      <c r="CS177" s="49"/>
      <c r="CT177" s="49"/>
      <c r="CU177" s="49"/>
      <c r="CV177" s="49"/>
      <c r="CW177" s="49"/>
      <c r="CX177" s="49"/>
    </row>
    <row r="178" spans="1:102" ht="48" customHeight="1" x14ac:dyDescent="0.2">
      <c r="A178" s="1811"/>
      <c r="B178" s="1807"/>
      <c r="C178" s="62"/>
      <c r="D178" s="63"/>
      <c r="E178" s="62"/>
      <c r="F178" s="62"/>
      <c r="G178" s="62"/>
      <c r="H178" s="62"/>
      <c r="I178" s="62"/>
      <c r="J178" s="62"/>
      <c r="K178" s="62"/>
      <c r="L178" s="62"/>
      <c r="M178" s="62"/>
      <c r="N178" s="62"/>
      <c r="O178" s="62"/>
      <c r="P178" s="62"/>
      <c r="Q178" s="62"/>
      <c r="R178" s="62"/>
      <c r="S178" s="62"/>
      <c r="T178" s="1807"/>
      <c r="U178" s="136" t="s">
        <v>527</v>
      </c>
      <c r="V178" s="136" t="s">
        <v>528</v>
      </c>
      <c r="W178" s="1433" t="s">
        <v>2169</v>
      </c>
      <c r="X178" s="65">
        <v>0.9</v>
      </c>
      <c r="Y178" s="65">
        <v>0.1</v>
      </c>
      <c r="Z178" s="50" t="s">
        <v>177</v>
      </c>
      <c r="AA178" s="54">
        <v>0.02</v>
      </c>
      <c r="AB178" s="65">
        <f>+Y178/X178</f>
        <v>0.11111111111111112</v>
      </c>
      <c r="AC178" s="65"/>
      <c r="AD178" s="54"/>
      <c r="AE178" s="63">
        <v>0</v>
      </c>
      <c r="AF178" s="65">
        <v>0.1</v>
      </c>
      <c r="AG178" s="63"/>
      <c r="AH178" s="160">
        <v>0.1</v>
      </c>
      <c r="AI178" s="63"/>
      <c r="AJ178" s="65">
        <v>0.1</v>
      </c>
      <c r="AK178" s="65">
        <v>1</v>
      </c>
      <c r="AL178" s="65">
        <v>0.01</v>
      </c>
      <c r="AM178" s="65">
        <f>+AL178/X178</f>
        <v>1.1111111111111112E-2</v>
      </c>
      <c r="AN178" s="50" t="s">
        <v>177</v>
      </c>
      <c r="AO178" s="63"/>
      <c r="AP178" s="63"/>
      <c r="AQ178" s="63"/>
      <c r="AR178" s="63"/>
      <c r="AS178" s="63"/>
      <c r="AT178" s="63"/>
      <c r="AU178" s="63">
        <v>0.15</v>
      </c>
      <c r="AV178" s="63"/>
      <c r="AW178" s="63">
        <f>+AU178/1</f>
        <v>0.15</v>
      </c>
      <c r="AX178" s="65">
        <v>0.15</v>
      </c>
      <c r="AY178" s="63">
        <v>1.1499999999999999</v>
      </c>
      <c r="AZ178" s="65">
        <f>+AY178/7</f>
        <v>0.16428571428571428</v>
      </c>
      <c r="BA178" s="65">
        <v>0.02</v>
      </c>
      <c r="BB178" s="1168">
        <v>0.05</v>
      </c>
      <c r="BC178" s="63"/>
      <c r="BD178" s="1264"/>
      <c r="BE178" s="63"/>
      <c r="BF178" s="63"/>
      <c r="BG178" s="63"/>
      <c r="BH178" s="63"/>
      <c r="BI178" s="63"/>
      <c r="BJ178" s="1268">
        <f>+BB178</f>
        <v>0.05</v>
      </c>
      <c r="BK178" s="57">
        <v>0.25</v>
      </c>
      <c r="BL178" s="1268">
        <f>+BJ178+AY178</f>
        <v>1.2</v>
      </c>
      <c r="BM178" s="58">
        <v>0.35699999999999998</v>
      </c>
      <c r="BN178" s="63"/>
      <c r="BO178" s="63"/>
      <c r="BP178" s="63"/>
      <c r="BQ178" s="63"/>
      <c r="BR178" s="63"/>
      <c r="BS178" s="63"/>
      <c r="BT178" s="63"/>
      <c r="BU178" s="63"/>
      <c r="BV178" s="63"/>
      <c r="BW178" s="63"/>
      <c r="BX178" s="63"/>
      <c r="BY178" s="63"/>
      <c r="BZ178" s="63"/>
      <c r="CA178" s="63"/>
      <c r="CB178" s="62"/>
      <c r="CC178" s="68"/>
      <c r="CD178" s="69"/>
      <c r="CE178" s="63"/>
      <c r="CF178" s="70"/>
      <c r="CG178" s="70"/>
      <c r="CH178" s="62"/>
      <c r="CI178" s="62"/>
      <c r="CJ178" s="62"/>
      <c r="CK178" s="62"/>
      <c r="CL178" s="62"/>
      <c r="CM178" s="62"/>
      <c r="CN178" s="62"/>
      <c r="CO178" s="63"/>
      <c r="CP178" s="63"/>
      <c r="CQ178" s="62"/>
      <c r="CR178" s="62"/>
      <c r="CS178" s="62"/>
      <c r="CT178" s="62"/>
      <c r="CU178" s="62"/>
      <c r="CV178" s="62"/>
      <c r="CW178" s="62"/>
      <c r="CX178" s="62"/>
    </row>
    <row r="179" spans="1:102" ht="56.25" customHeight="1" x14ac:dyDescent="0.2">
      <c r="A179" s="1811"/>
      <c r="B179" s="1807"/>
      <c r="C179" s="49"/>
      <c r="D179" s="50"/>
      <c r="E179" s="49"/>
      <c r="F179" s="49"/>
      <c r="G179" s="49"/>
      <c r="H179" s="49"/>
      <c r="I179" s="49"/>
      <c r="J179" s="49"/>
      <c r="K179" s="49"/>
      <c r="L179" s="49"/>
      <c r="M179" s="49"/>
      <c r="N179" s="49"/>
      <c r="O179" s="49"/>
      <c r="P179" s="49"/>
      <c r="Q179" s="49"/>
      <c r="R179" s="49"/>
      <c r="S179" s="49"/>
      <c r="T179" s="1807"/>
      <c r="U179" s="136" t="s">
        <v>529</v>
      </c>
      <c r="V179" s="136" t="s">
        <v>530</v>
      </c>
      <c r="W179" s="1433" t="s">
        <v>531</v>
      </c>
      <c r="X179" s="54">
        <v>0.5</v>
      </c>
      <c r="Y179" s="50" t="s">
        <v>177</v>
      </c>
      <c r="Z179" s="50" t="s">
        <v>177</v>
      </c>
      <c r="AA179" s="50"/>
      <c r="AB179" s="50"/>
      <c r="AC179" s="50"/>
      <c r="AD179" s="50"/>
      <c r="AE179" s="50"/>
      <c r="AF179" s="50"/>
      <c r="AG179" s="50"/>
      <c r="AH179" s="50"/>
      <c r="AI179" s="50"/>
      <c r="AJ179" s="50"/>
      <c r="AK179" s="50"/>
      <c r="AL179" s="54">
        <v>0</v>
      </c>
      <c r="AM179" s="50"/>
      <c r="AN179" s="50" t="s">
        <v>177</v>
      </c>
      <c r="AO179" s="50"/>
      <c r="AP179" s="50"/>
      <c r="AQ179" s="50"/>
      <c r="AR179" s="50"/>
      <c r="AS179" s="50"/>
      <c r="AT179" s="50"/>
      <c r="AU179" s="50"/>
      <c r="AV179" s="50"/>
      <c r="AW179" s="50"/>
      <c r="AX179" s="54"/>
      <c r="AY179" s="54"/>
      <c r="AZ179" s="54">
        <v>0</v>
      </c>
      <c r="BA179" s="50"/>
      <c r="BB179" s="50"/>
      <c r="BC179" s="50"/>
      <c r="BD179" s="50"/>
      <c r="BE179" s="50"/>
      <c r="BF179" s="50"/>
      <c r="BG179" s="50"/>
      <c r="BH179" s="50"/>
      <c r="BI179" s="50"/>
      <c r="BJ179" s="50"/>
      <c r="BK179" s="50"/>
      <c r="BL179" s="50"/>
      <c r="BM179" s="50"/>
      <c r="BN179" s="50"/>
      <c r="BO179" s="50"/>
      <c r="BP179" s="50"/>
      <c r="BQ179" s="50"/>
      <c r="BR179" s="50"/>
      <c r="BS179" s="50"/>
      <c r="BT179" s="50"/>
      <c r="BU179" s="50"/>
      <c r="BV179" s="50"/>
      <c r="BW179" s="50"/>
      <c r="BX179" s="50"/>
      <c r="BY179" s="50"/>
      <c r="BZ179" s="50"/>
      <c r="CA179" s="50"/>
      <c r="CB179" s="49"/>
      <c r="CC179" s="59"/>
      <c r="CD179" s="60"/>
      <c r="CE179" s="50"/>
      <c r="CF179" s="61"/>
      <c r="CG179" s="61"/>
      <c r="CH179" s="49"/>
      <c r="CI179" s="49"/>
      <c r="CJ179" s="49"/>
      <c r="CK179" s="49"/>
      <c r="CL179" s="49"/>
      <c r="CM179" s="49"/>
      <c r="CN179" s="49"/>
      <c r="CO179" s="50"/>
      <c r="CP179" s="50"/>
      <c r="CQ179" s="49"/>
      <c r="CR179" s="49"/>
      <c r="CS179" s="49"/>
      <c r="CT179" s="49"/>
      <c r="CU179" s="49"/>
      <c r="CV179" s="49"/>
      <c r="CW179" s="49"/>
      <c r="CX179" s="49"/>
    </row>
    <row r="180" spans="1:102" ht="20.25" customHeight="1" x14ac:dyDescent="0.2">
      <c r="A180" s="1811"/>
      <c r="B180" s="1807"/>
      <c r="C180" s="49"/>
      <c r="D180" s="50"/>
      <c r="E180" s="49"/>
      <c r="F180" s="49"/>
      <c r="G180" s="49"/>
      <c r="H180" s="49"/>
      <c r="I180" s="49"/>
      <c r="J180" s="49"/>
      <c r="K180" s="49"/>
      <c r="L180" s="49"/>
      <c r="M180" s="49"/>
      <c r="N180" s="49"/>
      <c r="O180" s="49"/>
      <c r="P180" s="49"/>
      <c r="Q180" s="49"/>
      <c r="R180" s="49"/>
      <c r="S180" s="49"/>
      <c r="T180" s="1808"/>
      <c r="U180" s="140"/>
      <c r="V180" s="140"/>
      <c r="W180" s="1427"/>
      <c r="X180" s="72"/>
      <c r="Y180" s="72"/>
      <c r="Z180" s="72"/>
      <c r="AA180" s="72"/>
      <c r="AB180" s="86">
        <f>AVERAGE(AB169:AB179)</f>
        <v>0.17698934837092734</v>
      </c>
      <c r="AC180" s="86">
        <f>+AC172</f>
        <v>0.49924812030075189</v>
      </c>
      <c r="AD180" s="86">
        <f>AVERAGE(AD169:AD179)</f>
        <v>0.10124999999999999</v>
      </c>
      <c r="AE180" s="72"/>
      <c r="AF180" s="72"/>
      <c r="AG180" s="72"/>
      <c r="AH180" s="72"/>
      <c r="AI180" s="72"/>
      <c r="AJ180" s="72"/>
      <c r="AK180" s="86">
        <f>AVERAGE(AK169:AK179)</f>
        <v>0.77500000000000002</v>
      </c>
      <c r="AL180" s="72"/>
      <c r="AM180" s="86">
        <f>AVERAGE(AM169:AM179)</f>
        <v>0.12708333333333333</v>
      </c>
      <c r="AN180" s="72"/>
      <c r="AO180" s="50"/>
      <c r="AP180" s="50"/>
      <c r="AQ180" s="50"/>
      <c r="AR180" s="50"/>
      <c r="AS180" s="50"/>
      <c r="AT180" s="50"/>
      <c r="AU180" s="50"/>
      <c r="AV180" s="50"/>
      <c r="AW180" s="50"/>
      <c r="AX180" s="86">
        <f>AVERAGE(AX169:AX179)</f>
        <v>0.103244</v>
      </c>
      <c r="AY180" s="97"/>
      <c r="AZ180" s="86">
        <f>AVERAGE(AZ169:AZ179)</f>
        <v>9.7640977443609028E-2</v>
      </c>
      <c r="BA180" s="50"/>
      <c r="BB180" s="50"/>
      <c r="BC180" s="50"/>
      <c r="BD180" s="50"/>
      <c r="BE180" s="50"/>
      <c r="BF180" s="50"/>
      <c r="BG180" s="50"/>
      <c r="BH180" s="50"/>
      <c r="BI180" s="50"/>
      <c r="BJ180" s="50"/>
      <c r="BK180" s="86">
        <f>AVERAGE(BK169:BK179)</f>
        <v>0.76772083333333341</v>
      </c>
      <c r="BL180" s="50"/>
      <c r="BM180" s="86">
        <f>AVERAGE(BM169:BM179)</f>
        <v>0.26965473684210528</v>
      </c>
      <c r="BN180" s="50"/>
      <c r="BO180" s="50"/>
      <c r="BP180" s="50"/>
      <c r="BQ180" s="50"/>
      <c r="BR180" s="50"/>
      <c r="BS180" s="50"/>
      <c r="BT180" s="50"/>
      <c r="BU180" s="50"/>
      <c r="BV180" s="50"/>
      <c r="BW180" s="50"/>
      <c r="BX180" s="50"/>
      <c r="BY180" s="50"/>
      <c r="BZ180" s="50"/>
      <c r="CA180" s="50"/>
      <c r="CB180" s="49"/>
      <c r="CC180" s="59"/>
      <c r="CD180" s="60"/>
      <c r="CE180" s="50"/>
      <c r="CF180" s="61"/>
      <c r="CG180" s="61"/>
      <c r="CH180" s="49"/>
      <c r="CI180" s="49"/>
      <c r="CJ180" s="49"/>
      <c r="CK180" s="49"/>
      <c r="CL180" s="49"/>
      <c r="CM180" s="49"/>
      <c r="CN180" s="49"/>
      <c r="CO180" s="50"/>
      <c r="CP180" s="50"/>
      <c r="CQ180" s="49"/>
      <c r="CR180" s="49"/>
      <c r="CS180" s="49"/>
      <c r="CT180" s="49"/>
      <c r="CU180" s="49"/>
      <c r="CV180" s="49"/>
      <c r="CW180" s="49"/>
      <c r="CX180" s="49"/>
    </row>
    <row r="181" spans="1:102" ht="36" customHeight="1" x14ac:dyDescent="0.2">
      <c r="A181" s="1811"/>
      <c r="B181" s="1807"/>
      <c r="C181" s="49"/>
      <c r="D181" s="50"/>
      <c r="E181" s="49"/>
      <c r="F181" s="49"/>
      <c r="G181" s="49"/>
      <c r="H181" s="49"/>
      <c r="I181" s="49"/>
      <c r="J181" s="49"/>
      <c r="K181" s="49"/>
      <c r="L181" s="49"/>
      <c r="M181" s="49"/>
      <c r="N181" s="49"/>
      <c r="O181" s="49"/>
      <c r="P181" s="49"/>
      <c r="Q181" s="49"/>
      <c r="R181" s="49"/>
      <c r="S181" s="49"/>
      <c r="T181" s="1809" t="s">
        <v>532</v>
      </c>
      <c r="U181" s="136" t="s">
        <v>533</v>
      </c>
      <c r="V181" s="136" t="s">
        <v>534</v>
      </c>
      <c r="W181" s="1434" t="s">
        <v>2230</v>
      </c>
      <c r="X181" s="157">
        <v>0.85</v>
      </c>
      <c r="Y181" s="157">
        <v>0.1</v>
      </c>
      <c r="Z181" s="158" t="s">
        <v>177</v>
      </c>
      <c r="AA181" s="158" t="s">
        <v>319</v>
      </c>
      <c r="AB181" s="157">
        <f>+Y181/X181</f>
        <v>0.11764705882352942</v>
      </c>
      <c r="AC181" s="157"/>
      <c r="AD181" s="157"/>
      <c r="AE181" s="157">
        <v>0.1</v>
      </c>
      <c r="AF181" s="157">
        <v>0.1</v>
      </c>
      <c r="AG181" s="158"/>
      <c r="AH181" s="159">
        <v>0.1</v>
      </c>
      <c r="AI181" s="158"/>
      <c r="AJ181" s="157">
        <f>+AH181</f>
        <v>0.1</v>
      </c>
      <c r="AK181" s="157">
        <f>+AJ181/Y181</f>
        <v>1</v>
      </c>
      <c r="AL181" s="157">
        <v>1E-3</v>
      </c>
      <c r="AM181" s="157">
        <f>+AL181/X181</f>
        <v>1.1764705882352942E-3</v>
      </c>
      <c r="AN181" s="157">
        <v>0.05</v>
      </c>
      <c r="AO181" s="157">
        <v>0.1</v>
      </c>
      <c r="AP181" s="158"/>
      <c r="AQ181" s="158"/>
      <c r="AR181" s="158"/>
      <c r="AS181" s="158"/>
      <c r="AT181" s="158"/>
      <c r="AU181" s="158"/>
      <c r="AV181" s="158"/>
      <c r="AW181" s="157">
        <f>AO181</f>
        <v>0.1</v>
      </c>
      <c r="AX181" s="161">
        <f>+AW181*AN181</f>
        <v>5.000000000000001E-3</v>
      </c>
      <c r="AY181" s="161">
        <f>+AX181</f>
        <v>5.000000000000001E-3</v>
      </c>
      <c r="AZ181" s="161">
        <f>+(AY181+AL181)/64.5%</f>
        <v>9.3023255813953504E-3</v>
      </c>
      <c r="BA181" s="50" t="s">
        <v>319</v>
      </c>
      <c r="BB181" s="50"/>
      <c r="BC181" s="50"/>
      <c r="BD181" s="50"/>
      <c r="BE181" s="50"/>
      <c r="BF181" s="54"/>
      <c r="BG181" s="50"/>
      <c r="BH181" s="54">
        <v>1</v>
      </c>
      <c r="BI181" s="50"/>
      <c r="BJ181" s="54">
        <f>+BF181</f>
        <v>0</v>
      </c>
      <c r="BK181" s="54"/>
      <c r="BL181" s="55">
        <f>+BH181</f>
        <v>1</v>
      </c>
      <c r="BM181" s="57">
        <f>+BL181</f>
        <v>1</v>
      </c>
      <c r="BN181" s="50"/>
      <c r="BO181" s="50"/>
      <c r="BP181" s="50"/>
      <c r="BQ181" s="50"/>
      <c r="BR181" s="50"/>
      <c r="BS181" s="50"/>
      <c r="BT181" s="50"/>
      <c r="BU181" s="50"/>
      <c r="BV181" s="50"/>
      <c r="BW181" s="50"/>
      <c r="BX181" s="50"/>
      <c r="BY181" s="50"/>
      <c r="BZ181" s="50"/>
      <c r="CA181" s="50"/>
      <c r="CB181" s="49"/>
      <c r="CC181" s="59"/>
      <c r="CD181" s="60"/>
      <c r="CE181" s="50"/>
      <c r="CF181" s="61"/>
      <c r="CG181" s="61"/>
      <c r="CH181" s="49"/>
      <c r="CI181" s="49"/>
      <c r="CJ181" s="49"/>
      <c r="CK181" s="49"/>
      <c r="CL181" s="49"/>
      <c r="CM181" s="49"/>
      <c r="CN181" s="49"/>
      <c r="CO181" s="50"/>
      <c r="CP181" s="50"/>
      <c r="CQ181" s="49"/>
      <c r="CR181" s="49"/>
      <c r="CS181" s="49"/>
      <c r="CT181" s="49"/>
      <c r="CU181" s="49"/>
      <c r="CV181" s="49"/>
      <c r="CW181" s="49"/>
      <c r="CX181" s="49"/>
    </row>
    <row r="182" spans="1:102" ht="45.75" customHeight="1" x14ac:dyDescent="0.2">
      <c r="A182" s="1811"/>
      <c r="B182" s="1807"/>
      <c r="C182" s="49"/>
      <c r="D182" s="50"/>
      <c r="E182" s="49"/>
      <c r="F182" s="49"/>
      <c r="G182" s="49"/>
      <c r="H182" s="49"/>
      <c r="I182" s="49"/>
      <c r="J182" s="49"/>
      <c r="K182" s="49"/>
      <c r="L182" s="49"/>
      <c r="M182" s="49"/>
      <c r="N182" s="49"/>
      <c r="O182" s="49"/>
      <c r="P182" s="49"/>
      <c r="Q182" s="49"/>
      <c r="R182" s="49"/>
      <c r="S182" s="49"/>
      <c r="T182" s="1807"/>
      <c r="U182" s="136" t="s">
        <v>535</v>
      </c>
      <c r="V182" s="141">
        <v>0</v>
      </c>
      <c r="W182" s="1433" t="s">
        <v>2231</v>
      </c>
      <c r="X182" s="157">
        <v>0.3</v>
      </c>
      <c r="Y182" s="158" t="s">
        <v>177</v>
      </c>
      <c r="Z182" s="158" t="s">
        <v>177</v>
      </c>
      <c r="AA182" s="157">
        <v>0.1</v>
      </c>
      <c r="AB182" s="158"/>
      <c r="AC182" s="158"/>
      <c r="AD182" s="54">
        <f>AA182/X182</f>
        <v>0.33333333333333337</v>
      </c>
      <c r="AE182" s="158"/>
      <c r="AF182" s="158"/>
      <c r="AG182" s="158"/>
      <c r="AH182" s="158"/>
      <c r="AI182" s="158"/>
      <c r="AJ182" s="158"/>
      <c r="AK182" s="157"/>
      <c r="AL182" s="158"/>
      <c r="AM182" s="157"/>
      <c r="AN182" s="157">
        <v>0.05</v>
      </c>
      <c r="AO182" s="157">
        <v>0.1</v>
      </c>
      <c r="AP182" s="158"/>
      <c r="AQ182" s="158"/>
      <c r="AR182" s="158"/>
      <c r="AS182" s="158"/>
      <c r="AT182" s="158"/>
      <c r="AU182" s="158"/>
      <c r="AV182" s="158"/>
      <c r="AW182" s="157">
        <f>+AO182</f>
        <v>0.1</v>
      </c>
      <c r="AX182" s="157">
        <f>+AW182*AN182</f>
        <v>5.000000000000001E-3</v>
      </c>
      <c r="AY182" s="55">
        <v>0.1</v>
      </c>
      <c r="AZ182" s="161">
        <f>+AY182*0.3</f>
        <v>0.03</v>
      </c>
      <c r="BA182" s="54">
        <v>0.1</v>
      </c>
      <c r="BB182" s="54">
        <v>0</v>
      </c>
      <c r="BC182" s="50"/>
      <c r="BD182" s="1154">
        <v>0</v>
      </c>
      <c r="BE182" s="50"/>
      <c r="BF182" s="50"/>
      <c r="BG182" s="50"/>
      <c r="BH182" s="54">
        <v>0.2</v>
      </c>
      <c r="BI182" s="50"/>
      <c r="BJ182" s="54">
        <f>+BH182</f>
        <v>0.2</v>
      </c>
      <c r="BK182" s="57">
        <v>1</v>
      </c>
      <c r="BL182" s="54">
        <f>BJ182+AY182</f>
        <v>0.30000000000000004</v>
      </c>
      <c r="BM182" s="57">
        <f>BL182/X182</f>
        <v>1.0000000000000002</v>
      </c>
      <c r="BN182" s="50"/>
      <c r="BO182" s="50"/>
      <c r="BP182" s="50"/>
      <c r="BQ182" s="50"/>
      <c r="BR182" s="50"/>
      <c r="BS182" s="50"/>
      <c r="BT182" s="50"/>
      <c r="BU182" s="50"/>
      <c r="BV182" s="50"/>
      <c r="BW182" s="50"/>
      <c r="BX182" s="50"/>
      <c r="BY182" s="50"/>
      <c r="BZ182" s="50"/>
      <c r="CA182" s="50"/>
      <c r="CB182" s="49"/>
      <c r="CC182" s="59"/>
      <c r="CD182" s="60"/>
      <c r="CE182" s="50"/>
      <c r="CF182" s="61"/>
      <c r="CG182" s="61"/>
      <c r="CH182" s="49"/>
      <c r="CI182" s="49"/>
      <c r="CJ182" s="49"/>
      <c r="CK182" s="49"/>
      <c r="CL182" s="49"/>
      <c r="CM182" s="49"/>
      <c r="CN182" s="49"/>
      <c r="CO182" s="50"/>
      <c r="CP182" s="50"/>
      <c r="CQ182" s="49"/>
      <c r="CR182" s="49"/>
      <c r="CS182" s="49"/>
      <c r="CT182" s="49"/>
      <c r="CU182" s="49"/>
      <c r="CV182" s="49"/>
      <c r="CW182" s="49"/>
      <c r="CX182" s="49"/>
    </row>
    <row r="183" spans="1:102" ht="33" customHeight="1" x14ac:dyDescent="0.2">
      <c r="A183" s="1811"/>
      <c r="B183" s="1807"/>
      <c r="C183" s="49"/>
      <c r="D183" s="50"/>
      <c r="E183" s="49"/>
      <c r="F183" s="49"/>
      <c r="G183" s="49"/>
      <c r="H183" s="49"/>
      <c r="I183" s="49"/>
      <c r="J183" s="49"/>
      <c r="K183" s="49"/>
      <c r="L183" s="49"/>
      <c r="M183" s="49"/>
      <c r="N183" s="49"/>
      <c r="O183" s="49"/>
      <c r="P183" s="49"/>
      <c r="Q183" s="49"/>
      <c r="R183" s="49"/>
      <c r="S183" s="49"/>
      <c r="T183" s="1807"/>
      <c r="U183" s="136" t="s">
        <v>536</v>
      </c>
      <c r="V183" s="141">
        <v>0</v>
      </c>
      <c r="W183" s="1433" t="s">
        <v>2232</v>
      </c>
      <c r="X183" s="157">
        <v>0.9</v>
      </c>
      <c r="Y183" s="158" t="s">
        <v>177</v>
      </c>
      <c r="Z183" s="158" t="s">
        <v>177</v>
      </c>
      <c r="AA183" s="157">
        <v>0.3</v>
      </c>
      <c r="AB183" s="158"/>
      <c r="AC183" s="158"/>
      <c r="AD183" s="54">
        <f>AA183/X183</f>
        <v>0.33333333333333331</v>
      </c>
      <c r="AE183" s="158"/>
      <c r="AF183" s="158"/>
      <c r="AG183" s="158"/>
      <c r="AH183" s="158"/>
      <c r="AI183" s="158"/>
      <c r="AJ183" s="158"/>
      <c r="AK183" s="157"/>
      <c r="AL183" s="158"/>
      <c r="AM183" s="157"/>
      <c r="AN183" s="157">
        <v>0.3</v>
      </c>
      <c r="AO183" s="157">
        <v>1</v>
      </c>
      <c r="AP183" s="158"/>
      <c r="AQ183" s="157">
        <v>1</v>
      </c>
      <c r="AR183" s="158"/>
      <c r="AS183" s="157">
        <v>1</v>
      </c>
      <c r="AT183" s="158"/>
      <c r="AU183" s="157">
        <v>1</v>
      </c>
      <c r="AV183" s="158"/>
      <c r="AW183" s="157">
        <v>0.3</v>
      </c>
      <c r="AX183" s="157">
        <v>1</v>
      </c>
      <c r="AY183" s="157">
        <f>+AW183</f>
        <v>0.3</v>
      </c>
      <c r="AZ183" s="157">
        <v>0.33</v>
      </c>
      <c r="BA183" s="54">
        <v>0.3</v>
      </c>
      <c r="BB183" s="54">
        <v>0.09</v>
      </c>
      <c r="BC183" s="50"/>
      <c r="BD183" s="57">
        <v>0.1241</v>
      </c>
      <c r="BE183" s="50"/>
      <c r="BF183" s="57">
        <f>+BD183</f>
        <v>0.1241</v>
      </c>
      <c r="BG183" s="50"/>
      <c r="BH183" s="54">
        <v>0</v>
      </c>
      <c r="BI183" s="50"/>
      <c r="BJ183" s="54">
        <f>+BH183+BF183+BD183+BB183</f>
        <v>0.3382</v>
      </c>
      <c r="BK183" s="57">
        <v>1</v>
      </c>
      <c r="BL183" s="54">
        <f>BJ183+AY183</f>
        <v>0.63819999999999999</v>
      </c>
      <c r="BM183" s="57">
        <f>BL183/X183</f>
        <v>0.70911111111111114</v>
      </c>
      <c r="BN183" s="50"/>
      <c r="BO183" s="50"/>
      <c r="BP183" s="50"/>
      <c r="BQ183" s="50"/>
      <c r="BR183" s="50"/>
      <c r="BS183" s="50"/>
      <c r="BT183" s="50"/>
      <c r="BU183" s="50"/>
      <c r="BV183" s="50"/>
      <c r="BW183" s="50"/>
      <c r="BX183" s="50"/>
      <c r="BY183" s="50"/>
      <c r="BZ183" s="50"/>
      <c r="CA183" s="50"/>
      <c r="CB183" s="49"/>
      <c r="CC183" s="59"/>
      <c r="CD183" s="60"/>
      <c r="CE183" s="50"/>
      <c r="CF183" s="61"/>
      <c r="CG183" s="61"/>
      <c r="CH183" s="49"/>
      <c r="CI183" s="49"/>
      <c r="CJ183" s="49"/>
      <c r="CK183" s="49"/>
      <c r="CL183" s="49"/>
      <c r="CM183" s="49"/>
      <c r="CN183" s="49"/>
      <c r="CO183" s="50"/>
      <c r="CP183" s="50"/>
      <c r="CQ183" s="49"/>
      <c r="CR183" s="49"/>
      <c r="CS183" s="49"/>
      <c r="CT183" s="49"/>
      <c r="CU183" s="49"/>
      <c r="CV183" s="49"/>
      <c r="CW183" s="49"/>
      <c r="CX183" s="49"/>
    </row>
    <row r="184" spans="1:102" ht="26.25" customHeight="1" x14ac:dyDescent="0.2">
      <c r="A184" s="1811"/>
      <c r="B184" s="1807"/>
      <c r="C184" s="49"/>
      <c r="D184" s="50"/>
      <c r="E184" s="49"/>
      <c r="F184" s="49"/>
      <c r="G184" s="49"/>
      <c r="H184" s="49"/>
      <c r="I184" s="49"/>
      <c r="J184" s="49"/>
      <c r="K184" s="49"/>
      <c r="L184" s="49"/>
      <c r="M184" s="49"/>
      <c r="N184" s="49"/>
      <c r="O184" s="49"/>
      <c r="P184" s="49"/>
      <c r="Q184" s="49"/>
      <c r="R184" s="49"/>
      <c r="S184" s="49"/>
      <c r="T184" s="1808"/>
      <c r="U184" s="140"/>
      <c r="V184" s="162"/>
      <c r="W184" s="1427"/>
      <c r="X184" s="72"/>
      <c r="Y184" s="72"/>
      <c r="Z184" s="72"/>
      <c r="AA184" s="72"/>
      <c r="AB184" s="86">
        <f>+AB181</f>
        <v>0.11764705882352942</v>
      </c>
      <c r="AC184" s="86"/>
      <c r="AD184" s="86">
        <f>AVERAGE(AD181:AD183)</f>
        <v>0.33333333333333337</v>
      </c>
      <c r="AE184" s="72"/>
      <c r="AF184" s="72"/>
      <c r="AG184" s="72"/>
      <c r="AH184" s="72"/>
      <c r="AI184" s="72"/>
      <c r="AJ184" s="72"/>
      <c r="AK184" s="86">
        <f>+AK181</f>
        <v>1</v>
      </c>
      <c r="AL184" s="72"/>
      <c r="AM184" s="86">
        <f>+AM181</f>
        <v>1.1764705882352942E-3</v>
      </c>
      <c r="AN184" s="72"/>
      <c r="AO184" s="50"/>
      <c r="AP184" s="50"/>
      <c r="AQ184" s="50"/>
      <c r="AR184" s="50"/>
      <c r="AS184" s="50"/>
      <c r="AT184" s="50"/>
      <c r="AU184" s="50"/>
      <c r="AV184" s="50"/>
      <c r="AW184" s="50"/>
      <c r="AX184" s="86">
        <f>AVERAGE(AX181:AX183)</f>
        <v>0.33666666666666667</v>
      </c>
      <c r="AY184" s="72"/>
      <c r="AZ184" s="86">
        <f>AVERAGE(AZ181:AZ183)</f>
        <v>0.12310077519379846</v>
      </c>
      <c r="BA184" s="1015"/>
      <c r="BB184" s="1015"/>
      <c r="BC184" s="1015"/>
      <c r="BD184" s="1015"/>
      <c r="BE184" s="1015"/>
      <c r="BF184" s="1015"/>
      <c r="BG184" s="1015"/>
      <c r="BH184" s="1015"/>
      <c r="BI184" s="1015"/>
      <c r="BJ184" s="1015"/>
      <c r="BK184" s="1269">
        <f>AVERAGE(BK181:BK183)</f>
        <v>1</v>
      </c>
      <c r="BL184" s="1015"/>
      <c r="BM184" s="73">
        <f>AVERAGE(BM181:BM183)</f>
        <v>0.90303703703703697</v>
      </c>
      <c r="BN184" s="50"/>
      <c r="BO184" s="50"/>
      <c r="BP184" s="50"/>
      <c r="BQ184" s="50"/>
      <c r="BR184" s="50"/>
      <c r="BS184" s="50"/>
      <c r="BT184" s="50"/>
      <c r="BU184" s="50"/>
      <c r="BV184" s="50"/>
      <c r="BW184" s="50"/>
      <c r="BX184" s="50"/>
      <c r="BY184" s="50"/>
      <c r="BZ184" s="50"/>
      <c r="CA184" s="50"/>
      <c r="CB184" s="49"/>
      <c r="CC184" s="59"/>
      <c r="CD184" s="60"/>
      <c r="CE184" s="50"/>
      <c r="CF184" s="61"/>
      <c r="CG184" s="61"/>
      <c r="CH184" s="49"/>
      <c r="CI184" s="49"/>
      <c r="CJ184" s="49"/>
      <c r="CK184" s="49"/>
      <c r="CL184" s="49"/>
      <c r="CM184" s="49"/>
      <c r="CN184" s="49"/>
      <c r="CO184" s="50"/>
      <c r="CP184" s="50"/>
      <c r="CQ184" s="49"/>
      <c r="CR184" s="49"/>
      <c r="CS184" s="49"/>
      <c r="CT184" s="49"/>
      <c r="CU184" s="49"/>
      <c r="CV184" s="49"/>
      <c r="CW184" s="49"/>
      <c r="CX184" s="49"/>
    </row>
    <row r="185" spans="1:102" ht="37.5" customHeight="1" x14ac:dyDescent="0.2">
      <c r="A185" s="1811"/>
      <c r="B185" s="1807"/>
      <c r="C185" s="49"/>
      <c r="D185" s="50"/>
      <c r="E185" s="49"/>
      <c r="F185" s="49"/>
      <c r="G185" s="49"/>
      <c r="H185" s="49"/>
      <c r="I185" s="49"/>
      <c r="J185" s="49"/>
      <c r="K185" s="49"/>
      <c r="L185" s="49"/>
      <c r="M185" s="49"/>
      <c r="N185" s="49"/>
      <c r="O185" s="49"/>
      <c r="P185" s="49"/>
      <c r="Q185" s="49"/>
      <c r="R185" s="49"/>
      <c r="S185" s="49"/>
      <c r="T185" s="1809" t="s">
        <v>537</v>
      </c>
      <c r="U185" s="51" t="s">
        <v>538</v>
      </c>
      <c r="V185" s="51" t="s">
        <v>539</v>
      </c>
      <c r="W185" s="1433" t="s">
        <v>540</v>
      </c>
      <c r="X185" s="158">
        <v>13</v>
      </c>
      <c r="Y185" s="157">
        <v>0.25</v>
      </c>
      <c r="Z185" s="158" t="s">
        <v>177</v>
      </c>
      <c r="AA185" s="158">
        <v>6</v>
      </c>
      <c r="AB185" s="157">
        <f>+Y185/X185</f>
        <v>1.9230769230769232E-2</v>
      </c>
      <c r="AC185" s="157"/>
      <c r="AD185" s="157">
        <f>AA185/X185</f>
        <v>0.46153846153846156</v>
      </c>
      <c r="AE185" s="157">
        <v>0.1</v>
      </c>
      <c r="AF185" s="157">
        <v>0.04</v>
      </c>
      <c r="AG185" s="158"/>
      <c r="AH185" s="157">
        <v>0.5</v>
      </c>
      <c r="AI185" s="158"/>
      <c r="AJ185" s="157">
        <v>0.04</v>
      </c>
      <c r="AK185" s="157">
        <v>1</v>
      </c>
      <c r="AL185" s="157">
        <v>0.04</v>
      </c>
      <c r="AM185" s="157">
        <v>0.04</v>
      </c>
      <c r="AN185" s="158">
        <v>1</v>
      </c>
      <c r="AO185" s="158">
        <v>0</v>
      </c>
      <c r="AP185" s="158"/>
      <c r="AQ185" s="158"/>
      <c r="AR185" s="158"/>
      <c r="AS185" s="157">
        <v>0.5</v>
      </c>
      <c r="AT185" s="158"/>
      <c r="AU185" s="158"/>
      <c r="AV185" s="158"/>
      <c r="AW185" s="158">
        <v>0</v>
      </c>
      <c r="AX185" s="157">
        <v>0.5</v>
      </c>
      <c r="AY185" s="157">
        <f>+AX185</f>
        <v>0.5</v>
      </c>
      <c r="AZ185" s="157">
        <f>+AY185</f>
        <v>0.5</v>
      </c>
      <c r="BA185" s="50">
        <v>6</v>
      </c>
      <c r="BB185" s="50">
        <v>6</v>
      </c>
      <c r="BC185" s="50"/>
      <c r="BD185" s="50">
        <v>7</v>
      </c>
      <c r="BE185" s="50"/>
      <c r="BF185" s="50">
        <v>7</v>
      </c>
      <c r="BG185" s="50"/>
      <c r="BH185" s="50">
        <v>6</v>
      </c>
      <c r="BI185" s="50"/>
      <c r="BJ185" s="50">
        <f>BB185+BD185+BH185</f>
        <v>19</v>
      </c>
      <c r="BK185" s="57">
        <v>1</v>
      </c>
      <c r="BL185" s="1474">
        <f>+BJ185</f>
        <v>19</v>
      </c>
      <c r="BM185" s="57">
        <v>1</v>
      </c>
      <c r="BN185" s="50"/>
      <c r="BO185" s="50"/>
      <c r="BP185" s="50"/>
      <c r="BQ185" s="50"/>
      <c r="BR185" s="50"/>
      <c r="BS185" s="50"/>
      <c r="BT185" s="50"/>
      <c r="BU185" s="50"/>
      <c r="BV185" s="50"/>
      <c r="BW185" s="50"/>
      <c r="BX185" s="50"/>
      <c r="BY185" s="50"/>
      <c r="BZ185" s="50"/>
      <c r="CA185" s="50"/>
      <c r="CB185" s="49"/>
      <c r="CC185" s="59"/>
      <c r="CD185" s="60"/>
      <c r="CE185" s="50"/>
      <c r="CF185" s="61"/>
      <c r="CG185" s="61"/>
      <c r="CH185" s="49"/>
      <c r="CI185" s="49"/>
      <c r="CJ185" s="49"/>
      <c r="CK185" s="49"/>
      <c r="CL185" s="49"/>
      <c r="CM185" s="49"/>
      <c r="CN185" s="49"/>
      <c r="CO185" s="50"/>
      <c r="CP185" s="50"/>
      <c r="CQ185" s="49"/>
      <c r="CR185" s="49"/>
      <c r="CS185" s="49"/>
      <c r="CT185" s="49"/>
      <c r="CU185" s="49"/>
      <c r="CV185" s="49"/>
      <c r="CW185" s="49"/>
      <c r="CX185" s="49"/>
    </row>
    <row r="186" spans="1:102" ht="26.25" customHeight="1" x14ac:dyDescent="0.2">
      <c r="A186" s="1811"/>
      <c r="B186" s="1807"/>
      <c r="C186" s="49"/>
      <c r="D186" s="50"/>
      <c r="E186" s="49"/>
      <c r="F186" s="49"/>
      <c r="G186" s="49"/>
      <c r="H186" s="49"/>
      <c r="I186" s="49"/>
      <c r="J186" s="49"/>
      <c r="K186" s="49"/>
      <c r="L186" s="49"/>
      <c r="M186" s="49"/>
      <c r="N186" s="49"/>
      <c r="O186" s="49"/>
      <c r="P186" s="49"/>
      <c r="Q186" s="49"/>
      <c r="R186" s="49"/>
      <c r="S186" s="49"/>
      <c r="T186" s="1816"/>
      <c r="U186" s="136" t="s">
        <v>541</v>
      </c>
      <c r="V186" s="136" t="s">
        <v>542</v>
      </c>
      <c r="W186" s="1425" t="s">
        <v>543</v>
      </c>
      <c r="X186" s="83">
        <v>10292</v>
      </c>
      <c r="Y186" s="50" t="s">
        <v>177</v>
      </c>
      <c r="Z186" s="50" t="s">
        <v>177</v>
      </c>
      <c r="AA186" s="50">
        <v>1500</v>
      </c>
      <c r="AB186" s="50"/>
      <c r="AC186" s="50"/>
      <c r="AD186" s="57">
        <f>AA186/X186</f>
        <v>0.14574426739214924</v>
      </c>
      <c r="AE186" s="50"/>
      <c r="AF186" s="50"/>
      <c r="AG186" s="50"/>
      <c r="AH186" s="50"/>
      <c r="AI186" s="50"/>
      <c r="AJ186" s="50"/>
      <c r="AK186" s="50"/>
      <c r="AL186" s="50"/>
      <c r="AM186" s="50"/>
      <c r="AN186" s="50" t="s">
        <v>177</v>
      </c>
      <c r="AO186" s="50"/>
      <c r="AP186" s="50"/>
      <c r="AQ186" s="50"/>
      <c r="AR186" s="50"/>
      <c r="AS186" s="50"/>
      <c r="AT186" s="50"/>
      <c r="AU186" s="50"/>
      <c r="AV186" s="50"/>
      <c r="AW186" s="50"/>
      <c r="AX186" s="50"/>
      <c r="AY186" s="50"/>
      <c r="AZ186" s="50"/>
      <c r="BA186" s="50">
        <v>1500</v>
      </c>
      <c r="BB186" s="50">
        <v>0</v>
      </c>
      <c r="BC186" s="50"/>
      <c r="BD186" s="50">
        <v>0</v>
      </c>
      <c r="BE186" s="50"/>
      <c r="BF186" s="50">
        <v>0</v>
      </c>
      <c r="BG186" s="50"/>
      <c r="BH186" s="50">
        <v>0</v>
      </c>
      <c r="BI186" s="50"/>
      <c r="BJ186" s="50">
        <v>0</v>
      </c>
      <c r="BK186" s="54">
        <v>0</v>
      </c>
      <c r="BL186" s="50">
        <v>0</v>
      </c>
      <c r="BM186" s="54">
        <v>0</v>
      </c>
      <c r="BN186" s="50"/>
      <c r="BO186" s="50"/>
      <c r="BP186" s="50"/>
      <c r="BQ186" s="50"/>
      <c r="BR186" s="50"/>
      <c r="BS186" s="50"/>
      <c r="BT186" s="50"/>
      <c r="BU186" s="50"/>
      <c r="BV186" s="50"/>
      <c r="BW186" s="50"/>
      <c r="BX186" s="50"/>
      <c r="BY186" s="50"/>
      <c r="BZ186" s="50"/>
      <c r="CA186" s="50"/>
      <c r="CB186" s="49"/>
      <c r="CC186" s="59"/>
      <c r="CD186" s="60"/>
      <c r="CE186" s="50"/>
      <c r="CF186" s="61"/>
      <c r="CG186" s="61"/>
      <c r="CH186" s="49"/>
      <c r="CI186" s="49"/>
      <c r="CJ186" s="49"/>
      <c r="CK186" s="49"/>
      <c r="CL186" s="49"/>
      <c r="CM186" s="49"/>
      <c r="CN186" s="49"/>
      <c r="CO186" s="50"/>
      <c r="CP186" s="50"/>
      <c r="CQ186" s="49"/>
      <c r="CR186" s="49"/>
      <c r="CS186" s="49"/>
      <c r="CT186" s="49"/>
      <c r="CU186" s="49"/>
      <c r="CV186" s="49"/>
      <c r="CW186" s="49"/>
      <c r="CX186" s="49"/>
    </row>
    <row r="187" spans="1:102" ht="33" customHeight="1" x14ac:dyDescent="0.2">
      <c r="A187" s="1811"/>
      <c r="B187" s="1807"/>
      <c r="C187" s="49"/>
      <c r="D187" s="50"/>
      <c r="E187" s="49"/>
      <c r="F187" s="49"/>
      <c r="G187" s="49"/>
      <c r="H187" s="49"/>
      <c r="I187" s="49"/>
      <c r="J187" s="49"/>
      <c r="K187" s="49"/>
      <c r="L187" s="49"/>
      <c r="M187" s="49"/>
      <c r="N187" s="49"/>
      <c r="O187" s="49"/>
      <c r="P187" s="49"/>
      <c r="Q187" s="49"/>
      <c r="R187" s="49"/>
      <c r="S187" s="49"/>
      <c r="T187" s="1816"/>
      <c r="U187" s="136" t="s">
        <v>544</v>
      </c>
      <c r="V187" s="136" t="s">
        <v>545</v>
      </c>
      <c r="W187" s="1425" t="s">
        <v>546</v>
      </c>
      <c r="X187" s="50">
        <v>27</v>
      </c>
      <c r="Y187" s="50" t="s">
        <v>177</v>
      </c>
      <c r="Z187" s="50" t="s">
        <v>177</v>
      </c>
      <c r="AA187" s="50">
        <v>13</v>
      </c>
      <c r="AB187" s="50"/>
      <c r="AC187" s="50"/>
      <c r="AD187" s="57">
        <f>AA187/X187</f>
        <v>0.48148148148148145</v>
      </c>
      <c r="AE187" s="50"/>
      <c r="AF187" s="50"/>
      <c r="AG187" s="50"/>
      <c r="AH187" s="50"/>
      <c r="AI187" s="50"/>
      <c r="AJ187" s="50"/>
      <c r="AK187" s="50"/>
      <c r="AL187" s="50"/>
      <c r="AM187" s="50"/>
      <c r="AN187" s="50" t="s">
        <v>177</v>
      </c>
      <c r="AO187" s="50"/>
      <c r="AP187" s="50"/>
      <c r="AQ187" s="50"/>
      <c r="AR187" s="50"/>
      <c r="AS187" s="50"/>
      <c r="AT187" s="50"/>
      <c r="AU187" s="50"/>
      <c r="AV187" s="50"/>
      <c r="AW187" s="50"/>
      <c r="AX187" s="50"/>
      <c r="AY187" s="50"/>
      <c r="AZ187" s="50"/>
      <c r="BA187" s="50">
        <v>13</v>
      </c>
      <c r="BB187" s="50">
        <v>1</v>
      </c>
      <c r="BC187" s="50"/>
      <c r="BD187" s="50">
        <v>10</v>
      </c>
      <c r="BE187" s="50"/>
      <c r="BF187" s="50">
        <v>11</v>
      </c>
      <c r="BG187" s="50"/>
      <c r="BH187" s="50">
        <v>9</v>
      </c>
      <c r="BI187" s="50"/>
      <c r="BJ187" s="50">
        <f>+BD187+BB187+BF187+BH187</f>
        <v>31</v>
      </c>
      <c r="BK187" s="57">
        <v>1</v>
      </c>
      <c r="BL187" s="50">
        <f>BJ187+AY187</f>
        <v>31</v>
      </c>
      <c r="BM187" s="57">
        <v>1</v>
      </c>
      <c r="BN187" s="50"/>
      <c r="BO187" s="50"/>
      <c r="BP187" s="50"/>
      <c r="BQ187" s="50"/>
      <c r="BR187" s="50"/>
      <c r="BS187" s="50"/>
      <c r="BT187" s="50"/>
      <c r="BU187" s="50"/>
      <c r="BV187" s="50"/>
      <c r="BW187" s="50"/>
      <c r="BX187" s="50"/>
      <c r="BY187" s="50"/>
      <c r="BZ187" s="50"/>
      <c r="CA187" s="50"/>
      <c r="CB187" s="49"/>
      <c r="CC187" s="59"/>
      <c r="CD187" s="60"/>
      <c r="CE187" s="50"/>
      <c r="CF187" s="61"/>
      <c r="CG187" s="61"/>
      <c r="CH187" s="49"/>
      <c r="CI187" s="49"/>
      <c r="CJ187" s="49"/>
      <c r="CK187" s="49"/>
      <c r="CL187" s="49"/>
      <c r="CM187" s="49"/>
      <c r="CN187" s="49"/>
      <c r="CO187" s="50"/>
      <c r="CP187" s="50"/>
      <c r="CQ187" s="49"/>
      <c r="CR187" s="49"/>
      <c r="CS187" s="49"/>
      <c r="CT187" s="49"/>
      <c r="CU187" s="49"/>
      <c r="CV187" s="49"/>
      <c r="CW187" s="49"/>
      <c r="CX187" s="49"/>
    </row>
    <row r="188" spans="1:102" ht="37.5" customHeight="1" x14ac:dyDescent="0.2">
      <c r="A188" s="1811"/>
      <c r="B188" s="1807"/>
      <c r="C188" s="49"/>
      <c r="D188" s="50"/>
      <c r="E188" s="49"/>
      <c r="F188" s="49"/>
      <c r="G188" s="49"/>
      <c r="H188" s="49"/>
      <c r="I188" s="49"/>
      <c r="J188" s="49"/>
      <c r="K188" s="49"/>
      <c r="L188" s="49"/>
      <c r="M188" s="49"/>
      <c r="N188" s="49"/>
      <c r="O188" s="49"/>
      <c r="P188" s="49"/>
      <c r="Q188" s="49"/>
      <c r="R188" s="49"/>
      <c r="S188" s="49"/>
      <c r="T188" s="1816"/>
      <c r="U188" s="136" t="s">
        <v>547</v>
      </c>
      <c r="V188" s="163" t="s">
        <v>548</v>
      </c>
      <c r="W188" s="1433" t="s">
        <v>549</v>
      </c>
      <c r="X188" s="157">
        <v>1</v>
      </c>
      <c r="Y188" s="158" t="s">
        <v>177</v>
      </c>
      <c r="Z188" s="158" t="s">
        <v>177</v>
      </c>
      <c r="AA188" s="157">
        <v>0.19</v>
      </c>
      <c r="AB188" s="158"/>
      <c r="AC188" s="158"/>
      <c r="AD188" s="57">
        <f>AA188/X188</f>
        <v>0.19</v>
      </c>
      <c r="AE188" s="158"/>
      <c r="AF188" s="158"/>
      <c r="AG188" s="158"/>
      <c r="AH188" s="158"/>
      <c r="AI188" s="158"/>
      <c r="AJ188" s="158"/>
      <c r="AK188" s="158"/>
      <c r="AL188" s="158"/>
      <c r="AM188" s="158"/>
      <c r="AN188" s="158" t="s">
        <v>177</v>
      </c>
      <c r="AO188" s="158"/>
      <c r="AP188" s="158"/>
      <c r="AQ188" s="158"/>
      <c r="AR188" s="158"/>
      <c r="AS188" s="158"/>
      <c r="AT188" s="158"/>
      <c r="AU188" s="158"/>
      <c r="AV188" s="158"/>
      <c r="AW188" s="158"/>
      <c r="AX188" s="158"/>
      <c r="AY188" s="157">
        <v>0.32</v>
      </c>
      <c r="AZ188" s="158"/>
      <c r="BA188" s="54">
        <v>0.19</v>
      </c>
      <c r="BB188" s="54">
        <v>0.13</v>
      </c>
      <c r="BC188" s="50"/>
      <c r="BD188" s="57">
        <v>0.68420000000000003</v>
      </c>
      <c r="BE188" s="50"/>
      <c r="BF188" s="57">
        <f>+BD188</f>
        <v>0.68420000000000003</v>
      </c>
      <c r="BG188" s="50"/>
      <c r="BH188" s="54">
        <v>0</v>
      </c>
      <c r="BI188" s="50"/>
      <c r="BJ188" s="54">
        <f>+BD188+BB188</f>
        <v>0.81420000000000003</v>
      </c>
      <c r="BK188" s="57">
        <v>1</v>
      </c>
      <c r="BL188" s="54">
        <v>1</v>
      </c>
      <c r="BM188" s="57">
        <f>BL188/X188</f>
        <v>1</v>
      </c>
      <c r="BN188" s="50"/>
      <c r="BO188" s="50"/>
      <c r="BP188" s="50"/>
      <c r="BQ188" s="50"/>
      <c r="BR188" s="50"/>
      <c r="BS188" s="50"/>
      <c r="BT188" s="50"/>
      <c r="BU188" s="50"/>
      <c r="BV188" s="50"/>
      <c r="BW188" s="50"/>
      <c r="BX188" s="50"/>
      <c r="BY188" s="50"/>
      <c r="BZ188" s="50"/>
      <c r="CA188" s="50"/>
      <c r="CB188" s="49"/>
      <c r="CC188" s="59"/>
      <c r="CD188" s="60"/>
      <c r="CE188" s="50"/>
      <c r="CF188" s="61"/>
      <c r="CG188" s="61"/>
      <c r="CH188" s="49"/>
      <c r="CI188" s="49"/>
      <c r="CJ188" s="49"/>
      <c r="CK188" s="49"/>
      <c r="CL188" s="49"/>
      <c r="CM188" s="49"/>
      <c r="CN188" s="49"/>
      <c r="CO188" s="50"/>
      <c r="CP188" s="50"/>
      <c r="CQ188" s="49"/>
      <c r="CR188" s="49"/>
      <c r="CS188" s="49"/>
      <c r="CT188" s="49"/>
      <c r="CU188" s="49"/>
      <c r="CV188" s="49"/>
      <c r="CW188" s="49"/>
      <c r="CX188" s="49"/>
    </row>
    <row r="189" spans="1:102" ht="57.75" customHeight="1" x14ac:dyDescent="0.2">
      <c r="A189" s="1811"/>
      <c r="B189" s="1807"/>
      <c r="C189" s="49"/>
      <c r="D189" s="50"/>
      <c r="E189" s="49"/>
      <c r="F189" s="49"/>
      <c r="G189" s="49"/>
      <c r="H189" s="49"/>
      <c r="I189" s="49"/>
      <c r="J189" s="49"/>
      <c r="K189" s="49"/>
      <c r="L189" s="49"/>
      <c r="M189" s="49"/>
      <c r="N189" s="49"/>
      <c r="O189" s="49"/>
      <c r="P189" s="49"/>
      <c r="Q189" s="49"/>
      <c r="R189" s="49"/>
      <c r="S189" s="49"/>
      <c r="T189" s="1816"/>
      <c r="U189" s="136" t="s">
        <v>550</v>
      </c>
      <c r="V189" s="163" t="s">
        <v>201</v>
      </c>
      <c r="W189" s="1433" t="s">
        <v>551</v>
      </c>
      <c r="X189" s="158">
        <v>1</v>
      </c>
      <c r="Y189" s="158" t="s">
        <v>177</v>
      </c>
      <c r="Z189" s="158" t="s">
        <v>177</v>
      </c>
      <c r="AA189" s="158" t="s">
        <v>319</v>
      </c>
      <c r="AB189" s="158"/>
      <c r="AC189" s="158"/>
      <c r="AD189" s="158"/>
      <c r="AE189" s="158"/>
      <c r="AF189" s="158"/>
      <c r="AG189" s="158"/>
      <c r="AH189" s="158"/>
      <c r="AI189" s="158"/>
      <c r="AJ189" s="158"/>
      <c r="AK189" s="158"/>
      <c r="AL189" s="158"/>
      <c r="AM189" s="158"/>
      <c r="AN189" s="158" t="s">
        <v>177</v>
      </c>
      <c r="AO189" s="158"/>
      <c r="AP189" s="158"/>
      <c r="AQ189" s="158"/>
      <c r="AR189" s="158"/>
      <c r="AS189" s="158"/>
      <c r="AT189" s="158"/>
      <c r="AU189" s="158"/>
      <c r="AV189" s="158"/>
      <c r="AW189" s="158"/>
      <c r="AX189" s="158"/>
      <c r="AY189" s="158"/>
      <c r="AZ189" s="158"/>
      <c r="BA189" s="1265" t="s">
        <v>319</v>
      </c>
      <c r="BB189" s="50">
        <v>0</v>
      </c>
      <c r="BC189" s="50"/>
      <c r="BD189" s="50">
        <v>1</v>
      </c>
      <c r="BE189" s="50"/>
      <c r="BF189" s="50">
        <v>1</v>
      </c>
      <c r="BG189" s="50"/>
      <c r="BH189" s="50">
        <v>1</v>
      </c>
      <c r="BI189" s="50"/>
      <c r="BJ189" s="50">
        <f>+BD189</f>
        <v>1</v>
      </c>
      <c r="BK189" s="54"/>
      <c r="BL189" s="54">
        <v>1</v>
      </c>
      <c r="BM189" s="54">
        <v>1</v>
      </c>
      <c r="BN189" s="50"/>
      <c r="BO189" s="50"/>
      <c r="BP189" s="50"/>
      <c r="BQ189" s="50"/>
      <c r="BR189" s="50"/>
      <c r="BS189" s="50"/>
      <c r="BT189" s="50"/>
      <c r="BU189" s="50"/>
      <c r="BV189" s="50"/>
      <c r="BW189" s="50"/>
      <c r="BX189" s="50"/>
      <c r="BY189" s="50"/>
      <c r="BZ189" s="50"/>
      <c r="CA189" s="50"/>
      <c r="CB189" s="49"/>
      <c r="CC189" s="59"/>
      <c r="CD189" s="60"/>
      <c r="CE189" s="50"/>
      <c r="CF189" s="61"/>
      <c r="CG189" s="61"/>
      <c r="CH189" s="49"/>
      <c r="CI189" s="49"/>
      <c r="CJ189" s="49"/>
      <c r="CK189" s="49"/>
      <c r="CL189" s="49"/>
      <c r="CM189" s="49"/>
      <c r="CN189" s="49"/>
      <c r="CO189" s="50"/>
      <c r="CP189" s="50"/>
      <c r="CQ189" s="49"/>
      <c r="CR189" s="49"/>
      <c r="CS189" s="49"/>
      <c r="CT189" s="49"/>
      <c r="CU189" s="49"/>
      <c r="CV189" s="49"/>
      <c r="CW189" s="49"/>
      <c r="CX189" s="49"/>
    </row>
    <row r="190" spans="1:102" ht="61.5" customHeight="1" x14ac:dyDescent="0.2">
      <c r="A190" s="1811"/>
      <c r="B190" s="1807"/>
      <c r="C190" s="49"/>
      <c r="D190" s="50"/>
      <c r="E190" s="49"/>
      <c r="F190" s="49"/>
      <c r="G190" s="49"/>
      <c r="H190" s="49"/>
      <c r="I190" s="49"/>
      <c r="J190" s="49"/>
      <c r="K190" s="49"/>
      <c r="L190" s="49"/>
      <c r="M190" s="49"/>
      <c r="N190" s="49"/>
      <c r="O190" s="49"/>
      <c r="P190" s="49"/>
      <c r="Q190" s="49"/>
      <c r="R190" s="49"/>
      <c r="S190" s="49"/>
      <c r="T190" s="1816"/>
      <c r="U190" s="136" t="s">
        <v>552</v>
      </c>
      <c r="V190" s="163" t="s">
        <v>201</v>
      </c>
      <c r="W190" s="1433" t="s">
        <v>2228</v>
      </c>
      <c r="X190" s="158">
        <v>1</v>
      </c>
      <c r="Y190" s="158" t="s">
        <v>177</v>
      </c>
      <c r="Z190" s="158" t="s">
        <v>177</v>
      </c>
      <c r="AA190" s="158" t="s">
        <v>319</v>
      </c>
      <c r="AB190" s="158"/>
      <c r="AC190" s="158"/>
      <c r="AD190" s="158"/>
      <c r="AE190" s="158"/>
      <c r="AF190" s="158"/>
      <c r="AG190" s="158"/>
      <c r="AH190" s="158"/>
      <c r="AI190" s="158"/>
      <c r="AJ190" s="158"/>
      <c r="AK190" s="158"/>
      <c r="AL190" s="158"/>
      <c r="AM190" s="158"/>
      <c r="AN190" s="158" t="s">
        <v>177</v>
      </c>
      <c r="AO190" s="158"/>
      <c r="AP190" s="158"/>
      <c r="AQ190" s="158"/>
      <c r="AR190" s="158"/>
      <c r="AS190" s="158"/>
      <c r="AT190" s="158"/>
      <c r="AU190" s="158"/>
      <c r="AV190" s="158"/>
      <c r="AW190" s="158"/>
      <c r="AX190" s="158"/>
      <c r="AY190" s="158"/>
      <c r="AZ190" s="158"/>
      <c r="BA190" s="50" t="s">
        <v>319</v>
      </c>
      <c r="BB190" s="50"/>
      <c r="BC190" s="50"/>
      <c r="BD190" s="50"/>
      <c r="BE190" s="50"/>
      <c r="BF190" s="50"/>
      <c r="BG190" s="50"/>
      <c r="BH190" s="50">
        <v>1</v>
      </c>
      <c r="BI190" s="50"/>
      <c r="BJ190" s="50"/>
      <c r="BK190" s="50"/>
      <c r="BL190" s="50"/>
      <c r="BM190" s="54">
        <v>1</v>
      </c>
      <c r="BN190" s="50"/>
      <c r="BO190" s="50"/>
      <c r="BP190" s="50"/>
      <c r="BQ190" s="50"/>
      <c r="BR190" s="50"/>
      <c r="BS190" s="50"/>
      <c r="BT190" s="50"/>
      <c r="BU190" s="50"/>
      <c r="BV190" s="50"/>
      <c r="BW190" s="50"/>
      <c r="BX190" s="50"/>
      <c r="BY190" s="50"/>
      <c r="BZ190" s="50"/>
      <c r="CA190" s="50"/>
      <c r="CB190" s="49"/>
      <c r="CC190" s="59"/>
      <c r="CD190" s="60"/>
      <c r="CE190" s="50"/>
      <c r="CF190" s="61"/>
      <c r="CG190" s="61"/>
      <c r="CH190" s="49"/>
      <c r="CI190" s="49"/>
      <c r="CJ190" s="49"/>
      <c r="CK190" s="49"/>
      <c r="CL190" s="49"/>
      <c r="CM190" s="49"/>
      <c r="CN190" s="49"/>
      <c r="CO190" s="50"/>
      <c r="CP190" s="50"/>
      <c r="CQ190" s="49"/>
      <c r="CR190" s="49"/>
      <c r="CS190" s="49"/>
      <c r="CT190" s="49"/>
      <c r="CU190" s="49"/>
      <c r="CV190" s="49"/>
      <c r="CW190" s="49"/>
      <c r="CX190" s="49"/>
    </row>
    <row r="191" spans="1:102" ht="35.25" customHeight="1" x14ac:dyDescent="0.2">
      <c r="A191" s="1811"/>
      <c r="B191" s="1807"/>
      <c r="C191" s="49"/>
      <c r="D191" s="50"/>
      <c r="E191" s="49"/>
      <c r="F191" s="49"/>
      <c r="G191" s="49"/>
      <c r="H191" s="49"/>
      <c r="I191" s="49"/>
      <c r="J191" s="49"/>
      <c r="K191" s="49"/>
      <c r="L191" s="49"/>
      <c r="M191" s="49"/>
      <c r="N191" s="49"/>
      <c r="O191" s="49"/>
      <c r="P191" s="49"/>
      <c r="Q191" s="49"/>
      <c r="R191" s="49"/>
      <c r="S191" s="49"/>
      <c r="T191" s="1816"/>
      <c r="U191" s="136" t="s">
        <v>553</v>
      </c>
      <c r="V191" s="163" t="s">
        <v>201</v>
      </c>
      <c r="W191" s="1433" t="s">
        <v>554</v>
      </c>
      <c r="X191" s="158">
        <v>1</v>
      </c>
      <c r="Y191" s="158" t="s">
        <v>177</v>
      </c>
      <c r="Z191" s="158" t="s">
        <v>177</v>
      </c>
      <c r="AA191" s="158">
        <v>1</v>
      </c>
      <c r="AB191" s="158"/>
      <c r="AC191" s="158"/>
      <c r="AD191" s="57">
        <f>AA191/X191</f>
        <v>1</v>
      </c>
      <c r="AE191" s="158"/>
      <c r="AF191" s="158"/>
      <c r="AG191" s="158"/>
      <c r="AH191" s="158"/>
      <c r="AI191" s="158"/>
      <c r="AJ191" s="158"/>
      <c r="AK191" s="158"/>
      <c r="AL191" s="158"/>
      <c r="AM191" s="158"/>
      <c r="AN191" s="158" t="s">
        <v>177</v>
      </c>
      <c r="AO191" s="158"/>
      <c r="AP191" s="158"/>
      <c r="AQ191" s="158"/>
      <c r="AR191" s="158"/>
      <c r="AS191" s="158"/>
      <c r="AT191" s="158"/>
      <c r="AU191" s="158"/>
      <c r="AV191" s="158"/>
      <c r="AW191" s="158"/>
      <c r="AX191" s="158"/>
      <c r="AY191" s="158"/>
      <c r="AZ191" s="158"/>
      <c r="BA191" s="50">
        <v>1</v>
      </c>
      <c r="BB191" s="50">
        <v>0</v>
      </c>
      <c r="BC191" s="50"/>
      <c r="BD191" s="50">
        <v>1</v>
      </c>
      <c r="BE191" s="50"/>
      <c r="BF191" s="50">
        <v>1</v>
      </c>
      <c r="BG191" s="50"/>
      <c r="BH191" s="50">
        <v>1</v>
      </c>
      <c r="BI191" s="50"/>
      <c r="BJ191" s="50">
        <f>+BD191</f>
        <v>1</v>
      </c>
      <c r="BK191" s="57">
        <f>BJ191/BA191</f>
        <v>1</v>
      </c>
      <c r="BL191" s="50">
        <f>BJ191+AY191</f>
        <v>1</v>
      </c>
      <c r="BM191" s="57">
        <f>+BL191/X191</f>
        <v>1</v>
      </c>
      <c r="BN191" s="50"/>
      <c r="BO191" s="50"/>
      <c r="BP191" s="50"/>
      <c r="BQ191" s="50"/>
      <c r="BR191" s="50"/>
      <c r="BS191" s="50"/>
      <c r="BT191" s="50"/>
      <c r="BU191" s="50"/>
      <c r="BV191" s="50"/>
      <c r="BW191" s="50"/>
      <c r="BX191" s="50"/>
      <c r="BY191" s="50"/>
      <c r="BZ191" s="50"/>
      <c r="CA191" s="50"/>
      <c r="CB191" s="49"/>
      <c r="CC191" s="59"/>
      <c r="CD191" s="60"/>
      <c r="CE191" s="50"/>
      <c r="CF191" s="61"/>
      <c r="CG191" s="61"/>
      <c r="CH191" s="49"/>
      <c r="CI191" s="49"/>
      <c r="CJ191" s="49"/>
      <c r="CK191" s="49"/>
      <c r="CL191" s="49"/>
      <c r="CM191" s="49"/>
      <c r="CN191" s="49"/>
      <c r="CO191" s="50"/>
      <c r="CP191" s="50"/>
      <c r="CQ191" s="49"/>
      <c r="CR191" s="49"/>
      <c r="CS191" s="49"/>
      <c r="CT191" s="49"/>
      <c r="CU191" s="49"/>
      <c r="CV191" s="49"/>
      <c r="CW191" s="49"/>
      <c r="CX191" s="49"/>
    </row>
    <row r="192" spans="1:102" ht="36" customHeight="1" x14ac:dyDescent="0.2">
      <c r="A192" s="1811"/>
      <c r="B192" s="1807"/>
      <c r="C192" s="49"/>
      <c r="D192" s="50"/>
      <c r="E192" s="49"/>
      <c r="F192" s="49"/>
      <c r="G192" s="49"/>
      <c r="H192" s="49"/>
      <c r="I192" s="49"/>
      <c r="J192" s="49"/>
      <c r="K192" s="49"/>
      <c r="L192" s="49"/>
      <c r="M192" s="49"/>
      <c r="N192" s="49"/>
      <c r="O192" s="49"/>
      <c r="P192" s="49"/>
      <c r="Q192" s="49"/>
      <c r="R192" s="49"/>
      <c r="S192" s="49"/>
      <c r="T192" s="1816"/>
      <c r="U192" s="136" t="s">
        <v>555</v>
      </c>
      <c r="V192" s="136" t="s">
        <v>201</v>
      </c>
      <c r="W192" s="1433" t="s">
        <v>556</v>
      </c>
      <c r="X192" s="158">
        <v>1</v>
      </c>
      <c r="Y192" s="158" t="s">
        <v>177</v>
      </c>
      <c r="Z192" s="158" t="s">
        <v>177</v>
      </c>
      <c r="AA192" s="158">
        <v>1</v>
      </c>
      <c r="AB192" s="158"/>
      <c r="AC192" s="158"/>
      <c r="AD192" s="57">
        <f>AA192/X192</f>
        <v>1</v>
      </c>
      <c r="AE192" s="158"/>
      <c r="AF192" s="158"/>
      <c r="AG192" s="158"/>
      <c r="AH192" s="158"/>
      <c r="AI192" s="158"/>
      <c r="AJ192" s="158"/>
      <c r="AK192" s="158"/>
      <c r="AL192" s="158"/>
      <c r="AM192" s="158"/>
      <c r="AN192" s="158" t="s">
        <v>177</v>
      </c>
      <c r="AO192" s="158"/>
      <c r="AP192" s="158"/>
      <c r="AQ192" s="158"/>
      <c r="AR192" s="158"/>
      <c r="AS192" s="158"/>
      <c r="AT192" s="158"/>
      <c r="AU192" s="158"/>
      <c r="AV192" s="158"/>
      <c r="AW192" s="158"/>
      <c r="AX192" s="158"/>
      <c r="AY192" s="158"/>
      <c r="AZ192" s="158"/>
      <c r="BA192" s="50">
        <v>1</v>
      </c>
      <c r="BB192" s="50">
        <v>0</v>
      </c>
      <c r="BC192" s="50"/>
      <c r="BD192" s="50">
        <v>1</v>
      </c>
      <c r="BE192" s="50"/>
      <c r="BF192" s="50">
        <v>1</v>
      </c>
      <c r="BG192" s="50"/>
      <c r="BH192" s="50">
        <v>1</v>
      </c>
      <c r="BI192" s="50"/>
      <c r="BJ192" s="50">
        <f>+BD192</f>
        <v>1</v>
      </c>
      <c r="BK192" s="57">
        <f>BJ192/BA192</f>
        <v>1</v>
      </c>
      <c r="BL192" s="50">
        <f>BJ192+AY192</f>
        <v>1</v>
      </c>
      <c r="BM192" s="57">
        <f>+BL192/X192</f>
        <v>1</v>
      </c>
      <c r="BN192" s="50"/>
      <c r="BO192" s="50"/>
      <c r="BP192" s="50"/>
      <c r="BQ192" s="50"/>
      <c r="BR192" s="50"/>
      <c r="BS192" s="50"/>
      <c r="BT192" s="50"/>
      <c r="BU192" s="50"/>
      <c r="BV192" s="50"/>
      <c r="BW192" s="50"/>
      <c r="BX192" s="50"/>
      <c r="BY192" s="50"/>
      <c r="BZ192" s="50"/>
      <c r="CA192" s="50"/>
      <c r="CB192" s="49"/>
      <c r="CC192" s="59"/>
      <c r="CD192" s="60"/>
      <c r="CE192" s="50"/>
      <c r="CF192" s="61"/>
      <c r="CG192" s="61"/>
      <c r="CH192" s="49"/>
      <c r="CI192" s="49"/>
      <c r="CJ192" s="49"/>
      <c r="CK192" s="49"/>
      <c r="CL192" s="49"/>
      <c r="CM192" s="49"/>
      <c r="CN192" s="49"/>
      <c r="CO192" s="50"/>
      <c r="CP192" s="50"/>
      <c r="CQ192" s="49"/>
      <c r="CR192" s="49"/>
      <c r="CS192" s="49"/>
      <c r="CT192" s="49"/>
      <c r="CU192" s="49"/>
      <c r="CV192" s="49"/>
      <c r="CW192" s="49"/>
      <c r="CX192" s="49"/>
    </row>
    <row r="193" spans="1:102" ht="12.75" customHeight="1" x14ac:dyDescent="0.2">
      <c r="A193" s="1811"/>
      <c r="B193" s="1807"/>
      <c r="C193" s="49"/>
      <c r="D193" s="50"/>
      <c r="E193" s="49"/>
      <c r="F193" s="49"/>
      <c r="G193" s="49"/>
      <c r="H193" s="49"/>
      <c r="I193" s="49"/>
      <c r="J193" s="49"/>
      <c r="K193" s="49"/>
      <c r="L193" s="49"/>
      <c r="M193" s="49"/>
      <c r="N193" s="49"/>
      <c r="O193" s="49"/>
      <c r="P193" s="49"/>
      <c r="Q193" s="49"/>
      <c r="R193" s="49"/>
      <c r="S193" s="49"/>
      <c r="T193" s="1817"/>
      <c r="U193" s="140"/>
      <c r="V193" s="140"/>
      <c r="W193" s="1432"/>
      <c r="X193" s="72"/>
      <c r="Y193" s="72"/>
      <c r="Z193" s="72"/>
      <c r="AA193" s="72"/>
      <c r="AB193" s="86">
        <f>+AB185</f>
        <v>1.9230769230769232E-2</v>
      </c>
      <c r="AC193" s="86"/>
      <c r="AD193" s="73">
        <f>AVERAGE(AD185:AD192)</f>
        <v>0.54646070173534866</v>
      </c>
      <c r="AE193" s="72"/>
      <c r="AF193" s="72"/>
      <c r="AG193" s="72"/>
      <c r="AH193" s="72"/>
      <c r="AI193" s="72"/>
      <c r="AJ193" s="72"/>
      <c r="AK193" s="86">
        <f>+AK185</f>
        <v>1</v>
      </c>
      <c r="AL193" s="72"/>
      <c r="AM193" s="73">
        <f>+AM185</f>
        <v>0.04</v>
      </c>
      <c r="AN193" s="72"/>
      <c r="AO193" s="50"/>
      <c r="AP193" s="50"/>
      <c r="AQ193" s="50"/>
      <c r="AR193" s="50"/>
      <c r="AS193" s="50"/>
      <c r="AT193" s="50"/>
      <c r="AU193" s="50"/>
      <c r="AV193" s="50"/>
      <c r="AW193" s="50"/>
      <c r="AX193" s="86">
        <f>+AX185</f>
        <v>0.5</v>
      </c>
      <c r="AY193" s="72"/>
      <c r="AZ193" s="111">
        <f>AVERAGE(AZ185:AZ192)</f>
        <v>0.5</v>
      </c>
      <c r="BA193" s="50"/>
      <c r="BB193" s="50"/>
      <c r="BC193" s="50"/>
      <c r="BD193" s="50"/>
      <c r="BE193" s="50"/>
      <c r="BF193" s="50"/>
      <c r="BG193" s="50"/>
      <c r="BH193" s="50"/>
      <c r="BI193" s="50"/>
      <c r="BJ193" s="50"/>
      <c r="BK193" s="73">
        <f>AVERAGE(BK185:BK192)</f>
        <v>0.83333333333333337</v>
      </c>
      <c r="BL193" s="50"/>
      <c r="BM193" s="73">
        <f>AVERAGE(BM185:BM192)</f>
        <v>0.875</v>
      </c>
      <c r="BN193" s="50"/>
      <c r="BO193" s="50"/>
      <c r="BP193" s="50"/>
      <c r="BQ193" s="50"/>
      <c r="BR193" s="50"/>
      <c r="BS193" s="50"/>
      <c r="BT193" s="50"/>
      <c r="BU193" s="50"/>
      <c r="BV193" s="50"/>
      <c r="BW193" s="50"/>
      <c r="BX193" s="50"/>
      <c r="BY193" s="50"/>
      <c r="BZ193" s="50"/>
      <c r="CA193" s="50"/>
      <c r="CB193" s="49"/>
      <c r="CC193" s="59"/>
      <c r="CD193" s="60"/>
      <c r="CE193" s="50"/>
      <c r="CF193" s="61"/>
      <c r="CG193" s="61"/>
      <c r="CH193" s="49"/>
      <c r="CI193" s="49"/>
      <c r="CJ193" s="49"/>
      <c r="CK193" s="49"/>
      <c r="CL193" s="49"/>
      <c r="CM193" s="49"/>
      <c r="CN193" s="49"/>
      <c r="CO193" s="50"/>
      <c r="CP193" s="50"/>
      <c r="CQ193" s="49"/>
      <c r="CR193" s="49"/>
      <c r="CS193" s="49"/>
      <c r="CT193" s="49"/>
      <c r="CU193" s="49"/>
      <c r="CV193" s="49"/>
      <c r="CW193" s="49"/>
      <c r="CX193" s="49"/>
    </row>
    <row r="194" spans="1:102" ht="45" customHeight="1" x14ac:dyDescent="0.2">
      <c r="A194" s="1811"/>
      <c r="B194" s="1807"/>
      <c r="C194" s="49"/>
      <c r="D194" s="50"/>
      <c r="E194" s="49"/>
      <c r="F194" s="49"/>
      <c r="G194" s="49"/>
      <c r="H194" s="49"/>
      <c r="I194" s="49"/>
      <c r="J194" s="49"/>
      <c r="K194" s="49"/>
      <c r="L194" s="49"/>
      <c r="M194" s="49"/>
      <c r="N194" s="49"/>
      <c r="O194" s="49"/>
      <c r="P194" s="49"/>
      <c r="Q194" s="49"/>
      <c r="R194" s="49"/>
      <c r="S194" s="49"/>
      <c r="T194" s="1818" t="s">
        <v>557</v>
      </c>
      <c r="U194" s="164" t="s">
        <v>558</v>
      </c>
      <c r="V194" s="164" t="s">
        <v>559</v>
      </c>
      <c r="W194" s="1433" t="s">
        <v>560</v>
      </c>
      <c r="X194" s="158">
        <v>1</v>
      </c>
      <c r="Y194" s="158" t="s">
        <v>177</v>
      </c>
      <c r="Z194" s="158" t="s">
        <v>177</v>
      </c>
      <c r="AA194" s="158">
        <v>1</v>
      </c>
      <c r="AB194" s="158"/>
      <c r="AC194" s="158"/>
      <c r="AD194" s="57">
        <v>0.33</v>
      </c>
      <c r="AE194" s="158"/>
      <c r="AF194" s="158"/>
      <c r="AG194" s="158"/>
      <c r="AH194" s="158"/>
      <c r="AI194" s="158"/>
      <c r="AJ194" s="158"/>
      <c r="AK194" s="158"/>
      <c r="AL194" s="158"/>
      <c r="AM194" s="158"/>
      <c r="AN194" s="157">
        <v>0.33</v>
      </c>
      <c r="AO194" s="158"/>
      <c r="AP194" s="158"/>
      <c r="AQ194" s="158"/>
      <c r="AR194" s="158"/>
      <c r="AS194" s="157">
        <v>0.33</v>
      </c>
      <c r="AT194" s="158"/>
      <c r="AU194" s="158"/>
      <c r="AV194" s="158"/>
      <c r="AW194" s="157">
        <f>+AS194</f>
        <v>0.33</v>
      </c>
      <c r="AX194" s="157">
        <v>1</v>
      </c>
      <c r="AY194" s="54">
        <f>+AW194</f>
        <v>0.33</v>
      </c>
      <c r="AZ194" s="157">
        <f>+AY194</f>
        <v>0.33</v>
      </c>
      <c r="BA194" s="50">
        <v>1</v>
      </c>
      <c r="BB194" s="50">
        <v>0</v>
      </c>
      <c r="BC194" s="50"/>
      <c r="BD194" s="50">
        <v>0.5</v>
      </c>
      <c r="BE194" s="50"/>
      <c r="BF194" s="50">
        <v>1</v>
      </c>
      <c r="BG194" s="50"/>
      <c r="BH194" s="50">
        <v>1</v>
      </c>
      <c r="BI194" s="50"/>
      <c r="BJ194" s="50">
        <f>+BF194</f>
        <v>1</v>
      </c>
      <c r="BK194" s="57">
        <f>BJ194/BA194</f>
        <v>1</v>
      </c>
      <c r="BL194" s="54">
        <v>1</v>
      </c>
      <c r="BM194" s="57">
        <v>1</v>
      </c>
      <c r="BN194" s="50"/>
      <c r="BO194" s="50"/>
      <c r="BP194" s="50"/>
      <c r="BQ194" s="50"/>
      <c r="BR194" s="50"/>
      <c r="BS194" s="50"/>
      <c r="BT194" s="50"/>
      <c r="BU194" s="50"/>
      <c r="BV194" s="50"/>
      <c r="BW194" s="50"/>
      <c r="BX194" s="50"/>
      <c r="BY194" s="50"/>
      <c r="BZ194" s="50"/>
      <c r="CA194" s="50"/>
      <c r="CB194" s="49"/>
      <c r="CC194" s="59"/>
      <c r="CD194" s="60"/>
      <c r="CE194" s="50"/>
      <c r="CF194" s="61"/>
      <c r="CG194" s="61"/>
      <c r="CH194" s="49"/>
      <c r="CI194" s="49"/>
      <c r="CJ194" s="49"/>
      <c r="CK194" s="49"/>
      <c r="CL194" s="49"/>
      <c r="CM194" s="49"/>
      <c r="CN194" s="49"/>
      <c r="CO194" s="50"/>
      <c r="CP194" s="50"/>
      <c r="CQ194" s="49"/>
      <c r="CR194" s="49"/>
      <c r="CS194" s="49"/>
      <c r="CT194" s="49"/>
      <c r="CU194" s="49"/>
      <c r="CV194" s="49"/>
      <c r="CW194" s="49"/>
      <c r="CX194" s="49"/>
    </row>
    <row r="195" spans="1:102" ht="17.25" customHeight="1" x14ac:dyDescent="0.2">
      <c r="A195" s="1811"/>
      <c r="B195" s="1807"/>
      <c r="C195" s="49"/>
      <c r="D195" s="50"/>
      <c r="E195" s="49"/>
      <c r="F195" s="49"/>
      <c r="G195" s="49"/>
      <c r="H195" s="49"/>
      <c r="I195" s="49"/>
      <c r="J195" s="49"/>
      <c r="K195" s="49"/>
      <c r="L195" s="49"/>
      <c r="M195" s="49"/>
      <c r="N195" s="49"/>
      <c r="O195" s="49"/>
      <c r="P195" s="49"/>
      <c r="Q195" s="49"/>
      <c r="R195" s="49"/>
      <c r="S195" s="49"/>
      <c r="T195" s="1808"/>
      <c r="U195" s="85"/>
      <c r="V195" s="85"/>
      <c r="W195" s="1427"/>
      <c r="X195" s="72"/>
      <c r="Y195" s="72"/>
      <c r="Z195" s="72"/>
      <c r="AA195" s="72"/>
      <c r="AB195" s="72"/>
      <c r="AC195" s="72"/>
      <c r="AD195" s="86">
        <f>+AD194</f>
        <v>0.33</v>
      </c>
      <c r="AE195" s="72"/>
      <c r="AF195" s="72"/>
      <c r="AG195" s="72"/>
      <c r="AH195" s="72"/>
      <c r="AI195" s="72"/>
      <c r="AJ195" s="72"/>
      <c r="AK195" s="72"/>
      <c r="AL195" s="72"/>
      <c r="AM195" s="72"/>
      <c r="AN195" s="72"/>
      <c r="AO195" s="50"/>
      <c r="AP195" s="50"/>
      <c r="AQ195" s="50"/>
      <c r="AR195" s="50"/>
      <c r="AS195" s="50"/>
      <c r="AT195" s="50"/>
      <c r="AU195" s="50"/>
      <c r="AV195" s="50"/>
      <c r="AW195" s="50"/>
      <c r="AX195" s="86">
        <v>1</v>
      </c>
      <c r="AY195" s="86"/>
      <c r="AZ195" s="86">
        <f>+AZ194</f>
        <v>0.33</v>
      </c>
      <c r="BA195" s="50"/>
      <c r="BB195" s="50"/>
      <c r="BC195" s="50"/>
      <c r="BD195" s="50"/>
      <c r="BE195" s="50"/>
      <c r="BF195" s="50"/>
      <c r="BG195" s="50"/>
      <c r="BH195" s="50"/>
      <c r="BI195" s="50"/>
      <c r="BJ195" s="50"/>
      <c r="BK195" s="86">
        <f>+BK194</f>
        <v>1</v>
      </c>
      <c r="BL195" s="50"/>
      <c r="BM195" s="86">
        <f>+BM194</f>
        <v>1</v>
      </c>
      <c r="BN195" s="50"/>
      <c r="BO195" s="50"/>
      <c r="BP195" s="50"/>
      <c r="BQ195" s="50"/>
      <c r="BR195" s="50"/>
      <c r="BS195" s="50"/>
      <c r="BT195" s="50"/>
      <c r="BU195" s="50"/>
      <c r="BV195" s="50"/>
      <c r="BW195" s="50"/>
      <c r="BX195" s="50"/>
      <c r="BY195" s="50"/>
      <c r="BZ195" s="50"/>
      <c r="CA195" s="50"/>
      <c r="CB195" s="49"/>
      <c r="CC195" s="59"/>
      <c r="CD195" s="60"/>
      <c r="CE195" s="50"/>
      <c r="CF195" s="61"/>
      <c r="CG195" s="61"/>
      <c r="CH195" s="49"/>
      <c r="CI195" s="49"/>
      <c r="CJ195" s="49"/>
      <c r="CK195" s="49"/>
      <c r="CL195" s="49"/>
      <c r="CM195" s="49"/>
      <c r="CN195" s="49"/>
      <c r="CO195" s="50"/>
      <c r="CP195" s="50"/>
      <c r="CQ195" s="49"/>
      <c r="CR195" s="49"/>
      <c r="CS195" s="49"/>
      <c r="CT195" s="49"/>
      <c r="CU195" s="49"/>
      <c r="CV195" s="49"/>
      <c r="CW195" s="49"/>
      <c r="CX195" s="49"/>
    </row>
    <row r="196" spans="1:102" ht="48" customHeight="1" x14ac:dyDescent="0.2">
      <c r="A196" s="1811"/>
      <c r="B196" s="1807"/>
      <c r="C196" s="49"/>
      <c r="D196" s="50"/>
      <c r="E196" s="49"/>
      <c r="F196" s="49"/>
      <c r="G196" s="49"/>
      <c r="H196" s="49"/>
      <c r="I196" s="49"/>
      <c r="J196" s="49"/>
      <c r="K196" s="49"/>
      <c r="L196" s="49"/>
      <c r="M196" s="49"/>
      <c r="N196" s="49"/>
      <c r="O196" s="49"/>
      <c r="P196" s="49"/>
      <c r="Q196" s="49"/>
      <c r="R196" s="49"/>
      <c r="S196" s="49"/>
      <c r="T196" s="1809" t="s">
        <v>561</v>
      </c>
      <c r="U196" s="51" t="s">
        <v>562</v>
      </c>
      <c r="V196" s="51" t="s">
        <v>563</v>
      </c>
      <c r="W196" s="1425" t="s">
        <v>564</v>
      </c>
      <c r="X196" s="50">
        <v>4</v>
      </c>
      <c r="Y196" s="50">
        <v>1</v>
      </c>
      <c r="Z196" s="50">
        <v>1</v>
      </c>
      <c r="AA196" s="50">
        <v>1</v>
      </c>
      <c r="AB196" s="54">
        <f>+Y196/X196</f>
        <v>0.25</v>
      </c>
      <c r="AC196" s="54">
        <v>0.25</v>
      </c>
      <c r="AD196" s="54">
        <f>AA196/X196</f>
        <v>0.25</v>
      </c>
      <c r="AE196" s="50">
        <v>1</v>
      </c>
      <c r="AF196" s="50">
        <v>1</v>
      </c>
      <c r="AG196" s="50"/>
      <c r="AH196" s="100">
        <v>1</v>
      </c>
      <c r="AI196" s="50"/>
      <c r="AJ196" s="50">
        <v>1</v>
      </c>
      <c r="AK196" s="54">
        <f>+AJ196/Y196</f>
        <v>1</v>
      </c>
      <c r="AL196" s="50">
        <v>0.25</v>
      </c>
      <c r="AM196" s="54">
        <v>0.25</v>
      </c>
      <c r="AN196" s="50">
        <v>1</v>
      </c>
      <c r="AO196" s="50">
        <v>0</v>
      </c>
      <c r="AP196" s="50"/>
      <c r="AQ196" s="50">
        <v>0.25</v>
      </c>
      <c r="AR196" s="50"/>
      <c r="AS196" s="50">
        <v>0.25</v>
      </c>
      <c r="AT196" s="50"/>
      <c r="AU196" s="50">
        <v>0.5</v>
      </c>
      <c r="AV196" s="50"/>
      <c r="AW196" s="56">
        <f>+AQ196+AS196+AU196</f>
        <v>1</v>
      </c>
      <c r="AX196" s="57">
        <v>1</v>
      </c>
      <c r="AY196" s="67">
        <v>1.25</v>
      </c>
      <c r="AZ196" s="57">
        <f>AY196/X196</f>
        <v>0.3125</v>
      </c>
      <c r="BA196" s="50">
        <v>1</v>
      </c>
      <c r="BB196" s="50">
        <v>0</v>
      </c>
      <c r="BC196" s="50"/>
      <c r="BD196" s="50">
        <v>0</v>
      </c>
      <c r="BE196" s="50"/>
      <c r="BF196" s="50">
        <v>0.15</v>
      </c>
      <c r="BG196" s="50"/>
      <c r="BH196" s="50">
        <v>1</v>
      </c>
      <c r="BI196" s="50"/>
      <c r="BJ196" s="50">
        <f>+BF196+BH196</f>
        <v>1.1499999999999999</v>
      </c>
      <c r="BK196" s="57">
        <v>1</v>
      </c>
      <c r="BL196" s="67">
        <f>AY196+BB196+BJ196</f>
        <v>2.4</v>
      </c>
      <c r="BM196" s="57">
        <f>BL196/X196</f>
        <v>0.6</v>
      </c>
      <c r="BN196" s="50"/>
      <c r="BO196" s="50"/>
      <c r="BP196" s="50"/>
      <c r="BQ196" s="50"/>
      <c r="BR196" s="50"/>
      <c r="BS196" s="50"/>
      <c r="BT196" s="50"/>
      <c r="BU196" s="50"/>
      <c r="BV196" s="50"/>
      <c r="BW196" s="50"/>
      <c r="BX196" s="50"/>
      <c r="BY196" s="50"/>
      <c r="BZ196" s="50"/>
      <c r="CA196" s="50"/>
      <c r="CB196" s="49"/>
      <c r="CC196" s="59"/>
      <c r="CD196" s="60"/>
      <c r="CE196" s="50"/>
      <c r="CF196" s="61"/>
      <c r="CG196" s="61"/>
      <c r="CH196" s="49"/>
      <c r="CI196" s="49"/>
      <c r="CJ196" s="49"/>
      <c r="CK196" s="49"/>
      <c r="CL196" s="49"/>
      <c r="CM196" s="49"/>
      <c r="CN196" s="49"/>
      <c r="CO196" s="50"/>
      <c r="CP196" s="50"/>
      <c r="CQ196" s="49"/>
      <c r="CR196" s="49"/>
      <c r="CS196" s="49"/>
      <c r="CT196" s="49"/>
      <c r="CU196" s="49"/>
      <c r="CV196" s="49"/>
      <c r="CW196" s="49"/>
      <c r="CX196" s="49"/>
    </row>
    <row r="197" spans="1:102" ht="48" customHeight="1" x14ac:dyDescent="0.2">
      <c r="A197" s="1811"/>
      <c r="B197" s="1807"/>
      <c r="C197" s="49"/>
      <c r="D197" s="50"/>
      <c r="E197" s="49"/>
      <c r="F197" s="49"/>
      <c r="G197" s="49"/>
      <c r="H197" s="49"/>
      <c r="I197" s="49"/>
      <c r="J197" s="49"/>
      <c r="K197" s="49"/>
      <c r="L197" s="49"/>
      <c r="M197" s="49"/>
      <c r="N197" s="49"/>
      <c r="O197" s="49"/>
      <c r="P197" s="49"/>
      <c r="Q197" s="49"/>
      <c r="R197" s="49"/>
      <c r="S197" s="49"/>
      <c r="T197" s="1807"/>
      <c r="U197" s="51" t="s">
        <v>565</v>
      </c>
      <c r="V197" s="51" t="s">
        <v>563</v>
      </c>
      <c r="W197" s="1433" t="s">
        <v>566</v>
      </c>
      <c r="X197" s="158">
        <v>4</v>
      </c>
      <c r="Y197" s="158">
        <v>1</v>
      </c>
      <c r="Z197" s="158">
        <v>1</v>
      </c>
      <c r="AA197" s="158">
        <v>1</v>
      </c>
      <c r="AB197" s="157">
        <f>+Y197/X197</f>
        <v>0.25</v>
      </c>
      <c r="AC197" s="157">
        <v>0.25</v>
      </c>
      <c r="AD197" s="54">
        <f>AA197/X197</f>
        <v>0.25</v>
      </c>
      <c r="AE197" s="158">
        <v>0</v>
      </c>
      <c r="AF197" s="158">
        <v>0</v>
      </c>
      <c r="AG197" s="158"/>
      <c r="AH197" s="158">
        <v>1</v>
      </c>
      <c r="AI197" s="158"/>
      <c r="AJ197" s="158">
        <f>+AH197</f>
        <v>1</v>
      </c>
      <c r="AK197" s="157">
        <v>1</v>
      </c>
      <c r="AL197" s="158">
        <f>+AJ197</f>
        <v>1</v>
      </c>
      <c r="AM197" s="157">
        <v>0.25</v>
      </c>
      <c r="AN197" s="158">
        <v>1</v>
      </c>
      <c r="AO197" s="158">
        <v>0</v>
      </c>
      <c r="AP197" s="158"/>
      <c r="AQ197" s="158">
        <v>0</v>
      </c>
      <c r="AR197" s="158"/>
      <c r="AS197" s="158">
        <v>0</v>
      </c>
      <c r="AT197" s="158"/>
      <c r="AU197" s="158">
        <v>1</v>
      </c>
      <c r="AV197" s="158"/>
      <c r="AW197" s="50">
        <f>+AU197</f>
        <v>1</v>
      </c>
      <c r="AX197" s="57">
        <f>AW197/AN197</f>
        <v>1</v>
      </c>
      <c r="AY197" s="50">
        <f>AW197+AL197</f>
        <v>2</v>
      </c>
      <c r="AZ197" s="57">
        <f>AY197/X197</f>
        <v>0.5</v>
      </c>
      <c r="BA197" s="50">
        <v>1</v>
      </c>
      <c r="BB197" s="50">
        <v>0</v>
      </c>
      <c r="BC197" s="1172" t="s">
        <v>2172</v>
      </c>
      <c r="BD197" s="50">
        <v>0</v>
      </c>
      <c r="BE197" s="50"/>
      <c r="BF197" s="50">
        <v>0</v>
      </c>
      <c r="BG197" s="50"/>
      <c r="BH197" s="50">
        <v>1</v>
      </c>
      <c r="BI197" s="50"/>
      <c r="BJ197" s="50">
        <f>+BH197</f>
        <v>1</v>
      </c>
      <c r="BK197" s="57">
        <f>BJ197/BA197</f>
        <v>1</v>
      </c>
      <c r="BL197" s="50">
        <f>+AY197+BJ197</f>
        <v>3</v>
      </c>
      <c r="BM197" s="57">
        <f>+BL197/4</f>
        <v>0.75</v>
      </c>
      <c r="BN197" s="50"/>
      <c r="BO197" s="50"/>
      <c r="BP197" s="50"/>
      <c r="BQ197" s="50"/>
      <c r="BR197" s="50"/>
      <c r="BS197" s="50"/>
      <c r="BT197" s="50"/>
      <c r="BU197" s="50"/>
      <c r="BV197" s="50"/>
      <c r="BW197" s="50"/>
      <c r="BX197" s="50"/>
      <c r="BY197" s="50"/>
      <c r="BZ197" s="50"/>
      <c r="CA197" s="50"/>
      <c r="CB197" s="49"/>
      <c r="CC197" s="59"/>
      <c r="CD197" s="60"/>
      <c r="CE197" s="50"/>
      <c r="CF197" s="61"/>
      <c r="CG197" s="61"/>
      <c r="CH197" s="49"/>
      <c r="CI197" s="49"/>
      <c r="CJ197" s="49"/>
      <c r="CK197" s="49"/>
      <c r="CL197" s="49"/>
      <c r="CM197" s="49"/>
      <c r="CN197" s="49"/>
      <c r="CO197" s="50"/>
      <c r="CP197" s="50"/>
      <c r="CQ197" s="49"/>
      <c r="CR197" s="49"/>
      <c r="CS197" s="49"/>
      <c r="CT197" s="49"/>
      <c r="CU197" s="49"/>
      <c r="CV197" s="49"/>
      <c r="CW197" s="49"/>
      <c r="CX197" s="49"/>
    </row>
    <row r="198" spans="1:102" ht="74.25" customHeight="1" x14ac:dyDescent="0.2">
      <c r="A198" s="1811"/>
      <c r="B198" s="1807"/>
      <c r="C198" s="49"/>
      <c r="D198" s="50"/>
      <c r="E198" s="49"/>
      <c r="F198" s="49"/>
      <c r="G198" s="49"/>
      <c r="H198" s="49"/>
      <c r="I198" s="49"/>
      <c r="J198" s="49"/>
      <c r="K198" s="49"/>
      <c r="L198" s="49"/>
      <c r="M198" s="49"/>
      <c r="N198" s="49"/>
      <c r="O198" s="49"/>
      <c r="P198" s="49"/>
      <c r="Q198" s="49"/>
      <c r="R198" s="49"/>
      <c r="S198" s="49"/>
      <c r="T198" s="1807"/>
      <c r="U198" s="51" t="s">
        <v>567</v>
      </c>
      <c r="V198" s="51" t="s">
        <v>563</v>
      </c>
      <c r="W198" s="1433" t="s">
        <v>568</v>
      </c>
      <c r="X198" s="158">
        <v>4</v>
      </c>
      <c r="Y198" s="158">
        <v>1</v>
      </c>
      <c r="Z198" s="158">
        <v>1</v>
      </c>
      <c r="AA198" s="158">
        <v>1</v>
      </c>
      <c r="AB198" s="157">
        <f>+Y198/X198</f>
        <v>0.25</v>
      </c>
      <c r="AC198" s="157">
        <v>0.25</v>
      </c>
      <c r="AD198" s="54">
        <f>AA198/X198</f>
        <v>0.25</v>
      </c>
      <c r="AE198" s="158">
        <v>1</v>
      </c>
      <c r="AF198" s="158">
        <v>1</v>
      </c>
      <c r="AG198" s="158"/>
      <c r="AH198" s="158">
        <v>5</v>
      </c>
      <c r="AI198" s="158"/>
      <c r="AJ198" s="158">
        <v>1</v>
      </c>
      <c r="AK198" s="157">
        <v>1</v>
      </c>
      <c r="AL198" s="50">
        <v>1</v>
      </c>
      <c r="AM198" s="54">
        <v>1</v>
      </c>
      <c r="AN198" s="50">
        <v>1</v>
      </c>
      <c r="AO198" s="50">
        <v>1</v>
      </c>
      <c r="AP198" s="50"/>
      <c r="AQ198" s="50">
        <v>0</v>
      </c>
      <c r="AR198" s="50"/>
      <c r="AS198" s="50">
        <v>0</v>
      </c>
      <c r="AT198" s="50"/>
      <c r="AU198" s="50">
        <v>1</v>
      </c>
      <c r="AV198" s="158"/>
      <c r="AW198" s="50">
        <f>+AO198+AU198</f>
        <v>2</v>
      </c>
      <c r="AX198" s="57">
        <v>1</v>
      </c>
      <c r="AY198" s="50">
        <f>AW198+AL198</f>
        <v>3</v>
      </c>
      <c r="AZ198" s="57">
        <f>AY198/X198</f>
        <v>0.75</v>
      </c>
      <c r="BA198" s="50">
        <v>1</v>
      </c>
      <c r="BB198" s="50">
        <v>0</v>
      </c>
      <c r="BC198" s="50"/>
      <c r="BD198" s="50">
        <v>0</v>
      </c>
      <c r="BE198" s="50"/>
      <c r="BF198" s="50">
        <v>0</v>
      </c>
      <c r="BG198" s="50"/>
      <c r="BH198" s="50">
        <v>1</v>
      </c>
      <c r="BI198" s="50"/>
      <c r="BJ198" s="50">
        <f>+BH198</f>
        <v>1</v>
      </c>
      <c r="BK198" s="57">
        <f>BJ198/BA198</f>
        <v>1</v>
      </c>
      <c r="BL198" s="50">
        <f>AY198+BB198</f>
        <v>3</v>
      </c>
      <c r="BM198" s="57">
        <f>BL198/X198</f>
        <v>0.75</v>
      </c>
      <c r="BN198" s="50"/>
      <c r="BO198" s="50"/>
      <c r="BP198" s="50"/>
      <c r="BQ198" s="50"/>
      <c r="BR198" s="50"/>
      <c r="BS198" s="50"/>
      <c r="BT198" s="50"/>
      <c r="BU198" s="50"/>
      <c r="BV198" s="50"/>
      <c r="BW198" s="50"/>
      <c r="BX198" s="50"/>
      <c r="BY198" s="50"/>
      <c r="BZ198" s="50"/>
      <c r="CA198" s="50"/>
      <c r="CB198" s="49"/>
      <c r="CC198" s="59"/>
      <c r="CD198" s="60"/>
      <c r="CE198" s="50"/>
      <c r="CF198" s="61"/>
      <c r="CG198" s="61"/>
      <c r="CH198" s="49"/>
      <c r="CI198" s="49"/>
      <c r="CJ198" s="49"/>
      <c r="CK198" s="49"/>
      <c r="CL198" s="49"/>
      <c r="CM198" s="49"/>
      <c r="CN198" s="49"/>
      <c r="CO198" s="50"/>
      <c r="CP198" s="50"/>
      <c r="CQ198" s="49"/>
      <c r="CR198" s="49"/>
      <c r="CS198" s="49"/>
      <c r="CT198" s="49"/>
      <c r="CU198" s="49"/>
      <c r="CV198" s="49"/>
      <c r="CW198" s="49"/>
      <c r="CX198" s="49"/>
    </row>
    <row r="199" spans="1:102" ht="28.5" customHeight="1" x14ac:dyDescent="0.2">
      <c r="A199" s="1811"/>
      <c r="B199" s="1807"/>
      <c r="C199" s="49"/>
      <c r="D199" s="50"/>
      <c r="E199" s="49"/>
      <c r="F199" s="49"/>
      <c r="G199" s="49"/>
      <c r="H199" s="49"/>
      <c r="I199" s="49"/>
      <c r="J199" s="49"/>
      <c r="K199" s="49"/>
      <c r="L199" s="49"/>
      <c r="M199" s="49"/>
      <c r="N199" s="49"/>
      <c r="O199" s="49"/>
      <c r="P199" s="49"/>
      <c r="Q199" s="49"/>
      <c r="R199" s="49"/>
      <c r="S199" s="49"/>
      <c r="T199" s="1807"/>
      <c r="U199" s="51" t="s">
        <v>569</v>
      </c>
      <c r="V199" s="51" t="s">
        <v>563</v>
      </c>
      <c r="W199" s="1433" t="s">
        <v>570</v>
      </c>
      <c r="X199" s="158">
        <v>1</v>
      </c>
      <c r="Y199" s="158" t="s">
        <v>177</v>
      </c>
      <c r="Z199" s="158" t="s">
        <v>177</v>
      </c>
      <c r="AA199" s="158"/>
      <c r="AB199" s="157"/>
      <c r="AC199" s="157"/>
      <c r="AD199" s="157"/>
      <c r="AE199" s="158"/>
      <c r="AF199" s="158"/>
      <c r="AG199" s="158"/>
      <c r="AH199" s="158"/>
      <c r="AI199" s="158"/>
      <c r="AJ199" s="158"/>
      <c r="AK199" s="157"/>
      <c r="AL199" s="158"/>
      <c r="AM199" s="157"/>
      <c r="AN199" s="158" t="s">
        <v>177</v>
      </c>
      <c r="AO199" s="158"/>
      <c r="AP199" s="158"/>
      <c r="AQ199" s="158"/>
      <c r="AR199" s="158"/>
      <c r="AS199" s="158"/>
      <c r="AT199" s="158"/>
      <c r="AU199" s="158"/>
      <c r="AV199" s="158"/>
      <c r="AW199" s="158"/>
      <c r="AX199" s="158"/>
      <c r="AY199" s="158"/>
      <c r="AZ199" s="158"/>
      <c r="BA199" s="158"/>
      <c r="BB199" s="158"/>
      <c r="BC199" s="50"/>
      <c r="BD199" s="50"/>
      <c r="BE199" s="50"/>
      <c r="BF199" s="50"/>
      <c r="BG199" s="50"/>
      <c r="BH199" s="50"/>
      <c r="BI199" s="50"/>
      <c r="BJ199" s="50"/>
      <c r="BK199" s="50"/>
      <c r="BL199" s="50"/>
      <c r="BM199" s="50"/>
      <c r="BN199" s="50"/>
      <c r="BO199" s="50"/>
      <c r="BP199" s="50"/>
      <c r="BQ199" s="50"/>
      <c r="BR199" s="50"/>
      <c r="BS199" s="50"/>
      <c r="BT199" s="50"/>
      <c r="BU199" s="50"/>
      <c r="BV199" s="50"/>
      <c r="BW199" s="50"/>
      <c r="BX199" s="50"/>
      <c r="BY199" s="50"/>
      <c r="BZ199" s="50"/>
      <c r="CA199" s="50"/>
      <c r="CB199" s="49"/>
      <c r="CC199" s="59"/>
      <c r="CD199" s="60"/>
      <c r="CE199" s="50"/>
      <c r="CF199" s="61"/>
      <c r="CG199" s="61"/>
      <c r="CH199" s="49"/>
      <c r="CI199" s="49"/>
      <c r="CJ199" s="49"/>
      <c r="CK199" s="49"/>
      <c r="CL199" s="49"/>
      <c r="CM199" s="49"/>
      <c r="CN199" s="49"/>
      <c r="CO199" s="50"/>
      <c r="CP199" s="50"/>
      <c r="CQ199" s="49"/>
      <c r="CR199" s="49"/>
      <c r="CS199" s="49"/>
      <c r="CT199" s="49"/>
      <c r="CU199" s="49"/>
      <c r="CV199" s="49"/>
      <c r="CW199" s="49"/>
      <c r="CX199" s="49"/>
    </row>
    <row r="200" spans="1:102" ht="12.75" customHeight="1" x14ac:dyDescent="0.2">
      <c r="A200" s="1811"/>
      <c r="B200" s="1807"/>
      <c r="C200" s="49"/>
      <c r="D200" s="50"/>
      <c r="E200" s="49"/>
      <c r="F200" s="49"/>
      <c r="G200" s="49"/>
      <c r="H200" s="49"/>
      <c r="I200" s="49"/>
      <c r="J200" s="49"/>
      <c r="K200" s="49"/>
      <c r="L200" s="49"/>
      <c r="M200" s="49"/>
      <c r="N200" s="49"/>
      <c r="O200" s="49"/>
      <c r="P200" s="49"/>
      <c r="Q200" s="49"/>
      <c r="R200" s="49"/>
      <c r="S200" s="49"/>
      <c r="T200" s="1808"/>
      <c r="U200" s="85"/>
      <c r="V200" s="85"/>
      <c r="W200" s="1427"/>
      <c r="X200" s="72"/>
      <c r="Y200" s="72"/>
      <c r="Z200" s="72"/>
      <c r="AA200" s="72"/>
      <c r="AB200" s="86">
        <f>AVERAGE(AB196:AB199)</f>
        <v>0.25</v>
      </c>
      <c r="AC200" s="86">
        <f>AVERAGE(AC196:AC199)</f>
        <v>0.25</v>
      </c>
      <c r="AD200" s="86">
        <f>AVERAGE(AD196:AD199)</f>
        <v>0.25</v>
      </c>
      <c r="AE200" s="72"/>
      <c r="AF200" s="72"/>
      <c r="AG200" s="72"/>
      <c r="AH200" s="72"/>
      <c r="AI200" s="72"/>
      <c r="AJ200" s="72"/>
      <c r="AK200" s="86">
        <f>AVERAGE(AK196:AK199)</f>
        <v>1</v>
      </c>
      <c r="AL200" s="74"/>
      <c r="AM200" s="86">
        <f>AVERAGE(AM196:AM199)</f>
        <v>0.5</v>
      </c>
      <c r="AN200" s="72"/>
      <c r="AO200" s="50"/>
      <c r="AP200" s="50"/>
      <c r="AQ200" s="50"/>
      <c r="AR200" s="50"/>
      <c r="AS200" s="50"/>
      <c r="AT200" s="50"/>
      <c r="AU200" s="50"/>
      <c r="AV200" s="50"/>
      <c r="AW200" s="50"/>
      <c r="AX200" s="86">
        <f>AVERAGE(AX196:AX199)</f>
        <v>1</v>
      </c>
      <c r="AY200" s="74"/>
      <c r="AZ200" s="86">
        <f>AVERAGE(AZ196:AZ199)</f>
        <v>0.52083333333333337</v>
      </c>
      <c r="BA200" s="50"/>
      <c r="BB200" s="50"/>
      <c r="BC200" s="50"/>
      <c r="BD200" s="50"/>
      <c r="BE200" s="50"/>
      <c r="BF200" s="50"/>
      <c r="BG200" s="50"/>
      <c r="BH200" s="50"/>
      <c r="BI200" s="50"/>
      <c r="BJ200" s="50"/>
      <c r="BK200" s="86">
        <f>AVERAGE(BK196:BK199)</f>
        <v>1</v>
      </c>
      <c r="BL200" s="50"/>
      <c r="BM200" s="86">
        <f>AVERAGE(BM196:BM199)</f>
        <v>0.70000000000000007</v>
      </c>
      <c r="BN200" s="50"/>
      <c r="BO200" s="50"/>
      <c r="BP200" s="50"/>
      <c r="BQ200" s="50"/>
      <c r="BR200" s="50"/>
      <c r="BS200" s="50"/>
      <c r="BT200" s="50"/>
      <c r="BU200" s="50"/>
      <c r="BV200" s="50"/>
      <c r="BW200" s="50"/>
      <c r="BX200" s="50"/>
      <c r="BY200" s="50"/>
      <c r="BZ200" s="50"/>
      <c r="CA200" s="50"/>
      <c r="CB200" s="49"/>
      <c r="CC200" s="59"/>
      <c r="CD200" s="60"/>
      <c r="CE200" s="50"/>
      <c r="CF200" s="61"/>
      <c r="CG200" s="61"/>
      <c r="CH200" s="49"/>
      <c r="CI200" s="49"/>
      <c r="CJ200" s="49"/>
      <c r="CK200" s="49"/>
      <c r="CL200" s="49"/>
      <c r="CM200" s="49"/>
      <c r="CN200" s="49"/>
      <c r="CO200" s="50"/>
      <c r="CP200" s="50"/>
      <c r="CQ200" s="49"/>
      <c r="CR200" s="49"/>
      <c r="CS200" s="49"/>
      <c r="CT200" s="49"/>
      <c r="CU200" s="49"/>
      <c r="CV200" s="49"/>
      <c r="CW200" s="49"/>
      <c r="CX200" s="49"/>
    </row>
    <row r="201" spans="1:102" ht="12.75" customHeight="1" x14ac:dyDescent="0.2">
      <c r="A201" s="1811"/>
      <c r="B201" s="1808"/>
      <c r="C201" s="49"/>
      <c r="D201" s="50"/>
      <c r="E201" s="49"/>
      <c r="F201" s="49"/>
      <c r="G201" s="49"/>
      <c r="H201" s="49"/>
      <c r="I201" s="49"/>
      <c r="J201" s="49"/>
      <c r="K201" s="49"/>
      <c r="L201" s="49"/>
      <c r="M201" s="49"/>
      <c r="N201" s="49"/>
      <c r="O201" s="49"/>
      <c r="P201" s="49"/>
      <c r="Q201" s="49"/>
      <c r="R201" s="49"/>
      <c r="S201" s="49"/>
      <c r="T201" s="108"/>
      <c r="U201" s="109"/>
      <c r="V201" s="109"/>
      <c r="W201" s="1429"/>
      <c r="X201" s="110"/>
      <c r="Y201" s="110"/>
      <c r="Z201" s="110"/>
      <c r="AA201" s="110"/>
      <c r="AB201" s="111">
        <f>+(AB200+AB195+AB193+AB184+AB180)/4</f>
        <v>0.1409667941063065</v>
      </c>
      <c r="AC201" s="111">
        <f>+(AC200+AC195+AC193+AC184+AC180)/4</f>
        <v>0.18731203007518799</v>
      </c>
      <c r="AD201" s="112">
        <f>+(AD200+AD195+AD193+AD184+AD180)/5</f>
        <v>0.31220880701373643</v>
      </c>
      <c r="AE201" s="110"/>
      <c r="AF201" s="110"/>
      <c r="AG201" s="110"/>
      <c r="AH201" s="110"/>
      <c r="AI201" s="110"/>
      <c r="AJ201" s="110"/>
      <c r="AK201" s="112">
        <f>+(AK200+AK195+AK193+AK184+AK180)/4</f>
        <v>0.94374999999999998</v>
      </c>
      <c r="AL201" s="110"/>
      <c r="AM201" s="112">
        <f>+(AM200+AM195+AM193+AM184+AM180)/5</f>
        <v>0.13365196078431374</v>
      </c>
      <c r="AN201" s="110"/>
      <c r="AO201" s="110"/>
      <c r="AP201" s="110"/>
      <c r="AQ201" s="110"/>
      <c r="AR201" s="110"/>
      <c r="AS201" s="110"/>
      <c r="AT201" s="110"/>
      <c r="AU201" s="50"/>
      <c r="AV201" s="50"/>
      <c r="AW201" s="50"/>
      <c r="AX201" s="112">
        <f>+(AX200+AX195+AX193+AX184+AX180)/4</f>
        <v>0.73497766666666675</v>
      </c>
      <c r="AY201" s="110"/>
      <c r="AZ201" s="165">
        <f>+(AZ200+AZ195+AZ193+AZ184+AZ180)/5</f>
        <v>0.31431501719414817</v>
      </c>
      <c r="BA201" s="50"/>
      <c r="BB201" s="50"/>
      <c r="BC201" s="50"/>
      <c r="BD201" s="50"/>
      <c r="BE201" s="50"/>
      <c r="BF201" s="50"/>
      <c r="BG201" s="50"/>
      <c r="BH201" s="50"/>
      <c r="BI201" s="50"/>
      <c r="BJ201" s="50"/>
      <c r="BK201" s="112">
        <f>+(BK200+BK195+BK193+BK184+BK180)/5</f>
        <v>0.92021083333333331</v>
      </c>
      <c r="BL201" s="50"/>
      <c r="BM201" s="112">
        <f>+(BM200+BM195+BM193+BM184+BM180)/5</f>
        <v>0.74953835477582842</v>
      </c>
      <c r="BN201" s="50"/>
      <c r="BO201" s="50"/>
      <c r="BP201" s="50"/>
      <c r="BQ201" s="50"/>
      <c r="BR201" s="50"/>
      <c r="BS201" s="50"/>
      <c r="BT201" s="50"/>
      <c r="BU201" s="50"/>
      <c r="BV201" s="50"/>
      <c r="BW201" s="50"/>
      <c r="BX201" s="50"/>
      <c r="BY201" s="50"/>
      <c r="BZ201" s="50"/>
      <c r="CA201" s="50"/>
      <c r="CB201" s="49"/>
      <c r="CC201" s="59"/>
      <c r="CD201" s="60"/>
      <c r="CE201" s="50"/>
      <c r="CF201" s="61"/>
      <c r="CG201" s="61"/>
      <c r="CH201" s="49"/>
      <c r="CI201" s="49"/>
      <c r="CJ201" s="49"/>
      <c r="CK201" s="49"/>
      <c r="CL201" s="49"/>
      <c r="CM201" s="49"/>
      <c r="CN201" s="49"/>
      <c r="CO201" s="50"/>
      <c r="CP201" s="50"/>
      <c r="CQ201" s="49"/>
      <c r="CR201" s="49"/>
      <c r="CS201" s="49"/>
      <c r="CT201" s="49"/>
      <c r="CU201" s="49"/>
      <c r="CV201" s="49"/>
      <c r="CW201" s="49"/>
      <c r="CX201" s="49"/>
    </row>
    <row r="202" spans="1:102" ht="51" customHeight="1" x14ac:dyDescent="0.2">
      <c r="A202" s="1811"/>
      <c r="B202" s="1813" t="s">
        <v>571</v>
      </c>
      <c r="C202" s="49"/>
      <c r="D202" s="50"/>
      <c r="E202" s="49"/>
      <c r="F202" s="49"/>
      <c r="G202" s="49"/>
      <c r="H202" s="49"/>
      <c r="I202" s="49"/>
      <c r="J202" s="49"/>
      <c r="K202" s="49"/>
      <c r="L202" s="49"/>
      <c r="M202" s="49"/>
      <c r="N202" s="49"/>
      <c r="O202" s="49"/>
      <c r="P202" s="49"/>
      <c r="Q202" s="49"/>
      <c r="R202" s="49"/>
      <c r="S202" s="49"/>
      <c r="T202" s="1809" t="s">
        <v>572</v>
      </c>
      <c r="U202" s="51" t="s">
        <v>573</v>
      </c>
      <c r="V202" s="51" t="s">
        <v>574</v>
      </c>
      <c r="W202" s="1425" t="s">
        <v>575</v>
      </c>
      <c r="X202" s="50">
        <v>1</v>
      </c>
      <c r="Y202" s="166">
        <v>0.25</v>
      </c>
      <c r="Z202" s="167">
        <v>0.5</v>
      </c>
      <c r="AA202" s="168">
        <v>1</v>
      </c>
      <c r="AB202" s="167">
        <f>+Y202/X202</f>
        <v>0.25</v>
      </c>
      <c r="AC202" s="167">
        <v>0.5</v>
      </c>
      <c r="AD202" s="167">
        <v>0.4</v>
      </c>
      <c r="AE202" s="169">
        <v>0.2</v>
      </c>
      <c r="AF202" s="169">
        <v>0.21</v>
      </c>
      <c r="AG202" s="50"/>
      <c r="AH202" s="54">
        <v>0.25</v>
      </c>
      <c r="AI202" s="50"/>
      <c r="AJ202" s="54">
        <f>+AH202</f>
        <v>0.25</v>
      </c>
      <c r="AK202" s="54">
        <f>+AJ202/Y202</f>
        <v>1</v>
      </c>
      <c r="AL202" s="54">
        <v>0.4</v>
      </c>
      <c r="AM202" s="54">
        <f>+AL202/X202</f>
        <v>0.4</v>
      </c>
      <c r="AN202" s="167">
        <v>0.5</v>
      </c>
      <c r="AO202" s="54"/>
      <c r="AP202" s="50"/>
      <c r="AQ202" s="54">
        <v>0.02</v>
      </c>
      <c r="AR202" s="54">
        <v>0.12</v>
      </c>
      <c r="AS202" s="54">
        <v>0.12</v>
      </c>
      <c r="AT202" s="50"/>
      <c r="AU202" s="54">
        <v>0.06</v>
      </c>
      <c r="AV202" s="50"/>
      <c r="AW202" s="54">
        <f>AO202+AQ202+AS202+AU202</f>
        <v>0.19999999999999998</v>
      </c>
      <c r="AX202" s="54">
        <f>AW202/AN202</f>
        <v>0.39999999999999997</v>
      </c>
      <c r="AY202" s="54">
        <f>AW202+AL202</f>
        <v>0.6</v>
      </c>
      <c r="AZ202" s="54">
        <f>AY202/AK202</f>
        <v>0.6</v>
      </c>
      <c r="BA202" s="54">
        <v>0.01</v>
      </c>
      <c r="BB202" s="50">
        <v>0</v>
      </c>
      <c r="BC202" s="50"/>
      <c r="BD202" s="1154">
        <v>0.15</v>
      </c>
      <c r="BE202" s="50"/>
      <c r="BF202" s="50">
        <v>0</v>
      </c>
      <c r="BG202" s="50"/>
      <c r="BH202" s="54">
        <v>0.1</v>
      </c>
      <c r="BI202" s="50"/>
      <c r="BJ202" s="54">
        <v>0.25</v>
      </c>
      <c r="BK202" s="1154">
        <v>0.75</v>
      </c>
      <c r="BL202" s="54">
        <f>AY202+BB202+BD202</f>
        <v>0.75</v>
      </c>
      <c r="BM202" s="57">
        <f>BL202/X202</f>
        <v>0.75</v>
      </c>
      <c r="BN202" s="50"/>
      <c r="BO202" s="50"/>
      <c r="BP202" s="50"/>
      <c r="BQ202" s="50"/>
      <c r="BR202" s="50"/>
      <c r="BS202" s="50"/>
      <c r="BT202" s="50"/>
      <c r="BU202" s="50"/>
      <c r="BV202" s="50"/>
      <c r="BW202" s="50"/>
      <c r="BX202" s="50"/>
      <c r="BY202" s="50"/>
      <c r="BZ202" s="50"/>
      <c r="CA202" s="50"/>
      <c r="CB202" s="49"/>
      <c r="CC202" s="59"/>
      <c r="CD202" s="60"/>
      <c r="CE202" s="50"/>
      <c r="CF202" s="61"/>
      <c r="CG202" s="61"/>
      <c r="CH202" s="49"/>
      <c r="CI202" s="49"/>
      <c r="CJ202" s="49"/>
      <c r="CK202" s="49"/>
      <c r="CL202" s="49"/>
      <c r="CM202" s="49"/>
      <c r="CN202" s="49"/>
      <c r="CO202" s="50"/>
      <c r="CP202" s="50"/>
      <c r="CQ202" s="49"/>
      <c r="CR202" s="49"/>
      <c r="CS202" s="49"/>
      <c r="CT202" s="49"/>
      <c r="CU202" s="49"/>
      <c r="CV202" s="49"/>
      <c r="CW202" s="49"/>
      <c r="CX202" s="49"/>
    </row>
    <row r="203" spans="1:102" ht="58.5" customHeight="1" x14ac:dyDescent="0.2">
      <c r="A203" s="1811"/>
      <c r="B203" s="1807"/>
      <c r="C203" s="49"/>
      <c r="D203" s="50"/>
      <c r="E203" s="49"/>
      <c r="F203" s="49"/>
      <c r="G203" s="49"/>
      <c r="H203" s="49"/>
      <c r="I203" s="49"/>
      <c r="J203" s="49"/>
      <c r="K203" s="49"/>
      <c r="L203" s="49"/>
      <c r="M203" s="49"/>
      <c r="N203" s="49"/>
      <c r="O203" s="49"/>
      <c r="P203" s="49"/>
      <c r="Q203" s="49"/>
      <c r="R203" s="49"/>
      <c r="S203" s="49"/>
      <c r="T203" s="1807"/>
      <c r="U203" s="51" t="s">
        <v>576</v>
      </c>
      <c r="V203" s="51" t="s">
        <v>577</v>
      </c>
      <c r="W203" s="1425" t="s">
        <v>578</v>
      </c>
      <c r="X203" s="170">
        <v>3</v>
      </c>
      <c r="Y203" s="171" t="s">
        <v>177</v>
      </c>
      <c r="Z203" s="171">
        <v>0.33</v>
      </c>
      <c r="AA203" s="171">
        <v>1</v>
      </c>
      <c r="AB203" s="167"/>
      <c r="AC203" s="167">
        <f>+Z203/X203</f>
        <v>0.11</v>
      </c>
      <c r="AD203" s="167">
        <f>AA203/X203</f>
        <v>0.33333333333333331</v>
      </c>
      <c r="AE203" s="171"/>
      <c r="AF203" s="171"/>
      <c r="AG203" s="50"/>
      <c r="AH203" s="50"/>
      <c r="AI203" s="50"/>
      <c r="AJ203" s="54"/>
      <c r="AK203" s="54"/>
      <c r="AL203" s="54"/>
      <c r="AM203" s="54"/>
      <c r="AN203" s="171">
        <v>0.33</v>
      </c>
      <c r="AO203" s="50">
        <v>0</v>
      </c>
      <c r="AP203" s="50"/>
      <c r="AQ203" s="50">
        <v>0</v>
      </c>
      <c r="AR203" s="50"/>
      <c r="AS203" s="50">
        <v>0</v>
      </c>
      <c r="AT203" s="50"/>
      <c r="AU203" s="100">
        <v>0</v>
      </c>
      <c r="AV203" s="50"/>
      <c r="AW203" s="50">
        <f>+AO203+AQ203</f>
        <v>0</v>
      </c>
      <c r="AX203" s="54">
        <f>AW203/AN203</f>
        <v>0</v>
      </c>
      <c r="AY203" s="54">
        <f>AW203+AL203</f>
        <v>0</v>
      </c>
      <c r="AZ203" s="54">
        <v>0</v>
      </c>
      <c r="BA203" s="50">
        <v>1</v>
      </c>
      <c r="BB203" s="50">
        <v>0.25</v>
      </c>
      <c r="BC203" s="50"/>
      <c r="BD203" s="50">
        <v>0.1</v>
      </c>
      <c r="BE203" s="50"/>
      <c r="BF203" s="50">
        <v>0.1</v>
      </c>
      <c r="BG203" s="50"/>
      <c r="BH203" s="54">
        <v>0.15</v>
      </c>
      <c r="BI203" s="50"/>
      <c r="BJ203" s="54">
        <f>BB203+BD203+BF203+BH203</f>
        <v>0.6</v>
      </c>
      <c r="BK203" s="57">
        <f>BJ203/BA203</f>
        <v>0.6</v>
      </c>
      <c r="BL203" s="54">
        <v>0.2</v>
      </c>
      <c r="BM203" s="57">
        <v>0.2</v>
      </c>
      <c r="BN203" s="50"/>
      <c r="BO203" s="50"/>
      <c r="BP203" s="50"/>
      <c r="BQ203" s="50"/>
      <c r="BR203" s="50"/>
      <c r="BS203" s="50"/>
      <c r="BT203" s="50"/>
      <c r="BU203" s="50"/>
      <c r="BV203" s="50"/>
      <c r="BW203" s="50"/>
      <c r="BX203" s="50"/>
      <c r="BY203" s="50"/>
      <c r="BZ203" s="50"/>
      <c r="CA203" s="50"/>
      <c r="CB203" s="49"/>
      <c r="CC203" s="59"/>
      <c r="CD203" s="60"/>
      <c r="CE203" s="50"/>
      <c r="CF203" s="61"/>
      <c r="CG203" s="61"/>
      <c r="CH203" s="49"/>
      <c r="CI203" s="49"/>
      <c r="CJ203" s="49"/>
      <c r="CK203" s="49"/>
      <c r="CL203" s="49"/>
      <c r="CM203" s="49"/>
      <c r="CN203" s="49"/>
      <c r="CO203" s="50"/>
      <c r="CP203" s="50"/>
      <c r="CQ203" s="49"/>
      <c r="CR203" s="49"/>
      <c r="CS203" s="49"/>
      <c r="CT203" s="49"/>
      <c r="CU203" s="49"/>
      <c r="CV203" s="49"/>
      <c r="CW203" s="49"/>
      <c r="CX203" s="49"/>
    </row>
    <row r="204" spans="1:102" ht="49.5" customHeight="1" x14ac:dyDescent="0.2">
      <c r="A204" s="1811"/>
      <c r="B204" s="1807"/>
      <c r="C204" s="49"/>
      <c r="D204" s="50"/>
      <c r="E204" s="49"/>
      <c r="F204" s="49"/>
      <c r="G204" s="49"/>
      <c r="H204" s="49"/>
      <c r="I204" s="49"/>
      <c r="J204" s="49"/>
      <c r="K204" s="49"/>
      <c r="L204" s="49"/>
      <c r="M204" s="49"/>
      <c r="N204" s="49"/>
      <c r="O204" s="49"/>
      <c r="P204" s="49"/>
      <c r="Q204" s="49"/>
      <c r="R204" s="49"/>
      <c r="S204" s="49"/>
      <c r="T204" s="1807"/>
      <c r="U204" s="51" t="s">
        <v>579</v>
      </c>
      <c r="V204" s="51" t="s">
        <v>580</v>
      </c>
      <c r="W204" s="1425" t="s">
        <v>581</v>
      </c>
      <c r="X204" s="50">
        <v>1</v>
      </c>
      <c r="Y204" s="171">
        <v>1</v>
      </c>
      <c r="Z204" s="171"/>
      <c r="AA204" s="171">
        <v>1</v>
      </c>
      <c r="AB204" s="167">
        <f>+Y204/X204</f>
        <v>1</v>
      </c>
      <c r="AC204" s="167"/>
      <c r="AD204" s="167"/>
      <c r="AE204" s="171">
        <v>1</v>
      </c>
      <c r="AF204" s="171">
        <v>1</v>
      </c>
      <c r="AG204" s="50"/>
      <c r="AH204" s="50">
        <v>1</v>
      </c>
      <c r="AI204" s="50"/>
      <c r="AJ204" s="54">
        <f>+AH204</f>
        <v>1</v>
      </c>
      <c r="AK204" s="54">
        <f>+AJ204/Y204</f>
        <v>1</v>
      </c>
      <c r="AL204" s="54">
        <f>+AJ204</f>
        <v>1</v>
      </c>
      <c r="AM204" s="54">
        <f>+AL204/X204</f>
        <v>1</v>
      </c>
      <c r="AN204" s="171" t="s">
        <v>177</v>
      </c>
      <c r="AO204" s="50">
        <v>0</v>
      </c>
      <c r="AP204" s="50"/>
      <c r="AQ204" s="50">
        <v>0</v>
      </c>
      <c r="AR204" s="50"/>
      <c r="AS204" s="50">
        <v>1</v>
      </c>
      <c r="AT204" s="50"/>
      <c r="AU204" s="50">
        <v>0</v>
      </c>
      <c r="AV204" s="50"/>
      <c r="AW204" s="50">
        <v>1</v>
      </c>
      <c r="AX204" s="54">
        <v>1</v>
      </c>
      <c r="AY204" s="56">
        <v>1</v>
      </c>
      <c r="AZ204" s="54">
        <v>1</v>
      </c>
      <c r="BA204" s="50">
        <v>1</v>
      </c>
      <c r="BB204" s="50">
        <v>1</v>
      </c>
      <c r="BC204" s="50"/>
      <c r="BD204" s="50">
        <v>1</v>
      </c>
      <c r="BE204" s="50"/>
      <c r="BF204" s="50">
        <v>0</v>
      </c>
      <c r="BG204" s="50"/>
      <c r="BH204" s="50">
        <v>0</v>
      </c>
      <c r="BI204" s="50"/>
      <c r="BJ204" s="50">
        <f>BB204</f>
        <v>1</v>
      </c>
      <c r="BK204" s="57">
        <f>BJ204/BA204</f>
        <v>1</v>
      </c>
      <c r="BL204" s="56">
        <f>AY204+BB204</f>
        <v>2</v>
      </c>
      <c r="BM204" s="57">
        <v>1</v>
      </c>
      <c r="BN204" s="50"/>
      <c r="BO204" s="50"/>
      <c r="BP204" s="50"/>
      <c r="BQ204" s="50"/>
      <c r="BR204" s="50"/>
      <c r="BS204" s="50"/>
      <c r="BT204" s="50"/>
      <c r="BU204" s="50"/>
      <c r="BV204" s="50"/>
      <c r="BW204" s="50"/>
      <c r="BX204" s="50"/>
      <c r="BY204" s="50"/>
      <c r="BZ204" s="50"/>
      <c r="CA204" s="50"/>
      <c r="CB204" s="49"/>
      <c r="CC204" s="59"/>
      <c r="CD204" s="60"/>
      <c r="CE204" s="50"/>
      <c r="CF204" s="61"/>
      <c r="CG204" s="61"/>
      <c r="CH204" s="49"/>
      <c r="CI204" s="49"/>
      <c r="CJ204" s="49"/>
      <c r="CK204" s="49"/>
      <c r="CL204" s="49"/>
      <c r="CM204" s="49"/>
      <c r="CN204" s="49"/>
      <c r="CO204" s="50"/>
      <c r="CP204" s="50"/>
      <c r="CQ204" s="49"/>
      <c r="CR204" s="49"/>
      <c r="CS204" s="49"/>
      <c r="CT204" s="49"/>
      <c r="CU204" s="49"/>
      <c r="CV204" s="49"/>
      <c r="CW204" s="49"/>
      <c r="CX204" s="49"/>
    </row>
    <row r="205" spans="1:102" ht="54" customHeight="1" x14ac:dyDescent="0.2">
      <c r="A205" s="1811"/>
      <c r="B205" s="1807"/>
      <c r="C205" s="49"/>
      <c r="D205" s="50"/>
      <c r="E205" s="49"/>
      <c r="F205" s="49"/>
      <c r="G205" s="49"/>
      <c r="H205" s="49"/>
      <c r="I205" s="49"/>
      <c r="J205" s="49"/>
      <c r="K205" s="49"/>
      <c r="L205" s="49"/>
      <c r="M205" s="49"/>
      <c r="N205" s="49"/>
      <c r="O205" s="49"/>
      <c r="P205" s="49"/>
      <c r="Q205" s="49"/>
      <c r="R205" s="49"/>
      <c r="S205" s="49"/>
      <c r="T205" s="1807"/>
      <c r="U205" s="51" t="s">
        <v>582</v>
      </c>
      <c r="V205" s="51" t="s">
        <v>583</v>
      </c>
      <c r="W205" s="1425" t="s">
        <v>584</v>
      </c>
      <c r="X205" s="116">
        <v>25</v>
      </c>
      <c r="Y205" s="70">
        <v>10</v>
      </c>
      <c r="Z205" s="70">
        <v>10</v>
      </c>
      <c r="AA205" s="70">
        <v>15</v>
      </c>
      <c r="AB205" s="172">
        <f>+Y205/X205</f>
        <v>0.4</v>
      </c>
      <c r="AC205" s="167">
        <f>+Z205/X205</f>
        <v>0.4</v>
      </c>
      <c r="AD205" s="167">
        <v>0.4</v>
      </c>
      <c r="AE205" s="171">
        <v>0</v>
      </c>
      <c r="AF205" s="173">
        <v>0.09</v>
      </c>
      <c r="AG205" s="50"/>
      <c r="AH205" s="50">
        <v>15</v>
      </c>
      <c r="AI205" s="50"/>
      <c r="AJ205" s="54">
        <v>0.15</v>
      </c>
      <c r="AK205" s="54">
        <v>1</v>
      </c>
      <c r="AL205" s="83">
        <v>15</v>
      </c>
      <c r="AM205" s="55">
        <f>+AL205/X205</f>
        <v>0.6</v>
      </c>
      <c r="AN205" s="70">
        <v>10</v>
      </c>
      <c r="AO205" s="50">
        <v>0</v>
      </c>
      <c r="AP205" s="50"/>
      <c r="AQ205" s="50">
        <v>0</v>
      </c>
      <c r="AR205" s="50"/>
      <c r="AS205" s="50">
        <v>0</v>
      </c>
      <c r="AT205" s="50"/>
      <c r="AU205" s="100">
        <v>0</v>
      </c>
      <c r="AV205" s="50"/>
      <c r="AW205" s="50">
        <f>+AO205+AQ205</f>
        <v>0</v>
      </c>
      <c r="AX205" s="57">
        <f>AW205/AN205</f>
        <v>0</v>
      </c>
      <c r="AY205" s="83">
        <f>AW205+AL205</f>
        <v>15</v>
      </c>
      <c r="AZ205" s="57">
        <f>AY205/X205</f>
        <v>0.6</v>
      </c>
      <c r="BA205" s="50">
        <v>15</v>
      </c>
      <c r="BB205" s="50">
        <v>15</v>
      </c>
      <c r="BC205" s="50"/>
      <c r="BD205" s="50">
        <v>4</v>
      </c>
      <c r="BE205" s="50"/>
      <c r="BF205" s="50">
        <v>0</v>
      </c>
      <c r="BG205" s="50"/>
      <c r="BH205" s="50">
        <v>0</v>
      </c>
      <c r="BI205" s="50"/>
      <c r="BJ205" s="50">
        <f>BB205+BD205</f>
        <v>19</v>
      </c>
      <c r="BK205" s="57">
        <v>1</v>
      </c>
      <c r="BL205" s="83">
        <f>AY205+BD205</f>
        <v>19</v>
      </c>
      <c r="BM205" s="57">
        <f>+BL205/X205</f>
        <v>0.76</v>
      </c>
      <c r="BN205" s="50"/>
      <c r="BO205" s="50"/>
      <c r="BP205" s="50"/>
      <c r="BQ205" s="50"/>
      <c r="BR205" s="50"/>
      <c r="BS205" s="50"/>
      <c r="BT205" s="50"/>
      <c r="BU205" s="50"/>
      <c r="BV205" s="50"/>
      <c r="BW205" s="50"/>
      <c r="BX205" s="50"/>
      <c r="BY205" s="50"/>
      <c r="BZ205" s="50"/>
      <c r="CA205" s="50"/>
      <c r="CB205" s="49"/>
      <c r="CC205" s="59"/>
      <c r="CD205" s="60"/>
      <c r="CE205" s="50"/>
      <c r="CF205" s="61"/>
      <c r="CG205" s="61"/>
      <c r="CH205" s="49"/>
      <c r="CI205" s="49"/>
      <c r="CJ205" s="49"/>
      <c r="CK205" s="49"/>
      <c r="CL205" s="49"/>
      <c r="CM205" s="49"/>
      <c r="CN205" s="49"/>
      <c r="CO205" s="50"/>
      <c r="CP205" s="50"/>
      <c r="CQ205" s="49"/>
      <c r="CR205" s="49"/>
      <c r="CS205" s="49"/>
      <c r="CT205" s="49"/>
      <c r="CU205" s="49"/>
      <c r="CV205" s="49"/>
      <c r="CW205" s="49"/>
      <c r="CX205" s="49"/>
    </row>
    <row r="206" spans="1:102" ht="73.5" customHeight="1" x14ac:dyDescent="0.2">
      <c r="A206" s="1811"/>
      <c r="B206" s="1807"/>
      <c r="C206" s="49"/>
      <c r="D206" s="50"/>
      <c r="E206" s="49"/>
      <c r="F206" s="49"/>
      <c r="G206" s="49"/>
      <c r="H206" s="49"/>
      <c r="I206" s="49"/>
      <c r="J206" s="49"/>
      <c r="K206" s="49"/>
      <c r="L206" s="49"/>
      <c r="M206" s="49"/>
      <c r="N206" s="49"/>
      <c r="O206" s="49"/>
      <c r="P206" s="49"/>
      <c r="Q206" s="49"/>
      <c r="R206" s="49"/>
      <c r="S206" s="49"/>
      <c r="T206" s="1807"/>
      <c r="U206" s="51" t="s">
        <v>582</v>
      </c>
      <c r="V206" s="51" t="s">
        <v>585</v>
      </c>
      <c r="W206" s="1425" t="s">
        <v>586</v>
      </c>
      <c r="X206" s="61">
        <v>1</v>
      </c>
      <c r="Y206" s="172">
        <v>0.42</v>
      </c>
      <c r="Z206" s="172">
        <v>0.57999999999999996</v>
      </c>
      <c r="AA206" s="172">
        <v>0.1</v>
      </c>
      <c r="AB206" s="172">
        <f>+Y206/X206</f>
        <v>0.42</v>
      </c>
      <c r="AC206" s="172">
        <f>+Z206</f>
        <v>0.57999999999999996</v>
      </c>
      <c r="AD206" s="172">
        <f>AA206/X206</f>
        <v>0.1</v>
      </c>
      <c r="AE206" s="169">
        <v>0.15</v>
      </c>
      <c r="AF206" s="169">
        <v>0.42</v>
      </c>
      <c r="AG206" s="50"/>
      <c r="AH206" s="54">
        <v>0.42</v>
      </c>
      <c r="AI206" s="50"/>
      <c r="AJ206" s="54">
        <f>+AH206</f>
        <v>0.42</v>
      </c>
      <c r="AK206" s="54">
        <f>+AJ206/Y206</f>
        <v>1</v>
      </c>
      <c r="AL206" s="54">
        <v>0.5</v>
      </c>
      <c r="AM206" s="54">
        <f>+AL206/X206</f>
        <v>0.5</v>
      </c>
      <c r="AN206" s="172">
        <v>0.57999999999999996</v>
      </c>
      <c r="AO206" s="57">
        <v>0.08</v>
      </c>
      <c r="AP206" s="50"/>
      <c r="AQ206" s="54">
        <v>0.18</v>
      </c>
      <c r="AR206" s="50"/>
      <c r="AS206" s="54">
        <v>0.08</v>
      </c>
      <c r="AT206" s="50"/>
      <c r="AU206" s="54">
        <v>0.06</v>
      </c>
      <c r="AV206" s="50"/>
      <c r="AW206" s="54">
        <f>AO206+AQ206+AS206+AU206</f>
        <v>0.4</v>
      </c>
      <c r="AX206" s="54">
        <f>AW206/AN206</f>
        <v>0.68965517241379315</v>
      </c>
      <c r="AY206" s="57">
        <v>0.5</v>
      </c>
      <c r="AZ206" s="57">
        <f>AY206/X206</f>
        <v>0.5</v>
      </c>
      <c r="BA206" s="54">
        <v>0.8</v>
      </c>
      <c r="BB206" s="50">
        <v>0.1</v>
      </c>
      <c r="BC206" s="50"/>
      <c r="BD206" s="50">
        <v>0.25</v>
      </c>
      <c r="BE206" s="50"/>
      <c r="BF206" s="50">
        <v>0</v>
      </c>
      <c r="BG206" s="50"/>
      <c r="BH206" s="54">
        <v>0.1</v>
      </c>
      <c r="BI206" s="50"/>
      <c r="BJ206" s="54">
        <f>+BB206+BD206+BH206</f>
        <v>0.44999999999999996</v>
      </c>
      <c r="BK206" s="57">
        <f>+BJ206/BA206</f>
        <v>0.56249999999999989</v>
      </c>
      <c r="BL206" s="57">
        <f>+BJ206/BA206</f>
        <v>0.56249999999999989</v>
      </c>
      <c r="BM206" s="57">
        <v>0.85</v>
      </c>
      <c r="BN206" s="50"/>
      <c r="BO206" s="50"/>
      <c r="BP206" s="50"/>
      <c r="BQ206" s="50"/>
      <c r="BR206" s="50"/>
      <c r="BS206" s="50"/>
      <c r="BT206" s="50"/>
      <c r="BU206" s="50"/>
      <c r="BV206" s="50"/>
      <c r="BW206" s="50"/>
      <c r="BX206" s="50"/>
      <c r="BY206" s="50"/>
      <c r="BZ206" s="50"/>
      <c r="CA206" s="50"/>
      <c r="CB206" s="49"/>
      <c r="CC206" s="59"/>
      <c r="CD206" s="60"/>
      <c r="CE206" s="50"/>
      <c r="CF206" s="61"/>
      <c r="CG206" s="61"/>
      <c r="CH206" s="49"/>
      <c r="CI206" s="49"/>
      <c r="CJ206" s="49"/>
      <c r="CK206" s="49"/>
      <c r="CL206" s="49"/>
      <c r="CM206" s="49"/>
      <c r="CN206" s="49"/>
      <c r="CO206" s="50"/>
      <c r="CP206" s="50"/>
      <c r="CQ206" s="49"/>
      <c r="CR206" s="49"/>
      <c r="CS206" s="49"/>
      <c r="CT206" s="49"/>
      <c r="CU206" s="49"/>
      <c r="CV206" s="49"/>
      <c r="CW206" s="49"/>
      <c r="CX206" s="49"/>
    </row>
    <row r="207" spans="1:102" ht="80.25" customHeight="1" x14ac:dyDescent="0.2">
      <c r="A207" s="1811"/>
      <c r="B207" s="1807"/>
      <c r="C207" s="49"/>
      <c r="D207" s="50"/>
      <c r="E207" s="49"/>
      <c r="F207" s="49"/>
      <c r="G207" s="49"/>
      <c r="H207" s="49"/>
      <c r="I207" s="49"/>
      <c r="J207" s="49"/>
      <c r="K207" s="49"/>
      <c r="L207" s="49"/>
      <c r="M207" s="49"/>
      <c r="N207" s="49"/>
      <c r="O207" s="49"/>
      <c r="P207" s="49"/>
      <c r="Q207" s="49"/>
      <c r="R207" s="49"/>
      <c r="S207" s="49"/>
      <c r="T207" s="1807"/>
      <c r="U207" s="51" t="s">
        <v>587</v>
      </c>
      <c r="V207" s="51" t="s">
        <v>201</v>
      </c>
      <c r="W207" s="1425" t="s">
        <v>588</v>
      </c>
      <c r="X207" s="174">
        <v>1</v>
      </c>
      <c r="Y207" s="175">
        <v>0.25</v>
      </c>
      <c r="Z207" s="176">
        <v>0.33</v>
      </c>
      <c r="AA207" s="177">
        <v>1</v>
      </c>
      <c r="AB207" s="167">
        <f>+Y207/X207</f>
        <v>0.25</v>
      </c>
      <c r="AC207" s="167">
        <f>+Z207</f>
        <v>0.33</v>
      </c>
      <c r="AD207" s="167">
        <v>0.51</v>
      </c>
      <c r="AE207" s="70">
        <v>0</v>
      </c>
      <c r="AF207" s="178">
        <v>0.21</v>
      </c>
      <c r="AG207" s="50"/>
      <c r="AH207" s="54">
        <v>0.21</v>
      </c>
      <c r="AI207" s="50"/>
      <c r="AJ207" s="54">
        <f>+AH207</f>
        <v>0.21</v>
      </c>
      <c r="AK207" s="54">
        <f>+AJ207/Y207</f>
        <v>0.84</v>
      </c>
      <c r="AL207" s="54">
        <f>+AJ207</f>
        <v>0.21</v>
      </c>
      <c r="AM207" s="54">
        <f>+AL207/X207</f>
        <v>0.21</v>
      </c>
      <c r="AN207" s="176">
        <v>0.33</v>
      </c>
      <c r="AO207" s="50">
        <v>0</v>
      </c>
      <c r="AP207" s="50"/>
      <c r="AQ207" s="50">
        <v>0</v>
      </c>
      <c r="AR207" s="50"/>
      <c r="AS207" s="54">
        <v>0.2</v>
      </c>
      <c r="AT207" s="50"/>
      <c r="AU207" s="54">
        <v>0.05</v>
      </c>
      <c r="AV207" s="50"/>
      <c r="AW207" s="54">
        <f>+AS207+AU207</f>
        <v>0.25</v>
      </c>
      <c r="AX207" s="57">
        <f>AW207/AN207</f>
        <v>0.75757575757575757</v>
      </c>
      <c r="AY207" s="54">
        <v>0.21</v>
      </c>
      <c r="AZ207" s="57">
        <f>AY207/X207</f>
        <v>0.21</v>
      </c>
      <c r="BA207" s="50">
        <v>1</v>
      </c>
      <c r="BB207" s="50">
        <v>0</v>
      </c>
      <c r="BC207" s="50"/>
      <c r="BD207" s="50">
        <v>0.1</v>
      </c>
      <c r="BE207" s="50"/>
      <c r="BF207" s="50">
        <v>0</v>
      </c>
      <c r="BG207" s="50"/>
      <c r="BH207" s="50">
        <v>0.35</v>
      </c>
      <c r="BI207" s="50"/>
      <c r="BJ207" s="50">
        <f>BB207+BD207+BH207</f>
        <v>0.44999999999999996</v>
      </c>
      <c r="BK207" s="57">
        <f>BJ207/BA207</f>
        <v>0.44999999999999996</v>
      </c>
      <c r="BL207" s="54">
        <f>AY207+BB207+BD207+BH207</f>
        <v>0.65999999999999992</v>
      </c>
      <c r="BM207" s="57">
        <f>BL207/X207</f>
        <v>0.65999999999999992</v>
      </c>
      <c r="BN207" s="50"/>
      <c r="BO207" s="50"/>
      <c r="BP207" s="50"/>
      <c r="BQ207" s="50"/>
      <c r="BR207" s="50"/>
      <c r="BS207" s="50"/>
      <c r="BT207" s="50"/>
      <c r="BU207" s="50"/>
      <c r="BV207" s="50"/>
      <c r="BW207" s="50"/>
      <c r="BX207" s="50"/>
      <c r="BY207" s="50"/>
      <c r="BZ207" s="50"/>
      <c r="CA207" s="50"/>
      <c r="CB207" s="49"/>
      <c r="CC207" s="59"/>
      <c r="CD207" s="60"/>
      <c r="CE207" s="50"/>
      <c r="CF207" s="61"/>
      <c r="CG207" s="61"/>
      <c r="CH207" s="49"/>
      <c r="CI207" s="49"/>
      <c r="CJ207" s="49"/>
      <c r="CK207" s="49"/>
      <c r="CL207" s="49"/>
      <c r="CM207" s="49"/>
      <c r="CN207" s="49"/>
      <c r="CO207" s="50"/>
      <c r="CP207" s="50"/>
      <c r="CQ207" s="49"/>
      <c r="CR207" s="49"/>
      <c r="CS207" s="49"/>
      <c r="CT207" s="49"/>
      <c r="CU207" s="49"/>
      <c r="CV207" s="49"/>
      <c r="CW207" s="49"/>
      <c r="CX207" s="49"/>
    </row>
    <row r="208" spans="1:102" ht="12.75" customHeight="1" x14ac:dyDescent="0.2">
      <c r="A208" s="1811"/>
      <c r="B208" s="1807"/>
      <c r="C208" s="49"/>
      <c r="D208" s="50"/>
      <c r="E208" s="49"/>
      <c r="F208" s="49"/>
      <c r="G208" s="49"/>
      <c r="H208" s="49"/>
      <c r="I208" s="49"/>
      <c r="J208" s="49"/>
      <c r="K208" s="49"/>
      <c r="L208" s="49"/>
      <c r="M208" s="49"/>
      <c r="N208" s="49"/>
      <c r="O208" s="49"/>
      <c r="P208" s="49"/>
      <c r="Q208" s="49"/>
      <c r="R208" s="49"/>
      <c r="S208" s="49"/>
      <c r="T208" s="1808"/>
      <c r="U208" s="85"/>
      <c r="V208" s="85"/>
      <c r="W208" s="1427"/>
      <c r="X208" s="72"/>
      <c r="Y208" s="72"/>
      <c r="Z208" s="72"/>
      <c r="AA208" s="72"/>
      <c r="AB208" s="86">
        <f>AVERAGE(AB202:AB207)</f>
        <v>0.46399999999999997</v>
      </c>
      <c r="AC208" s="86">
        <f>AVERAGE(AC202:AC207)</f>
        <v>0.38400000000000001</v>
      </c>
      <c r="AD208" s="73">
        <f>AVERAGE(AD202:AD207)</f>
        <v>0.34866666666666668</v>
      </c>
      <c r="AE208" s="179"/>
      <c r="AF208" s="179"/>
      <c r="AG208" s="72"/>
      <c r="AH208" s="72"/>
      <c r="AI208" s="72"/>
      <c r="AJ208" s="72"/>
      <c r="AK208" s="73">
        <f>AVERAGE(AK202:AK207)</f>
        <v>0.96799999999999997</v>
      </c>
      <c r="AL208" s="73"/>
      <c r="AM208" s="73">
        <f>AVERAGE(AM202:AM207)</f>
        <v>0.54200000000000004</v>
      </c>
      <c r="AN208" s="72"/>
      <c r="AO208" s="72"/>
      <c r="AP208" s="72"/>
      <c r="AQ208" s="72"/>
      <c r="AR208" s="72"/>
      <c r="AS208" s="72"/>
      <c r="AT208" s="72"/>
      <c r="AU208" s="72"/>
      <c r="AV208" s="72"/>
      <c r="AW208" s="72"/>
      <c r="AX208" s="73">
        <f>AVERAGE(AX202:AX207)</f>
        <v>0.47453848833159179</v>
      </c>
      <c r="AY208" s="73"/>
      <c r="AZ208" s="73">
        <f>AVERAGE(AZ202:AZ207)</f>
        <v>0.48500000000000004</v>
      </c>
      <c r="BA208" s="50"/>
      <c r="BB208" s="50"/>
      <c r="BC208" s="50"/>
      <c r="BD208" s="50"/>
      <c r="BE208" s="50"/>
      <c r="BF208" s="50"/>
      <c r="BG208" s="50"/>
      <c r="BH208" s="50"/>
      <c r="BI208" s="50"/>
      <c r="BJ208" s="50"/>
      <c r="BK208" s="73">
        <f>AVERAGE(BK202:BK207)</f>
        <v>0.7270833333333333</v>
      </c>
      <c r="BL208" s="50"/>
      <c r="BM208" s="73">
        <f>AVERAGE(BM202:BM207)</f>
        <v>0.70333333333333325</v>
      </c>
      <c r="BN208" s="50"/>
      <c r="BO208" s="50"/>
      <c r="BP208" s="50"/>
      <c r="BQ208" s="50"/>
      <c r="BR208" s="50"/>
      <c r="BS208" s="50"/>
      <c r="BT208" s="50"/>
      <c r="BU208" s="50"/>
      <c r="BV208" s="50"/>
      <c r="BW208" s="50"/>
      <c r="BX208" s="50"/>
      <c r="BY208" s="50"/>
      <c r="BZ208" s="50"/>
      <c r="CA208" s="50"/>
      <c r="CB208" s="49"/>
      <c r="CC208" s="59"/>
      <c r="CD208" s="60"/>
      <c r="CE208" s="50"/>
      <c r="CF208" s="61"/>
      <c r="CG208" s="61"/>
      <c r="CH208" s="49"/>
      <c r="CI208" s="49"/>
      <c r="CJ208" s="49"/>
      <c r="CK208" s="49"/>
      <c r="CL208" s="49"/>
      <c r="CM208" s="49"/>
      <c r="CN208" s="49"/>
      <c r="CO208" s="50"/>
      <c r="CP208" s="50"/>
      <c r="CQ208" s="49"/>
      <c r="CR208" s="49"/>
      <c r="CS208" s="49"/>
      <c r="CT208" s="49"/>
      <c r="CU208" s="49"/>
      <c r="CV208" s="49"/>
      <c r="CW208" s="49"/>
      <c r="CX208" s="49"/>
    </row>
    <row r="209" spans="1:102" ht="36.75" customHeight="1" x14ac:dyDescent="0.2">
      <c r="A209" s="1811"/>
      <c r="B209" s="1807"/>
      <c r="C209" s="49"/>
      <c r="D209" s="50"/>
      <c r="E209" s="49"/>
      <c r="F209" s="49"/>
      <c r="G209" s="49"/>
      <c r="H209" s="49"/>
      <c r="I209" s="49"/>
      <c r="J209" s="49"/>
      <c r="K209" s="49"/>
      <c r="L209" s="49"/>
      <c r="M209" s="49"/>
      <c r="N209" s="49"/>
      <c r="O209" s="49"/>
      <c r="P209" s="49"/>
      <c r="Q209" s="49"/>
      <c r="R209" s="49"/>
      <c r="S209" s="49"/>
      <c r="T209" s="1809" t="s">
        <v>589</v>
      </c>
      <c r="U209" s="51" t="s">
        <v>590</v>
      </c>
      <c r="V209" s="101">
        <v>0.6</v>
      </c>
      <c r="W209" s="1425" t="s">
        <v>591</v>
      </c>
      <c r="X209" s="54">
        <v>1</v>
      </c>
      <c r="Y209" s="103">
        <v>0.15</v>
      </c>
      <c r="Z209" s="103">
        <v>0.13200000000000001</v>
      </c>
      <c r="AA209" s="103">
        <v>0.5</v>
      </c>
      <c r="AB209" s="103">
        <f>+Y209/X209</f>
        <v>0.15</v>
      </c>
      <c r="AC209" s="103">
        <f>+Z209</f>
        <v>0.13200000000000001</v>
      </c>
      <c r="AD209" s="103">
        <f>AA209/X209</f>
        <v>0.5</v>
      </c>
      <c r="AE209" s="178">
        <v>0.41</v>
      </c>
      <c r="AF209" s="178">
        <v>0.41</v>
      </c>
      <c r="AG209" s="50"/>
      <c r="AH209" s="54">
        <v>0.41</v>
      </c>
      <c r="AI209" s="50"/>
      <c r="AJ209" s="54">
        <f>+AH209</f>
        <v>0.41</v>
      </c>
      <c r="AK209" s="54">
        <v>1</v>
      </c>
      <c r="AL209" s="55">
        <v>0.42799999999999999</v>
      </c>
      <c r="AM209" s="54">
        <f>+AL209/X209</f>
        <v>0.42799999999999999</v>
      </c>
      <c r="AN209" s="103">
        <v>0.13200000000000001</v>
      </c>
      <c r="AO209" s="57">
        <v>1.7999999999999999E-2</v>
      </c>
      <c r="AP209" s="50"/>
      <c r="AQ209" s="50">
        <v>0</v>
      </c>
      <c r="AR209" s="50"/>
      <c r="AS209" s="57">
        <v>1.7999999999999999E-2</v>
      </c>
      <c r="AT209" s="50"/>
      <c r="AU209" s="57">
        <v>1.7999999999999999E-2</v>
      </c>
      <c r="AV209" s="50"/>
      <c r="AW209" s="55">
        <f>AO209+AQ209+AS209+AU209</f>
        <v>5.3999999999999992E-2</v>
      </c>
      <c r="AX209" s="54">
        <f>AW209/AN209</f>
        <v>0.40909090909090901</v>
      </c>
      <c r="AY209" s="57">
        <f>AW209+AL209</f>
        <v>0.48199999999999998</v>
      </c>
      <c r="AZ209" s="54">
        <v>0.43</v>
      </c>
      <c r="BA209" s="54">
        <v>0.5</v>
      </c>
      <c r="BB209" s="54">
        <v>0.05</v>
      </c>
      <c r="BC209" s="50"/>
      <c r="BD209" s="50">
        <v>0.25</v>
      </c>
      <c r="BE209" s="50"/>
      <c r="BF209" s="50">
        <v>0.08</v>
      </c>
      <c r="BG209" s="50"/>
      <c r="BH209" s="54">
        <v>0.1</v>
      </c>
      <c r="BI209" s="50"/>
      <c r="BJ209" s="54">
        <f>+BB209+BD209+BF209+BH209</f>
        <v>0.48</v>
      </c>
      <c r="BK209" s="57">
        <f>+BJ209/BA209</f>
        <v>0.96</v>
      </c>
      <c r="BL209" s="57">
        <f>+BJ209+AZ209</f>
        <v>0.90999999999999992</v>
      </c>
      <c r="BM209" s="57">
        <f>BL209/X209</f>
        <v>0.90999999999999992</v>
      </c>
      <c r="BN209" s="50"/>
      <c r="BO209" s="50"/>
      <c r="BP209" s="50"/>
      <c r="BQ209" s="50"/>
      <c r="BR209" s="50"/>
      <c r="BS209" s="50"/>
      <c r="BT209" s="50"/>
      <c r="BU209" s="50"/>
      <c r="BV209" s="50"/>
      <c r="BW209" s="50"/>
      <c r="BX209" s="50"/>
      <c r="BY209" s="50"/>
      <c r="BZ209" s="50"/>
      <c r="CA209" s="50"/>
      <c r="CB209" s="49"/>
      <c r="CC209" s="59"/>
      <c r="CD209" s="60"/>
      <c r="CE209" s="50"/>
      <c r="CF209" s="61"/>
      <c r="CG209" s="61"/>
      <c r="CH209" s="49"/>
      <c r="CI209" s="49"/>
      <c r="CJ209" s="49"/>
      <c r="CK209" s="49"/>
      <c r="CL209" s="49"/>
      <c r="CM209" s="49"/>
      <c r="CN209" s="49"/>
      <c r="CO209" s="50"/>
      <c r="CP209" s="50"/>
      <c r="CQ209" s="49"/>
      <c r="CR209" s="49"/>
      <c r="CS209" s="49"/>
      <c r="CT209" s="49"/>
      <c r="CU209" s="49"/>
      <c r="CV209" s="49"/>
      <c r="CW209" s="49"/>
      <c r="CX209" s="49"/>
    </row>
    <row r="210" spans="1:102" ht="42.75" customHeight="1" x14ac:dyDescent="0.2">
      <c r="A210" s="1811"/>
      <c r="B210" s="1807"/>
      <c r="C210" s="49"/>
      <c r="D210" s="50"/>
      <c r="E210" s="49"/>
      <c r="F210" s="49"/>
      <c r="G210" s="49"/>
      <c r="H210" s="49"/>
      <c r="I210" s="49"/>
      <c r="J210" s="49"/>
      <c r="K210" s="49"/>
      <c r="L210" s="49"/>
      <c r="M210" s="49"/>
      <c r="N210" s="49"/>
      <c r="O210" s="49"/>
      <c r="P210" s="49"/>
      <c r="Q210" s="49"/>
      <c r="R210" s="49"/>
      <c r="S210" s="49"/>
      <c r="T210" s="1808"/>
      <c r="U210" s="85"/>
      <c r="V210" s="102"/>
      <c r="W210" s="1427"/>
      <c r="X210" s="180"/>
      <c r="Y210" s="180"/>
      <c r="Z210" s="180"/>
      <c r="AA210" s="180"/>
      <c r="AB210" s="181">
        <f>+AB209</f>
        <v>0.15</v>
      </c>
      <c r="AC210" s="181">
        <f>+AC209</f>
        <v>0.13200000000000001</v>
      </c>
      <c r="AD210" s="86">
        <f>AVERAGE(AD209)</f>
        <v>0.5</v>
      </c>
      <c r="AE210" s="180"/>
      <c r="AF210" s="180"/>
      <c r="AG210" s="72"/>
      <c r="AH210" s="72"/>
      <c r="AI210" s="72"/>
      <c r="AJ210" s="72"/>
      <c r="AK210" s="86">
        <f>AVERAGE(AK209)</f>
        <v>1</v>
      </c>
      <c r="AL210" s="74"/>
      <c r="AM210" s="86">
        <f>AVERAGE(AM209)</f>
        <v>0.42799999999999999</v>
      </c>
      <c r="AN210" s="180"/>
      <c r="AO210" s="72"/>
      <c r="AP210" s="72"/>
      <c r="AQ210" s="72"/>
      <c r="AR210" s="72"/>
      <c r="AS210" s="72"/>
      <c r="AT210" s="72"/>
      <c r="AU210" s="72"/>
      <c r="AV210" s="72"/>
      <c r="AW210" s="72"/>
      <c r="AX210" s="86">
        <f>AVERAGE(AX209)</f>
        <v>0.40909090909090901</v>
      </c>
      <c r="AY210" s="74"/>
      <c r="AZ210" s="86">
        <f>AVERAGE(AZ209)</f>
        <v>0.43</v>
      </c>
      <c r="BA210" s="50"/>
      <c r="BB210" s="50"/>
      <c r="BC210" s="50"/>
      <c r="BD210" s="50"/>
      <c r="BE210" s="50"/>
      <c r="BF210" s="50"/>
      <c r="BG210" s="50"/>
      <c r="BH210" s="50"/>
      <c r="BI210" s="50"/>
      <c r="BJ210" s="50"/>
      <c r="BK210" s="86">
        <f>AVERAGE(BK209)</f>
        <v>0.96</v>
      </c>
      <c r="BL210" s="50"/>
      <c r="BM210" s="86">
        <f>AVERAGE(BM209)</f>
        <v>0.90999999999999992</v>
      </c>
      <c r="BN210" s="50"/>
      <c r="BO210" s="50"/>
      <c r="BP210" s="50"/>
      <c r="BQ210" s="50"/>
      <c r="BR210" s="50"/>
      <c r="BS210" s="50"/>
      <c r="BT210" s="50"/>
      <c r="BU210" s="50"/>
      <c r="BV210" s="50"/>
      <c r="BW210" s="50"/>
      <c r="BX210" s="50"/>
      <c r="BY210" s="50"/>
      <c r="BZ210" s="50"/>
      <c r="CA210" s="50"/>
      <c r="CB210" s="49"/>
      <c r="CC210" s="59"/>
      <c r="CD210" s="60"/>
      <c r="CE210" s="50"/>
      <c r="CF210" s="61"/>
      <c r="CG210" s="61"/>
      <c r="CH210" s="49"/>
      <c r="CI210" s="49"/>
      <c r="CJ210" s="49"/>
      <c r="CK210" s="49"/>
      <c r="CL210" s="49"/>
      <c r="CM210" s="49"/>
      <c r="CN210" s="49"/>
      <c r="CO210" s="50"/>
      <c r="CP210" s="50"/>
      <c r="CQ210" s="49"/>
      <c r="CR210" s="49"/>
      <c r="CS210" s="49"/>
      <c r="CT210" s="49"/>
      <c r="CU210" s="49"/>
      <c r="CV210" s="49"/>
      <c r="CW210" s="49"/>
      <c r="CX210" s="49"/>
    </row>
    <row r="211" spans="1:102" ht="71.25" customHeight="1" x14ac:dyDescent="0.2">
      <c r="A211" s="1811"/>
      <c r="B211" s="1807"/>
      <c r="C211" s="49"/>
      <c r="D211" s="50"/>
      <c r="E211" s="49"/>
      <c r="F211" s="49"/>
      <c r="G211" s="49"/>
      <c r="H211" s="49"/>
      <c r="I211" s="49"/>
      <c r="J211" s="49"/>
      <c r="K211" s="49"/>
      <c r="L211" s="49"/>
      <c r="M211" s="49"/>
      <c r="N211" s="49"/>
      <c r="O211" s="49"/>
      <c r="P211" s="49"/>
      <c r="Q211" s="49"/>
      <c r="R211" s="49"/>
      <c r="S211" s="49"/>
      <c r="T211" s="1809" t="s">
        <v>592</v>
      </c>
      <c r="U211" s="51" t="s">
        <v>593</v>
      </c>
      <c r="V211" s="101" t="s">
        <v>594</v>
      </c>
      <c r="W211" s="1425" t="s">
        <v>595</v>
      </c>
      <c r="X211" s="50">
        <v>1</v>
      </c>
      <c r="Y211" s="54">
        <v>0.25</v>
      </c>
      <c r="Z211" s="54">
        <v>0.33</v>
      </c>
      <c r="AA211" s="83">
        <v>14.2</v>
      </c>
      <c r="AB211" s="54">
        <f>+Y211/X211</f>
        <v>0.25</v>
      </c>
      <c r="AC211" s="54">
        <f>+Z211</f>
        <v>0.33</v>
      </c>
      <c r="AD211" s="54">
        <v>0.83099999999999996</v>
      </c>
      <c r="AE211" s="50">
        <v>0</v>
      </c>
      <c r="AF211" s="50">
        <v>0</v>
      </c>
      <c r="AG211" s="50"/>
      <c r="AH211" s="50">
        <v>0</v>
      </c>
      <c r="AI211" s="50"/>
      <c r="AJ211" s="50">
        <f>+AH211</f>
        <v>0</v>
      </c>
      <c r="AK211" s="54">
        <v>0</v>
      </c>
      <c r="AL211" s="50">
        <f>+AJ211</f>
        <v>0</v>
      </c>
      <c r="AM211" s="54">
        <f>+AL211/X211</f>
        <v>0</v>
      </c>
      <c r="AN211" s="182">
        <f>33%*14.2</f>
        <v>4.6859999999999999</v>
      </c>
      <c r="AO211" s="50">
        <v>0</v>
      </c>
      <c r="AP211" s="50"/>
      <c r="AQ211" s="50">
        <v>0</v>
      </c>
      <c r="AR211" s="50"/>
      <c r="AS211" s="50">
        <v>0</v>
      </c>
      <c r="AT211" s="50"/>
      <c r="AU211" s="79">
        <v>2.4</v>
      </c>
      <c r="AV211" s="63"/>
      <c r="AW211" s="79">
        <f>+AU211</f>
        <v>2.4</v>
      </c>
      <c r="AX211" s="153">
        <f>+AW211/AN211</f>
        <v>0.51216389244558258</v>
      </c>
      <c r="AY211" s="1154">
        <v>0.15</v>
      </c>
      <c r="AZ211" s="55">
        <f>+AY211/14.2</f>
        <v>1.0563380281690141E-2</v>
      </c>
      <c r="BA211" s="50">
        <v>1</v>
      </c>
      <c r="BB211" s="50">
        <v>0.2</v>
      </c>
      <c r="BC211" s="50"/>
      <c r="BD211" s="1159">
        <v>0.05</v>
      </c>
      <c r="BE211" s="50"/>
      <c r="BF211" s="54">
        <v>0.05</v>
      </c>
      <c r="BG211" s="1440" t="s">
        <v>2233</v>
      </c>
      <c r="BH211" s="54">
        <v>0.2</v>
      </c>
      <c r="BI211" s="61" t="s">
        <v>2305</v>
      </c>
      <c r="BJ211" s="54">
        <f>+BB211+BD211+BF211+BH211</f>
        <v>0.5</v>
      </c>
      <c r="BK211" s="57">
        <f>BJ211/BA211</f>
        <v>0.5</v>
      </c>
      <c r="BL211" s="1691">
        <f>AY211+BB211+BD211+BF211+BH211</f>
        <v>0.64999999999999991</v>
      </c>
      <c r="BM211" s="57">
        <f>BL211/X211</f>
        <v>0.64999999999999991</v>
      </c>
      <c r="BN211" s="50"/>
      <c r="BO211" s="50"/>
      <c r="BP211" s="50"/>
      <c r="BQ211" s="50"/>
      <c r="BR211" s="50">
        <f>BJ211</f>
        <v>0.5</v>
      </c>
      <c r="BS211" s="57" t="e">
        <f>BR211/BI211</f>
        <v>#VALUE!</v>
      </c>
      <c r="BT211" s="50" t="e">
        <f>BG211+BJ211</f>
        <v>#VALUE!</v>
      </c>
      <c r="BU211" s="57" t="e">
        <f>BT211/AF211</f>
        <v>#VALUE!</v>
      </c>
      <c r="BV211" s="50"/>
      <c r="BW211" s="50"/>
      <c r="BX211" s="50"/>
      <c r="BY211" s="50"/>
      <c r="BZ211" s="50"/>
      <c r="CA211" s="50"/>
      <c r="CB211" s="49"/>
      <c r="CC211" s="59"/>
      <c r="CD211" s="60"/>
      <c r="CE211" s="50"/>
      <c r="CF211" s="61"/>
      <c r="CG211" s="61"/>
      <c r="CH211" s="49"/>
      <c r="CI211" s="49"/>
      <c r="CJ211" s="49"/>
      <c r="CK211" s="49"/>
      <c r="CL211" s="49"/>
      <c r="CM211" s="49"/>
      <c r="CN211" s="49"/>
      <c r="CO211" s="50"/>
      <c r="CP211" s="50"/>
      <c r="CQ211" s="49"/>
      <c r="CR211" s="49"/>
      <c r="CS211" s="49"/>
      <c r="CT211" s="49"/>
      <c r="CU211" s="49"/>
      <c r="CV211" s="49"/>
      <c r="CW211" s="49"/>
      <c r="CX211" s="49"/>
    </row>
    <row r="212" spans="1:102" ht="30" customHeight="1" x14ac:dyDescent="0.2">
      <c r="A212" s="1811"/>
      <c r="B212" s="1807"/>
      <c r="C212" s="49"/>
      <c r="D212" s="50"/>
      <c r="E212" s="49"/>
      <c r="F212" s="49"/>
      <c r="G212" s="49"/>
      <c r="H212" s="49"/>
      <c r="I212" s="49"/>
      <c r="J212" s="49"/>
      <c r="K212" s="49"/>
      <c r="L212" s="49"/>
      <c r="M212" s="49"/>
      <c r="N212" s="49"/>
      <c r="O212" s="49"/>
      <c r="P212" s="49"/>
      <c r="Q212" s="49"/>
      <c r="R212" s="49"/>
      <c r="S212" s="49"/>
      <c r="T212" s="1807"/>
      <c r="U212" s="51" t="s">
        <v>596</v>
      </c>
      <c r="V212" s="51">
        <v>0</v>
      </c>
      <c r="W212" s="1425" t="s">
        <v>597</v>
      </c>
      <c r="X212" s="50">
        <v>3.5</v>
      </c>
      <c r="Y212" s="50" t="s">
        <v>177</v>
      </c>
      <c r="Z212" s="50"/>
      <c r="AA212" s="50">
        <v>3.5</v>
      </c>
      <c r="AB212" s="50"/>
      <c r="AC212" s="50"/>
      <c r="AD212" s="54"/>
      <c r="AE212" s="50"/>
      <c r="AF212" s="50"/>
      <c r="AG212" s="50"/>
      <c r="AH212" s="50"/>
      <c r="AI212" s="50"/>
      <c r="AJ212" s="50"/>
      <c r="AK212" s="50"/>
      <c r="AL212" s="50"/>
      <c r="AM212" s="50"/>
      <c r="AN212" s="117">
        <v>1.17</v>
      </c>
      <c r="AO212" s="117">
        <v>0</v>
      </c>
      <c r="AP212" s="117"/>
      <c r="AQ212" s="117">
        <v>0</v>
      </c>
      <c r="AR212" s="117"/>
      <c r="AS212" s="117">
        <v>0</v>
      </c>
      <c r="AT212" s="117"/>
      <c r="AU212" s="119">
        <v>3.5</v>
      </c>
      <c r="AV212" s="117"/>
      <c r="AW212" s="63">
        <f>+AU212</f>
        <v>3.5</v>
      </c>
      <c r="AX212" s="153">
        <v>1</v>
      </c>
      <c r="AY212" s="88">
        <f>+AW212</f>
        <v>3.5</v>
      </c>
      <c r="AZ212" s="57">
        <v>1</v>
      </c>
      <c r="BA212" s="50">
        <v>3.5</v>
      </c>
      <c r="BB212" s="50">
        <v>0</v>
      </c>
      <c r="BC212" s="50"/>
      <c r="BD212" s="50">
        <v>0</v>
      </c>
      <c r="BE212" s="50"/>
      <c r="BF212" s="50">
        <v>3.5</v>
      </c>
      <c r="BG212" s="50"/>
      <c r="BH212" s="50">
        <v>6.2</v>
      </c>
      <c r="BI212" s="50"/>
      <c r="BJ212" s="50">
        <f>+BF212+BH212</f>
        <v>9.6999999999999993</v>
      </c>
      <c r="BK212" s="57">
        <v>1</v>
      </c>
      <c r="BL212" s="88">
        <f>AY212+BB212+BH212</f>
        <v>9.6999999999999993</v>
      </c>
      <c r="BM212" s="57">
        <v>1</v>
      </c>
      <c r="BN212" s="50"/>
      <c r="BO212" s="50"/>
      <c r="BP212" s="50"/>
      <c r="BQ212" s="50"/>
      <c r="BR212" s="50"/>
      <c r="BS212" s="50"/>
      <c r="BT212" s="50"/>
      <c r="BU212" s="50"/>
      <c r="BV212" s="50"/>
      <c r="BW212" s="50"/>
      <c r="BX212" s="50"/>
      <c r="BY212" s="50"/>
      <c r="BZ212" s="50"/>
      <c r="CA212" s="50"/>
      <c r="CB212" s="49"/>
      <c r="CC212" s="59"/>
      <c r="CD212" s="60"/>
      <c r="CE212" s="50"/>
      <c r="CF212" s="61"/>
      <c r="CG212" s="61"/>
      <c r="CH212" s="49"/>
      <c r="CI212" s="49"/>
      <c r="CJ212" s="49"/>
      <c r="CK212" s="49"/>
      <c r="CL212" s="49"/>
      <c r="CM212" s="49"/>
      <c r="CN212" s="49"/>
      <c r="CO212" s="50"/>
      <c r="CP212" s="50"/>
      <c r="CQ212" s="49"/>
      <c r="CR212" s="49"/>
      <c r="CS212" s="49"/>
      <c r="CT212" s="49"/>
      <c r="CU212" s="49"/>
      <c r="CV212" s="49"/>
      <c r="CW212" s="49"/>
      <c r="CX212" s="49"/>
    </row>
    <row r="213" spans="1:102" ht="30" customHeight="1" x14ac:dyDescent="0.2">
      <c r="A213" s="1811"/>
      <c r="B213" s="1807"/>
      <c r="C213" s="49"/>
      <c r="D213" s="50"/>
      <c r="E213" s="49"/>
      <c r="F213" s="49"/>
      <c r="G213" s="49"/>
      <c r="H213" s="49"/>
      <c r="I213" s="49"/>
      <c r="J213" s="49"/>
      <c r="K213" s="49"/>
      <c r="L213" s="49"/>
      <c r="M213" s="49"/>
      <c r="N213" s="49"/>
      <c r="O213" s="49"/>
      <c r="P213" s="49"/>
      <c r="Q213" s="49"/>
      <c r="R213" s="49"/>
      <c r="S213" s="49"/>
      <c r="T213" s="1807"/>
      <c r="U213" s="51" t="s">
        <v>598</v>
      </c>
      <c r="V213" s="51">
        <v>0</v>
      </c>
      <c r="W213" s="1425" t="s">
        <v>599</v>
      </c>
      <c r="X213" s="50">
        <v>7</v>
      </c>
      <c r="Y213" s="50" t="s">
        <v>177</v>
      </c>
      <c r="Z213" s="50"/>
      <c r="AA213" s="50">
        <v>1</v>
      </c>
      <c r="AB213" s="50"/>
      <c r="AC213" s="50"/>
      <c r="AD213" s="54">
        <f>AA213/X213</f>
        <v>0.14285714285714285</v>
      </c>
      <c r="AE213" s="50"/>
      <c r="AF213" s="50"/>
      <c r="AG213" s="50"/>
      <c r="AH213" s="50"/>
      <c r="AI213" s="50"/>
      <c r="AJ213" s="50"/>
      <c r="AK213" s="50"/>
      <c r="AL213" s="50"/>
      <c r="AM213" s="50"/>
      <c r="AN213" s="117">
        <v>2.2999999999999998</v>
      </c>
      <c r="AO213" s="117">
        <v>0</v>
      </c>
      <c r="AP213" s="117"/>
      <c r="AQ213" s="117">
        <v>0</v>
      </c>
      <c r="AR213" s="117"/>
      <c r="AS213" s="117">
        <v>0</v>
      </c>
      <c r="AT213" s="117"/>
      <c r="AU213" s="117">
        <v>0</v>
      </c>
      <c r="AV213" s="117"/>
      <c r="AW213" s="50">
        <f>+AO213+AQ2103</f>
        <v>0</v>
      </c>
      <c r="AX213" s="57">
        <f>AW213/AN213</f>
        <v>0</v>
      </c>
      <c r="AY213" s="57">
        <f>AW213+AL213</f>
        <v>0</v>
      </c>
      <c r="AZ213" s="57">
        <v>0</v>
      </c>
      <c r="BA213" s="50">
        <v>1</v>
      </c>
      <c r="BB213" s="50">
        <v>0</v>
      </c>
      <c r="BC213" s="50"/>
      <c r="BD213" s="50">
        <v>0</v>
      </c>
      <c r="BE213" s="50"/>
      <c r="BF213" s="50">
        <v>0</v>
      </c>
      <c r="BG213" s="50"/>
      <c r="BH213" s="50">
        <v>0</v>
      </c>
      <c r="BI213" s="50"/>
      <c r="BJ213" s="50">
        <f>BB213</f>
        <v>0</v>
      </c>
      <c r="BK213" s="57">
        <f>BJ213/BA213</f>
        <v>0</v>
      </c>
      <c r="BL213" s="57">
        <f>AY213+BB213</f>
        <v>0</v>
      </c>
      <c r="BM213" s="57">
        <f>BL213/X213</f>
        <v>0</v>
      </c>
      <c r="BN213" s="50"/>
      <c r="BO213" s="50"/>
      <c r="BP213" s="50"/>
      <c r="BQ213" s="50"/>
      <c r="BR213" s="50"/>
      <c r="BS213" s="50"/>
      <c r="BT213" s="50"/>
      <c r="BU213" s="50"/>
      <c r="BV213" s="50"/>
      <c r="BW213" s="50"/>
      <c r="BX213" s="50"/>
      <c r="BY213" s="50"/>
      <c r="BZ213" s="50"/>
      <c r="CA213" s="50"/>
      <c r="CB213" s="49"/>
      <c r="CC213" s="59"/>
      <c r="CD213" s="60"/>
      <c r="CE213" s="50"/>
      <c r="CF213" s="61"/>
      <c r="CG213" s="61"/>
      <c r="CH213" s="49"/>
      <c r="CI213" s="49"/>
      <c r="CJ213" s="49"/>
      <c r="CK213" s="49"/>
      <c r="CL213" s="49"/>
      <c r="CM213" s="49"/>
      <c r="CN213" s="49"/>
      <c r="CO213" s="50"/>
      <c r="CP213" s="50"/>
      <c r="CQ213" s="49"/>
      <c r="CR213" s="49"/>
      <c r="CS213" s="49"/>
      <c r="CT213" s="49"/>
      <c r="CU213" s="49"/>
      <c r="CV213" s="49"/>
      <c r="CW213" s="49"/>
      <c r="CX213" s="49"/>
    </row>
    <row r="214" spans="1:102" ht="30.75" customHeight="1" x14ac:dyDescent="0.2">
      <c r="A214" s="1811"/>
      <c r="B214" s="1807"/>
      <c r="C214" s="49"/>
      <c r="D214" s="50"/>
      <c r="E214" s="49"/>
      <c r="F214" s="49"/>
      <c r="G214" s="49"/>
      <c r="H214" s="49"/>
      <c r="I214" s="49"/>
      <c r="J214" s="49"/>
      <c r="K214" s="49"/>
      <c r="L214" s="49"/>
      <c r="M214" s="49"/>
      <c r="N214" s="49"/>
      <c r="O214" s="49"/>
      <c r="P214" s="49"/>
      <c r="Q214" s="49"/>
      <c r="R214" s="49"/>
      <c r="S214" s="49"/>
      <c r="T214" s="1807"/>
      <c r="U214" s="51" t="s">
        <v>600</v>
      </c>
      <c r="V214" s="51">
        <v>0</v>
      </c>
      <c r="W214" s="1425" t="s">
        <v>601</v>
      </c>
      <c r="X214" s="50">
        <v>1</v>
      </c>
      <c r="Y214" s="50" t="s">
        <v>177</v>
      </c>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49"/>
      <c r="CC214" s="59"/>
      <c r="CD214" s="60"/>
      <c r="CE214" s="50"/>
      <c r="CF214" s="61"/>
      <c r="CG214" s="61"/>
      <c r="CH214" s="49"/>
      <c r="CI214" s="49"/>
      <c r="CJ214" s="49"/>
      <c r="CK214" s="49"/>
      <c r="CL214" s="49"/>
      <c r="CM214" s="49"/>
      <c r="CN214" s="49"/>
      <c r="CO214" s="50"/>
      <c r="CP214" s="50"/>
      <c r="CQ214" s="49"/>
      <c r="CR214" s="49"/>
      <c r="CS214" s="49"/>
      <c r="CT214" s="49"/>
      <c r="CU214" s="49"/>
      <c r="CV214" s="49"/>
      <c r="CW214" s="49"/>
      <c r="CX214" s="49"/>
    </row>
    <row r="215" spans="1:102" ht="32.25" customHeight="1" x14ac:dyDescent="0.2">
      <c r="A215" s="1811"/>
      <c r="B215" s="1807"/>
      <c r="C215" s="62"/>
      <c r="D215" s="63"/>
      <c r="E215" s="62"/>
      <c r="F215" s="62"/>
      <c r="G215" s="62"/>
      <c r="H215" s="62"/>
      <c r="I215" s="62"/>
      <c r="J215" s="62"/>
      <c r="K215" s="62"/>
      <c r="L215" s="62"/>
      <c r="M215" s="62"/>
      <c r="N215" s="62"/>
      <c r="O215" s="62"/>
      <c r="P215" s="62"/>
      <c r="Q215" s="62"/>
      <c r="R215" s="62"/>
      <c r="S215" s="62"/>
      <c r="T215" s="1807"/>
      <c r="U215" s="51" t="s">
        <v>602</v>
      </c>
      <c r="V215" s="51">
        <v>0</v>
      </c>
      <c r="W215" s="1425" t="s">
        <v>603</v>
      </c>
      <c r="X215" s="63">
        <v>1</v>
      </c>
      <c r="Y215" s="65">
        <v>0.3</v>
      </c>
      <c r="Z215" s="65">
        <v>0.5</v>
      </c>
      <c r="AA215" s="84">
        <v>1</v>
      </c>
      <c r="AB215" s="65">
        <f>+Y215/X215</f>
        <v>0.3</v>
      </c>
      <c r="AC215" s="65">
        <f>+Z215/X215</f>
        <v>0.5</v>
      </c>
      <c r="AD215" s="54"/>
      <c r="AE215" s="65">
        <v>0.3</v>
      </c>
      <c r="AF215" s="65">
        <v>0.3</v>
      </c>
      <c r="AG215" s="65"/>
      <c r="AH215" s="65">
        <v>0.33</v>
      </c>
      <c r="AI215" s="65"/>
      <c r="AJ215" s="65">
        <f>+AH215</f>
        <v>0.33</v>
      </c>
      <c r="AK215" s="65">
        <v>1</v>
      </c>
      <c r="AL215" s="65">
        <v>0.33</v>
      </c>
      <c r="AM215" s="65">
        <f>+AL215/X215</f>
        <v>0.33</v>
      </c>
      <c r="AN215" s="65">
        <v>0.5</v>
      </c>
      <c r="AO215" s="63">
        <v>0.32</v>
      </c>
      <c r="AP215" s="63">
        <v>0.33</v>
      </c>
      <c r="AQ215" s="63">
        <v>0.33</v>
      </c>
      <c r="AR215" s="63">
        <v>0.05</v>
      </c>
      <c r="AS215" s="63">
        <v>0.05</v>
      </c>
      <c r="AT215" s="63"/>
      <c r="AU215" s="63">
        <v>0.05</v>
      </c>
      <c r="AV215" s="63"/>
      <c r="AW215" s="65">
        <f>+AO215+AQ215+AS215+AU215</f>
        <v>0.75000000000000011</v>
      </c>
      <c r="AX215" s="65">
        <v>1</v>
      </c>
      <c r="AY215" s="65">
        <v>1</v>
      </c>
      <c r="AZ215" s="65">
        <v>1</v>
      </c>
      <c r="BA215" s="63">
        <v>1</v>
      </c>
      <c r="BB215" s="63">
        <v>0.31</v>
      </c>
      <c r="BC215" s="63"/>
      <c r="BD215" s="63">
        <v>0.5</v>
      </c>
      <c r="BE215" s="63"/>
      <c r="BF215" s="63">
        <v>0.05</v>
      </c>
      <c r="BG215" s="63"/>
      <c r="BH215" s="63">
        <v>0.09</v>
      </c>
      <c r="BI215" s="63"/>
      <c r="BJ215" s="50">
        <f>BB215+BD215+BF215+BH215</f>
        <v>0.95000000000000007</v>
      </c>
      <c r="BK215" s="57">
        <f>BJ215/BA215</f>
        <v>0.95000000000000007</v>
      </c>
      <c r="BL215" s="54">
        <f>79%+BH215</f>
        <v>0.88</v>
      </c>
      <c r="BM215" s="57">
        <v>1</v>
      </c>
      <c r="BN215" s="63"/>
      <c r="BO215" s="63"/>
      <c r="BP215" s="63"/>
      <c r="BQ215" s="63"/>
      <c r="BR215" s="63"/>
      <c r="BS215" s="63"/>
      <c r="BT215" s="63"/>
      <c r="BU215" s="63"/>
      <c r="BV215" s="63"/>
      <c r="BW215" s="63"/>
      <c r="BX215" s="63"/>
      <c r="BY215" s="63"/>
      <c r="BZ215" s="63"/>
      <c r="CA215" s="63"/>
      <c r="CB215" s="62"/>
      <c r="CC215" s="68"/>
      <c r="CD215" s="69"/>
      <c r="CE215" s="63"/>
      <c r="CF215" s="70"/>
      <c r="CG215" s="70"/>
      <c r="CH215" s="62"/>
      <c r="CI215" s="62"/>
      <c r="CJ215" s="62"/>
      <c r="CK215" s="62"/>
      <c r="CL215" s="62"/>
      <c r="CM215" s="62"/>
      <c r="CN215" s="62"/>
      <c r="CO215" s="63"/>
      <c r="CP215" s="63"/>
      <c r="CQ215" s="62"/>
      <c r="CR215" s="62"/>
      <c r="CS215" s="62"/>
      <c r="CT215" s="62"/>
      <c r="CU215" s="62"/>
      <c r="CV215" s="62"/>
      <c r="CW215" s="62"/>
      <c r="CX215" s="62"/>
    </row>
    <row r="216" spans="1:102" ht="12.75" customHeight="1" x14ac:dyDescent="0.2">
      <c r="A216" s="1811"/>
      <c r="B216" s="1807"/>
      <c r="C216" s="49"/>
      <c r="D216" s="50"/>
      <c r="E216" s="49"/>
      <c r="F216" s="49"/>
      <c r="G216" s="49"/>
      <c r="H216" s="49"/>
      <c r="I216" s="49"/>
      <c r="J216" s="49"/>
      <c r="K216" s="49"/>
      <c r="L216" s="49"/>
      <c r="M216" s="49"/>
      <c r="N216" s="49"/>
      <c r="O216" s="49"/>
      <c r="P216" s="49"/>
      <c r="Q216" s="49"/>
      <c r="R216" s="49"/>
      <c r="S216" s="49"/>
      <c r="T216" s="1808"/>
      <c r="U216" s="77"/>
      <c r="V216" s="72"/>
      <c r="W216" s="1435"/>
      <c r="X216" s="72"/>
      <c r="Y216" s="72"/>
      <c r="Z216" s="72"/>
      <c r="AA216" s="72"/>
      <c r="AB216" s="86">
        <f>AVERAGE(AB211:AB215)</f>
        <v>0.27500000000000002</v>
      </c>
      <c r="AC216" s="86">
        <f>AVERAGE(AC211:AC215)</f>
        <v>0.41500000000000004</v>
      </c>
      <c r="AD216" s="86">
        <f>AVERAGE(AD211:AD215)</f>
        <v>0.48692857142857138</v>
      </c>
      <c r="AE216" s="72"/>
      <c r="AF216" s="72"/>
      <c r="AG216" s="72"/>
      <c r="AH216" s="72"/>
      <c r="AI216" s="72"/>
      <c r="AJ216" s="72"/>
      <c r="AK216" s="86">
        <f>AVERAGE(AK211:AK215)</f>
        <v>0.5</v>
      </c>
      <c r="AL216" s="74"/>
      <c r="AM216" s="86">
        <f>AVERAGE(AM211:AM215)</f>
        <v>0.16500000000000001</v>
      </c>
      <c r="AN216" s="72"/>
      <c r="AO216" s="50"/>
      <c r="AP216" s="50"/>
      <c r="AQ216" s="50"/>
      <c r="AR216" s="50"/>
      <c r="AS216" s="50"/>
      <c r="AT216" s="50"/>
      <c r="AU216" s="50"/>
      <c r="AV216" s="50"/>
      <c r="AW216" s="50"/>
      <c r="AX216" s="86">
        <f>AVERAGE(AX211:AX215)</f>
        <v>0.62804097311139562</v>
      </c>
      <c r="AY216" s="86"/>
      <c r="AZ216" s="86">
        <f>AVERAGE(AZ211:AZ215)</f>
        <v>0.5026408450704225</v>
      </c>
      <c r="BA216" s="50"/>
      <c r="BB216" s="50"/>
      <c r="BC216" s="50"/>
      <c r="BD216" s="50"/>
      <c r="BE216" s="50"/>
      <c r="BF216" s="50"/>
      <c r="BG216" s="50"/>
      <c r="BH216" s="50"/>
      <c r="BI216" s="50"/>
      <c r="BJ216" s="50"/>
      <c r="BK216" s="86">
        <f>AVERAGE(BK211:BK215)</f>
        <v>0.61250000000000004</v>
      </c>
      <c r="BL216" s="50"/>
      <c r="BM216" s="86">
        <f>AVERAGE(BM211:BM215)</f>
        <v>0.66249999999999998</v>
      </c>
      <c r="BN216" s="50"/>
      <c r="BO216" s="50"/>
      <c r="BP216" s="50"/>
      <c r="BQ216" s="50"/>
      <c r="BR216" s="50"/>
      <c r="BS216" s="50"/>
      <c r="BT216" s="50"/>
      <c r="BU216" s="50"/>
      <c r="BV216" s="50"/>
      <c r="BW216" s="50"/>
      <c r="BX216" s="50"/>
      <c r="BY216" s="50"/>
      <c r="BZ216" s="50"/>
      <c r="CA216" s="50"/>
      <c r="CB216" s="49"/>
      <c r="CC216" s="59"/>
      <c r="CD216" s="60"/>
      <c r="CE216" s="50"/>
      <c r="CF216" s="61"/>
      <c r="CG216" s="61"/>
      <c r="CH216" s="49"/>
      <c r="CI216" s="49"/>
      <c r="CJ216" s="49"/>
      <c r="CK216" s="49"/>
      <c r="CL216" s="49"/>
      <c r="CM216" s="49"/>
      <c r="CN216" s="49"/>
      <c r="CO216" s="50"/>
      <c r="CP216" s="50"/>
      <c r="CQ216" s="49"/>
      <c r="CR216" s="49"/>
      <c r="CS216" s="49"/>
      <c r="CT216" s="49"/>
      <c r="CU216" s="49"/>
      <c r="CV216" s="49"/>
      <c r="CW216" s="49"/>
      <c r="CX216" s="49"/>
    </row>
    <row r="217" spans="1:102" ht="12.75" customHeight="1" x14ac:dyDescent="0.2">
      <c r="A217" s="1811"/>
      <c r="B217" s="1808"/>
      <c r="C217" s="49"/>
      <c r="D217" s="50"/>
      <c r="E217" s="49"/>
      <c r="F217" s="49"/>
      <c r="G217" s="49"/>
      <c r="H217" s="49"/>
      <c r="I217" s="49"/>
      <c r="J217" s="49"/>
      <c r="K217" s="49"/>
      <c r="L217" s="49"/>
      <c r="M217" s="49"/>
      <c r="N217" s="49"/>
      <c r="O217" s="49"/>
      <c r="P217" s="49"/>
      <c r="Q217" s="49"/>
      <c r="R217" s="49"/>
      <c r="S217" s="49"/>
      <c r="T217" s="110"/>
      <c r="U217" s="183"/>
      <c r="V217" s="110"/>
      <c r="W217" s="1436"/>
      <c r="X217" s="110"/>
      <c r="Y217" s="110"/>
      <c r="Z217" s="110"/>
      <c r="AA217" s="110"/>
      <c r="AB217" s="111">
        <f>+(AB216+AB210+AB208)/3</f>
        <v>0.29633333333333334</v>
      </c>
      <c r="AC217" s="111">
        <f>+(AC216+AC210+AC208)/3</f>
        <v>0.31033333333333335</v>
      </c>
      <c r="AD217" s="112">
        <f>+(AD216+AD210+AD208)/3</f>
        <v>0.4451984126984127</v>
      </c>
      <c r="AE217" s="110"/>
      <c r="AF217" s="110"/>
      <c r="AG217" s="110"/>
      <c r="AH217" s="110"/>
      <c r="AI217" s="110"/>
      <c r="AJ217" s="110"/>
      <c r="AK217" s="112">
        <f>+(AK216+AK210+AK208)/3</f>
        <v>0.82266666666666666</v>
      </c>
      <c r="AL217" s="112"/>
      <c r="AM217" s="112">
        <f>+(AM216+AM210+AM208)/3</f>
        <v>0.37833333333333335</v>
      </c>
      <c r="AN217" s="110"/>
      <c r="AO217" s="110"/>
      <c r="AP217" s="110"/>
      <c r="AQ217" s="110"/>
      <c r="AR217" s="110"/>
      <c r="AS217" s="110"/>
      <c r="AT217" s="110"/>
      <c r="AU217" s="110"/>
      <c r="AV217" s="50"/>
      <c r="AW217" s="50"/>
      <c r="AX217" s="112">
        <f>+(AX216+AX210+AX208)/3</f>
        <v>0.5038901235112988</v>
      </c>
      <c r="AY217" s="112"/>
      <c r="AZ217" s="112">
        <f>+(AZ216+AZ210+AZ208)/3</f>
        <v>0.47254694835680749</v>
      </c>
      <c r="BA217" s="50"/>
      <c r="BB217" s="50"/>
      <c r="BC217" s="50"/>
      <c r="BD217" s="50"/>
      <c r="BE217" s="50"/>
      <c r="BF217" s="50"/>
      <c r="BG217" s="50"/>
      <c r="BH217" s="50"/>
      <c r="BI217" s="50"/>
      <c r="BJ217" s="50"/>
      <c r="BK217" s="112">
        <f>+(BK216+BK210+BK208)/3</f>
        <v>0.76652777777777781</v>
      </c>
      <c r="BL217" s="50"/>
      <c r="BM217" s="112">
        <f>+(BM216+BM210+BM208)/3</f>
        <v>0.75861111111111101</v>
      </c>
      <c r="BN217" s="50"/>
      <c r="BO217" s="50"/>
      <c r="BP217" s="50"/>
      <c r="BQ217" s="50"/>
      <c r="BR217" s="50"/>
      <c r="BS217" s="50"/>
      <c r="BT217" s="50"/>
      <c r="BU217" s="50"/>
      <c r="BV217" s="50"/>
      <c r="BW217" s="50"/>
      <c r="BX217" s="50"/>
      <c r="BY217" s="50"/>
      <c r="BZ217" s="50"/>
      <c r="CA217" s="50"/>
      <c r="CB217" s="49"/>
      <c r="CC217" s="59"/>
      <c r="CD217" s="60"/>
      <c r="CE217" s="50"/>
      <c r="CF217" s="61"/>
      <c r="CG217" s="61"/>
      <c r="CH217" s="49"/>
      <c r="CI217" s="49"/>
      <c r="CJ217" s="49"/>
      <c r="CK217" s="49"/>
      <c r="CL217" s="49"/>
      <c r="CM217" s="49"/>
      <c r="CN217" s="49"/>
      <c r="CO217" s="50"/>
      <c r="CP217" s="50"/>
      <c r="CQ217" s="49"/>
      <c r="CR217" s="49"/>
      <c r="CS217" s="49"/>
      <c r="CT217" s="49"/>
      <c r="CU217" s="49"/>
      <c r="CV217" s="49"/>
      <c r="CW217" s="49"/>
      <c r="CX217" s="49"/>
    </row>
    <row r="218" spans="1:102" ht="12.75" customHeight="1" x14ac:dyDescent="0.2">
      <c r="A218" s="1812"/>
      <c r="B218" s="184"/>
      <c r="C218" s="185"/>
      <c r="D218" s="184"/>
      <c r="E218" s="185"/>
      <c r="F218" s="185"/>
      <c r="G218" s="185"/>
      <c r="H218" s="185"/>
      <c r="I218" s="185"/>
      <c r="J218" s="185"/>
      <c r="K218" s="185"/>
      <c r="L218" s="185"/>
      <c r="M218" s="185"/>
      <c r="N218" s="185"/>
      <c r="O218" s="185"/>
      <c r="P218" s="185"/>
      <c r="Q218" s="185"/>
      <c r="R218" s="185"/>
      <c r="S218" s="185"/>
      <c r="T218" s="184"/>
      <c r="U218" s="186"/>
      <c r="V218" s="184"/>
      <c r="W218" s="1437"/>
      <c r="X218" s="184"/>
      <c r="Y218" s="184"/>
      <c r="Z218" s="184"/>
      <c r="AA218" s="184"/>
      <c r="AB218" s="184"/>
      <c r="AC218" s="184"/>
      <c r="AD218" s="184"/>
      <c r="AE218" s="184"/>
      <c r="AF218" s="184"/>
      <c r="AG218" s="184"/>
      <c r="AH218" s="184"/>
      <c r="AI218" s="184"/>
      <c r="AJ218" s="184"/>
      <c r="AK218" s="184"/>
      <c r="AL218" s="184"/>
      <c r="AM218" s="184"/>
      <c r="AN218" s="184"/>
      <c r="AO218" s="184"/>
      <c r="AP218" s="184"/>
      <c r="AQ218" s="184"/>
      <c r="AR218" s="184"/>
      <c r="AS218" s="184"/>
      <c r="AT218" s="184"/>
      <c r="AU218" s="184"/>
      <c r="AV218" s="184"/>
      <c r="AW218" s="184"/>
      <c r="AX218" s="184"/>
      <c r="AY218" s="184"/>
      <c r="AZ218" s="184"/>
      <c r="BA218" s="184"/>
      <c r="BB218" s="184"/>
      <c r="BC218" s="184"/>
      <c r="BD218" s="184"/>
      <c r="BE218" s="184"/>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49"/>
      <c r="CC218" s="59"/>
      <c r="CD218" s="60"/>
      <c r="CE218" s="50"/>
      <c r="CF218" s="61"/>
      <c r="CG218" s="61"/>
      <c r="CH218" s="49"/>
      <c r="CI218" s="49"/>
      <c r="CJ218" s="49"/>
      <c r="CK218" s="49"/>
      <c r="CL218" s="49"/>
      <c r="CM218" s="49"/>
      <c r="CN218" s="49"/>
      <c r="CO218" s="50"/>
      <c r="CP218" s="50"/>
      <c r="CQ218" s="49"/>
      <c r="CR218" s="49"/>
      <c r="CS218" s="49"/>
      <c r="CT218" s="49"/>
      <c r="CU218" s="49"/>
      <c r="CV218" s="49"/>
      <c r="CW218" s="49"/>
      <c r="CX218" s="49"/>
    </row>
    <row r="219" spans="1:102" ht="12.75" customHeight="1" x14ac:dyDescent="0.2">
      <c r="A219" s="187"/>
      <c r="B219" s="127"/>
      <c r="C219" s="187"/>
      <c r="D219" s="127"/>
      <c r="E219" s="187"/>
      <c r="F219" s="187"/>
      <c r="G219" s="187"/>
      <c r="H219" s="187"/>
      <c r="I219" s="187"/>
      <c r="J219" s="187"/>
      <c r="K219" s="187"/>
      <c r="L219" s="187"/>
      <c r="M219" s="187"/>
      <c r="N219" s="187"/>
      <c r="O219" s="187"/>
      <c r="P219" s="187"/>
      <c r="Q219" s="187"/>
      <c r="R219" s="187"/>
      <c r="S219" s="187"/>
      <c r="T219" s="127"/>
      <c r="U219" s="188"/>
      <c r="V219" s="127"/>
      <c r="W219" s="1438"/>
      <c r="X219" s="127"/>
      <c r="Y219" s="127"/>
      <c r="Z219" s="127"/>
      <c r="AA219" s="127"/>
      <c r="AB219" s="127"/>
      <c r="AC219" s="127"/>
      <c r="AD219" s="127"/>
      <c r="AE219" s="127"/>
      <c r="AF219" s="127"/>
      <c r="AG219" s="127"/>
      <c r="AH219" s="127"/>
      <c r="AI219" s="127"/>
      <c r="AJ219" s="127"/>
      <c r="AK219" s="127"/>
      <c r="AL219" s="127"/>
      <c r="AM219" s="127"/>
      <c r="AN219" s="127"/>
      <c r="AO219" s="127"/>
      <c r="AP219" s="127"/>
      <c r="AQ219" s="127"/>
      <c r="AR219" s="127"/>
      <c r="AS219" s="127"/>
      <c r="AT219" s="127"/>
      <c r="AU219" s="127"/>
      <c r="AV219" s="127"/>
      <c r="AW219" s="127"/>
      <c r="AX219" s="127"/>
      <c r="AY219" s="127"/>
      <c r="AZ219" s="127"/>
      <c r="BA219" s="127"/>
      <c r="BB219" s="127"/>
      <c r="BC219" s="127"/>
      <c r="BD219" s="127"/>
      <c r="BE219" s="127"/>
      <c r="BF219" s="127"/>
      <c r="BG219" s="127"/>
      <c r="BH219" s="127"/>
      <c r="BI219" s="127"/>
      <c r="BJ219" s="127"/>
      <c r="BK219" s="127"/>
      <c r="BL219" s="127"/>
      <c r="BM219" s="127"/>
      <c r="BN219" s="127"/>
      <c r="BO219" s="127"/>
      <c r="BP219" s="127"/>
      <c r="BQ219" s="127"/>
      <c r="BR219" s="127"/>
      <c r="BS219" s="127"/>
      <c r="BT219" s="127"/>
      <c r="BU219" s="127"/>
      <c r="BV219" s="127"/>
      <c r="BW219" s="127"/>
      <c r="BX219" s="127"/>
      <c r="BY219" s="127"/>
      <c r="BZ219" s="127"/>
      <c r="CA219" s="127"/>
      <c r="CB219" s="187"/>
      <c r="CC219" s="189"/>
      <c r="CD219" s="188"/>
      <c r="CE219" s="127"/>
      <c r="CF219" s="190"/>
      <c r="CG219" s="190"/>
      <c r="CH219" s="187"/>
      <c r="CI219" s="187"/>
      <c r="CJ219" s="187"/>
      <c r="CK219" s="187"/>
      <c r="CL219" s="187"/>
      <c r="CM219" s="187"/>
      <c r="CN219" s="187"/>
      <c r="CO219" s="127"/>
      <c r="CP219" s="127"/>
      <c r="CQ219" s="187"/>
      <c r="CR219" s="187"/>
      <c r="CS219" s="187"/>
      <c r="CT219" s="187"/>
      <c r="CU219" s="187"/>
      <c r="CV219" s="187"/>
      <c r="CW219" s="187"/>
      <c r="CX219" s="187"/>
    </row>
    <row r="220" spans="1:102" ht="12.75" customHeight="1" x14ac:dyDescent="0.2">
      <c r="A220" s="187"/>
      <c r="B220" s="127"/>
      <c r="C220" s="187"/>
      <c r="D220" s="127"/>
      <c r="E220" s="187"/>
      <c r="F220" s="187"/>
      <c r="G220" s="187"/>
      <c r="H220" s="187"/>
      <c r="I220" s="187"/>
      <c r="J220" s="187"/>
      <c r="K220" s="187"/>
      <c r="L220" s="187"/>
      <c r="M220" s="187"/>
      <c r="N220" s="187"/>
      <c r="O220" s="187"/>
      <c r="P220" s="187"/>
      <c r="Q220" s="187"/>
      <c r="R220" s="187"/>
      <c r="S220" s="187"/>
      <c r="T220" s="127"/>
      <c r="U220" s="188"/>
      <c r="V220" s="127"/>
      <c r="W220" s="1438"/>
      <c r="X220" s="127"/>
      <c r="Y220" s="127"/>
      <c r="Z220" s="127"/>
      <c r="AA220" s="127"/>
      <c r="AB220" s="127"/>
      <c r="AC220" s="127"/>
      <c r="AD220" s="127"/>
      <c r="AE220" s="127"/>
      <c r="AF220" s="127"/>
      <c r="AG220" s="127"/>
      <c r="AH220" s="127"/>
      <c r="AI220" s="127"/>
      <c r="AJ220" s="127"/>
      <c r="AK220" s="127"/>
      <c r="AL220" s="127"/>
      <c r="AM220" s="127"/>
      <c r="AN220" s="127"/>
      <c r="AO220" s="127"/>
      <c r="AP220" s="127"/>
      <c r="AQ220" s="127"/>
      <c r="AR220" s="127"/>
      <c r="AS220" s="127"/>
      <c r="AT220" s="127"/>
      <c r="AU220" s="127"/>
      <c r="AV220" s="127"/>
      <c r="AW220" s="127"/>
      <c r="AX220" s="127"/>
      <c r="AY220" s="127"/>
      <c r="AZ220" s="127"/>
      <c r="BA220" s="127"/>
      <c r="BB220" s="127"/>
      <c r="BC220" s="127"/>
      <c r="BD220" s="127"/>
      <c r="BE220" s="127"/>
      <c r="BF220" s="127"/>
      <c r="BG220" s="127"/>
      <c r="BH220" s="127"/>
      <c r="BI220" s="127"/>
      <c r="BJ220" s="127"/>
      <c r="BK220" s="127"/>
      <c r="BL220" s="127"/>
      <c r="BM220" s="127"/>
      <c r="BN220" s="127"/>
      <c r="BO220" s="127"/>
      <c r="BP220" s="127"/>
      <c r="BQ220" s="127"/>
      <c r="BR220" s="127"/>
      <c r="BS220" s="127"/>
      <c r="BT220" s="127"/>
      <c r="BU220" s="127"/>
      <c r="BV220" s="127"/>
      <c r="BW220" s="127"/>
      <c r="BX220" s="127"/>
      <c r="BY220" s="127"/>
      <c r="BZ220" s="127"/>
      <c r="CA220" s="127"/>
      <c r="CB220" s="187"/>
      <c r="CC220" s="189"/>
      <c r="CD220" s="188"/>
      <c r="CE220" s="127"/>
      <c r="CF220" s="190"/>
      <c r="CG220" s="190"/>
      <c r="CH220" s="187"/>
      <c r="CI220" s="187"/>
      <c r="CJ220" s="187"/>
      <c r="CK220" s="187"/>
      <c r="CL220" s="187"/>
      <c r="CM220" s="187"/>
      <c r="CN220" s="187"/>
      <c r="CO220" s="127"/>
      <c r="CP220" s="127"/>
      <c r="CQ220" s="187"/>
      <c r="CR220" s="187"/>
      <c r="CS220" s="187"/>
      <c r="CT220" s="187"/>
      <c r="CU220" s="187"/>
      <c r="CV220" s="187"/>
      <c r="CW220" s="187"/>
      <c r="CX220" s="187"/>
    </row>
    <row r="221" spans="1:102" ht="12.75" customHeight="1" x14ac:dyDescent="0.2">
      <c r="A221" s="187"/>
      <c r="B221" s="127"/>
      <c r="C221" s="187"/>
      <c r="D221" s="127"/>
      <c r="E221" s="187"/>
      <c r="F221" s="187"/>
      <c r="G221" s="187"/>
      <c r="H221" s="187"/>
      <c r="I221" s="187"/>
      <c r="J221" s="187"/>
      <c r="K221" s="187"/>
      <c r="L221" s="187"/>
      <c r="M221" s="187"/>
      <c r="N221" s="187"/>
      <c r="O221" s="187"/>
      <c r="P221" s="187"/>
      <c r="Q221" s="187"/>
      <c r="R221" s="187"/>
      <c r="S221" s="187"/>
      <c r="T221" s="127"/>
      <c r="U221" s="188"/>
      <c r="V221" s="127"/>
      <c r="W221" s="1438"/>
      <c r="X221" s="127"/>
      <c r="Y221" s="127"/>
      <c r="Z221" s="127"/>
      <c r="AA221" s="127"/>
      <c r="AB221" s="127"/>
      <c r="AC221" s="127"/>
      <c r="AD221" s="127"/>
      <c r="AE221" s="127"/>
      <c r="AF221" s="127"/>
      <c r="AG221" s="127"/>
      <c r="AH221" s="127"/>
      <c r="AI221" s="127"/>
      <c r="AJ221" s="127"/>
      <c r="AK221" s="127"/>
      <c r="AL221" s="127"/>
      <c r="AM221" s="127"/>
      <c r="AN221" s="127"/>
      <c r="AO221" s="127"/>
      <c r="AP221" s="127"/>
      <c r="AQ221" s="127"/>
      <c r="AR221" s="127"/>
      <c r="AS221" s="127"/>
      <c r="AT221" s="127"/>
      <c r="AU221" s="127"/>
      <c r="AV221" s="127"/>
      <c r="AW221" s="127"/>
      <c r="AX221" s="127"/>
      <c r="AY221" s="127"/>
      <c r="AZ221" s="127"/>
      <c r="BA221" s="127"/>
      <c r="BB221" s="127"/>
      <c r="BC221" s="127"/>
      <c r="BD221" s="127"/>
      <c r="BE221" s="127"/>
      <c r="BF221" s="127"/>
      <c r="BG221" s="127"/>
      <c r="BH221" s="127"/>
      <c r="BI221" s="127"/>
      <c r="BJ221" s="127"/>
      <c r="BK221" s="127"/>
      <c r="BL221" s="127"/>
      <c r="BM221" s="127"/>
      <c r="BN221" s="127"/>
      <c r="BO221" s="127"/>
      <c r="BP221" s="127"/>
      <c r="BQ221" s="127"/>
      <c r="BR221" s="127"/>
      <c r="BS221" s="127"/>
      <c r="BT221" s="127"/>
      <c r="BU221" s="127"/>
      <c r="BV221" s="127"/>
      <c r="BW221" s="127"/>
      <c r="BX221" s="127"/>
      <c r="BY221" s="127"/>
      <c r="BZ221" s="127"/>
      <c r="CA221" s="127"/>
      <c r="CB221" s="187"/>
      <c r="CC221" s="189"/>
      <c r="CD221" s="188"/>
      <c r="CE221" s="127"/>
      <c r="CF221" s="190"/>
      <c r="CG221" s="190"/>
      <c r="CH221" s="187"/>
      <c r="CI221" s="187"/>
      <c r="CJ221" s="187"/>
      <c r="CK221" s="187"/>
      <c r="CL221" s="187"/>
      <c r="CM221" s="187"/>
      <c r="CN221" s="187"/>
      <c r="CO221" s="127"/>
      <c r="CP221" s="127"/>
      <c r="CQ221" s="187"/>
      <c r="CR221" s="187"/>
      <c r="CS221" s="187"/>
      <c r="CT221" s="187"/>
      <c r="CU221" s="187"/>
      <c r="CV221" s="187"/>
      <c r="CW221" s="187"/>
      <c r="CX221" s="187"/>
    </row>
    <row r="222" spans="1:102" ht="12.75" customHeight="1" x14ac:dyDescent="0.2">
      <c r="A222" s="187"/>
      <c r="B222" s="127"/>
      <c r="C222" s="187"/>
      <c r="D222" s="127"/>
      <c r="E222" s="187"/>
      <c r="F222" s="187"/>
      <c r="G222" s="187"/>
      <c r="H222" s="187"/>
      <c r="I222" s="187"/>
      <c r="J222" s="187"/>
      <c r="K222" s="187"/>
      <c r="L222" s="187"/>
      <c r="M222" s="187"/>
      <c r="N222" s="187"/>
      <c r="O222" s="187"/>
      <c r="P222" s="187"/>
      <c r="Q222" s="187"/>
      <c r="R222" s="187"/>
      <c r="S222" s="187"/>
      <c r="T222" s="127"/>
      <c r="U222" s="188"/>
      <c r="V222" s="127"/>
      <c r="W222" s="1438"/>
      <c r="X222" s="127"/>
      <c r="Y222" s="127"/>
      <c r="Z222" s="127"/>
      <c r="AA222" s="127"/>
      <c r="AB222" s="127"/>
      <c r="AC222" s="127"/>
      <c r="AD222" s="127"/>
      <c r="AE222" s="127"/>
      <c r="AF222" s="127"/>
      <c r="AG222" s="127"/>
      <c r="AH222" s="127"/>
      <c r="AI222" s="127"/>
      <c r="AJ222" s="127"/>
      <c r="AK222" s="127"/>
      <c r="AL222" s="127"/>
      <c r="AM222" s="127"/>
      <c r="AN222" s="127"/>
      <c r="AO222" s="127"/>
      <c r="AP222" s="127"/>
      <c r="AQ222" s="127"/>
      <c r="AR222" s="127"/>
      <c r="AS222" s="127"/>
      <c r="AT222" s="127"/>
      <c r="AU222" s="127"/>
      <c r="AV222" s="127"/>
      <c r="AW222" s="127"/>
      <c r="AX222" s="127"/>
      <c r="AY222" s="127"/>
      <c r="AZ222" s="127"/>
      <c r="BA222" s="127"/>
      <c r="BB222" s="127"/>
      <c r="BC222" s="127"/>
      <c r="BD222" s="127"/>
      <c r="BE222" s="127"/>
      <c r="BF222" s="127"/>
      <c r="BG222" s="127"/>
      <c r="BH222" s="127"/>
      <c r="BI222" s="127"/>
      <c r="BJ222" s="127"/>
      <c r="BK222" s="127"/>
      <c r="BL222" s="127"/>
      <c r="BM222" s="127"/>
      <c r="BN222" s="127"/>
      <c r="BO222" s="127"/>
      <c r="BP222" s="127"/>
      <c r="BQ222" s="127"/>
      <c r="BR222" s="127"/>
      <c r="BS222" s="127"/>
      <c r="BT222" s="127"/>
      <c r="BU222" s="127"/>
      <c r="BV222" s="127"/>
      <c r="BW222" s="127"/>
      <c r="BX222" s="127"/>
      <c r="BY222" s="127"/>
      <c r="BZ222" s="127"/>
      <c r="CA222" s="127"/>
      <c r="CB222" s="187"/>
      <c r="CC222" s="189"/>
      <c r="CD222" s="188"/>
      <c r="CE222" s="127"/>
      <c r="CF222" s="190"/>
      <c r="CG222" s="190"/>
      <c r="CH222" s="187"/>
      <c r="CI222" s="187"/>
      <c r="CJ222" s="187"/>
      <c r="CK222" s="187"/>
      <c r="CL222" s="187"/>
      <c r="CM222" s="187"/>
      <c r="CN222" s="187"/>
      <c r="CO222" s="127"/>
      <c r="CP222" s="127"/>
      <c r="CQ222" s="187"/>
      <c r="CR222" s="187"/>
      <c r="CS222" s="187"/>
      <c r="CT222" s="187"/>
      <c r="CU222" s="187"/>
      <c r="CV222" s="187"/>
      <c r="CW222" s="187"/>
      <c r="CX222" s="187"/>
    </row>
    <row r="223" spans="1:102" ht="12.75" customHeight="1" x14ac:dyDescent="0.2">
      <c r="A223" s="187"/>
      <c r="B223" s="127"/>
      <c r="C223" s="187"/>
      <c r="D223" s="127"/>
      <c r="E223" s="187"/>
      <c r="F223" s="187"/>
      <c r="G223" s="187"/>
      <c r="H223" s="187"/>
      <c r="I223" s="187"/>
      <c r="J223" s="187"/>
      <c r="K223" s="187"/>
      <c r="L223" s="187"/>
      <c r="M223" s="187"/>
      <c r="N223" s="187"/>
      <c r="O223" s="187"/>
      <c r="P223" s="187"/>
      <c r="Q223" s="187"/>
      <c r="R223" s="187"/>
      <c r="S223" s="187"/>
      <c r="T223" s="127"/>
      <c r="U223" s="188"/>
      <c r="V223" s="127"/>
      <c r="W223" s="1438"/>
      <c r="X223" s="127"/>
      <c r="Y223" s="127"/>
      <c r="Z223" s="127"/>
      <c r="AA223" s="127"/>
      <c r="AB223" s="127"/>
      <c r="AC223" s="127"/>
      <c r="AD223" s="127"/>
      <c r="AE223" s="127"/>
      <c r="AF223" s="127"/>
      <c r="AG223" s="127"/>
      <c r="AH223" s="127"/>
      <c r="AI223" s="127"/>
      <c r="AJ223" s="127"/>
      <c r="AK223" s="127"/>
      <c r="AL223" s="127"/>
      <c r="AM223" s="127"/>
      <c r="AN223" s="127"/>
      <c r="AO223" s="127"/>
      <c r="AP223" s="127"/>
      <c r="AQ223" s="127"/>
      <c r="AR223" s="127"/>
      <c r="AS223" s="127"/>
      <c r="AT223" s="127"/>
      <c r="AU223" s="127"/>
      <c r="AV223" s="127"/>
      <c r="AW223" s="127"/>
      <c r="AX223" s="127"/>
      <c r="AY223" s="127"/>
      <c r="AZ223" s="127"/>
      <c r="BA223" s="127"/>
      <c r="BB223" s="127"/>
      <c r="BC223" s="127"/>
      <c r="BD223" s="127"/>
      <c r="BE223" s="127"/>
      <c r="BF223" s="127"/>
      <c r="BG223" s="127"/>
      <c r="BH223" s="127"/>
      <c r="BI223" s="127"/>
      <c r="BJ223" s="127"/>
      <c r="BK223" s="127"/>
      <c r="BL223" s="127"/>
      <c r="BM223" s="127"/>
      <c r="BN223" s="127"/>
      <c r="BO223" s="127"/>
      <c r="BP223" s="127"/>
      <c r="BQ223" s="127"/>
      <c r="BR223" s="127"/>
      <c r="BS223" s="127"/>
      <c r="BT223" s="127"/>
      <c r="BU223" s="127"/>
      <c r="BV223" s="127"/>
      <c r="BW223" s="127"/>
      <c r="BX223" s="127"/>
      <c r="BY223" s="127"/>
      <c r="BZ223" s="127"/>
      <c r="CA223" s="127"/>
      <c r="CB223" s="187"/>
      <c r="CC223" s="189"/>
      <c r="CD223" s="188"/>
      <c r="CE223" s="127"/>
      <c r="CF223" s="190"/>
      <c r="CG223" s="190"/>
      <c r="CH223" s="187"/>
      <c r="CI223" s="187"/>
      <c r="CJ223" s="187"/>
      <c r="CK223" s="187"/>
      <c r="CL223" s="187"/>
      <c r="CM223" s="187"/>
      <c r="CN223" s="187"/>
      <c r="CO223" s="127"/>
      <c r="CP223" s="127"/>
      <c r="CQ223" s="187"/>
      <c r="CR223" s="187"/>
      <c r="CS223" s="187"/>
      <c r="CT223" s="187"/>
      <c r="CU223" s="187"/>
      <c r="CV223" s="187"/>
      <c r="CW223" s="187"/>
      <c r="CX223" s="187"/>
    </row>
    <row r="224" spans="1:102" ht="12.75" customHeight="1" x14ac:dyDescent="0.2">
      <c r="A224" s="187"/>
      <c r="B224" s="127"/>
      <c r="C224" s="187"/>
      <c r="D224" s="127"/>
      <c r="E224" s="187"/>
      <c r="F224" s="187"/>
      <c r="G224" s="187"/>
      <c r="H224" s="187"/>
      <c r="I224" s="187"/>
      <c r="J224" s="187"/>
      <c r="K224" s="187"/>
      <c r="L224" s="187"/>
      <c r="M224" s="187"/>
      <c r="N224" s="187"/>
      <c r="O224" s="187"/>
      <c r="P224" s="187"/>
      <c r="Q224" s="187"/>
      <c r="R224" s="187"/>
      <c r="S224" s="187"/>
      <c r="T224" s="127"/>
      <c r="U224" s="188"/>
      <c r="V224" s="127"/>
      <c r="W224" s="1438"/>
      <c r="X224" s="127"/>
      <c r="Y224" s="127"/>
      <c r="Z224" s="127"/>
      <c r="AA224" s="127"/>
      <c r="AB224" s="127"/>
      <c r="AC224" s="127"/>
      <c r="AD224" s="127"/>
      <c r="AE224" s="127"/>
      <c r="AF224" s="127"/>
      <c r="AG224" s="127"/>
      <c r="AH224" s="127"/>
      <c r="AI224" s="127"/>
      <c r="AJ224" s="127"/>
      <c r="AK224" s="127"/>
      <c r="AL224" s="127"/>
      <c r="AM224" s="127"/>
      <c r="AN224" s="127"/>
      <c r="AO224" s="127"/>
      <c r="AP224" s="127"/>
      <c r="AQ224" s="127"/>
      <c r="AR224" s="127"/>
      <c r="AS224" s="127"/>
      <c r="AT224" s="127"/>
      <c r="AU224" s="127"/>
      <c r="AV224" s="127"/>
      <c r="AW224" s="127"/>
      <c r="AX224" s="127"/>
      <c r="AY224" s="127"/>
      <c r="AZ224" s="127"/>
      <c r="BA224" s="127"/>
      <c r="BB224" s="127"/>
      <c r="BC224" s="127"/>
      <c r="BD224" s="127"/>
      <c r="BE224" s="127"/>
      <c r="BF224" s="127"/>
      <c r="BG224" s="127"/>
      <c r="BH224" s="127"/>
      <c r="BI224" s="127"/>
      <c r="BJ224" s="127"/>
      <c r="BK224" s="127"/>
      <c r="BL224" s="127"/>
      <c r="BM224" s="127"/>
      <c r="BN224" s="127"/>
      <c r="BO224" s="127"/>
      <c r="BP224" s="127"/>
      <c r="BQ224" s="127"/>
      <c r="BR224" s="127"/>
      <c r="BS224" s="127"/>
      <c r="BT224" s="127"/>
      <c r="BU224" s="127"/>
      <c r="BV224" s="127"/>
      <c r="BW224" s="127"/>
      <c r="BX224" s="127"/>
      <c r="BY224" s="127"/>
      <c r="BZ224" s="127"/>
      <c r="CA224" s="127"/>
      <c r="CB224" s="187"/>
      <c r="CC224" s="189"/>
      <c r="CD224" s="188"/>
      <c r="CE224" s="127"/>
      <c r="CF224" s="190"/>
      <c r="CG224" s="190"/>
      <c r="CH224" s="187"/>
      <c r="CI224" s="187"/>
      <c r="CJ224" s="187"/>
      <c r="CK224" s="187"/>
      <c r="CL224" s="187"/>
      <c r="CM224" s="187"/>
      <c r="CN224" s="187"/>
      <c r="CO224" s="127"/>
      <c r="CP224" s="127"/>
      <c r="CQ224" s="187"/>
      <c r="CR224" s="187"/>
      <c r="CS224" s="187"/>
      <c r="CT224" s="187"/>
      <c r="CU224" s="187"/>
      <c r="CV224" s="187"/>
      <c r="CW224" s="187"/>
      <c r="CX224" s="187"/>
    </row>
    <row r="225" spans="1:102" ht="12.75" customHeight="1" x14ac:dyDescent="0.2">
      <c r="A225" s="187"/>
      <c r="B225" s="127"/>
      <c r="C225" s="187"/>
      <c r="D225" s="127"/>
      <c r="E225" s="187"/>
      <c r="F225" s="187"/>
      <c r="G225" s="187"/>
      <c r="H225" s="187"/>
      <c r="I225" s="187"/>
      <c r="J225" s="187"/>
      <c r="K225" s="187"/>
      <c r="L225" s="187"/>
      <c r="M225" s="187"/>
      <c r="N225" s="187"/>
      <c r="O225" s="187"/>
      <c r="P225" s="187"/>
      <c r="Q225" s="187"/>
      <c r="R225" s="187"/>
      <c r="S225" s="187"/>
      <c r="T225" s="127"/>
      <c r="U225" s="188"/>
      <c r="V225" s="127"/>
      <c r="W225" s="1438"/>
      <c r="X225" s="127"/>
      <c r="Y225" s="127"/>
      <c r="Z225" s="127"/>
      <c r="AA225" s="127"/>
      <c r="AB225" s="127"/>
      <c r="AC225" s="127"/>
      <c r="AD225" s="127"/>
      <c r="AE225" s="127"/>
      <c r="AF225" s="127"/>
      <c r="AG225" s="127"/>
      <c r="AH225" s="127"/>
      <c r="AI225" s="127"/>
      <c r="AJ225" s="127"/>
      <c r="AK225" s="127"/>
      <c r="AL225" s="127"/>
      <c r="AM225" s="127"/>
      <c r="AN225" s="127"/>
      <c r="AO225" s="127"/>
      <c r="AP225" s="127"/>
      <c r="AQ225" s="127"/>
      <c r="AR225" s="127"/>
      <c r="AS225" s="127"/>
      <c r="AT225" s="127"/>
      <c r="AU225" s="127"/>
      <c r="AV225" s="127"/>
      <c r="AW225" s="127"/>
      <c r="AX225" s="127"/>
      <c r="AY225" s="127"/>
      <c r="AZ225" s="127"/>
      <c r="BA225" s="127"/>
      <c r="BB225" s="127"/>
      <c r="BC225" s="127"/>
      <c r="BD225" s="127"/>
      <c r="BE225" s="127"/>
      <c r="BF225" s="127"/>
      <c r="BG225" s="127"/>
      <c r="BH225" s="127"/>
      <c r="BI225" s="127"/>
      <c r="BJ225" s="127"/>
      <c r="BK225" s="127"/>
      <c r="BL225" s="127"/>
      <c r="BM225" s="127"/>
      <c r="BN225" s="127"/>
      <c r="BO225" s="127"/>
      <c r="BP225" s="127"/>
      <c r="BQ225" s="127"/>
      <c r="BR225" s="127"/>
      <c r="BS225" s="127"/>
      <c r="BT225" s="127"/>
      <c r="BU225" s="127"/>
      <c r="BV225" s="127"/>
      <c r="BW225" s="127"/>
      <c r="BX225" s="127"/>
      <c r="BY225" s="127"/>
      <c r="BZ225" s="127"/>
      <c r="CA225" s="127"/>
      <c r="CB225" s="187"/>
      <c r="CC225" s="189"/>
      <c r="CD225" s="188"/>
      <c r="CE225" s="127"/>
      <c r="CF225" s="190"/>
      <c r="CG225" s="190"/>
      <c r="CH225" s="187"/>
      <c r="CI225" s="187"/>
      <c r="CJ225" s="187"/>
      <c r="CK225" s="187"/>
      <c r="CL225" s="187"/>
      <c r="CM225" s="187"/>
      <c r="CN225" s="187"/>
      <c r="CO225" s="127"/>
      <c r="CP225" s="127"/>
      <c r="CQ225" s="187"/>
      <c r="CR225" s="187"/>
      <c r="CS225" s="187"/>
      <c r="CT225" s="187"/>
      <c r="CU225" s="187"/>
      <c r="CV225" s="187"/>
      <c r="CW225" s="187"/>
      <c r="CX225" s="187"/>
    </row>
    <row r="226" spans="1:102" ht="12.75" customHeight="1" x14ac:dyDescent="0.2">
      <c r="A226" s="187"/>
      <c r="B226" s="127"/>
      <c r="C226" s="187"/>
      <c r="D226" s="127"/>
      <c r="E226" s="187"/>
      <c r="F226" s="187"/>
      <c r="G226" s="187"/>
      <c r="H226" s="187"/>
      <c r="I226" s="187"/>
      <c r="J226" s="187"/>
      <c r="K226" s="187"/>
      <c r="L226" s="187"/>
      <c r="M226" s="187"/>
      <c r="N226" s="187"/>
      <c r="O226" s="187"/>
      <c r="P226" s="187"/>
      <c r="Q226" s="187"/>
      <c r="R226" s="187"/>
      <c r="S226" s="187"/>
      <c r="T226" s="127"/>
      <c r="U226" s="188"/>
      <c r="V226" s="127"/>
      <c r="W226" s="1438"/>
      <c r="X226" s="127"/>
      <c r="Y226" s="127"/>
      <c r="Z226" s="127"/>
      <c r="AA226" s="127"/>
      <c r="AB226" s="127"/>
      <c r="AC226" s="127"/>
      <c r="AD226" s="127"/>
      <c r="AE226" s="127"/>
      <c r="AF226" s="127"/>
      <c r="AG226" s="127"/>
      <c r="AH226" s="127"/>
      <c r="AI226" s="127"/>
      <c r="AJ226" s="127"/>
      <c r="AK226" s="127"/>
      <c r="AL226" s="127"/>
      <c r="AM226" s="127"/>
      <c r="AN226" s="127"/>
      <c r="AO226" s="127"/>
      <c r="AP226" s="127"/>
      <c r="AQ226" s="127"/>
      <c r="AR226" s="127"/>
      <c r="AS226" s="127"/>
      <c r="AT226" s="127"/>
      <c r="AU226" s="127"/>
      <c r="AV226" s="127"/>
      <c r="AW226" s="127"/>
      <c r="AX226" s="127"/>
      <c r="AY226" s="127"/>
      <c r="AZ226" s="127"/>
      <c r="BA226" s="127"/>
      <c r="BB226" s="127"/>
      <c r="BC226" s="127"/>
      <c r="BD226" s="127"/>
      <c r="BE226" s="127"/>
      <c r="BF226" s="127"/>
      <c r="BG226" s="127"/>
      <c r="BH226" s="127"/>
      <c r="BI226" s="127"/>
      <c r="BJ226" s="127"/>
      <c r="BK226" s="127"/>
      <c r="BL226" s="127"/>
      <c r="BM226" s="127"/>
      <c r="BN226" s="127"/>
      <c r="BO226" s="127"/>
      <c r="BP226" s="127"/>
      <c r="BQ226" s="127"/>
      <c r="BR226" s="127"/>
      <c r="BS226" s="127"/>
      <c r="BT226" s="127"/>
      <c r="BU226" s="127"/>
      <c r="BV226" s="127"/>
      <c r="BW226" s="127"/>
      <c r="BX226" s="127"/>
      <c r="BY226" s="127"/>
      <c r="BZ226" s="127"/>
      <c r="CA226" s="127"/>
      <c r="CB226" s="187"/>
      <c r="CC226" s="189"/>
      <c r="CD226" s="188"/>
      <c r="CE226" s="127"/>
      <c r="CF226" s="190"/>
      <c r="CG226" s="190"/>
      <c r="CH226" s="187"/>
      <c r="CI226" s="187"/>
      <c r="CJ226" s="187"/>
      <c r="CK226" s="187"/>
      <c r="CL226" s="187"/>
      <c r="CM226" s="187"/>
      <c r="CN226" s="187"/>
      <c r="CO226" s="127"/>
      <c r="CP226" s="127"/>
      <c r="CQ226" s="187"/>
      <c r="CR226" s="187"/>
      <c r="CS226" s="187"/>
      <c r="CT226" s="187"/>
      <c r="CU226" s="187"/>
      <c r="CV226" s="187"/>
      <c r="CW226" s="187"/>
      <c r="CX226" s="187"/>
    </row>
    <row r="227" spans="1:102" ht="12.75" customHeight="1" x14ac:dyDescent="0.2">
      <c r="A227" s="187"/>
      <c r="B227" s="127"/>
      <c r="C227" s="187"/>
      <c r="D227" s="127"/>
      <c r="E227" s="187"/>
      <c r="F227" s="187"/>
      <c r="G227" s="187"/>
      <c r="H227" s="187"/>
      <c r="I227" s="187"/>
      <c r="J227" s="187"/>
      <c r="K227" s="187"/>
      <c r="L227" s="187"/>
      <c r="M227" s="187"/>
      <c r="N227" s="187"/>
      <c r="O227" s="187"/>
      <c r="P227" s="187"/>
      <c r="Q227" s="187"/>
      <c r="R227" s="187"/>
      <c r="S227" s="187"/>
      <c r="T227" s="127"/>
      <c r="U227" s="188"/>
      <c r="V227" s="127"/>
      <c r="W227" s="1438"/>
      <c r="X227" s="127"/>
      <c r="Y227" s="127"/>
      <c r="Z227" s="127"/>
      <c r="AA227" s="127"/>
      <c r="AB227" s="127"/>
      <c r="AC227" s="127"/>
      <c r="AD227" s="127"/>
      <c r="AE227" s="127"/>
      <c r="AF227" s="127"/>
      <c r="AG227" s="127"/>
      <c r="AH227" s="127"/>
      <c r="AI227" s="127"/>
      <c r="AJ227" s="127"/>
      <c r="AK227" s="127"/>
      <c r="AL227" s="127"/>
      <c r="AM227" s="127"/>
      <c r="AN227" s="127"/>
      <c r="AO227" s="127"/>
      <c r="AP227" s="127"/>
      <c r="AQ227" s="127"/>
      <c r="AR227" s="127"/>
      <c r="AS227" s="127"/>
      <c r="AT227" s="127"/>
      <c r="AU227" s="127"/>
      <c r="AV227" s="127"/>
      <c r="AW227" s="127"/>
      <c r="AX227" s="127"/>
      <c r="AY227" s="127"/>
      <c r="AZ227" s="127"/>
      <c r="BA227" s="127"/>
      <c r="BB227" s="127"/>
      <c r="BC227" s="127"/>
      <c r="BD227" s="127"/>
      <c r="BE227" s="127"/>
      <c r="BF227" s="127"/>
      <c r="BG227" s="127"/>
      <c r="BH227" s="127"/>
      <c r="BI227" s="127"/>
      <c r="BJ227" s="127"/>
      <c r="BK227" s="127"/>
      <c r="BL227" s="127"/>
      <c r="BM227" s="127"/>
      <c r="BN227" s="127"/>
      <c r="BO227" s="127"/>
      <c r="BP227" s="127"/>
      <c r="BQ227" s="127"/>
      <c r="BR227" s="127"/>
      <c r="BS227" s="127"/>
      <c r="BT227" s="127"/>
      <c r="BU227" s="127"/>
      <c r="BV227" s="127"/>
      <c r="BW227" s="127"/>
      <c r="BX227" s="127"/>
      <c r="BY227" s="127"/>
      <c r="BZ227" s="127"/>
      <c r="CA227" s="127"/>
      <c r="CB227" s="187"/>
      <c r="CC227" s="189"/>
      <c r="CD227" s="188"/>
      <c r="CE227" s="127"/>
      <c r="CF227" s="190"/>
      <c r="CG227" s="190"/>
      <c r="CH227" s="187"/>
      <c r="CI227" s="187"/>
      <c r="CJ227" s="187"/>
      <c r="CK227" s="187"/>
      <c r="CL227" s="187"/>
      <c r="CM227" s="187"/>
      <c r="CN227" s="187"/>
      <c r="CO227" s="127"/>
      <c r="CP227" s="127"/>
      <c r="CQ227" s="187"/>
      <c r="CR227" s="187"/>
      <c r="CS227" s="187"/>
      <c r="CT227" s="187"/>
      <c r="CU227" s="187"/>
      <c r="CV227" s="187"/>
      <c r="CW227" s="187"/>
      <c r="CX227" s="187"/>
    </row>
    <row r="228" spans="1:102" ht="12.75" customHeight="1" x14ac:dyDescent="0.2">
      <c r="A228" s="187"/>
      <c r="B228" s="127"/>
      <c r="C228" s="187"/>
      <c r="D228" s="127"/>
      <c r="E228" s="187"/>
      <c r="F228" s="187"/>
      <c r="G228" s="187"/>
      <c r="H228" s="187"/>
      <c r="I228" s="187"/>
      <c r="J228" s="187"/>
      <c r="K228" s="187"/>
      <c r="L228" s="187"/>
      <c r="M228" s="187"/>
      <c r="N228" s="187"/>
      <c r="O228" s="187"/>
      <c r="P228" s="187"/>
      <c r="Q228" s="187"/>
      <c r="R228" s="187"/>
      <c r="S228" s="187"/>
      <c r="T228" s="127"/>
      <c r="U228" s="188"/>
      <c r="V228" s="127"/>
      <c r="W228" s="1438"/>
      <c r="X228" s="127"/>
      <c r="Y228" s="127"/>
      <c r="Z228" s="127"/>
      <c r="AA228" s="127"/>
      <c r="AB228" s="127"/>
      <c r="AC228" s="127"/>
      <c r="AD228" s="127"/>
      <c r="AE228" s="127"/>
      <c r="AF228" s="127"/>
      <c r="AG228" s="127"/>
      <c r="AH228" s="127"/>
      <c r="AI228" s="127"/>
      <c r="AJ228" s="127"/>
      <c r="AK228" s="127"/>
      <c r="AL228" s="127"/>
      <c r="AM228" s="127"/>
      <c r="AN228" s="127"/>
      <c r="AO228" s="127"/>
      <c r="AP228" s="127"/>
      <c r="AQ228" s="127"/>
      <c r="AR228" s="127"/>
      <c r="AS228" s="127"/>
      <c r="AT228" s="127"/>
      <c r="AU228" s="127"/>
      <c r="AV228" s="127"/>
      <c r="AW228" s="127"/>
      <c r="AX228" s="127"/>
      <c r="AY228" s="127"/>
      <c r="AZ228" s="127"/>
      <c r="BA228" s="127"/>
      <c r="BB228" s="127"/>
      <c r="BC228" s="127"/>
      <c r="BD228" s="127"/>
      <c r="BE228" s="127"/>
      <c r="BF228" s="127"/>
      <c r="BG228" s="127"/>
      <c r="BH228" s="127"/>
      <c r="BI228" s="127"/>
      <c r="BJ228" s="127"/>
      <c r="BK228" s="127"/>
      <c r="BL228" s="127"/>
      <c r="BM228" s="127"/>
      <c r="BN228" s="127"/>
      <c r="BO228" s="127"/>
      <c r="BP228" s="127"/>
      <c r="BQ228" s="127"/>
      <c r="BR228" s="127"/>
      <c r="BS228" s="127"/>
      <c r="BT228" s="127"/>
      <c r="BU228" s="127"/>
      <c r="BV228" s="127"/>
      <c r="BW228" s="127"/>
      <c r="BX228" s="127"/>
      <c r="BY228" s="127"/>
      <c r="BZ228" s="127"/>
      <c r="CA228" s="127"/>
      <c r="CB228" s="187"/>
      <c r="CC228" s="189"/>
      <c r="CD228" s="188"/>
      <c r="CE228" s="127"/>
      <c r="CF228" s="190"/>
      <c r="CG228" s="190"/>
      <c r="CH228" s="187"/>
      <c r="CI228" s="187"/>
      <c r="CJ228" s="187"/>
      <c r="CK228" s="187"/>
      <c r="CL228" s="187"/>
      <c r="CM228" s="187"/>
      <c r="CN228" s="187"/>
      <c r="CO228" s="127"/>
      <c r="CP228" s="127"/>
      <c r="CQ228" s="187"/>
      <c r="CR228" s="187"/>
      <c r="CS228" s="187"/>
      <c r="CT228" s="187"/>
      <c r="CU228" s="187"/>
      <c r="CV228" s="187"/>
      <c r="CW228" s="187"/>
      <c r="CX228" s="187"/>
    </row>
    <row r="229" spans="1:102" ht="12.75" customHeight="1" x14ac:dyDescent="0.2">
      <c r="A229" s="187"/>
      <c r="B229" s="127"/>
      <c r="C229" s="187"/>
      <c r="D229" s="127"/>
      <c r="E229" s="187"/>
      <c r="F229" s="187"/>
      <c r="G229" s="187"/>
      <c r="H229" s="187"/>
      <c r="I229" s="187"/>
      <c r="J229" s="187"/>
      <c r="K229" s="187"/>
      <c r="L229" s="187"/>
      <c r="M229" s="187"/>
      <c r="N229" s="187"/>
      <c r="O229" s="187"/>
      <c r="P229" s="187"/>
      <c r="Q229" s="187"/>
      <c r="R229" s="187"/>
      <c r="S229" s="187"/>
      <c r="T229" s="127"/>
      <c r="U229" s="188"/>
      <c r="V229" s="127"/>
      <c r="W229" s="1438"/>
      <c r="X229" s="127"/>
      <c r="Y229" s="127"/>
      <c r="Z229" s="127"/>
      <c r="AA229" s="127"/>
      <c r="AB229" s="127"/>
      <c r="AC229" s="127"/>
      <c r="AD229" s="127"/>
      <c r="AE229" s="127"/>
      <c r="AF229" s="127"/>
      <c r="AG229" s="127"/>
      <c r="AH229" s="127"/>
      <c r="AI229" s="127"/>
      <c r="AJ229" s="127"/>
      <c r="AK229" s="127"/>
      <c r="AL229" s="127"/>
      <c r="AM229" s="127"/>
      <c r="AN229" s="127"/>
      <c r="AO229" s="127"/>
      <c r="AP229" s="127"/>
      <c r="AQ229" s="127"/>
      <c r="AR229" s="127"/>
      <c r="AS229" s="127"/>
      <c r="AT229" s="127"/>
      <c r="AU229" s="127"/>
      <c r="AV229" s="127"/>
      <c r="AW229" s="127"/>
      <c r="AX229" s="127"/>
      <c r="AY229" s="127"/>
      <c r="AZ229" s="127"/>
      <c r="BA229" s="127"/>
      <c r="BB229" s="127"/>
      <c r="BC229" s="127"/>
      <c r="BD229" s="127"/>
      <c r="BE229" s="127"/>
      <c r="BF229" s="127"/>
      <c r="BG229" s="127"/>
      <c r="BH229" s="127"/>
      <c r="BI229" s="127"/>
      <c r="BJ229" s="127"/>
      <c r="BK229" s="127"/>
      <c r="BL229" s="127"/>
      <c r="BM229" s="127"/>
      <c r="BN229" s="127"/>
      <c r="BO229" s="127"/>
      <c r="BP229" s="127"/>
      <c r="BQ229" s="127"/>
      <c r="BR229" s="127"/>
      <c r="BS229" s="127"/>
      <c r="BT229" s="127"/>
      <c r="BU229" s="127"/>
      <c r="BV229" s="127"/>
      <c r="BW229" s="127"/>
      <c r="BX229" s="127"/>
      <c r="BY229" s="127"/>
      <c r="BZ229" s="127"/>
      <c r="CA229" s="127"/>
      <c r="CB229" s="187"/>
      <c r="CC229" s="189"/>
      <c r="CD229" s="188"/>
      <c r="CE229" s="127"/>
      <c r="CF229" s="190"/>
      <c r="CG229" s="190"/>
      <c r="CH229" s="187"/>
      <c r="CI229" s="187"/>
      <c r="CJ229" s="187"/>
      <c r="CK229" s="187"/>
      <c r="CL229" s="187"/>
      <c r="CM229" s="187"/>
      <c r="CN229" s="187"/>
      <c r="CO229" s="127"/>
      <c r="CP229" s="127"/>
      <c r="CQ229" s="187"/>
      <c r="CR229" s="187"/>
      <c r="CS229" s="187"/>
      <c r="CT229" s="187"/>
      <c r="CU229" s="187"/>
      <c r="CV229" s="187"/>
      <c r="CW229" s="187"/>
      <c r="CX229" s="187"/>
    </row>
    <row r="230" spans="1:102" ht="12.75" customHeight="1" x14ac:dyDescent="0.2">
      <c r="A230" s="187"/>
      <c r="B230" s="127"/>
      <c r="C230" s="187"/>
      <c r="D230" s="127"/>
      <c r="E230" s="187"/>
      <c r="F230" s="187"/>
      <c r="G230" s="187"/>
      <c r="H230" s="187"/>
      <c r="I230" s="187"/>
      <c r="J230" s="187"/>
      <c r="K230" s="187"/>
      <c r="L230" s="187"/>
      <c r="M230" s="187"/>
      <c r="N230" s="187"/>
      <c r="O230" s="187"/>
      <c r="P230" s="187"/>
      <c r="Q230" s="187"/>
      <c r="R230" s="187"/>
      <c r="S230" s="187"/>
      <c r="T230" s="127"/>
      <c r="U230" s="188"/>
      <c r="V230" s="127"/>
      <c r="W230" s="1438"/>
      <c r="X230" s="127"/>
      <c r="Y230" s="127"/>
      <c r="Z230" s="127"/>
      <c r="AA230" s="127"/>
      <c r="AB230" s="127"/>
      <c r="AC230" s="127"/>
      <c r="AD230" s="127"/>
      <c r="AE230" s="127"/>
      <c r="AF230" s="127"/>
      <c r="AG230" s="127"/>
      <c r="AH230" s="127"/>
      <c r="AI230" s="127"/>
      <c r="AJ230" s="127"/>
      <c r="AK230" s="127"/>
      <c r="AL230" s="127"/>
      <c r="AM230" s="127"/>
      <c r="AN230" s="127"/>
      <c r="AO230" s="127"/>
      <c r="AP230" s="127"/>
      <c r="AQ230" s="127"/>
      <c r="AR230" s="127"/>
      <c r="AS230" s="127"/>
      <c r="AT230" s="127"/>
      <c r="AU230" s="127"/>
      <c r="AV230" s="127"/>
      <c r="AW230" s="127"/>
      <c r="AX230" s="127"/>
      <c r="AY230" s="127"/>
      <c r="AZ230" s="127"/>
      <c r="BA230" s="127"/>
      <c r="BB230" s="127"/>
      <c r="BC230" s="127"/>
      <c r="BD230" s="127"/>
      <c r="BE230" s="127"/>
      <c r="BF230" s="127"/>
      <c r="BG230" s="127"/>
      <c r="BH230" s="127"/>
      <c r="BI230" s="127"/>
      <c r="BJ230" s="127"/>
      <c r="BK230" s="127"/>
      <c r="BL230" s="127"/>
      <c r="BM230" s="127"/>
      <c r="BN230" s="127"/>
      <c r="BO230" s="127"/>
      <c r="BP230" s="127"/>
      <c r="BQ230" s="127"/>
      <c r="BR230" s="127"/>
      <c r="BS230" s="127"/>
      <c r="BT230" s="127"/>
      <c r="BU230" s="127"/>
      <c r="BV230" s="127"/>
      <c r="BW230" s="127"/>
      <c r="BX230" s="127"/>
      <c r="BY230" s="127"/>
      <c r="BZ230" s="127"/>
      <c r="CA230" s="127"/>
      <c r="CB230" s="187"/>
      <c r="CC230" s="189"/>
      <c r="CD230" s="188"/>
      <c r="CE230" s="127"/>
      <c r="CF230" s="190"/>
      <c r="CG230" s="190"/>
      <c r="CH230" s="187"/>
      <c r="CI230" s="187"/>
      <c r="CJ230" s="187"/>
      <c r="CK230" s="187"/>
      <c r="CL230" s="187"/>
      <c r="CM230" s="187"/>
      <c r="CN230" s="187"/>
      <c r="CO230" s="127"/>
      <c r="CP230" s="127"/>
      <c r="CQ230" s="187"/>
      <c r="CR230" s="187"/>
      <c r="CS230" s="187"/>
      <c r="CT230" s="187"/>
      <c r="CU230" s="187"/>
      <c r="CV230" s="187"/>
      <c r="CW230" s="187"/>
      <c r="CX230" s="187"/>
    </row>
    <row r="231" spans="1:102" ht="12.75" customHeight="1" x14ac:dyDescent="0.2">
      <c r="A231" s="187"/>
      <c r="B231" s="127"/>
      <c r="C231" s="187"/>
      <c r="D231" s="127"/>
      <c r="E231" s="187"/>
      <c r="F231" s="187"/>
      <c r="G231" s="187"/>
      <c r="H231" s="187"/>
      <c r="I231" s="187"/>
      <c r="J231" s="187"/>
      <c r="K231" s="187"/>
      <c r="L231" s="187"/>
      <c r="M231" s="187"/>
      <c r="N231" s="187"/>
      <c r="O231" s="187"/>
      <c r="P231" s="187"/>
      <c r="Q231" s="187"/>
      <c r="R231" s="187"/>
      <c r="S231" s="187"/>
      <c r="T231" s="127"/>
      <c r="U231" s="188"/>
      <c r="V231" s="127"/>
      <c r="W231" s="1438"/>
      <c r="X231" s="127"/>
      <c r="Y231" s="127"/>
      <c r="Z231" s="127"/>
      <c r="AA231" s="127"/>
      <c r="AB231" s="127"/>
      <c r="AC231" s="127"/>
      <c r="AD231" s="127"/>
      <c r="AE231" s="127"/>
      <c r="AF231" s="127"/>
      <c r="AG231" s="127"/>
      <c r="AH231" s="127"/>
      <c r="AI231" s="127"/>
      <c r="AJ231" s="127"/>
      <c r="AK231" s="127"/>
      <c r="AL231" s="127"/>
      <c r="AM231" s="127"/>
      <c r="AN231" s="127"/>
      <c r="AO231" s="127"/>
      <c r="AP231" s="127"/>
      <c r="AQ231" s="127"/>
      <c r="AR231" s="127"/>
      <c r="AS231" s="127"/>
      <c r="AT231" s="127"/>
      <c r="AU231" s="127"/>
      <c r="AV231" s="127"/>
      <c r="AW231" s="127"/>
      <c r="AX231" s="127"/>
      <c r="AY231" s="127"/>
      <c r="AZ231" s="127"/>
      <c r="BA231" s="127"/>
      <c r="BB231" s="127"/>
      <c r="BC231" s="127"/>
      <c r="BD231" s="127"/>
      <c r="BE231" s="127"/>
      <c r="BF231" s="127"/>
      <c r="BG231" s="127"/>
      <c r="BH231" s="127"/>
      <c r="BI231" s="127"/>
      <c r="BJ231" s="127"/>
      <c r="BK231" s="127"/>
      <c r="BL231" s="127"/>
      <c r="BM231" s="127"/>
      <c r="BN231" s="127"/>
      <c r="BO231" s="127"/>
      <c r="BP231" s="127"/>
      <c r="BQ231" s="127"/>
      <c r="BR231" s="127"/>
      <c r="BS231" s="127"/>
      <c r="BT231" s="127"/>
      <c r="BU231" s="127"/>
      <c r="BV231" s="127"/>
      <c r="BW231" s="127"/>
      <c r="BX231" s="127"/>
      <c r="BY231" s="127"/>
      <c r="BZ231" s="127"/>
      <c r="CA231" s="127"/>
      <c r="CB231" s="187"/>
      <c r="CC231" s="189"/>
      <c r="CD231" s="188"/>
      <c r="CE231" s="127"/>
      <c r="CF231" s="190"/>
      <c r="CG231" s="190"/>
      <c r="CH231" s="187"/>
      <c r="CI231" s="187"/>
      <c r="CJ231" s="187"/>
      <c r="CK231" s="187"/>
      <c r="CL231" s="187"/>
      <c r="CM231" s="187"/>
      <c r="CN231" s="187"/>
      <c r="CO231" s="127"/>
      <c r="CP231" s="127"/>
      <c r="CQ231" s="187"/>
      <c r="CR231" s="187"/>
      <c r="CS231" s="187"/>
      <c r="CT231" s="187"/>
      <c r="CU231" s="187"/>
      <c r="CV231" s="187"/>
      <c r="CW231" s="187"/>
      <c r="CX231" s="187"/>
    </row>
    <row r="232" spans="1:102" ht="12.75" customHeight="1" x14ac:dyDescent="0.2">
      <c r="A232" s="187"/>
      <c r="B232" s="127"/>
      <c r="C232" s="187"/>
      <c r="D232" s="127"/>
      <c r="E232" s="187"/>
      <c r="F232" s="187"/>
      <c r="G232" s="187"/>
      <c r="H232" s="187"/>
      <c r="I232" s="187"/>
      <c r="J232" s="187"/>
      <c r="K232" s="187"/>
      <c r="L232" s="187"/>
      <c r="M232" s="187"/>
      <c r="N232" s="187"/>
      <c r="O232" s="187"/>
      <c r="P232" s="187"/>
      <c r="Q232" s="187"/>
      <c r="R232" s="187"/>
      <c r="S232" s="187"/>
      <c r="T232" s="127"/>
      <c r="U232" s="188"/>
      <c r="V232" s="127"/>
      <c r="W232" s="1438"/>
      <c r="X232" s="127"/>
      <c r="Y232" s="127"/>
      <c r="Z232" s="127"/>
      <c r="AA232" s="127"/>
      <c r="AB232" s="127"/>
      <c r="AC232" s="127"/>
      <c r="AD232" s="127"/>
      <c r="AE232" s="127"/>
      <c r="AF232" s="127"/>
      <c r="AG232" s="127"/>
      <c r="AH232" s="127"/>
      <c r="AI232" s="127"/>
      <c r="AJ232" s="127"/>
      <c r="AK232" s="127"/>
      <c r="AL232" s="127"/>
      <c r="AM232" s="127"/>
      <c r="AN232" s="127"/>
      <c r="AO232" s="127"/>
      <c r="AP232" s="127"/>
      <c r="AQ232" s="127"/>
      <c r="AR232" s="127"/>
      <c r="AS232" s="127"/>
      <c r="AT232" s="127"/>
      <c r="AU232" s="127"/>
      <c r="AV232" s="127"/>
      <c r="AW232" s="127"/>
      <c r="AX232" s="127"/>
      <c r="AY232" s="127"/>
      <c r="AZ232" s="127"/>
      <c r="BA232" s="127"/>
      <c r="BB232" s="127"/>
      <c r="BC232" s="127"/>
      <c r="BD232" s="127"/>
      <c r="BE232" s="127"/>
      <c r="BF232" s="127"/>
      <c r="BG232" s="127"/>
      <c r="BH232" s="127"/>
      <c r="BI232" s="127"/>
      <c r="BJ232" s="127"/>
      <c r="BK232" s="127"/>
      <c r="BL232" s="127"/>
      <c r="BM232" s="127"/>
      <c r="BN232" s="127"/>
      <c r="BO232" s="127"/>
      <c r="BP232" s="127"/>
      <c r="BQ232" s="127"/>
      <c r="BR232" s="127"/>
      <c r="BS232" s="127"/>
      <c r="BT232" s="127"/>
      <c r="BU232" s="127"/>
      <c r="BV232" s="127"/>
      <c r="BW232" s="127"/>
      <c r="BX232" s="127"/>
      <c r="BY232" s="127"/>
      <c r="BZ232" s="127"/>
      <c r="CA232" s="127"/>
      <c r="CB232" s="187"/>
      <c r="CC232" s="189"/>
      <c r="CD232" s="188"/>
      <c r="CE232" s="127"/>
      <c r="CF232" s="190"/>
      <c r="CG232" s="190"/>
      <c r="CH232" s="187"/>
      <c r="CI232" s="187"/>
      <c r="CJ232" s="187"/>
      <c r="CK232" s="187"/>
      <c r="CL232" s="187"/>
      <c r="CM232" s="187"/>
      <c r="CN232" s="187"/>
      <c r="CO232" s="127"/>
      <c r="CP232" s="127"/>
      <c r="CQ232" s="187"/>
      <c r="CR232" s="187"/>
      <c r="CS232" s="187"/>
      <c r="CT232" s="187"/>
      <c r="CU232" s="187"/>
      <c r="CV232" s="187"/>
      <c r="CW232" s="187"/>
      <c r="CX232" s="187"/>
    </row>
    <row r="233" spans="1:102" ht="12.75" customHeight="1" x14ac:dyDescent="0.2">
      <c r="A233" s="187"/>
      <c r="B233" s="127"/>
      <c r="C233" s="187"/>
      <c r="D233" s="127"/>
      <c r="E233" s="187"/>
      <c r="F233" s="187"/>
      <c r="G233" s="187"/>
      <c r="H233" s="187"/>
      <c r="I233" s="187"/>
      <c r="J233" s="187"/>
      <c r="K233" s="187"/>
      <c r="L233" s="187"/>
      <c r="M233" s="187"/>
      <c r="N233" s="187"/>
      <c r="O233" s="187"/>
      <c r="P233" s="187"/>
      <c r="Q233" s="187"/>
      <c r="R233" s="187"/>
      <c r="S233" s="187"/>
      <c r="T233" s="127"/>
      <c r="U233" s="188"/>
      <c r="V233" s="127"/>
      <c r="W233" s="1438"/>
      <c r="X233" s="127"/>
      <c r="Y233" s="127"/>
      <c r="Z233" s="127"/>
      <c r="AA233" s="127"/>
      <c r="AB233" s="127"/>
      <c r="AC233" s="127"/>
      <c r="AD233" s="127"/>
      <c r="AE233" s="127"/>
      <c r="AF233" s="127"/>
      <c r="AG233" s="127"/>
      <c r="AH233" s="127"/>
      <c r="AI233" s="127"/>
      <c r="AJ233" s="127"/>
      <c r="AK233" s="127"/>
      <c r="AL233" s="127"/>
      <c r="AM233" s="127"/>
      <c r="AN233" s="127"/>
      <c r="AO233" s="127"/>
      <c r="AP233" s="127"/>
      <c r="AQ233" s="127"/>
      <c r="AR233" s="127"/>
      <c r="AS233" s="127"/>
      <c r="AT233" s="127"/>
      <c r="AU233" s="127"/>
      <c r="AV233" s="127"/>
      <c r="AW233" s="127"/>
      <c r="AX233" s="127"/>
      <c r="AY233" s="127"/>
      <c r="AZ233" s="127"/>
      <c r="BA233" s="127"/>
      <c r="BB233" s="127"/>
      <c r="BC233" s="127"/>
      <c r="BD233" s="127"/>
      <c r="BE233" s="127"/>
      <c r="BF233" s="127"/>
      <c r="BG233" s="127"/>
      <c r="BH233" s="127"/>
      <c r="BI233" s="127"/>
      <c r="BJ233" s="127"/>
      <c r="BK233" s="127"/>
      <c r="BL233" s="127"/>
      <c r="BM233" s="127"/>
      <c r="BN233" s="127"/>
      <c r="BO233" s="127"/>
      <c r="BP233" s="127"/>
      <c r="BQ233" s="127"/>
      <c r="BR233" s="127"/>
      <c r="BS233" s="127"/>
      <c r="BT233" s="127"/>
      <c r="BU233" s="127"/>
      <c r="BV233" s="127"/>
      <c r="BW233" s="127"/>
      <c r="BX233" s="127"/>
      <c r="BY233" s="127"/>
      <c r="BZ233" s="127"/>
      <c r="CA233" s="127"/>
      <c r="CB233" s="187"/>
      <c r="CC233" s="189"/>
      <c r="CD233" s="188"/>
      <c r="CE233" s="127"/>
      <c r="CF233" s="190"/>
      <c r="CG233" s="190"/>
      <c r="CH233" s="187"/>
      <c r="CI233" s="187"/>
      <c r="CJ233" s="187"/>
      <c r="CK233" s="187"/>
      <c r="CL233" s="187"/>
      <c r="CM233" s="187"/>
      <c r="CN233" s="187"/>
      <c r="CO233" s="127"/>
      <c r="CP233" s="127"/>
      <c r="CQ233" s="187"/>
      <c r="CR233" s="187"/>
      <c r="CS233" s="187"/>
      <c r="CT233" s="187"/>
      <c r="CU233" s="187"/>
      <c r="CV233" s="187"/>
      <c r="CW233" s="187"/>
      <c r="CX233" s="187"/>
    </row>
    <row r="234" spans="1:102" ht="12.75" customHeight="1" x14ac:dyDescent="0.2">
      <c r="A234" s="187"/>
      <c r="B234" s="127"/>
      <c r="C234" s="187"/>
      <c r="D234" s="127"/>
      <c r="E234" s="187"/>
      <c r="F234" s="187"/>
      <c r="G234" s="187"/>
      <c r="H234" s="187"/>
      <c r="I234" s="187"/>
      <c r="J234" s="187"/>
      <c r="K234" s="187"/>
      <c r="L234" s="187"/>
      <c r="M234" s="187"/>
      <c r="N234" s="187"/>
      <c r="O234" s="187"/>
      <c r="P234" s="187"/>
      <c r="Q234" s="187"/>
      <c r="R234" s="187"/>
      <c r="S234" s="187"/>
      <c r="T234" s="127"/>
      <c r="U234" s="188"/>
      <c r="V234" s="127"/>
      <c r="W234" s="1438"/>
      <c r="X234" s="127"/>
      <c r="Y234" s="127"/>
      <c r="Z234" s="127"/>
      <c r="AA234" s="127"/>
      <c r="AB234" s="127"/>
      <c r="AC234" s="127"/>
      <c r="AD234" s="127"/>
      <c r="AE234" s="127"/>
      <c r="AF234" s="127"/>
      <c r="AG234" s="127"/>
      <c r="AH234" s="127"/>
      <c r="AI234" s="127"/>
      <c r="AJ234" s="127"/>
      <c r="AK234" s="127"/>
      <c r="AL234" s="127"/>
      <c r="AM234" s="127"/>
      <c r="AN234" s="127"/>
      <c r="AO234" s="127"/>
      <c r="AP234" s="127"/>
      <c r="AQ234" s="127"/>
      <c r="AR234" s="127"/>
      <c r="AS234" s="127"/>
      <c r="AT234" s="127"/>
      <c r="AU234" s="127"/>
      <c r="AV234" s="127"/>
      <c r="AW234" s="127"/>
      <c r="AX234" s="127"/>
      <c r="AY234" s="127"/>
      <c r="AZ234" s="127"/>
      <c r="BA234" s="127"/>
      <c r="BB234" s="127"/>
      <c r="BC234" s="127"/>
      <c r="BD234" s="127"/>
      <c r="BE234" s="127"/>
      <c r="BF234" s="127"/>
      <c r="BG234" s="127"/>
      <c r="BH234" s="127"/>
      <c r="BI234" s="127"/>
      <c r="BJ234" s="127"/>
      <c r="BK234" s="127"/>
      <c r="BL234" s="127"/>
      <c r="BM234" s="127"/>
      <c r="BN234" s="127"/>
      <c r="BO234" s="127"/>
      <c r="BP234" s="127"/>
      <c r="BQ234" s="127"/>
      <c r="BR234" s="127"/>
      <c r="BS234" s="127"/>
      <c r="BT234" s="127"/>
      <c r="BU234" s="127"/>
      <c r="BV234" s="127"/>
      <c r="BW234" s="127"/>
      <c r="BX234" s="127"/>
      <c r="BY234" s="127"/>
      <c r="BZ234" s="127"/>
      <c r="CA234" s="127"/>
      <c r="CB234" s="187"/>
      <c r="CC234" s="189"/>
      <c r="CD234" s="188"/>
      <c r="CE234" s="127"/>
      <c r="CF234" s="190"/>
      <c r="CG234" s="190"/>
      <c r="CH234" s="187"/>
      <c r="CI234" s="187"/>
      <c r="CJ234" s="187"/>
      <c r="CK234" s="187"/>
      <c r="CL234" s="187"/>
      <c r="CM234" s="187"/>
      <c r="CN234" s="187"/>
      <c r="CO234" s="127"/>
      <c r="CP234" s="127"/>
      <c r="CQ234" s="187"/>
      <c r="CR234" s="187"/>
      <c r="CS234" s="187"/>
      <c r="CT234" s="187"/>
      <c r="CU234" s="187"/>
      <c r="CV234" s="187"/>
      <c r="CW234" s="187"/>
      <c r="CX234" s="187"/>
    </row>
    <row r="235" spans="1:102" ht="12.75" customHeight="1" x14ac:dyDescent="0.2">
      <c r="A235" s="187"/>
      <c r="B235" s="127"/>
      <c r="C235" s="187"/>
      <c r="D235" s="127"/>
      <c r="E235" s="187"/>
      <c r="F235" s="187"/>
      <c r="G235" s="187"/>
      <c r="H235" s="187"/>
      <c r="I235" s="187"/>
      <c r="J235" s="187"/>
      <c r="K235" s="187"/>
      <c r="L235" s="187"/>
      <c r="M235" s="187"/>
      <c r="N235" s="187"/>
      <c r="O235" s="187"/>
      <c r="P235" s="187"/>
      <c r="Q235" s="187"/>
      <c r="R235" s="187"/>
      <c r="S235" s="187"/>
      <c r="T235" s="127"/>
      <c r="U235" s="188"/>
      <c r="V235" s="127"/>
      <c r="W235" s="1438"/>
      <c r="X235" s="127"/>
      <c r="Y235" s="127"/>
      <c r="Z235" s="127"/>
      <c r="AA235" s="127"/>
      <c r="AB235" s="127"/>
      <c r="AC235" s="127"/>
      <c r="AD235" s="127"/>
      <c r="AE235" s="127"/>
      <c r="AF235" s="127"/>
      <c r="AG235" s="127"/>
      <c r="AH235" s="127"/>
      <c r="AI235" s="127"/>
      <c r="AJ235" s="127"/>
      <c r="AK235" s="127"/>
      <c r="AL235" s="127"/>
      <c r="AM235" s="127"/>
      <c r="AN235" s="127"/>
      <c r="AO235" s="127"/>
      <c r="AP235" s="127"/>
      <c r="AQ235" s="127"/>
      <c r="AR235" s="127"/>
      <c r="AS235" s="127"/>
      <c r="AT235" s="127"/>
      <c r="AU235" s="127"/>
      <c r="AV235" s="127"/>
      <c r="AW235" s="127"/>
      <c r="AX235" s="127"/>
      <c r="AY235" s="127"/>
      <c r="AZ235" s="127"/>
      <c r="BA235" s="127"/>
      <c r="BB235" s="127"/>
      <c r="BC235" s="127"/>
      <c r="BD235" s="127"/>
      <c r="BE235" s="127"/>
      <c r="BF235" s="127"/>
      <c r="BG235" s="127"/>
      <c r="BH235" s="127"/>
      <c r="BI235" s="127"/>
      <c r="BJ235" s="127"/>
      <c r="BK235" s="127"/>
      <c r="BL235" s="127"/>
      <c r="BM235" s="127"/>
      <c r="BN235" s="127"/>
      <c r="BO235" s="127"/>
      <c r="BP235" s="127"/>
      <c r="BQ235" s="127"/>
      <c r="BR235" s="127"/>
      <c r="BS235" s="127"/>
      <c r="BT235" s="127"/>
      <c r="BU235" s="127"/>
      <c r="BV235" s="127"/>
      <c r="BW235" s="127"/>
      <c r="BX235" s="127"/>
      <c r="BY235" s="127"/>
      <c r="BZ235" s="127"/>
      <c r="CA235" s="127"/>
      <c r="CB235" s="187"/>
      <c r="CC235" s="189"/>
      <c r="CD235" s="188"/>
      <c r="CE235" s="127"/>
      <c r="CF235" s="190"/>
      <c r="CG235" s="190"/>
      <c r="CH235" s="187"/>
      <c r="CI235" s="187"/>
      <c r="CJ235" s="187"/>
      <c r="CK235" s="187"/>
      <c r="CL235" s="187"/>
      <c r="CM235" s="187"/>
      <c r="CN235" s="187"/>
      <c r="CO235" s="127"/>
      <c r="CP235" s="127"/>
      <c r="CQ235" s="187"/>
      <c r="CR235" s="187"/>
      <c r="CS235" s="187"/>
      <c r="CT235" s="187"/>
      <c r="CU235" s="187"/>
      <c r="CV235" s="187"/>
      <c r="CW235" s="187"/>
      <c r="CX235" s="187"/>
    </row>
    <row r="236" spans="1:102" ht="12.75" customHeight="1" x14ac:dyDescent="0.2">
      <c r="A236" s="187"/>
      <c r="B236" s="127"/>
      <c r="C236" s="187"/>
      <c r="D236" s="127"/>
      <c r="E236" s="187"/>
      <c r="F236" s="187"/>
      <c r="G236" s="187"/>
      <c r="H236" s="187"/>
      <c r="I236" s="187"/>
      <c r="J236" s="187"/>
      <c r="K236" s="187"/>
      <c r="L236" s="187"/>
      <c r="M236" s="187"/>
      <c r="N236" s="187"/>
      <c r="O236" s="187"/>
      <c r="P236" s="187"/>
      <c r="Q236" s="187"/>
      <c r="R236" s="187"/>
      <c r="S236" s="187"/>
      <c r="T236" s="127"/>
      <c r="U236" s="188"/>
      <c r="V236" s="127"/>
      <c r="W236" s="1438"/>
      <c r="X236" s="127"/>
      <c r="Y236" s="127"/>
      <c r="Z236" s="127"/>
      <c r="AA236" s="127"/>
      <c r="AB236" s="127"/>
      <c r="AC236" s="127"/>
      <c r="AD236" s="127"/>
      <c r="AE236" s="127"/>
      <c r="AF236" s="127"/>
      <c r="AG236" s="127"/>
      <c r="AH236" s="127"/>
      <c r="AI236" s="127"/>
      <c r="AJ236" s="127"/>
      <c r="AK236" s="127"/>
      <c r="AL236" s="127"/>
      <c r="AM236" s="127"/>
      <c r="AN236" s="127"/>
      <c r="AO236" s="127"/>
      <c r="AP236" s="127"/>
      <c r="AQ236" s="127"/>
      <c r="AR236" s="127"/>
      <c r="AS236" s="127"/>
      <c r="AT236" s="127"/>
      <c r="AU236" s="127"/>
      <c r="AV236" s="127"/>
      <c r="AW236" s="127"/>
      <c r="AX236" s="127"/>
      <c r="AY236" s="127"/>
      <c r="AZ236" s="127"/>
      <c r="BA236" s="127"/>
      <c r="BB236" s="127"/>
      <c r="BC236" s="127"/>
      <c r="BD236" s="127"/>
      <c r="BE236" s="127"/>
      <c r="BF236" s="127"/>
      <c r="BG236" s="127"/>
      <c r="BH236" s="127"/>
      <c r="BI236" s="127"/>
      <c r="BJ236" s="127"/>
      <c r="BK236" s="127"/>
      <c r="BL236" s="127"/>
      <c r="BM236" s="127"/>
      <c r="BN236" s="127"/>
      <c r="BO236" s="127"/>
      <c r="BP236" s="127"/>
      <c r="BQ236" s="127"/>
      <c r="BR236" s="127"/>
      <c r="BS236" s="127"/>
      <c r="BT236" s="127"/>
      <c r="BU236" s="127"/>
      <c r="BV236" s="127"/>
      <c r="BW236" s="127"/>
      <c r="BX236" s="127"/>
      <c r="BY236" s="127"/>
      <c r="BZ236" s="127"/>
      <c r="CA236" s="127"/>
      <c r="CB236" s="187"/>
      <c r="CC236" s="189"/>
      <c r="CD236" s="188"/>
      <c r="CE236" s="127"/>
      <c r="CF236" s="190"/>
      <c r="CG236" s="190"/>
      <c r="CH236" s="187"/>
      <c r="CI236" s="187"/>
      <c r="CJ236" s="187"/>
      <c r="CK236" s="187"/>
      <c r="CL236" s="187"/>
      <c r="CM236" s="187"/>
      <c r="CN236" s="187"/>
      <c r="CO236" s="127"/>
      <c r="CP236" s="127"/>
      <c r="CQ236" s="187"/>
      <c r="CR236" s="187"/>
      <c r="CS236" s="187"/>
      <c r="CT236" s="187"/>
      <c r="CU236" s="187"/>
      <c r="CV236" s="187"/>
      <c r="CW236" s="187"/>
      <c r="CX236" s="187"/>
    </row>
    <row r="237" spans="1:102" ht="12.75" customHeight="1" x14ac:dyDescent="0.2">
      <c r="A237" s="187"/>
      <c r="B237" s="127"/>
      <c r="C237" s="187"/>
      <c r="D237" s="127"/>
      <c r="E237" s="187"/>
      <c r="F237" s="187"/>
      <c r="G237" s="187"/>
      <c r="H237" s="187"/>
      <c r="I237" s="187"/>
      <c r="J237" s="187"/>
      <c r="K237" s="187"/>
      <c r="L237" s="187"/>
      <c r="M237" s="187"/>
      <c r="N237" s="187"/>
      <c r="O237" s="187"/>
      <c r="P237" s="187"/>
      <c r="Q237" s="187"/>
      <c r="R237" s="187"/>
      <c r="S237" s="187"/>
      <c r="T237" s="127"/>
      <c r="U237" s="188"/>
      <c r="V237" s="127"/>
      <c r="W237" s="1438"/>
      <c r="X237" s="127"/>
      <c r="Y237" s="127"/>
      <c r="Z237" s="127"/>
      <c r="AA237" s="127"/>
      <c r="AB237" s="127"/>
      <c r="AC237" s="127"/>
      <c r="AD237" s="127"/>
      <c r="AE237" s="127"/>
      <c r="AF237" s="127"/>
      <c r="AG237" s="127"/>
      <c r="AH237" s="127"/>
      <c r="AI237" s="127"/>
      <c r="AJ237" s="127"/>
      <c r="AK237" s="127"/>
      <c r="AL237" s="127"/>
      <c r="AM237" s="127"/>
      <c r="AN237" s="127"/>
      <c r="AO237" s="127"/>
      <c r="AP237" s="127"/>
      <c r="AQ237" s="127"/>
      <c r="AR237" s="127"/>
      <c r="AS237" s="127"/>
      <c r="AT237" s="127"/>
      <c r="AU237" s="127"/>
      <c r="AV237" s="127"/>
      <c r="AW237" s="127"/>
      <c r="AX237" s="127"/>
      <c r="AY237" s="127"/>
      <c r="AZ237" s="127"/>
      <c r="BA237" s="127"/>
      <c r="BB237" s="127"/>
      <c r="BC237" s="127"/>
      <c r="BD237" s="127"/>
      <c r="BE237" s="127"/>
      <c r="BF237" s="127"/>
      <c r="BG237" s="127"/>
      <c r="BH237" s="127"/>
      <c r="BI237" s="127"/>
      <c r="BJ237" s="127"/>
      <c r="BK237" s="127"/>
      <c r="BL237" s="127"/>
      <c r="BM237" s="127"/>
      <c r="BN237" s="127"/>
      <c r="BO237" s="127"/>
      <c r="BP237" s="127"/>
      <c r="BQ237" s="127"/>
      <c r="BR237" s="127"/>
      <c r="BS237" s="127"/>
      <c r="BT237" s="127"/>
      <c r="BU237" s="127"/>
      <c r="BV237" s="127"/>
      <c r="BW237" s="127"/>
      <c r="BX237" s="127"/>
      <c r="BY237" s="127"/>
      <c r="BZ237" s="127"/>
      <c r="CA237" s="127"/>
      <c r="CB237" s="187"/>
      <c r="CC237" s="189"/>
      <c r="CD237" s="188"/>
      <c r="CE237" s="127"/>
      <c r="CF237" s="190"/>
      <c r="CG237" s="190"/>
      <c r="CH237" s="187"/>
      <c r="CI237" s="187"/>
      <c r="CJ237" s="187"/>
      <c r="CK237" s="187"/>
      <c r="CL237" s="187"/>
      <c r="CM237" s="187"/>
      <c r="CN237" s="187"/>
      <c r="CO237" s="127"/>
      <c r="CP237" s="127"/>
      <c r="CQ237" s="187"/>
      <c r="CR237" s="187"/>
      <c r="CS237" s="187"/>
      <c r="CT237" s="187"/>
      <c r="CU237" s="187"/>
      <c r="CV237" s="187"/>
      <c r="CW237" s="187"/>
      <c r="CX237" s="187"/>
    </row>
    <row r="238" spans="1:102" ht="12.75" customHeight="1" x14ac:dyDescent="0.2">
      <c r="A238" s="187"/>
      <c r="B238" s="127"/>
      <c r="C238" s="187"/>
      <c r="D238" s="127"/>
      <c r="E238" s="187"/>
      <c r="F238" s="187"/>
      <c r="G238" s="187"/>
      <c r="H238" s="187"/>
      <c r="I238" s="187"/>
      <c r="J238" s="187"/>
      <c r="K238" s="187"/>
      <c r="L238" s="187"/>
      <c r="M238" s="187"/>
      <c r="N238" s="187"/>
      <c r="O238" s="187"/>
      <c r="P238" s="187"/>
      <c r="Q238" s="187"/>
      <c r="R238" s="187"/>
      <c r="S238" s="187"/>
      <c r="T238" s="127"/>
      <c r="U238" s="188"/>
      <c r="V238" s="127"/>
      <c r="W238" s="1438"/>
      <c r="X238" s="127"/>
      <c r="Y238" s="127"/>
      <c r="Z238" s="127"/>
      <c r="AA238" s="127"/>
      <c r="AB238" s="127"/>
      <c r="AC238" s="127"/>
      <c r="AD238" s="127"/>
      <c r="AE238" s="127"/>
      <c r="AF238" s="127"/>
      <c r="AG238" s="127"/>
      <c r="AH238" s="127"/>
      <c r="AI238" s="127"/>
      <c r="AJ238" s="127"/>
      <c r="AK238" s="127"/>
      <c r="AL238" s="127"/>
      <c r="AM238" s="127"/>
      <c r="AN238" s="127"/>
      <c r="AO238" s="127"/>
      <c r="AP238" s="127"/>
      <c r="AQ238" s="127"/>
      <c r="AR238" s="127"/>
      <c r="AS238" s="127"/>
      <c r="AT238" s="127"/>
      <c r="AU238" s="127"/>
      <c r="AV238" s="127"/>
      <c r="AW238" s="127"/>
      <c r="AX238" s="127"/>
      <c r="AY238" s="127"/>
      <c r="AZ238" s="127"/>
      <c r="BA238" s="127"/>
      <c r="BB238" s="127"/>
      <c r="BC238" s="127"/>
      <c r="BD238" s="127"/>
      <c r="BE238" s="127"/>
      <c r="BF238" s="127"/>
      <c r="BG238" s="127"/>
      <c r="BH238" s="127"/>
      <c r="BI238" s="127"/>
      <c r="BJ238" s="127"/>
      <c r="BK238" s="127"/>
      <c r="BL238" s="127"/>
      <c r="BM238" s="127"/>
      <c r="BN238" s="127"/>
      <c r="BO238" s="127"/>
      <c r="BP238" s="127"/>
      <c r="BQ238" s="127"/>
      <c r="BR238" s="127"/>
      <c r="BS238" s="127"/>
      <c r="BT238" s="127"/>
      <c r="BU238" s="127"/>
      <c r="BV238" s="127"/>
      <c r="BW238" s="127"/>
      <c r="BX238" s="127"/>
      <c r="BY238" s="127"/>
      <c r="BZ238" s="127"/>
      <c r="CA238" s="127"/>
      <c r="CB238" s="187"/>
      <c r="CC238" s="189"/>
      <c r="CD238" s="188"/>
      <c r="CE238" s="127"/>
      <c r="CF238" s="190"/>
      <c r="CG238" s="190"/>
      <c r="CH238" s="187"/>
      <c r="CI238" s="187"/>
      <c r="CJ238" s="187"/>
      <c r="CK238" s="187"/>
      <c r="CL238" s="187"/>
      <c r="CM238" s="187"/>
      <c r="CN238" s="187"/>
      <c r="CO238" s="127"/>
      <c r="CP238" s="127"/>
      <c r="CQ238" s="187"/>
      <c r="CR238" s="187"/>
      <c r="CS238" s="187"/>
      <c r="CT238" s="187"/>
      <c r="CU238" s="187"/>
      <c r="CV238" s="187"/>
      <c r="CW238" s="187"/>
      <c r="CX238" s="187"/>
    </row>
    <row r="239" spans="1:102" ht="12.75" customHeight="1" x14ac:dyDescent="0.2">
      <c r="A239" s="187"/>
      <c r="B239" s="127"/>
      <c r="C239" s="187"/>
      <c r="D239" s="127"/>
      <c r="E239" s="187"/>
      <c r="F239" s="187"/>
      <c r="G239" s="187"/>
      <c r="H239" s="187"/>
      <c r="I239" s="187"/>
      <c r="J239" s="187"/>
      <c r="K239" s="187"/>
      <c r="L239" s="187"/>
      <c r="M239" s="187"/>
      <c r="N239" s="187"/>
      <c r="O239" s="187"/>
      <c r="P239" s="187"/>
      <c r="Q239" s="187"/>
      <c r="R239" s="187"/>
      <c r="S239" s="187"/>
      <c r="T239" s="127"/>
      <c r="U239" s="188"/>
      <c r="V239" s="127"/>
      <c r="W239" s="1438"/>
      <c r="X239" s="127"/>
      <c r="Y239" s="127"/>
      <c r="Z239" s="127"/>
      <c r="AA239" s="127"/>
      <c r="AB239" s="127"/>
      <c r="AC239" s="127"/>
      <c r="AD239" s="127"/>
      <c r="AE239" s="127"/>
      <c r="AF239" s="127"/>
      <c r="AG239" s="127"/>
      <c r="AH239" s="127"/>
      <c r="AI239" s="127"/>
      <c r="AJ239" s="127"/>
      <c r="AK239" s="127"/>
      <c r="AL239" s="127"/>
      <c r="AM239" s="127"/>
      <c r="AN239" s="127"/>
      <c r="AO239" s="127"/>
      <c r="AP239" s="127"/>
      <c r="AQ239" s="127"/>
      <c r="AR239" s="127"/>
      <c r="AS239" s="127"/>
      <c r="AT239" s="127"/>
      <c r="AU239" s="127"/>
      <c r="AV239" s="127"/>
      <c r="AW239" s="127"/>
      <c r="AX239" s="127"/>
      <c r="AY239" s="127"/>
      <c r="AZ239" s="127"/>
      <c r="BA239" s="127"/>
      <c r="BB239" s="127"/>
      <c r="BC239" s="127"/>
      <c r="BD239" s="127"/>
      <c r="BE239" s="127"/>
      <c r="BF239" s="127"/>
      <c r="BG239" s="127"/>
      <c r="BH239" s="127"/>
      <c r="BI239" s="127"/>
      <c r="BJ239" s="127"/>
      <c r="BK239" s="127"/>
      <c r="BL239" s="127"/>
      <c r="BM239" s="127"/>
      <c r="BN239" s="127"/>
      <c r="BO239" s="127"/>
      <c r="BP239" s="127"/>
      <c r="BQ239" s="127"/>
      <c r="BR239" s="127"/>
      <c r="BS239" s="127"/>
      <c r="BT239" s="127"/>
      <c r="BU239" s="127"/>
      <c r="BV239" s="127"/>
      <c r="BW239" s="127"/>
      <c r="BX239" s="127"/>
      <c r="BY239" s="127"/>
      <c r="BZ239" s="127"/>
      <c r="CA239" s="127"/>
      <c r="CB239" s="187"/>
      <c r="CC239" s="189"/>
      <c r="CD239" s="188"/>
      <c r="CE239" s="127"/>
      <c r="CF239" s="190"/>
      <c r="CG239" s="190"/>
      <c r="CH239" s="187"/>
      <c r="CI239" s="187"/>
      <c r="CJ239" s="187"/>
      <c r="CK239" s="187"/>
      <c r="CL239" s="187"/>
      <c r="CM239" s="187"/>
      <c r="CN239" s="187"/>
      <c r="CO239" s="127"/>
      <c r="CP239" s="127"/>
      <c r="CQ239" s="187"/>
      <c r="CR239" s="187"/>
      <c r="CS239" s="187"/>
      <c r="CT239" s="187"/>
      <c r="CU239" s="187"/>
      <c r="CV239" s="187"/>
      <c r="CW239" s="187"/>
      <c r="CX239" s="187"/>
    </row>
    <row r="240" spans="1:102" ht="12.75" customHeight="1" x14ac:dyDescent="0.2">
      <c r="A240" s="187"/>
      <c r="B240" s="127"/>
      <c r="C240" s="187"/>
      <c r="D240" s="127"/>
      <c r="E240" s="187"/>
      <c r="F240" s="187"/>
      <c r="G240" s="187"/>
      <c r="H240" s="187"/>
      <c r="I240" s="187"/>
      <c r="J240" s="187"/>
      <c r="K240" s="187"/>
      <c r="L240" s="187"/>
      <c r="M240" s="187"/>
      <c r="N240" s="187"/>
      <c r="O240" s="187"/>
      <c r="P240" s="187"/>
      <c r="Q240" s="187"/>
      <c r="R240" s="187"/>
      <c r="S240" s="187"/>
      <c r="T240" s="127"/>
      <c r="U240" s="188"/>
      <c r="V240" s="127"/>
      <c r="W240" s="1438"/>
      <c r="X240" s="127"/>
      <c r="Y240" s="127"/>
      <c r="Z240" s="127"/>
      <c r="AA240" s="127"/>
      <c r="AB240" s="127"/>
      <c r="AC240" s="127"/>
      <c r="AD240" s="127"/>
      <c r="AE240" s="127"/>
      <c r="AF240" s="127"/>
      <c r="AG240" s="127"/>
      <c r="AH240" s="127"/>
      <c r="AI240" s="127"/>
      <c r="AJ240" s="127"/>
      <c r="AK240" s="127"/>
      <c r="AL240" s="127"/>
      <c r="AM240" s="127"/>
      <c r="AN240" s="127"/>
      <c r="AO240" s="127"/>
      <c r="AP240" s="127"/>
      <c r="AQ240" s="127"/>
      <c r="AR240" s="127"/>
      <c r="AS240" s="127"/>
      <c r="AT240" s="127"/>
      <c r="AU240" s="127"/>
      <c r="AV240" s="127"/>
      <c r="AW240" s="127"/>
      <c r="AX240" s="127"/>
      <c r="AY240" s="127"/>
      <c r="AZ240" s="127"/>
      <c r="BA240" s="127"/>
      <c r="BB240" s="127"/>
      <c r="BC240" s="127"/>
      <c r="BD240" s="127"/>
      <c r="BE240" s="127"/>
      <c r="BF240" s="127"/>
      <c r="BG240" s="127"/>
      <c r="BH240" s="127"/>
      <c r="BI240" s="127"/>
      <c r="BJ240" s="127"/>
      <c r="BK240" s="127"/>
      <c r="BL240" s="127"/>
      <c r="BM240" s="127"/>
      <c r="BN240" s="127"/>
      <c r="BO240" s="127"/>
      <c r="BP240" s="127"/>
      <c r="BQ240" s="127"/>
      <c r="BR240" s="127"/>
      <c r="BS240" s="127"/>
      <c r="BT240" s="127"/>
      <c r="BU240" s="127"/>
      <c r="BV240" s="127"/>
      <c r="BW240" s="127"/>
      <c r="BX240" s="127"/>
      <c r="BY240" s="127"/>
      <c r="BZ240" s="127"/>
      <c r="CA240" s="127"/>
      <c r="CB240" s="187"/>
      <c r="CC240" s="189"/>
      <c r="CD240" s="188"/>
      <c r="CE240" s="127"/>
      <c r="CF240" s="190"/>
      <c r="CG240" s="190"/>
      <c r="CH240" s="187"/>
      <c r="CI240" s="187"/>
      <c r="CJ240" s="187"/>
      <c r="CK240" s="187"/>
      <c r="CL240" s="187"/>
      <c r="CM240" s="187"/>
      <c r="CN240" s="187"/>
      <c r="CO240" s="127"/>
      <c r="CP240" s="127"/>
      <c r="CQ240" s="187"/>
      <c r="CR240" s="187"/>
      <c r="CS240" s="187"/>
      <c r="CT240" s="187"/>
      <c r="CU240" s="187"/>
      <c r="CV240" s="187"/>
      <c r="CW240" s="187"/>
      <c r="CX240" s="187"/>
    </row>
    <row r="241" spans="1:102" ht="12.75" customHeight="1" x14ac:dyDescent="0.2">
      <c r="A241" s="187"/>
      <c r="B241" s="127"/>
      <c r="C241" s="187"/>
      <c r="D241" s="127"/>
      <c r="E241" s="187"/>
      <c r="F241" s="187"/>
      <c r="G241" s="187"/>
      <c r="H241" s="187"/>
      <c r="I241" s="187"/>
      <c r="J241" s="187"/>
      <c r="K241" s="187"/>
      <c r="L241" s="187"/>
      <c r="M241" s="187"/>
      <c r="N241" s="187"/>
      <c r="O241" s="187"/>
      <c r="P241" s="187"/>
      <c r="Q241" s="187"/>
      <c r="R241" s="187"/>
      <c r="S241" s="187"/>
      <c r="T241" s="127"/>
      <c r="U241" s="188"/>
      <c r="V241" s="127"/>
      <c r="W241" s="1438"/>
      <c r="X241" s="127"/>
      <c r="Y241" s="127"/>
      <c r="Z241" s="127"/>
      <c r="AA241" s="127"/>
      <c r="AB241" s="127"/>
      <c r="AC241" s="127"/>
      <c r="AD241" s="127"/>
      <c r="AE241" s="127"/>
      <c r="AF241" s="127"/>
      <c r="AG241" s="127"/>
      <c r="AH241" s="127"/>
      <c r="AI241" s="127"/>
      <c r="AJ241" s="127"/>
      <c r="AK241" s="127"/>
      <c r="AL241" s="127"/>
      <c r="AM241" s="127"/>
      <c r="AN241" s="127"/>
      <c r="AO241" s="127"/>
      <c r="AP241" s="127"/>
      <c r="AQ241" s="127"/>
      <c r="AR241" s="127"/>
      <c r="AS241" s="127"/>
      <c r="AT241" s="127"/>
      <c r="AU241" s="127"/>
      <c r="AV241" s="127"/>
      <c r="AW241" s="127"/>
      <c r="AX241" s="127"/>
      <c r="AY241" s="127"/>
      <c r="AZ241" s="127"/>
      <c r="BA241" s="127"/>
      <c r="BB241" s="127"/>
      <c r="BC241" s="127"/>
      <c r="BD241" s="127"/>
      <c r="BE241" s="127"/>
      <c r="BF241" s="127"/>
      <c r="BG241" s="127"/>
      <c r="BH241" s="127"/>
      <c r="BI241" s="127"/>
      <c r="BJ241" s="127"/>
      <c r="BK241" s="127"/>
      <c r="BL241" s="127"/>
      <c r="BM241" s="127"/>
      <c r="BN241" s="127"/>
      <c r="BO241" s="127"/>
      <c r="BP241" s="127"/>
      <c r="BQ241" s="127"/>
      <c r="BR241" s="127"/>
      <c r="BS241" s="127"/>
      <c r="BT241" s="127"/>
      <c r="BU241" s="127"/>
      <c r="BV241" s="127"/>
      <c r="BW241" s="127"/>
      <c r="BX241" s="127"/>
      <c r="BY241" s="127"/>
      <c r="BZ241" s="127"/>
      <c r="CA241" s="127"/>
      <c r="CB241" s="187"/>
      <c r="CC241" s="189"/>
      <c r="CD241" s="188"/>
      <c r="CE241" s="127"/>
      <c r="CF241" s="190"/>
      <c r="CG241" s="190"/>
      <c r="CH241" s="187"/>
      <c r="CI241" s="187"/>
      <c r="CJ241" s="187"/>
      <c r="CK241" s="187"/>
      <c r="CL241" s="187"/>
      <c r="CM241" s="187"/>
      <c r="CN241" s="187"/>
      <c r="CO241" s="127"/>
      <c r="CP241" s="127"/>
      <c r="CQ241" s="187"/>
      <c r="CR241" s="187"/>
      <c r="CS241" s="187"/>
      <c r="CT241" s="187"/>
      <c r="CU241" s="187"/>
      <c r="CV241" s="187"/>
      <c r="CW241" s="187"/>
      <c r="CX241" s="187"/>
    </row>
    <row r="242" spans="1:102" ht="12.75" customHeight="1" x14ac:dyDescent="0.2">
      <c r="A242" s="187"/>
      <c r="B242" s="127"/>
      <c r="C242" s="187"/>
      <c r="D242" s="127"/>
      <c r="E242" s="187"/>
      <c r="F242" s="187"/>
      <c r="G242" s="187"/>
      <c r="H242" s="187"/>
      <c r="I242" s="187"/>
      <c r="J242" s="187"/>
      <c r="K242" s="187"/>
      <c r="L242" s="187"/>
      <c r="M242" s="187"/>
      <c r="N242" s="187"/>
      <c r="O242" s="187"/>
      <c r="P242" s="187"/>
      <c r="Q242" s="187"/>
      <c r="R242" s="187"/>
      <c r="S242" s="187"/>
      <c r="T242" s="127"/>
      <c r="U242" s="188"/>
      <c r="V242" s="127"/>
      <c r="W242" s="1438"/>
      <c r="X242" s="127"/>
      <c r="Y242" s="127"/>
      <c r="Z242" s="127"/>
      <c r="AA242" s="127"/>
      <c r="AB242" s="127"/>
      <c r="AC242" s="127"/>
      <c r="AD242" s="127"/>
      <c r="AE242" s="127"/>
      <c r="AF242" s="127"/>
      <c r="AG242" s="127"/>
      <c r="AH242" s="127"/>
      <c r="AI242" s="127"/>
      <c r="AJ242" s="127"/>
      <c r="AK242" s="127"/>
      <c r="AL242" s="127"/>
      <c r="AM242" s="127"/>
      <c r="AN242" s="127"/>
      <c r="AO242" s="127"/>
      <c r="AP242" s="127"/>
      <c r="AQ242" s="127"/>
      <c r="AR242" s="127"/>
      <c r="AS242" s="127"/>
      <c r="AT242" s="127"/>
      <c r="AU242" s="127"/>
      <c r="AV242" s="127"/>
      <c r="AW242" s="127"/>
      <c r="AX242" s="127"/>
      <c r="AY242" s="127"/>
      <c r="AZ242" s="127"/>
      <c r="BA242" s="127"/>
      <c r="BB242" s="127"/>
      <c r="BC242" s="127"/>
      <c r="BD242" s="127"/>
      <c r="BE242" s="127"/>
      <c r="BF242" s="127"/>
      <c r="BG242" s="127"/>
      <c r="BH242" s="127"/>
      <c r="BI242" s="127"/>
      <c r="BJ242" s="127"/>
      <c r="BK242" s="127"/>
      <c r="BL242" s="127"/>
      <c r="BM242" s="127"/>
      <c r="BN242" s="127"/>
      <c r="BO242" s="127"/>
      <c r="BP242" s="127"/>
      <c r="BQ242" s="127"/>
      <c r="BR242" s="127"/>
      <c r="BS242" s="127"/>
      <c r="BT242" s="127"/>
      <c r="BU242" s="127"/>
      <c r="BV242" s="127"/>
      <c r="BW242" s="127"/>
      <c r="BX242" s="127"/>
      <c r="BY242" s="127"/>
      <c r="BZ242" s="127"/>
      <c r="CA242" s="127"/>
      <c r="CB242" s="187"/>
      <c r="CC242" s="189"/>
      <c r="CD242" s="188"/>
      <c r="CE242" s="127"/>
      <c r="CF242" s="190"/>
      <c r="CG242" s="190"/>
      <c r="CH242" s="187"/>
      <c r="CI242" s="187"/>
      <c r="CJ242" s="187"/>
      <c r="CK242" s="187"/>
      <c r="CL242" s="187"/>
      <c r="CM242" s="187"/>
      <c r="CN242" s="187"/>
      <c r="CO242" s="127"/>
      <c r="CP242" s="127"/>
      <c r="CQ242" s="187"/>
      <c r="CR242" s="187"/>
      <c r="CS242" s="187"/>
      <c r="CT242" s="187"/>
      <c r="CU242" s="187"/>
      <c r="CV242" s="187"/>
      <c r="CW242" s="187"/>
      <c r="CX242" s="187"/>
    </row>
    <row r="243" spans="1:102" ht="12.75" customHeight="1" x14ac:dyDescent="0.2">
      <c r="A243" s="187"/>
      <c r="B243" s="127"/>
      <c r="C243" s="187"/>
      <c r="D243" s="127"/>
      <c r="E243" s="187"/>
      <c r="F243" s="187"/>
      <c r="G243" s="187"/>
      <c r="H243" s="187"/>
      <c r="I243" s="187"/>
      <c r="J243" s="187"/>
      <c r="K243" s="187"/>
      <c r="L243" s="187"/>
      <c r="M243" s="187"/>
      <c r="N243" s="187"/>
      <c r="O243" s="187"/>
      <c r="P243" s="187"/>
      <c r="Q243" s="187"/>
      <c r="R243" s="187"/>
      <c r="S243" s="187"/>
      <c r="T243" s="127"/>
      <c r="U243" s="188"/>
      <c r="V243" s="127"/>
      <c r="W243" s="1438"/>
      <c r="X243" s="127"/>
      <c r="Y243" s="127"/>
      <c r="Z243" s="127"/>
      <c r="AA243" s="127"/>
      <c r="AB243" s="127"/>
      <c r="AC243" s="127"/>
      <c r="AD243" s="127"/>
      <c r="AE243" s="127"/>
      <c r="AF243" s="127"/>
      <c r="AG243" s="127"/>
      <c r="AH243" s="127"/>
      <c r="AI243" s="127"/>
      <c r="AJ243" s="127"/>
      <c r="AK243" s="127"/>
      <c r="AL243" s="127"/>
      <c r="AM243" s="127"/>
      <c r="AN243" s="127"/>
      <c r="AO243" s="127"/>
      <c r="AP243" s="127"/>
      <c r="AQ243" s="127"/>
      <c r="AR243" s="127"/>
      <c r="AS243" s="127"/>
      <c r="AT243" s="127"/>
      <c r="AU243" s="127"/>
      <c r="AV243" s="127"/>
      <c r="AW243" s="127"/>
      <c r="AX243" s="127"/>
      <c r="AY243" s="127"/>
      <c r="AZ243" s="127"/>
      <c r="BA243" s="127"/>
      <c r="BB243" s="127"/>
      <c r="BC243" s="127"/>
      <c r="BD243" s="127"/>
      <c r="BE243" s="127"/>
      <c r="BF243" s="127"/>
      <c r="BG243" s="127"/>
      <c r="BH243" s="127"/>
      <c r="BI243" s="127"/>
      <c r="BJ243" s="127"/>
      <c r="BK243" s="127"/>
      <c r="BL243" s="127"/>
      <c r="BM243" s="127"/>
      <c r="BN243" s="127"/>
      <c r="BO243" s="127"/>
      <c r="BP243" s="127"/>
      <c r="BQ243" s="127"/>
      <c r="BR243" s="127"/>
      <c r="BS243" s="127"/>
      <c r="BT243" s="127"/>
      <c r="BU243" s="127"/>
      <c r="BV243" s="127"/>
      <c r="BW243" s="127"/>
      <c r="BX243" s="127"/>
      <c r="BY243" s="127"/>
      <c r="BZ243" s="127"/>
      <c r="CA243" s="127"/>
      <c r="CB243" s="187"/>
      <c r="CC243" s="189"/>
      <c r="CD243" s="188"/>
      <c r="CE243" s="127"/>
      <c r="CF243" s="190"/>
      <c r="CG243" s="190"/>
      <c r="CH243" s="187"/>
      <c r="CI243" s="187"/>
      <c r="CJ243" s="187"/>
      <c r="CK243" s="187"/>
      <c r="CL243" s="187"/>
      <c r="CM243" s="187"/>
      <c r="CN243" s="187"/>
      <c r="CO243" s="127"/>
      <c r="CP243" s="127"/>
      <c r="CQ243" s="187"/>
      <c r="CR243" s="187"/>
      <c r="CS243" s="187"/>
      <c r="CT243" s="187"/>
      <c r="CU243" s="187"/>
      <c r="CV243" s="187"/>
      <c r="CW243" s="187"/>
      <c r="CX243" s="187"/>
    </row>
    <row r="244" spans="1:102" ht="12.75" customHeight="1" x14ac:dyDescent="0.2">
      <c r="A244" s="187"/>
      <c r="B244" s="127"/>
      <c r="C244" s="187"/>
      <c r="D244" s="127"/>
      <c r="E244" s="187"/>
      <c r="F244" s="187"/>
      <c r="G244" s="187"/>
      <c r="H244" s="187"/>
      <c r="I244" s="187"/>
      <c r="J244" s="187"/>
      <c r="K244" s="187"/>
      <c r="L244" s="187"/>
      <c r="M244" s="187"/>
      <c r="N244" s="187"/>
      <c r="O244" s="187"/>
      <c r="P244" s="187"/>
      <c r="Q244" s="187"/>
      <c r="R244" s="187"/>
      <c r="S244" s="187"/>
      <c r="T244" s="127"/>
      <c r="U244" s="188"/>
      <c r="V244" s="127"/>
      <c r="W244" s="1438"/>
      <c r="X244" s="127"/>
      <c r="Y244" s="127"/>
      <c r="Z244" s="127"/>
      <c r="AA244" s="127"/>
      <c r="AB244" s="127"/>
      <c r="AC244" s="127"/>
      <c r="AD244" s="127"/>
      <c r="AE244" s="127"/>
      <c r="AF244" s="127"/>
      <c r="AG244" s="127"/>
      <c r="AH244" s="127"/>
      <c r="AI244" s="127"/>
      <c r="AJ244" s="127"/>
      <c r="AK244" s="127"/>
      <c r="AL244" s="127"/>
      <c r="AM244" s="127"/>
      <c r="AN244" s="127"/>
      <c r="AO244" s="127"/>
      <c r="AP244" s="127"/>
      <c r="AQ244" s="127"/>
      <c r="AR244" s="127"/>
      <c r="AS244" s="127"/>
      <c r="AT244" s="127"/>
      <c r="AU244" s="127"/>
      <c r="AV244" s="127"/>
      <c r="AW244" s="127"/>
      <c r="AX244" s="127"/>
      <c r="AY244" s="127"/>
      <c r="AZ244" s="127"/>
      <c r="BA244" s="127"/>
      <c r="BB244" s="127"/>
      <c r="BC244" s="127"/>
      <c r="BD244" s="127"/>
      <c r="BE244" s="127"/>
      <c r="BF244" s="127"/>
      <c r="BG244" s="127"/>
      <c r="BH244" s="127"/>
      <c r="BI244" s="127"/>
      <c r="BJ244" s="127"/>
      <c r="BK244" s="127"/>
      <c r="BL244" s="127"/>
      <c r="BM244" s="127"/>
      <c r="BN244" s="127"/>
      <c r="BO244" s="127"/>
      <c r="BP244" s="127"/>
      <c r="BQ244" s="127"/>
      <c r="BR244" s="127"/>
      <c r="BS244" s="127"/>
      <c r="BT244" s="127"/>
      <c r="BU244" s="127"/>
      <c r="BV244" s="127"/>
      <c r="BW244" s="127"/>
      <c r="BX244" s="127"/>
      <c r="BY244" s="127"/>
      <c r="BZ244" s="127"/>
      <c r="CA244" s="127"/>
      <c r="CB244" s="187"/>
      <c r="CC244" s="189"/>
      <c r="CD244" s="188"/>
      <c r="CE244" s="127"/>
      <c r="CF244" s="190"/>
      <c r="CG244" s="190"/>
      <c r="CH244" s="187"/>
      <c r="CI244" s="187"/>
      <c r="CJ244" s="187"/>
      <c r="CK244" s="187"/>
      <c r="CL244" s="187"/>
      <c r="CM244" s="187"/>
      <c r="CN244" s="187"/>
      <c r="CO244" s="127"/>
      <c r="CP244" s="127"/>
      <c r="CQ244" s="187"/>
      <c r="CR244" s="187"/>
      <c r="CS244" s="187"/>
      <c r="CT244" s="187"/>
      <c r="CU244" s="187"/>
      <c r="CV244" s="187"/>
      <c r="CW244" s="187"/>
      <c r="CX244" s="187"/>
    </row>
    <row r="245" spans="1:102" ht="12.75" customHeight="1" x14ac:dyDescent="0.2">
      <c r="A245" s="187"/>
      <c r="B245" s="127"/>
      <c r="C245" s="187"/>
      <c r="D245" s="127"/>
      <c r="E245" s="187"/>
      <c r="F245" s="187"/>
      <c r="G245" s="187"/>
      <c r="H245" s="187"/>
      <c r="I245" s="187"/>
      <c r="J245" s="187"/>
      <c r="K245" s="187"/>
      <c r="L245" s="187"/>
      <c r="M245" s="187"/>
      <c r="N245" s="187"/>
      <c r="O245" s="187"/>
      <c r="P245" s="187"/>
      <c r="Q245" s="187"/>
      <c r="R245" s="187"/>
      <c r="S245" s="187"/>
      <c r="T245" s="127"/>
      <c r="U245" s="188"/>
      <c r="V245" s="127"/>
      <c r="W245" s="1438"/>
      <c r="X245" s="127"/>
      <c r="Y245" s="127"/>
      <c r="Z245" s="127"/>
      <c r="AA245" s="127"/>
      <c r="AB245" s="127"/>
      <c r="AC245" s="127"/>
      <c r="AD245" s="127"/>
      <c r="AE245" s="127"/>
      <c r="AF245" s="127"/>
      <c r="AG245" s="127"/>
      <c r="AH245" s="127"/>
      <c r="AI245" s="127"/>
      <c r="AJ245" s="127"/>
      <c r="AK245" s="127"/>
      <c r="AL245" s="127"/>
      <c r="AM245" s="127"/>
      <c r="AN245" s="127"/>
      <c r="AO245" s="127"/>
      <c r="AP245" s="127"/>
      <c r="AQ245" s="127"/>
      <c r="AR245" s="127"/>
      <c r="AS245" s="127"/>
      <c r="AT245" s="127"/>
      <c r="AU245" s="127"/>
      <c r="AV245" s="127"/>
      <c r="AW245" s="127"/>
      <c r="AX245" s="127"/>
      <c r="AY245" s="127"/>
      <c r="AZ245" s="127"/>
      <c r="BA245" s="127"/>
      <c r="BB245" s="127"/>
      <c r="BC245" s="127"/>
      <c r="BD245" s="127"/>
      <c r="BE245" s="127"/>
      <c r="BF245" s="127"/>
      <c r="BG245" s="127"/>
      <c r="BH245" s="127"/>
      <c r="BI245" s="127"/>
      <c r="BJ245" s="127"/>
      <c r="BK245" s="127"/>
      <c r="BL245" s="127"/>
      <c r="BM245" s="127"/>
      <c r="BN245" s="127"/>
      <c r="BO245" s="127"/>
      <c r="BP245" s="127"/>
      <c r="BQ245" s="127"/>
      <c r="BR245" s="127"/>
      <c r="BS245" s="127"/>
      <c r="BT245" s="127"/>
      <c r="BU245" s="127"/>
      <c r="BV245" s="127"/>
      <c r="BW245" s="127"/>
      <c r="BX245" s="127"/>
      <c r="BY245" s="127"/>
      <c r="BZ245" s="127"/>
      <c r="CA245" s="127"/>
      <c r="CB245" s="187"/>
      <c r="CC245" s="189"/>
      <c r="CD245" s="188"/>
      <c r="CE245" s="127"/>
      <c r="CF245" s="190"/>
      <c r="CG245" s="190"/>
      <c r="CH245" s="187"/>
      <c r="CI245" s="187"/>
      <c r="CJ245" s="187"/>
      <c r="CK245" s="187"/>
      <c r="CL245" s="187"/>
      <c r="CM245" s="187"/>
      <c r="CN245" s="187"/>
      <c r="CO245" s="127"/>
      <c r="CP245" s="127"/>
      <c r="CQ245" s="187"/>
      <c r="CR245" s="187"/>
      <c r="CS245" s="187"/>
      <c r="CT245" s="187"/>
      <c r="CU245" s="187"/>
      <c r="CV245" s="187"/>
      <c r="CW245" s="187"/>
      <c r="CX245" s="187"/>
    </row>
    <row r="246" spans="1:102" ht="12.75" customHeight="1" x14ac:dyDescent="0.2">
      <c r="A246" s="187"/>
      <c r="B246" s="127"/>
      <c r="C246" s="187"/>
      <c r="D246" s="127"/>
      <c r="E246" s="187"/>
      <c r="F246" s="187"/>
      <c r="G246" s="187"/>
      <c r="H246" s="187"/>
      <c r="I246" s="187"/>
      <c r="J246" s="187"/>
      <c r="K246" s="187"/>
      <c r="L246" s="187"/>
      <c r="M246" s="187"/>
      <c r="N246" s="187"/>
      <c r="O246" s="187"/>
      <c r="P246" s="187"/>
      <c r="Q246" s="187"/>
      <c r="R246" s="187"/>
      <c r="S246" s="187"/>
      <c r="T246" s="127"/>
      <c r="U246" s="188"/>
      <c r="V246" s="127"/>
      <c r="W246" s="1438"/>
      <c r="X246" s="127"/>
      <c r="Y246" s="127"/>
      <c r="Z246" s="127"/>
      <c r="AA246" s="127"/>
      <c r="AB246" s="127"/>
      <c r="AC246" s="127"/>
      <c r="AD246" s="127"/>
      <c r="AE246" s="127"/>
      <c r="AF246" s="127"/>
      <c r="AG246" s="127"/>
      <c r="AH246" s="127"/>
      <c r="AI246" s="127"/>
      <c r="AJ246" s="127"/>
      <c r="AK246" s="127"/>
      <c r="AL246" s="127"/>
      <c r="AM246" s="127"/>
      <c r="AN246" s="127"/>
      <c r="AO246" s="127"/>
      <c r="AP246" s="127"/>
      <c r="AQ246" s="127"/>
      <c r="AR246" s="127"/>
      <c r="AS246" s="127"/>
      <c r="AT246" s="127"/>
      <c r="AU246" s="127"/>
      <c r="AV246" s="127"/>
      <c r="AW246" s="127"/>
      <c r="AX246" s="127"/>
      <c r="AY246" s="127"/>
      <c r="AZ246" s="127"/>
      <c r="BA246" s="127"/>
      <c r="BB246" s="127"/>
      <c r="BC246" s="127"/>
      <c r="BD246" s="127"/>
      <c r="BE246" s="127"/>
      <c r="BF246" s="127"/>
      <c r="BG246" s="127"/>
      <c r="BH246" s="127"/>
      <c r="BI246" s="127"/>
      <c r="BJ246" s="127"/>
      <c r="BK246" s="127"/>
      <c r="BL246" s="127"/>
      <c r="BM246" s="127"/>
      <c r="BN246" s="127"/>
      <c r="BO246" s="127"/>
      <c r="BP246" s="127"/>
      <c r="BQ246" s="127"/>
      <c r="BR246" s="127"/>
      <c r="BS246" s="127"/>
      <c r="BT246" s="127"/>
      <c r="BU246" s="127"/>
      <c r="BV246" s="127"/>
      <c r="BW246" s="127"/>
      <c r="BX246" s="127"/>
      <c r="BY246" s="127"/>
      <c r="BZ246" s="127"/>
      <c r="CA246" s="127"/>
      <c r="CB246" s="187"/>
      <c r="CC246" s="189"/>
      <c r="CD246" s="188"/>
      <c r="CE246" s="127"/>
      <c r="CF246" s="190"/>
      <c r="CG246" s="190"/>
      <c r="CH246" s="187"/>
      <c r="CI246" s="187"/>
      <c r="CJ246" s="187"/>
      <c r="CK246" s="187"/>
      <c r="CL246" s="187"/>
      <c r="CM246" s="187"/>
      <c r="CN246" s="187"/>
      <c r="CO246" s="127"/>
      <c r="CP246" s="127"/>
      <c r="CQ246" s="187"/>
      <c r="CR246" s="187"/>
      <c r="CS246" s="187"/>
      <c r="CT246" s="187"/>
      <c r="CU246" s="187"/>
      <c r="CV246" s="187"/>
      <c r="CW246" s="187"/>
      <c r="CX246" s="187"/>
    </row>
    <row r="247" spans="1:102" ht="12.75" customHeight="1" x14ac:dyDescent="0.2">
      <c r="A247" s="187"/>
      <c r="B247" s="127"/>
      <c r="C247" s="187"/>
      <c r="D247" s="127"/>
      <c r="E247" s="187"/>
      <c r="F247" s="187"/>
      <c r="G247" s="187"/>
      <c r="H247" s="187"/>
      <c r="I247" s="187"/>
      <c r="J247" s="187"/>
      <c r="K247" s="187"/>
      <c r="L247" s="187"/>
      <c r="M247" s="187"/>
      <c r="N247" s="187"/>
      <c r="O247" s="187"/>
      <c r="P247" s="187"/>
      <c r="Q247" s="187"/>
      <c r="R247" s="187"/>
      <c r="S247" s="187"/>
      <c r="T247" s="127"/>
      <c r="U247" s="188"/>
      <c r="V247" s="127"/>
      <c r="W247" s="1438"/>
      <c r="X247" s="127"/>
      <c r="Y247" s="127"/>
      <c r="Z247" s="127"/>
      <c r="AA247" s="127"/>
      <c r="AB247" s="127"/>
      <c r="AC247" s="127"/>
      <c r="AD247" s="127"/>
      <c r="AE247" s="127"/>
      <c r="AF247" s="127"/>
      <c r="AG247" s="127"/>
      <c r="AH247" s="127"/>
      <c r="AI247" s="127"/>
      <c r="AJ247" s="127"/>
      <c r="AK247" s="127"/>
      <c r="AL247" s="127"/>
      <c r="AM247" s="127"/>
      <c r="AN247" s="127"/>
      <c r="AO247" s="127"/>
      <c r="AP247" s="127"/>
      <c r="AQ247" s="127"/>
      <c r="AR247" s="127"/>
      <c r="AS247" s="127"/>
      <c r="AT247" s="127"/>
      <c r="AU247" s="127"/>
      <c r="AV247" s="127"/>
      <c r="AW247" s="127"/>
      <c r="AX247" s="127"/>
      <c r="AY247" s="127"/>
      <c r="AZ247" s="127"/>
      <c r="BA247" s="127"/>
      <c r="BB247" s="127"/>
      <c r="BC247" s="127"/>
      <c r="BD247" s="127"/>
      <c r="BE247" s="127"/>
      <c r="BF247" s="127"/>
      <c r="BG247" s="127"/>
      <c r="BH247" s="127"/>
      <c r="BI247" s="127"/>
      <c r="BJ247" s="127"/>
      <c r="BK247" s="127"/>
      <c r="BL247" s="127"/>
      <c r="BM247" s="127"/>
      <c r="BN247" s="127"/>
      <c r="BO247" s="127"/>
      <c r="BP247" s="127"/>
      <c r="BQ247" s="127"/>
      <c r="BR247" s="127"/>
      <c r="BS247" s="127"/>
      <c r="BT247" s="127"/>
      <c r="BU247" s="127"/>
      <c r="BV247" s="127"/>
      <c r="BW247" s="127"/>
      <c r="BX247" s="127"/>
      <c r="BY247" s="127"/>
      <c r="BZ247" s="127"/>
      <c r="CA247" s="127"/>
      <c r="CB247" s="187"/>
      <c r="CC247" s="189"/>
      <c r="CD247" s="188"/>
      <c r="CE247" s="127"/>
      <c r="CF247" s="190"/>
      <c r="CG247" s="190"/>
      <c r="CH247" s="187"/>
      <c r="CI247" s="187"/>
      <c r="CJ247" s="187"/>
      <c r="CK247" s="187"/>
      <c r="CL247" s="187"/>
      <c r="CM247" s="187"/>
      <c r="CN247" s="187"/>
      <c r="CO247" s="127"/>
      <c r="CP247" s="127"/>
      <c r="CQ247" s="187"/>
      <c r="CR247" s="187"/>
      <c r="CS247" s="187"/>
      <c r="CT247" s="187"/>
      <c r="CU247" s="187"/>
      <c r="CV247" s="187"/>
      <c r="CW247" s="187"/>
      <c r="CX247" s="187"/>
    </row>
    <row r="248" spans="1:102" ht="12.75" customHeight="1" x14ac:dyDescent="0.2">
      <c r="A248" s="187"/>
      <c r="B248" s="127"/>
      <c r="C248" s="187"/>
      <c r="D248" s="127"/>
      <c r="E248" s="187"/>
      <c r="F248" s="187"/>
      <c r="G248" s="187"/>
      <c r="H248" s="187"/>
      <c r="I248" s="187"/>
      <c r="J248" s="187"/>
      <c r="K248" s="187"/>
      <c r="L248" s="187"/>
      <c r="M248" s="187"/>
      <c r="N248" s="187"/>
      <c r="O248" s="187"/>
      <c r="P248" s="187"/>
      <c r="Q248" s="187"/>
      <c r="R248" s="187"/>
      <c r="S248" s="187"/>
      <c r="T248" s="127"/>
      <c r="U248" s="188"/>
      <c r="V248" s="127"/>
      <c r="W248" s="1438"/>
      <c r="X248" s="127"/>
      <c r="Y248" s="127"/>
      <c r="Z248" s="127"/>
      <c r="AA248" s="127"/>
      <c r="AB248" s="127"/>
      <c r="AC248" s="127"/>
      <c r="AD248" s="127"/>
      <c r="AE248" s="127"/>
      <c r="AF248" s="127"/>
      <c r="AG248" s="127"/>
      <c r="AH248" s="127"/>
      <c r="AI248" s="127"/>
      <c r="AJ248" s="127"/>
      <c r="AK248" s="127"/>
      <c r="AL248" s="127"/>
      <c r="AM248" s="127"/>
      <c r="AN248" s="127"/>
      <c r="AO248" s="127"/>
      <c r="AP248" s="127"/>
      <c r="AQ248" s="127"/>
      <c r="AR248" s="127"/>
      <c r="AS248" s="127"/>
      <c r="AT248" s="127"/>
      <c r="AU248" s="127"/>
      <c r="AV248" s="127"/>
      <c r="AW248" s="127"/>
      <c r="AX248" s="127"/>
      <c r="AY248" s="127"/>
      <c r="AZ248" s="127"/>
      <c r="BA248" s="127"/>
      <c r="BB248" s="127"/>
      <c r="BC248" s="127"/>
      <c r="BD248" s="127"/>
      <c r="BE248" s="127"/>
      <c r="BF248" s="127"/>
      <c r="BG248" s="127"/>
      <c r="BH248" s="127"/>
      <c r="BI248" s="127"/>
      <c r="BJ248" s="127"/>
      <c r="BK248" s="127"/>
      <c r="BL248" s="127"/>
      <c r="BM248" s="127"/>
      <c r="BN248" s="127"/>
      <c r="BO248" s="127"/>
      <c r="BP248" s="127"/>
      <c r="BQ248" s="127"/>
      <c r="BR248" s="127"/>
      <c r="BS248" s="127"/>
      <c r="BT248" s="127"/>
      <c r="BU248" s="127"/>
      <c r="BV248" s="127"/>
      <c r="BW248" s="127"/>
      <c r="BX248" s="127"/>
      <c r="BY248" s="127"/>
      <c r="BZ248" s="127"/>
      <c r="CA248" s="127"/>
      <c r="CB248" s="187"/>
      <c r="CC248" s="189"/>
      <c r="CD248" s="188"/>
      <c r="CE248" s="127"/>
      <c r="CF248" s="190"/>
      <c r="CG248" s="190"/>
      <c r="CH248" s="187"/>
      <c r="CI248" s="187"/>
      <c r="CJ248" s="187"/>
      <c r="CK248" s="187"/>
      <c r="CL248" s="187"/>
      <c r="CM248" s="187"/>
      <c r="CN248" s="187"/>
      <c r="CO248" s="127"/>
      <c r="CP248" s="127"/>
      <c r="CQ248" s="187"/>
      <c r="CR248" s="187"/>
      <c r="CS248" s="187"/>
      <c r="CT248" s="187"/>
      <c r="CU248" s="187"/>
      <c r="CV248" s="187"/>
      <c r="CW248" s="187"/>
      <c r="CX248" s="187"/>
    </row>
    <row r="249" spans="1:102" ht="12.75" customHeight="1" x14ac:dyDescent="0.2">
      <c r="A249" s="187"/>
      <c r="B249" s="127"/>
      <c r="C249" s="187"/>
      <c r="D249" s="127"/>
      <c r="E249" s="187"/>
      <c r="F249" s="187"/>
      <c r="G249" s="187"/>
      <c r="H249" s="187"/>
      <c r="I249" s="187"/>
      <c r="J249" s="187"/>
      <c r="K249" s="187"/>
      <c r="L249" s="187"/>
      <c r="M249" s="187"/>
      <c r="N249" s="187"/>
      <c r="O249" s="187"/>
      <c r="P249" s="187"/>
      <c r="Q249" s="187"/>
      <c r="R249" s="187"/>
      <c r="S249" s="187"/>
      <c r="T249" s="127"/>
      <c r="U249" s="188"/>
      <c r="V249" s="127"/>
      <c r="W249" s="1438"/>
      <c r="X249" s="127"/>
      <c r="Y249" s="127"/>
      <c r="Z249" s="127"/>
      <c r="AA249" s="127"/>
      <c r="AB249" s="127"/>
      <c r="AC249" s="127"/>
      <c r="AD249" s="127"/>
      <c r="AE249" s="127"/>
      <c r="AF249" s="127"/>
      <c r="AG249" s="127"/>
      <c r="AH249" s="127"/>
      <c r="AI249" s="127"/>
      <c r="AJ249" s="127"/>
      <c r="AK249" s="127"/>
      <c r="AL249" s="127"/>
      <c r="AM249" s="127"/>
      <c r="AN249" s="127"/>
      <c r="AO249" s="127"/>
      <c r="AP249" s="127"/>
      <c r="AQ249" s="127"/>
      <c r="AR249" s="127"/>
      <c r="AS249" s="127"/>
      <c r="AT249" s="127"/>
      <c r="AU249" s="127"/>
      <c r="AV249" s="127"/>
      <c r="AW249" s="127"/>
      <c r="AX249" s="127"/>
      <c r="AY249" s="127"/>
      <c r="AZ249" s="127"/>
      <c r="BA249" s="127"/>
      <c r="BB249" s="127"/>
      <c r="BC249" s="127"/>
      <c r="BD249" s="127"/>
      <c r="BE249" s="127"/>
      <c r="BF249" s="127"/>
      <c r="BG249" s="127"/>
      <c r="BH249" s="127"/>
      <c r="BI249" s="127"/>
      <c r="BJ249" s="127"/>
      <c r="BK249" s="127"/>
      <c r="BL249" s="127"/>
      <c r="BM249" s="127"/>
      <c r="BN249" s="127"/>
      <c r="BO249" s="127"/>
      <c r="BP249" s="127"/>
      <c r="BQ249" s="127"/>
      <c r="BR249" s="127"/>
      <c r="BS249" s="127"/>
      <c r="BT249" s="127"/>
      <c r="BU249" s="127"/>
      <c r="BV249" s="127"/>
      <c r="BW249" s="127"/>
      <c r="BX249" s="127"/>
      <c r="BY249" s="127"/>
      <c r="BZ249" s="127"/>
      <c r="CA249" s="127"/>
      <c r="CB249" s="187"/>
      <c r="CC249" s="189"/>
      <c r="CD249" s="188"/>
      <c r="CE249" s="127"/>
      <c r="CF249" s="190"/>
      <c r="CG249" s="190"/>
      <c r="CH249" s="187"/>
      <c r="CI249" s="187"/>
      <c r="CJ249" s="187"/>
      <c r="CK249" s="187"/>
      <c r="CL249" s="187"/>
      <c r="CM249" s="187"/>
      <c r="CN249" s="187"/>
      <c r="CO249" s="127"/>
      <c r="CP249" s="127"/>
      <c r="CQ249" s="187"/>
      <c r="CR249" s="187"/>
      <c r="CS249" s="187"/>
      <c r="CT249" s="187"/>
      <c r="CU249" s="187"/>
      <c r="CV249" s="187"/>
      <c r="CW249" s="187"/>
      <c r="CX249" s="187"/>
    </row>
    <row r="250" spans="1:102" ht="12.75" customHeight="1" x14ac:dyDescent="0.2">
      <c r="A250" s="187"/>
      <c r="B250" s="127"/>
      <c r="C250" s="187"/>
      <c r="D250" s="127"/>
      <c r="E250" s="187"/>
      <c r="F250" s="187"/>
      <c r="G250" s="187"/>
      <c r="H250" s="187"/>
      <c r="I250" s="187"/>
      <c r="J250" s="187"/>
      <c r="K250" s="187"/>
      <c r="L250" s="187"/>
      <c r="M250" s="187"/>
      <c r="N250" s="187"/>
      <c r="O250" s="187"/>
      <c r="P250" s="187"/>
      <c r="Q250" s="187"/>
      <c r="R250" s="187"/>
      <c r="S250" s="187"/>
      <c r="T250" s="127"/>
      <c r="U250" s="188"/>
      <c r="V250" s="127"/>
      <c r="W250" s="1438"/>
      <c r="X250" s="127"/>
      <c r="Y250" s="127"/>
      <c r="Z250" s="127"/>
      <c r="AA250" s="127"/>
      <c r="AB250" s="127"/>
      <c r="AC250" s="127"/>
      <c r="AD250" s="127"/>
      <c r="AE250" s="127"/>
      <c r="AF250" s="127"/>
      <c r="AG250" s="127"/>
      <c r="AH250" s="127"/>
      <c r="AI250" s="127"/>
      <c r="AJ250" s="127"/>
      <c r="AK250" s="127"/>
      <c r="AL250" s="127"/>
      <c r="AM250" s="127"/>
      <c r="AN250" s="127"/>
      <c r="AO250" s="127"/>
      <c r="AP250" s="127"/>
      <c r="AQ250" s="127"/>
      <c r="AR250" s="127"/>
      <c r="AS250" s="127"/>
      <c r="AT250" s="127"/>
      <c r="AU250" s="127"/>
      <c r="AV250" s="127"/>
      <c r="AW250" s="127"/>
      <c r="AX250" s="127"/>
      <c r="AY250" s="127"/>
      <c r="AZ250" s="127"/>
      <c r="BA250" s="127"/>
      <c r="BB250" s="127"/>
      <c r="BC250" s="127"/>
      <c r="BD250" s="127"/>
      <c r="BE250" s="127"/>
      <c r="BF250" s="127"/>
      <c r="BG250" s="127"/>
      <c r="BH250" s="127"/>
      <c r="BI250" s="127"/>
      <c r="BJ250" s="127"/>
      <c r="BK250" s="127"/>
      <c r="BL250" s="127"/>
      <c r="BM250" s="127"/>
      <c r="BN250" s="127"/>
      <c r="BO250" s="127"/>
      <c r="BP250" s="127"/>
      <c r="BQ250" s="127"/>
      <c r="BR250" s="127"/>
      <c r="BS250" s="127"/>
      <c r="BT250" s="127"/>
      <c r="BU250" s="127"/>
      <c r="BV250" s="127"/>
      <c r="BW250" s="127"/>
      <c r="BX250" s="127"/>
      <c r="BY250" s="127"/>
      <c r="BZ250" s="127"/>
      <c r="CA250" s="127"/>
      <c r="CB250" s="187"/>
      <c r="CC250" s="189"/>
      <c r="CD250" s="188"/>
      <c r="CE250" s="127"/>
      <c r="CF250" s="190"/>
      <c r="CG250" s="190"/>
      <c r="CH250" s="187"/>
      <c r="CI250" s="187"/>
      <c r="CJ250" s="187"/>
      <c r="CK250" s="187"/>
      <c r="CL250" s="187"/>
      <c r="CM250" s="187"/>
      <c r="CN250" s="187"/>
      <c r="CO250" s="127"/>
      <c r="CP250" s="127"/>
      <c r="CQ250" s="187"/>
      <c r="CR250" s="187"/>
      <c r="CS250" s="187"/>
      <c r="CT250" s="187"/>
      <c r="CU250" s="187"/>
      <c r="CV250" s="187"/>
      <c r="CW250" s="187"/>
      <c r="CX250" s="187"/>
    </row>
    <row r="251" spans="1:102" ht="12.75" customHeight="1" x14ac:dyDescent="0.2">
      <c r="A251" s="187"/>
      <c r="B251" s="127"/>
      <c r="C251" s="187"/>
      <c r="D251" s="127"/>
      <c r="E251" s="187"/>
      <c r="F251" s="187"/>
      <c r="G251" s="187"/>
      <c r="H251" s="187"/>
      <c r="I251" s="187"/>
      <c r="J251" s="187"/>
      <c r="K251" s="187"/>
      <c r="L251" s="187"/>
      <c r="M251" s="187"/>
      <c r="N251" s="187"/>
      <c r="O251" s="187"/>
      <c r="P251" s="187"/>
      <c r="Q251" s="187"/>
      <c r="R251" s="187"/>
      <c r="S251" s="187"/>
      <c r="T251" s="127"/>
      <c r="U251" s="188"/>
      <c r="V251" s="127"/>
      <c r="W251" s="1438"/>
      <c r="X251" s="127"/>
      <c r="Y251" s="127"/>
      <c r="Z251" s="127"/>
      <c r="AA251" s="127"/>
      <c r="AB251" s="127"/>
      <c r="AC251" s="127"/>
      <c r="AD251" s="127"/>
      <c r="AE251" s="127"/>
      <c r="AF251" s="127"/>
      <c r="AG251" s="127"/>
      <c r="AH251" s="127"/>
      <c r="AI251" s="127"/>
      <c r="AJ251" s="127"/>
      <c r="AK251" s="127"/>
      <c r="AL251" s="127"/>
      <c r="AM251" s="127"/>
      <c r="AN251" s="127"/>
      <c r="AO251" s="127"/>
      <c r="AP251" s="127"/>
      <c r="AQ251" s="127"/>
      <c r="AR251" s="127"/>
      <c r="AS251" s="127"/>
      <c r="AT251" s="127"/>
      <c r="AU251" s="127"/>
      <c r="AV251" s="127"/>
      <c r="AW251" s="127"/>
      <c r="AX251" s="127"/>
      <c r="AY251" s="127"/>
      <c r="AZ251" s="127"/>
      <c r="BA251" s="127"/>
      <c r="BB251" s="127"/>
      <c r="BC251" s="127"/>
      <c r="BD251" s="127"/>
      <c r="BE251" s="127"/>
      <c r="BF251" s="127"/>
      <c r="BG251" s="127"/>
      <c r="BH251" s="127"/>
      <c r="BI251" s="127"/>
      <c r="BJ251" s="127"/>
      <c r="BK251" s="127"/>
      <c r="BL251" s="127"/>
      <c r="BM251" s="127"/>
      <c r="BN251" s="127"/>
      <c r="BO251" s="127"/>
      <c r="BP251" s="127"/>
      <c r="BQ251" s="127"/>
      <c r="BR251" s="127"/>
      <c r="BS251" s="127"/>
      <c r="BT251" s="127"/>
      <c r="BU251" s="127"/>
      <c r="BV251" s="127"/>
      <c r="BW251" s="127"/>
      <c r="BX251" s="127"/>
      <c r="BY251" s="127"/>
      <c r="BZ251" s="127"/>
      <c r="CA251" s="127"/>
      <c r="CB251" s="187"/>
      <c r="CC251" s="189"/>
      <c r="CD251" s="188"/>
      <c r="CE251" s="127"/>
      <c r="CF251" s="190"/>
      <c r="CG251" s="190"/>
      <c r="CH251" s="187"/>
      <c r="CI251" s="187"/>
      <c r="CJ251" s="187"/>
      <c r="CK251" s="187"/>
      <c r="CL251" s="187"/>
      <c r="CM251" s="187"/>
      <c r="CN251" s="187"/>
      <c r="CO251" s="127"/>
      <c r="CP251" s="127"/>
      <c r="CQ251" s="187"/>
      <c r="CR251" s="187"/>
      <c r="CS251" s="187"/>
      <c r="CT251" s="187"/>
      <c r="CU251" s="187"/>
      <c r="CV251" s="187"/>
      <c r="CW251" s="187"/>
      <c r="CX251" s="187"/>
    </row>
    <row r="252" spans="1:102" ht="12.75" customHeight="1" x14ac:dyDescent="0.2">
      <c r="A252" s="187"/>
      <c r="B252" s="127"/>
      <c r="C252" s="187"/>
      <c r="D252" s="127"/>
      <c r="E252" s="187"/>
      <c r="F252" s="187"/>
      <c r="G252" s="187"/>
      <c r="H252" s="187"/>
      <c r="I252" s="187"/>
      <c r="J252" s="187"/>
      <c r="K252" s="187"/>
      <c r="L252" s="187"/>
      <c r="M252" s="187"/>
      <c r="N252" s="187"/>
      <c r="O252" s="187"/>
      <c r="P252" s="187"/>
      <c r="Q252" s="187"/>
      <c r="R252" s="187"/>
      <c r="S252" s="187"/>
      <c r="T252" s="127"/>
      <c r="U252" s="188"/>
      <c r="V252" s="127"/>
      <c r="W252" s="1438"/>
      <c r="X252" s="127"/>
      <c r="Y252" s="127"/>
      <c r="Z252" s="127"/>
      <c r="AA252" s="127"/>
      <c r="AB252" s="127"/>
      <c r="AC252" s="127"/>
      <c r="AD252" s="127"/>
      <c r="AE252" s="127"/>
      <c r="AF252" s="127"/>
      <c r="AG252" s="127"/>
      <c r="AH252" s="127"/>
      <c r="AI252" s="127"/>
      <c r="AJ252" s="127"/>
      <c r="AK252" s="127"/>
      <c r="AL252" s="127"/>
      <c r="AM252" s="127"/>
      <c r="AN252" s="127"/>
      <c r="AO252" s="127"/>
      <c r="AP252" s="127"/>
      <c r="AQ252" s="127"/>
      <c r="AR252" s="127"/>
      <c r="AS252" s="127"/>
      <c r="AT252" s="127"/>
      <c r="AU252" s="127"/>
      <c r="AV252" s="127"/>
      <c r="AW252" s="127"/>
      <c r="AX252" s="127"/>
      <c r="AY252" s="127"/>
      <c r="AZ252" s="127"/>
      <c r="BA252" s="127"/>
      <c r="BB252" s="127"/>
      <c r="BC252" s="127"/>
      <c r="BD252" s="127"/>
      <c r="BE252" s="127"/>
      <c r="BF252" s="127"/>
      <c r="BG252" s="127"/>
      <c r="BH252" s="127"/>
      <c r="BI252" s="127"/>
      <c r="BJ252" s="127"/>
      <c r="BK252" s="127"/>
      <c r="BL252" s="127"/>
      <c r="BM252" s="127"/>
      <c r="BN252" s="127"/>
      <c r="BO252" s="127"/>
      <c r="BP252" s="127"/>
      <c r="BQ252" s="127"/>
      <c r="BR252" s="127"/>
      <c r="BS252" s="127"/>
      <c r="BT252" s="127"/>
      <c r="BU252" s="127"/>
      <c r="BV252" s="127"/>
      <c r="BW252" s="127"/>
      <c r="BX252" s="127"/>
      <c r="BY252" s="127"/>
      <c r="BZ252" s="127"/>
      <c r="CA252" s="127"/>
      <c r="CB252" s="187"/>
      <c r="CC252" s="189"/>
      <c r="CD252" s="188"/>
      <c r="CE252" s="127"/>
      <c r="CF252" s="190"/>
      <c r="CG252" s="190"/>
      <c r="CH252" s="187"/>
      <c r="CI252" s="187"/>
      <c r="CJ252" s="187"/>
      <c r="CK252" s="187"/>
      <c r="CL252" s="187"/>
      <c r="CM252" s="187"/>
      <c r="CN252" s="187"/>
      <c r="CO252" s="127"/>
      <c r="CP252" s="127"/>
      <c r="CQ252" s="187"/>
      <c r="CR252" s="187"/>
      <c r="CS252" s="187"/>
      <c r="CT252" s="187"/>
      <c r="CU252" s="187"/>
      <c r="CV252" s="187"/>
      <c r="CW252" s="187"/>
      <c r="CX252" s="187"/>
    </row>
    <row r="253" spans="1:102" ht="12.75" customHeight="1" x14ac:dyDescent="0.2">
      <c r="A253" s="187"/>
      <c r="B253" s="127"/>
      <c r="C253" s="187"/>
      <c r="D253" s="127"/>
      <c r="E253" s="187"/>
      <c r="F253" s="187"/>
      <c r="G253" s="187"/>
      <c r="H253" s="187"/>
      <c r="I253" s="187"/>
      <c r="J253" s="187"/>
      <c r="K253" s="187"/>
      <c r="L253" s="187"/>
      <c r="M253" s="187"/>
      <c r="N253" s="187"/>
      <c r="O253" s="187"/>
      <c r="P253" s="187"/>
      <c r="Q253" s="187"/>
      <c r="R253" s="187"/>
      <c r="S253" s="187"/>
      <c r="T253" s="127"/>
      <c r="U253" s="188"/>
      <c r="V253" s="127"/>
      <c r="W253" s="1438"/>
      <c r="X253" s="127"/>
      <c r="Y253" s="127"/>
      <c r="Z253" s="127"/>
      <c r="AA253" s="127"/>
      <c r="AB253" s="127"/>
      <c r="AC253" s="127"/>
      <c r="AD253" s="127"/>
      <c r="AE253" s="127"/>
      <c r="AF253" s="127"/>
      <c r="AG253" s="127"/>
      <c r="AH253" s="127"/>
      <c r="AI253" s="127"/>
      <c r="AJ253" s="127"/>
      <c r="AK253" s="127"/>
      <c r="AL253" s="127"/>
      <c r="AM253" s="127"/>
      <c r="AN253" s="127"/>
      <c r="AO253" s="127"/>
      <c r="AP253" s="127"/>
      <c r="AQ253" s="127"/>
      <c r="AR253" s="127"/>
      <c r="AS253" s="127"/>
      <c r="AT253" s="127"/>
      <c r="AU253" s="127"/>
      <c r="AV253" s="127"/>
      <c r="AW253" s="127"/>
      <c r="AX253" s="127"/>
      <c r="AY253" s="127"/>
      <c r="AZ253" s="127"/>
      <c r="BA253" s="127"/>
      <c r="BB253" s="127"/>
      <c r="BC253" s="127"/>
      <c r="BD253" s="127"/>
      <c r="BE253" s="127"/>
      <c r="BF253" s="127"/>
      <c r="BG253" s="127"/>
      <c r="BH253" s="127"/>
      <c r="BI253" s="127"/>
      <c r="BJ253" s="127"/>
      <c r="BK253" s="127"/>
      <c r="BL253" s="127"/>
      <c r="BM253" s="127"/>
      <c r="BN253" s="127"/>
      <c r="BO253" s="127"/>
      <c r="BP253" s="127"/>
      <c r="BQ253" s="127"/>
      <c r="BR253" s="127"/>
      <c r="BS253" s="127"/>
      <c r="BT253" s="127"/>
      <c r="BU253" s="127"/>
      <c r="BV253" s="127"/>
      <c r="BW253" s="127"/>
      <c r="BX253" s="127"/>
      <c r="BY253" s="127"/>
      <c r="BZ253" s="127"/>
      <c r="CA253" s="127"/>
      <c r="CB253" s="187"/>
      <c r="CC253" s="189"/>
      <c r="CD253" s="188"/>
      <c r="CE253" s="127"/>
      <c r="CF253" s="190"/>
      <c r="CG253" s="190"/>
      <c r="CH253" s="187"/>
      <c r="CI253" s="187"/>
      <c r="CJ253" s="187"/>
      <c r="CK253" s="187"/>
      <c r="CL253" s="187"/>
      <c r="CM253" s="187"/>
      <c r="CN253" s="187"/>
      <c r="CO253" s="127"/>
      <c r="CP253" s="127"/>
      <c r="CQ253" s="187"/>
      <c r="CR253" s="187"/>
      <c r="CS253" s="187"/>
      <c r="CT253" s="187"/>
      <c r="CU253" s="187"/>
      <c r="CV253" s="187"/>
      <c r="CW253" s="187"/>
      <c r="CX253" s="187"/>
    </row>
    <row r="254" spans="1:102" ht="12.75" customHeight="1" x14ac:dyDescent="0.2">
      <c r="A254" s="187"/>
      <c r="B254" s="127"/>
      <c r="C254" s="187"/>
      <c r="D254" s="127"/>
      <c r="E254" s="187"/>
      <c r="F254" s="187"/>
      <c r="G254" s="187"/>
      <c r="H254" s="187"/>
      <c r="I254" s="187"/>
      <c r="J254" s="187"/>
      <c r="K254" s="187"/>
      <c r="L254" s="187"/>
      <c r="M254" s="187"/>
      <c r="N254" s="187"/>
      <c r="O254" s="187"/>
      <c r="P254" s="187"/>
      <c r="Q254" s="187"/>
      <c r="R254" s="187"/>
      <c r="S254" s="187"/>
      <c r="T254" s="127"/>
      <c r="U254" s="188"/>
      <c r="V254" s="127"/>
      <c r="W254" s="1438"/>
      <c r="X254" s="127"/>
      <c r="Y254" s="127"/>
      <c r="Z254" s="127"/>
      <c r="AA254" s="127"/>
      <c r="AB254" s="127"/>
      <c r="AC254" s="127"/>
      <c r="AD254" s="127"/>
      <c r="AE254" s="127"/>
      <c r="AF254" s="127"/>
      <c r="AG254" s="127"/>
      <c r="AH254" s="127"/>
      <c r="AI254" s="127"/>
      <c r="AJ254" s="127"/>
      <c r="AK254" s="127"/>
      <c r="AL254" s="127"/>
      <c r="AM254" s="127"/>
      <c r="AN254" s="127"/>
      <c r="AO254" s="127"/>
      <c r="AP254" s="127"/>
      <c r="AQ254" s="127"/>
      <c r="AR254" s="127"/>
      <c r="AS254" s="127"/>
      <c r="AT254" s="127"/>
      <c r="AU254" s="127"/>
      <c r="AV254" s="127"/>
      <c r="AW254" s="127"/>
      <c r="AX254" s="127"/>
      <c r="AY254" s="127"/>
      <c r="AZ254" s="127"/>
      <c r="BA254" s="127"/>
      <c r="BB254" s="127"/>
      <c r="BC254" s="127"/>
      <c r="BD254" s="127"/>
      <c r="BE254" s="127"/>
      <c r="BF254" s="127"/>
      <c r="BG254" s="127"/>
      <c r="BH254" s="127"/>
      <c r="BI254" s="127"/>
      <c r="BJ254" s="127"/>
      <c r="BK254" s="127"/>
      <c r="BL254" s="127"/>
      <c r="BM254" s="127"/>
      <c r="BN254" s="127"/>
      <c r="BO254" s="127"/>
      <c r="BP254" s="127"/>
      <c r="BQ254" s="127"/>
      <c r="BR254" s="127"/>
      <c r="BS254" s="127"/>
      <c r="BT254" s="127"/>
      <c r="BU254" s="127"/>
      <c r="BV254" s="127"/>
      <c r="BW254" s="127"/>
      <c r="BX254" s="127"/>
      <c r="BY254" s="127"/>
      <c r="BZ254" s="127"/>
      <c r="CA254" s="127"/>
      <c r="CB254" s="187"/>
      <c r="CC254" s="189"/>
      <c r="CD254" s="188"/>
      <c r="CE254" s="127"/>
      <c r="CF254" s="190"/>
      <c r="CG254" s="190"/>
      <c r="CH254" s="187"/>
      <c r="CI254" s="187"/>
      <c r="CJ254" s="187"/>
      <c r="CK254" s="187"/>
      <c r="CL254" s="187"/>
      <c r="CM254" s="187"/>
      <c r="CN254" s="187"/>
      <c r="CO254" s="127"/>
      <c r="CP254" s="127"/>
      <c r="CQ254" s="187"/>
      <c r="CR254" s="187"/>
      <c r="CS254" s="187"/>
      <c r="CT254" s="187"/>
      <c r="CU254" s="187"/>
      <c r="CV254" s="187"/>
      <c r="CW254" s="187"/>
      <c r="CX254" s="187"/>
    </row>
    <row r="255" spans="1:102" ht="12.75" customHeight="1" x14ac:dyDescent="0.2">
      <c r="A255" s="187"/>
      <c r="B255" s="127"/>
      <c r="C255" s="187"/>
      <c r="D255" s="127"/>
      <c r="E255" s="187"/>
      <c r="F255" s="187"/>
      <c r="G255" s="187"/>
      <c r="H255" s="187"/>
      <c r="I255" s="187"/>
      <c r="J255" s="187"/>
      <c r="K255" s="187"/>
      <c r="L255" s="187"/>
      <c r="M255" s="187"/>
      <c r="N255" s="187"/>
      <c r="O255" s="187"/>
      <c r="P255" s="187"/>
      <c r="Q255" s="187"/>
      <c r="R255" s="187"/>
      <c r="S255" s="187"/>
      <c r="T255" s="127"/>
      <c r="U255" s="188"/>
      <c r="V255" s="127"/>
      <c r="W255" s="1438"/>
      <c r="X255" s="127"/>
      <c r="Y255" s="127"/>
      <c r="Z255" s="127"/>
      <c r="AA255" s="127"/>
      <c r="AB255" s="127"/>
      <c r="AC255" s="127"/>
      <c r="AD255" s="127"/>
      <c r="AE255" s="127"/>
      <c r="AF255" s="127"/>
      <c r="AG255" s="127"/>
      <c r="AH255" s="127"/>
      <c r="AI255" s="127"/>
      <c r="AJ255" s="127"/>
      <c r="AK255" s="127"/>
      <c r="AL255" s="127"/>
      <c r="AM255" s="127"/>
      <c r="AN255" s="127"/>
      <c r="AO255" s="127"/>
      <c r="AP255" s="127"/>
      <c r="AQ255" s="127"/>
      <c r="AR255" s="127"/>
      <c r="AS255" s="127"/>
      <c r="AT255" s="127"/>
      <c r="AU255" s="127"/>
      <c r="AV255" s="127"/>
      <c r="AW255" s="127"/>
      <c r="AX255" s="127"/>
      <c r="AY255" s="127"/>
      <c r="AZ255" s="127"/>
      <c r="BA255" s="127"/>
      <c r="BB255" s="127"/>
      <c r="BC255" s="127"/>
      <c r="BD255" s="127"/>
      <c r="BE255" s="127"/>
      <c r="BF255" s="127"/>
      <c r="BG255" s="127"/>
      <c r="BH255" s="127"/>
      <c r="BI255" s="127"/>
      <c r="BJ255" s="127"/>
      <c r="BK255" s="127"/>
      <c r="BL255" s="127"/>
      <c r="BM255" s="127"/>
      <c r="BN255" s="127"/>
      <c r="BO255" s="127"/>
      <c r="BP255" s="127"/>
      <c r="BQ255" s="127"/>
      <c r="BR255" s="127"/>
      <c r="BS255" s="127"/>
      <c r="BT255" s="127"/>
      <c r="BU255" s="127"/>
      <c r="BV255" s="127"/>
      <c r="BW255" s="127"/>
      <c r="BX255" s="127"/>
      <c r="BY255" s="127"/>
      <c r="BZ255" s="127"/>
      <c r="CA255" s="127"/>
      <c r="CB255" s="187"/>
      <c r="CC255" s="189"/>
      <c r="CD255" s="188"/>
      <c r="CE255" s="127"/>
      <c r="CF255" s="190"/>
      <c r="CG255" s="190"/>
      <c r="CH255" s="187"/>
      <c r="CI255" s="187"/>
      <c r="CJ255" s="187"/>
      <c r="CK255" s="187"/>
      <c r="CL255" s="187"/>
      <c r="CM255" s="187"/>
      <c r="CN255" s="187"/>
      <c r="CO255" s="127"/>
      <c r="CP255" s="127"/>
      <c r="CQ255" s="187"/>
      <c r="CR255" s="187"/>
      <c r="CS255" s="187"/>
      <c r="CT255" s="187"/>
      <c r="CU255" s="187"/>
      <c r="CV255" s="187"/>
      <c r="CW255" s="187"/>
      <c r="CX255" s="187"/>
    </row>
    <row r="256" spans="1:102" ht="12.75" customHeight="1" x14ac:dyDescent="0.2">
      <c r="A256" s="187"/>
      <c r="B256" s="127"/>
      <c r="C256" s="187"/>
      <c r="D256" s="127"/>
      <c r="E256" s="187"/>
      <c r="F256" s="187"/>
      <c r="G256" s="187"/>
      <c r="H256" s="187"/>
      <c r="I256" s="187"/>
      <c r="J256" s="187"/>
      <c r="K256" s="187"/>
      <c r="L256" s="187"/>
      <c r="M256" s="187"/>
      <c r="N256" s="187"/>
      <c r="O256" s="187"/>
      <c r="P256" s="187"/>
      <c r="Q256" s="187"/>
      <c r="R256" s="187"/>
      <c r="S256" s="187"/>
      <c r="T256" s="127"/>
      <c r="U256" s="188"/>
      <c r="V256" s="127"/>
      <c r="W256" s="1438"/>
      <c r="X256" s="127"/>
      <c r="Y256" s="127"/>
      <c r="Z256" s="127"/>
      <c r="AA256" s="127"/>
      <c r="AB256" s="127"/>
      <c r="AC256" s="127"/>
      <c r="AD256" s="127"/>
      <c r="AE256" s="127"/>
      <c r="AF256" s="127"/>
      <c r="AG256" s="127"/>
      <c r="AH256" s="127"/>
      <c r="AI256" s="127"/>
      <c r="AJ256" s="127"/>
      <c r="AK256" s="127"/>
      <c r="AL256" s="127"/>
      <c r="AM256" s="127"/>
      <c r="AN256" s="127"/>
      <c r="AO256" s="127"/>
      <c r="AP256" s="127"/>
      <c r="AQ256" s="127"/>
      <c r="AR256" s="127"/>
      <c r="AS256" s="127"/>
      <c r="AT256" s="127"/>
      <c r="AU256" s="127"/>
      <c r="AV256" s="127"/>
      <c r="AW256" s="127"/>
      <c r="AX256" s="127"/>
      <c r="AY256" s="127"/>
      <c r="AZ256" s="127"/>
      <c r="BA256" s="127"/>
      <c r="BB256" s="127"/>
      <c r="BC256" s="127"/>
      <c r="BD256" s="127"/>
      <c r="BE256" s="127"/>
      <c r="BF256" s="127"/>
      <c r="BG256" s="127"/>
      <c r="BH256" s="127"/>
      <c r="BI256" s="127"/>
      <c r="BJ256" s="127"/>
      <c r="BK256" s="127"/>
      <c r="BL256" s="127"/>
      <c r="BM256" s="127"/>
      <c r="BN256" s="127"/>
      <c r="BO256" s="127"/>
      <c r="BP256" s="127"/>
      <c r="BQ256" s="127"/>
      <c r="BR256" s="127"/>
      <c r="BS256" s="127"/>
      <c r="BT256" s="127"/>
      <c r="BU256" s="127"/>
      <c r="BV256" s="127"/>
      <c r="BW256" s="127"/>
      <c r="BX256" s="127"/>
      <c r="BY256" s="127"/>
      <c r="BZ256" s="127"/>
      <c r="CA256" s="127"/>
      <c r="CB256" s="187"/>
      <c r="CC256" s="189"/>
      <c r="CD256" s="188"/>
      <c r="CE256" s="127"/>
      <c r="CF256" s="190"/>
      <c r="CG256" s="190"/>
      <c r="CH256" s="187"/>
      <c r="CI256" s="187"/>
      <c r="CJ256" s="187"/>
      <c r="CK256" s="187"/>
      <c r="CL256" s="187"/>
      <c r="CM256" s="187"/>
      <c r="CN256" s="187"/>
      <c r="CO256" s="127"/>
      <c r="CP256" s="127"/>
      <c r="CQ256" s="187"/>
      <c r="CR256" s="187"/>
      <c r="CS256" s="187"/>
      <c r="CT256" s="187"/>
      <c r="CU256" s="187"/>
      <c r="CV256" s="187"/>
      <c r="CW256" s="187"/>
      <c r="CX256" s="187"/>
    </row>
    <row r="257" spans="1:102" ht="12.75" customHeight="1" x14ac:dyDescent="0.2">
      <c r="A257" s="187"/>
      <c r="B257" s="127"/>
      <c r="C257" s="187"/>
      <c r="D257" s="127"/>
      <c r="E257" s="187"/>
      <c r="F257" s="187"/>
      <c r="G257" s="187"/>
      <c r="H257" s="187"/>
      <c r="I257" s="187"/>
      <c r="J257" s="187"/>
      <c r="K257" s="187"/>
      <c r="L257" s="187"/>
      <c r="M257" s="187"/>
      <c r="N257" s="187"/>
      <c r="O257" s="187"/>
      <c r="P257" s="187"/>
      <c r="Q257" s="187"/>
      <c r="R257" s="187"/>
      <c r="S257" s="187"/>
      <c r="T257" s="127"/>
      <c r="U257" s="188"/>
      <c r="V257" s="127"/>
      <c r="W257" s="1438"/>
      <c r="X257" s="127"/>
      <c r="Y257" s="127"/>
      <c r="Z257" s="127"/>
      <c r="AA257" s="127"/>
      <c r="AB257" s="127"/>
      <c r="AC257" s="127"/>
      <c r="AD257" s="127"/>
      <c r="AE257" s="127"/>
      <c r="AF257" s="127"/>
      <c r="AG257" s="127"/>
      <c r="AH257" s="127"/>
      <c r="AI257" s="127"/>
      <c r="AJ257" s="127"/>
      <c r="AK257" s="127"/>
      <c r="AL257" s="127"/>
      <c r="AM257" s="127"/>
      <c r="AN257" s="127"/>
      <c r="AO257" s="127"/>
      <c r="AP257" s="127"/>
      <c r="AQ257" s="127"/>
      <c r="AR257" s="127"/>
      <c r="AS257" s="127"/>
      <c r="AT257" s="127"/>
      <c r="AU257" s="127"/>
      <c r="AV257" s="127"/>
      <c r="AW257" s="127"/>
      <c r="AX257" s="127"/>
      <c r="AY257" s="127"/>
      <c r="AZ257" s="127"/>
      <c r="BA257" s="127"/>
      <c r="BB257" s="127"/>
      <c r="BC257" s="127"/>
      <c r="BD257" s="127"/>
      <c r="BE257" s="127"/>
      <c r="BF257" s="127"/>
      <c r="BG257" s="127"/>
      <c r="BH257" s="127"/>
      <c r="BI257" s="127"/>
      <c r="BJ257" s="127"/>
      <c r="BK257" s="127"/>
      <c r="BL257" s="127"/>
      <c r="BM257" s="127"/>
      <c r="BN257" s="127"/>
      <c r="BO257" s="127"/>
      <c r="BP257" s="127"/>
      <c r="BQ257" s="127"/>
      <c r="BR257" s="127"/>
      <c r="BS257" s="127"/>
      <c r="BT257" s="127"/>
      <c r="BU257" s="127"/>
      <c r="BV257" s="127"/>
      <c r="BW257" s="127"/>
      <c r="BX257" s="127"/>
      <c r="BY257" s="127"/>
      <c r="BZ257" s="127"/>
      <c r="CA257" s="127"/>
      <c r="CB257" s="187"/>
      <c r="CC257" s="189"/>
      <c r="CD257" s="188"/>
      <c r="CE257" s="127"/>
      <c r="CF257" s="190"/>
      <c r="CG257" s="190"/>
      <c r="CH257" s="187"/>
      <c r="CI257" s="187"/>
      <c r="CJ257" s="187"/>
      <c r="CK257" s="187"/>
      <c r="CL257" s="187"/>
      <c r="CM257" s="187"/>
      <c r="CN257" s="187"/>
      <c r="CO257" s="127"/>
      <c r="CP257" s="127"/>
      <c r="CQ257" s="187"/>
      <c r="CR257" s="187"/>
      <c r="CS257" s="187"/>
      <c r="CT257" s="187"/>
      <c r="CU257" s="187"/>
      <c r="CV257" s="187"/>
      <c r="CW257" s="187"/>
      <c r="CX257" s="187"/>
    </row>
    <row r="258" spans="1:102" ht="12.75" customHeight="1" x14ac:dyDescent="0.2">
      <c r="A258" s="187"/>
      <c r="B258" s="127"/>
      <c r="C258" s="187"/>
      <c r="D258" s="127"/>
      <c r="E258" s="187"/>
      <c r="F258" s="187"/>
      <c r="G258" s="187"/>
      <c r="H258" s="187"/>
      <c r="I258" s="187"/>
      <c r="J258" s="187"/>
      <c r="K258" s="187"/>
      <c r="L258" s="187"/>
      <c r="M258" s="187"/>
      <c r="N258" s="187"/>
      <c r="O258" s="187"/>
      <c r="P258" s="187"/>
      <c r="Q258" s="187"/>
      <c r="R258" s="187"/>
      <c r="S258" s="187"/>
      <c r="T258" s="127"/>
      <c r="U258" s="188"/>
      <c r="V258" s="127"/>
      <c r="W258" s="1438"/>
      <c r="X258" s="127"/>
      <c r="Y258" s="127"/>
      <c r="Z258" s="127"/>
      <c r="AA258" s="127"/>
      <c r="AB258" s="127"/>
      <c r="AC258" s="127"/>
      <c r="AD258" s="127"/>
      <c r="AE258" s="127"/>
      <c r="AF258" s="127"/>
      <c r="AG258" s="127"/>
      <c r="AH258" s="127"/>
      <c r="AI258" s="127"/>
      <c r="AJ258" s="127"/>
      <c r="AK258" s="127"/>
      <c r="AL258" s="127"/>
      <c r="AM258" s="127"/>
      <c r="AN258" s="127"/>
      <c r="AO258" s="127"/>
      <c r="AP258" s="127"/>
      <c r="AQ258" s="127"/>
      <c r="AR258" s="127"/>
      <c r="AS258" s="127"/>
      <c r="AT258" s="127"/>
      <c r="AU258" s="127"/>
      <c r="AV258" s="127"/>
      <c r="AW258" s="127"/>
      <c r="AX258" s="127"/>
      <c r="AY258" s="127"/>
      <c r="AZ258" s="127"/>
      <c r="BA258" s="127"/>
      <c r="BB258" s="127"/>
      <c r="BC258" s="127"/>
      <c r="BD258" s="127"/>
      <c r="BE258" s="127"/>
      <c r="BF258" s="127"/>
      <c r="BG258" s="127"/>
      <c r="BH258" s="127"/>
      <c r="BI258" s="127"/>
      <c r="BJ258" s="127"/>
      <c r="BK258" s="127"/>
      <c r="BL258" s="127"/>
      <c r="BM258" s="127"/>
      <c r="BN258" s="127"/>
      <c r="BO258" s="127"/>
      <c r="BP258" s="127"/>
      <c r="BQ258" s="127"/>
      <c r="BR258" s="127"/>
      <c r="BS258" s="127"/>
      <c r="BT258" s="127"/>
      <c r="BU258" s="127"/>
      <c r="BV258" s="127"/>
      <c r="BW258" s="127"/>
      <c r="BX258" s="127"/>
      <c r="BY258" s="127"/>
      <c r="BZ258" s="127"/>
      <c r="CA258" s="127"/>
      <c r="CB258" s="187"/>
      <c r="CC258" s="189"/>
      <c r="CD258" s="188"/>
      <c r="CE258" s="127"/>
      <c r="CF258" s="190"/>
      <c r="CG258" s="190"/>
      <c r="CH258" s="187"/>
      <c r="CI258" s="187"/>
      <c r="CJ258" s="187"/>
      <c r="CK258" s="187"/>
      <c r="CL258" s="187"/>
      <c r="CM258" s="187"/>
      <c r="CN258" s="187"/>
      <c r="CO258" s="127"/>
      <c r="CP258" s="127"/>
      <c r="CQ258" s="187"/>
      <c r="CR258" s="187"/>
      <c r="CS258" s="187"/>
      <c r="CT258" s="187"/>
      <c r="CU258" s="187"/>
      <c r="CV258" s="187"/>
      <c r="CW258" s="187"/>
      <c r="CX258" s="187"/>
    </row>
    <row r="259" spans="1:102" ht="12.75" customHeight="1" x14ac:dyDescent="0.2">
      <c r="A259" s="187"/>
      <c r="B259" s="127"/>
      <c r="C259" s="187"/>
      <c r="D259" s="127"/>
      <c r="E259" s="187"/>
      <c r="F259" s="187"/>
      <c r="G259" s="187"/>
      <c r="H259" s="187"/>
      <c r="I259" s="187"/>
      <c r="J259" s="187"/>
      <c r="K259" s="187"/>
      <c r="L259" s="187"/>
      <c r="M259" s="187"/>
      <c r="N259" s="187"/>
      <c r="O259" s="187"/>
      <c r="P259" s="187"/>
      <c r="Q259" s="187"/>
      <c r="R259" s="187"/>
      <c r="S259" s="187"/>
      <c r="T259" s="127"/>
      <c r="U259" s="188"/>
      <c r="V259" s="127"/>
      <c r="W259" s="1438"/>
      <c r="X259" s="127"/>
      <c r="Y259" s="127"/>
      <c r="Z259" s="127"/>
      <c r="AA259" s="127"/>
      <c r="AB259" s="127"/>
      <c r="AC259" s="127"/>
      <c r="AD259" s="127"/>
      <c r="AE259" s="127"/>
      <c r="AF259" s="127"/>
      <c r="AG259" s="127"/>
      <c r="AH259" s="127"/>
      <c r="AI259" s="127"/>
      <c r="AJ259" s="127"/>
      <c r="AK259" s="127"/>
      <c r="AL259" s="127"/>
      <c r="AM259" s="127"/>
      <c r="AN259" s="127"/>
      <c r="AO259" s="127"/>
      <c r="AP259" s="127"/>
      <c r="AQ259" s="127"/>
      <c r="AR259" s="127"/>
      <c r="AS259" s="127"/>
      <c r="AT259" s="127"/>
      <c r="AU259" s="127"/>
      <c r="AV259" s="127"/>
      <c r="AW259" s="127"/>
      <c r="AX259" s="127"/>
      <c r="AY259" s="127"/>
      <c r="AZ259" s="127"/>
      <c r="BA259" s="127"/>
      <c r="BB259" s="127"/>
      <c r="BC259" s="127"/>
      <c r="BD259" s="127"/>
      <c r="BE259" s="127"/>
      <c r="BF259" s="127"/>
      <c r="BG259" s="127"/>
      <c r="BH259" s="127"/>
      <c r="BI259" s="127"/>
      <c r="BJ259" s="127"/>
      <c r="BK259" s="127"/>
      <c r="BL259" s="127"/>
      <c r="BM259" s="127"/>
      <c r="BN259" s="127"/>
      <c r="BO259" s="127"/>
      <c r="BP259" s="127"/>
      <c r="BQ259" s="127"/>
      <c r="BR259" s="127"/>
      <c r="BS259" s="127"/>
      <c r="BT259" s="127"/>
      <c r="BU259" s="127"/>
      <c r="BV259" s="127"/>
      <c r="BW259" s="127"/>
      <c r="BX259" s="127"/>
      <c r="BY259" s="127"/>
      <c r="BZ259" s="127"/>
      <c r="CA259" s="127"/>
      <c r="CB259" s="187"/>
      <c r="CC259" s="189"/>
      <c r="CD259" s="188"/>
      <c r="CE259" s="127"/>
      <c r="CF259" s="190"/>
      <c r="CG259" s="190"/>
      <c r="CH259" s="187"/>
      <c r="CI259" s="187"/>
      <c r="CJ259" s="187"/>
      <c r="CK259" s="187"/>
      <c r="CL259" s="187"/>
      <c r="CM259" s="187"/>
      <c r="CN259" s="187"/>
      <c r="CO259" s="127"/>
      <c r="CP259" s="127"/>
      <c r="CQ259" s="187"/>
      <c r="CR259" s="187"/>
      <c r="CS259" s="187"/>
      <c r="CT259" s="187"/>
      <c r="CU259" s="187"/>
      <c r="CV259" s="187"/>
      <c r="CW259" s="187"/>
      <c r="CX259" s="187"/>
    </row>
    <row r="260" spans="1:102" ht="12.75" customHeight="1" x14ac:dyDescent="0.2">
      <c r="A260" s="187"/>
      <c r="B260" s="127"/>
      <c r="C260" s="187"/>
      <c r="D260" s="127"/>
      <c r="E260" s="187"/>
      <c r="F260" s="187"/>
      <c r="G260" s="187"/>
      <c r="H260" s="187"/>
      <c r="I260" s="187"/>
      <c r="J260" s="187"/>
      <c r="K260" s="187"/>
      <c r="L260" s="187"/>
      <c r="M260" s="187"/>
      <c r="N260" s="187"/>
      <c r="O260" s="187"/>
      <c r="P260" s="187"/>
      <c r="Q260" s="187"/>
      <c r="R260" s="187"/>
      <c r="S260" s="187"/>
      <c r="T260" s="127"/>
      <c r="U260" s="188"/>
      <c r="V260" s="127"/>
      <c r="W260" s="1438"/>
      <c r="X260" s="127"/>
      <c r="Y260" s="127"/>
      <c r="Z260" s="127"/>
      <c r="AA260" s="127"/>
      <c r="AB260" s="127"/>
      <c r="AC260" s="127"/>
      <c r="AD260" s="127"/>
      <c r="AE260" s="127"/>
      <c r="AF260" s="127"/>
      <c r="AG260" s="127"/>
      <c r="AH260" s="127"/>
      <c r="AI260" s="127"/>
      <c r="AJ260" s="127"/>
      <c r="AK260" s="127"/>
      <c r="AL260" s="127"/>
      <c r="AM260" s="127"/>
      <c r="AN260" s="127"/>
      <c r="AO260" s="127"/>
      <c r="AP260" s="127"/>
      <c r="AQ260" s="127"/>
      <c r="AR260" s="127"/>
      <c r="AS260" s="127"/>
      <c r="AT260" s="127"/>
      <c r="AU260" s="127"/>
      <c r="AV260" s="127"/>
      <c r="AW260" s="127"/>
      <c r="AX260" s="127"/>
      <c r="AY260" s="127"/>
      <c r="AZ260" s="127"/>
      <c r="BA260" s="127"/>
      <c r="BB260" s="127"/>
      <c r="BC260" s="127"/>
      <c r="BD260" s="127"/>
      <c r="BE260" s="127"/>
      <c r="BF260" s="127"/>
      <c r="BG260" s="127"/>
      <c r="BH260" s="127"/>
      <c r="BI260" s="127"/>
      <c r="BJ260" s="127"/>
      <c r="BK260" s="127"/>
      <c r="BL260" s="127"/>
      <c r="BM260" s="127"/>
      <c r="BN260" s="127"/>
      <c r="BO260" s="127"/>
      <c r="BP260" s="127"/>
      <c r="BQ260" s="127"/>
      <c r="BR260" s="127"/>
      <c r="BS260" s="127"/>
      <c r="BT260" s="127"/>
      <c r="BU260" s="127"/>
      <c r="BV260" s="127"/>
      <c r="BW260" s="127"/>
      <c r="BX260" s="127"/>
      <c r="BY260" s="127"/>
      <c r="BZ260" s="127"/>
      <c r="CA260" s="127"/>
      <c r="CB260" s="187"/>
      <c r="CC260" s="189"/>
      <c r="CD260" s="188"/>
      <c r="CE260" s="127"/>
      <c r="CF260" s="190"/>
      <c r="CG260" s="190"/>
      <c r="CH260" s="187"/>
      <c r="CI260" s="187"/>
      <c r="CJ260" s="187"/>
      <c r="CK260" s="187"/>
      <c r="CL260" s="187"/>
      <c r="CM260" s="187"/>
      <c r="CN260" s="187"/>
      <c r="CO260" s="127"/>
      <c r="CP260" s="127"/>
      <c r="CQ260" s="187"/>
      <c r="CR260" s="187"/>
      <c r="CS260" s="187"/>
      <c r="CT260" s="187"/>
      <c r="CU260" s="187"/>
      <c r="CV260" s="187"/>
      <c r="CW260" s="187"/>
      <c r="CX260" s="187"/>
    </row>
    <row r="261" spans="1:102" ht="12.75" customHeight="1" x14ac:dyDescent="0.2">
      <c r="A261" s="187"/>
      <c r="B261" s="127"/>
      <c r="C261" s="187"/>
      <c r="D261" s="127"/>
      <c r="E261" s="187"/>
      <c r="F261" s="187"/>
      <c r="G261" s="187"/>
      <c r="H261" s="187"/>
      <c r="I261" s="187"/>
      <c r="J261" s="187"/>
      <c r="K261" s="187"/>
      <c r="L261" s="187"/>
      <c r="M261" s="187"/>
      <c r="N261" s="187"/>
      <c r="O261" s="187"/>
      <c r="P261" s="187"/>
      <c r="Q261" s="187"/>
      <c r="R261" s="187"/>
      <c r="S261" s="187"/>
      <c r="T261" s="127"/>
      <c r="U261" s="188"/>
      <c r="V261" s="127"/>
      <c r="W261" s="1438"/>
      <c r="X261" s="127"/>
      <c r="Y261" s="127"/>
      <c r="Z261" s="127"/>
      <c r="AA261" s="127"/>
      <c r="AB261" s="127"/>
      <c r="AC261" s="127"/>
      <c r="AD261" s="127"/>
      <c r="AE261" s="127"/>
      <c r="AF261" s="127"/>
      <c r="AG261" s="127"/>
      <c r="AH261" s="127"/>
      <c r="AI261" s="127"/>
      <c r="AJ261" s="127"/>
      <c r="AK261" s="127"/>
      <c r="AL261" s="127"/>
      <c r="AM261" s="127"/>
      <c r="AN261" s="127"/>
      <c r="AO261" s="127"/>
      <c r="AP261" s="127"/>
      <c r="AQ261" s="127"/>
      <c r="AR261" s="127"/>
      <c r="AS261" s="127"/>
      <c r="AT261" s="127"/>
      <c r="AU261" s="127"/>
      <c r="AV261" s="127"/>
      <c r="AW261" s="127"/>
      <c r="AX261" s="127"/>
      <c r="AY261" s="127"/>
      <c r="AZ261" s="127"/>
      <c r="BA261" s="127"/>
      <c r="BB261" s="127"/>
      <c r="BC261" s="127"/>
      <c r="BD261" s="127"/>
      <c r="BE261" s="127"/>
      <c r="BF261" s="127"/>
      <c r="BG261" s="127"/>
      <c r="BH261" s="127"/>
      <c r="BI261" s="127"/>
      <c r="BJ261" s="127"/>
      <c r="BK261" s="127"/>
      <c r="BL261" s="127"/>
      <c r="BM261" s="127"/>
      <c r="BN261" s="127"/>
      <c r="BO261" s="127"/>
      <c r="BP261" s="127"/>
      <c r="BQ261" s="127"/>
      <c r="BR261" s="127"/>
      <c r="BS261" s="127"/>
      <c r="BT261" s="127"/>
      <c r="BU261" s="127"/>
      <c r="BV261" s="127"/>
      <c r="BW261" s="127"/>
      <c r="BX261" s="127"/>
      <c r="BY261" s="127"/>
      <c r="BZ261" s="127"/>
      <c r="CA261" s="127"/>
      <c r="CB261" s="187"/>
      <c r="CC261" s="189"/>
      <c r="CD261" s="188"/>
      <c r="CE261" s="127"/>
      <c r="CF261" s="190"/>
      <c r="CG261" s="190"/>
      <c r="CH261" s="187"/>
      <c r="CI261" s="187"/>
      <c r="CJ261" s="187"/>
      <c r="CK261" s="187"/>
      <c r="CL261" s="187"/>
      <c r="CM261" s="187"/>
      <c r="CN261" s="187"/>
      <c r="CO261" s="127"/>
      <c r="CP261" s="127"/>
      <c r="CQ261" s="187"/>
      <c r="CR261" s="187"/>
      <c r="CS261" s="187"/>
      <c r="CT261" s="187"/>
      <c r="CU261" s="187"/>
      <c r="CV261" s="187"/>
      <c r="CW261" s="187"/>
      <c r="CX261" s="187"/>
    </row>
    <row r="262" spans="1:102" ht="12.75" customHeight="1" x14ac:dyDescent="0.2">
      <c r="A262" s="187"/>
      <c r="B262" s="127"/>
      <c r="C262" s="187"/>
      <c r="D262" s="127"/>
      <c r="E262" s="187"/>
      <c r="F262" s="187"/>
      <c r="G262" s="187"/>
      <c r="H262" s="187"/>
      <c r="I262" s="187"/>
      <c r="J262" s="187"/>
      <c r="K262" s="187"/>
      <c r="L262" s="187"/>
      <c r="M262" s="187"/>
      <c r="N262" s="187"/>
      <c r="O262" s="187"/>
      <c r="P262" s="187"/>
      <c r="Q262" s="187"/>
      <c r="R262" s="187"/>
      <c r="S262" s="187"/>
      <c r="T262" s="127"/>
      <c r="U262" s="188"/>
      <c r="V262" s="127"/>
      <c r="W262" s="1438"/>
      <c r="X262" s="127"/>
      <c r="Y262" s="127"/>
      <c r="Z262" s="127"/>
      <c r="AA262" s="127"/>
      <c r="AB262" s="127"/>
      <c r="AC262" s="127"/>
      <c r="AD262" s="127"/>
      <c r="AE262" s="127"/>
      <c r="AF262" s="127"/>
      <c r="AG262" s="127"/>
      <c r="AH262" s="127"/>
      <c r="AI262" s="127"/>
      <c r="AJ262" s="127"/>
      <c r="AK262" s="127"/>
      <c r="AL262" s="127"/>
      <c r="AM262" s="127"/>
      <c r="AN262" s="127"/>
      <c r="AO262" s="127"/>
      <c r="AP262" s="127"/>
      <c r="AQ262" s="127"/>
      <c r="AR262" s="127"/>
      <c r="AS262" s="127"/>
      <c r="AT262" s="127"/>
      <c r="AU262" s="127"/>
      <c r="AV262" s="127"/>
      <c r="AW262" s="127"/>
      <c r="AX262" s="127"/>
      <c r="AY262" s="127"/>
      <c r="AZ262" s="127"/>
      <c r="BA262" s="127"/>
      <c r="BB262" s="127"/>
      <c r="BC262" s="127"/>
      <c r="BD262" s="127"/>
      <c r="BE262" s="127"/>
      <c r="BF262" s="127"/>
      <c r="BG262" s="127"/>
      <c r="BH262" s="127"/>
      <c r="BI262" s="127"/>
      <c r="BJ262" s="127"/>
      <c r="BK262" s="127"/>
      <c r="BL262" s="127"/>
      <c r="BM262" s="127"/>
      <c r="BN262" s="127"/>
      <c r="BO262" s="127"/>
      <c r="BP262" s="127"/>
      <c r="BQ262" s="127"/>
      <c r="BR262" s="127"/>
      <c r="BS262" s="127"/>
      <c r="BT262" s="127"/>
      <c r="BU262" s="127"/>
      <c r="BV262" s="127"/>
      <c r="BW262" s="127"/>
      <c r="BX262" s="127"/>
      <c r="BY262" s="127"/>
      <c r="BZ262" s="127"/>
      <c r="CA262" s="127"/>
      <c r="CB262" s="187"/>
      <c r="CC262" s="189"/>
      <c r="CD262" s="188"/>
      <c r="CE262" s="127"/>
      <c r="CF262" s="190"/>
      <c r="CG262" s="190"/>
      <c r="CH262" s="187"/>
      <c r="CI262" s="187"/>
      <c r="CJ262" s="187"/>
      <c r="CK262" s="187"/>
      <c r="CL262" s="187"/>
      <c r="CM262" s="187"/>
      <c r="CN262" s="187"/>
      <c r="CO262" s="127"/>
      <c r="CP262" s="127"/>
      <c r="CQ262" s="187"/>
      <c r="CR262" s="187"/>
      <c r="CS262" s="187"/>
      <c r="CT262" s="187"/>
      <c r="CU262" s="187"/>
      <c r="CV262" s="187"/>
      <c r="CW262" s="187"/>
      <c r="CX262" s="187"/>
    </row>
    <row r="263" spans="1:102" ht="12.75" customHeight="1" x14ac:dyDescent="0.2">
      <c r="A263" s="187"/>
      <c r="B263" s="127"/>
      <c r="C263" s="187"/>
      <c r="D263" s="127"/>
      <c r="E263" s="187"/>
      <c r="F263" s="187"/>
      <c r="G263" s="187"/>
      <c r="H263" s="187"/>
      <c r="I263" s="187"/>
      <c r="J263" s="187"/>
      <c r="K263" s="187"/>
      <c r="L263" s="187"/>
      <c r="M263" s="187"/>
      <c r="N263" s="187"/>
      <c r="O263" s="187"/>
      <c r="P263" s="187"/>
      <c r="Q263" s="187"/>
      <c r="R263" s="187"/>
      <c r="S263" s="187"/>
      <c r="T263" s="127"/>
      <c r="U263" s="188"/>
      <c r="V263" s="127"/>
      <c r="W263" s="1438"/>
      <c r="X263" s="127"/>
      <c r="Y263" s="127"/>
      <c r="Z263" s="127"/>
      <c r="AA263" s="127"/>
      <c r="AB263" s="127"/>
      <c r="AC263" s="127"/>
      <c r="AD263" s="127"/>
      <c r="AE263" s="127"/>
      <c r="AF263" s="127"/>
      <c r="AG263" s="127"/>
      <c r="AH263" s="127"/>
      <c r="AI263" s="127"/>
      <c r="AJ263" s="127"/>
      <c r="AK263" s="127"/>
      <c r="AL263" s="127"/>
      <c r="AM263" s="127"/>
      <c r="AN263" s="127"/>
      <c r="AO263" s="127"/>
      <c r="AP263" s="127"/>
      <c r="AQ263" s="127"/>
      <c r="AR263" s="127"/>
      <c r="AS263" s="127"/>
      <c r="AT263" s="127"/>
      <c r="AU263" s="127"/>
      <c r="AV263" s="127"/>
      <c r="AW263" s="127"/>
      <c r="AX263" s="127"/>
      <c r="AY263" s="127"/>
      <c r="AZ263" s="127"/>
      <c r="BA263" s="127"/>
      <c r="BB263" s="127"/>
      <c r="BC263" s="127"/>
      <c r="BD263" s="127"/>
      <c r="BE263" s="127"/>
      <c r="BF263" s="127"/>
      <c r="BG263" s="127"/>
      <c r="BH263" s="127"/>
      <c r="BI263" s="127"/>
      <c r="BJ263" s="127"/>
      <c r="BK263" s="127"/>
      <c r="BL263" s="127"/>
      <c r="BM263" s="127"/>
      <c r="BN263" s="127"/>
      <c r="BO263" s="127"/>
      <c r="BP263" s="127"/>
      <c r="BQ263" s="127"/>
      <c r="BR263" s="127"/>
      <c r="BS263" s="127"/>
      <c r="BT263" s="127"/>
      <c r="BU263" s="127"/>
      <c r="BV263" s="127"/>
      <c r="BW263" s="127"/>
      <c r="BX263" s="127"/>
      <c r="BY263" s="127"/>
      <c r="BZ263" s="127"/>
      <c r="CA263" s="127"/>
      <c r="CB263" s="187"/>
      <c r="CC263" s="189"/>
      <c r="CD263" s="188"/>
      <c r="CE263" s="127"/>
      <c r="CF263" s="190"/>
      <c r="CG263" s="190"/>
      <c r="CH263" s="187"/>
      <c r="CI263" s="187"/>
      <c r="CJ263" s="187"/>
      <c r="CK263" s="187"/>
      <c r="CL263" s="187"/>
      <c r="CM263" s="187"/>
      <c r="CN263" s="187"/>
      <c r="CO263" s="127"/>
      <c r="CP263" s="127"/>
      <c r="CQ263" s="187"/>
      <c r="CR263" s="187"/>
      <c r="CS263" s="187"/>
      <c r="CT263" s="187"/>
      <c r="CU263" s="187"/>
      <c r="CV263" s="187"/>
      <c r="CW263" s="187"/>
      <c r="CX263" s="187"/>
    </row>
    <row r="264" spans="1:102" ht="12.75" customHeight="1" x14ac:dyDescent="0.2">
      <c r="A264" s="187"/>
      <c r="B264" s="127"/>
      <c r="C264" s="187"/>
      <c r="D264" s="127"/>
      <c r="E264" s="187"/>
      <c r="F264" s="187"/>
      <c r="G264" s="187"/>
      <c r="H264" s="187"/>
      <c r="I264" s="187"/>
      <c r="J264" s="187"/>
      <c r="K264" s="187"/>
      <c r="L264" s="187"/>
      <c r="M264" s="187"/>
      <c r="N264" s="187"/>
      <c r="O264" s="187"/>
      <c r="P264" s="187"/>
      <c r="Q264" s="187"/>
      <c r="R264" s="187"/>
      <c r="S264" s="187"/>
      <c r="T264" s="127"/>
      <c r="U264" s="188"/>
      <c r="V264" s="127"/>
      <c r="W264" s="1438"/>
      <c r="X264" s="127"/>
      <c r="Y264" s="127"/>
      <c r="Z264" s="127"/>
      <c r="AA264" s="127"/>
      <c r="AB264" s="127"/>
      <c r="AC264" s="127"/>
      <c r="AD264" s="127"/>
      <c r="AE264" s="127"/>
      <c r="AF264" s="127"/>
      <c r="AG264" s="127"/>
      <c r="AH264" s="127"/>
      <c r="AI264" s="127"/>
      <c r="AJ264" s="127"/>
      <c r="AK264" s="127"/>
      <c r="AL264" s="127"/>
      <c r="AM264" s="127"/>
      <c r="AN264" s="127"/>
      <c r="AO264" s="127"/>
      <c r="AP264" s="127"/>
      <c r="AQ264" s="127"/>
      <c r="AR264" s="127"/>
      <c r="AS264" s="127"/>
      <c r="AT264" s="127"/>
      <c r="AU264" s="127"/>
      <c r="AV264" s="127"/>
      <c r="AW264" s="127"/>
      <c r="AX264" s="127"/>
      <c r="AY264" s="127"/>
      <c r="AZ264" s="127"/>
      <c r="BA264" s="127"/>
      <c r="BB264" s="127"/>
      <c r="BC264" s="127"/>
      <c r="BD264" s="127"/>
      <c r="BE264" s="127"/>
      <c r="BF264" s="127"/>
      <c r="BG264" s="127"/>
      <c r="BH264" s="127"/>
      <c r="BI264" s="127"/>
      <c r="BJ264" s="127"/>
      <c r="BK264" s="127"/>
      <c r="BL264" s="127"/>
      <c r="BM264" s="127"/>
      <c r="BN264" s="127"/>
      <c r="BO264" s="127"/>
      <c r="BP264" s="127"/>
      <c r="BQ264" s="127"/>
      <c r="BR264" s="127"/>
      <c r="BS264" s="127"/>
      <c r="BT264" s="127"/>
      <c r="BU264" s="127"/>
      <c r="BV264" s="127"/>
      <c r="BW264" s="127"/>
      <c r="BX264" s="127"/>
      <c r="BY264" s="127"/>
      <c r="BZ264" s="127"/>
      <c r="CA264" s="127"/>
      <c r="CB264" s="187"/>
      <c r="CC264" s="189"/>
      <c r="CD264" s="188"/>
      <c r="CE264" s="127"/>
      <c r="CF264" s="190"/>
      <c r="CG264" s="190"/>
      <c r="CH264" s="187"/>
      <c r="CI264" s="187"/>
      <c r="CJ264" s="187"/>
      <c r="CK264" s="187"/>
      <c r="CL264" s="187"/>
      <c r="CM264" s="187"/>
      <c r="CN264" s="187"/>
      <c r="CO264" s="127"/>
      <c r="CP264" s="127"/>
      <c r="CQ264" s="187"/>
      <c r="CR264" s="187"/>
      <c r="CS264" s="187"/>
      <c r="CT264" s="187"/>
      <c r="CU264" s="187"/>
      <c r="CV264" s="187"/>
      <c r="CW264" s="187"/>
      <c r="CX264" s="187"/>
    </row>
    <row r="265" spans="1:102" ht="12.75" customHeight="1" x14ac:dyDescent="0.2">
      <c r="A265" s="187"/>
      <c r="B265" s="127"/>
      <c r="C265" s="187"/>
      <c r="D265" s="127"/>
      <c r="E265" s="187"/>
      <c r="F265" s="187"/>
      <c r="G265" s="187"/>
      <c r="H265" s="187"/>
      <c r="I265" s="187"/>
      <c r="J265" s="187"/>
      <c r="K265" s="187"/>
      <c r="L265" s="187"/>
      <c r="M265" s="187"/>
      <c r="N265" s="187"/>
      <c r="O265" s="187"/>
      <c r="P265" s="187"/>
      <c r="Q265" s="187"/>
      <c r="R265" s="187"/>
      <c r="S265" s="187"/>
      <c r="T265" s="127"/>
      <c r="U265" s="188"/>
      <c r="V265" s="127"/>
      <c r="W265" s="1438"/>
      <c r="X265" s="127"/>
      <c r="Y265" s="127"/>
      <c r="Z265" s="127"/>
      <c r="AA265" s="127"/>
      <c r="AB265" s="127"/>
      <c r="AC265" s="127"/>
      <c r="AD265" s="127"/>
      <c r="AE265" s="127"/>
      <c r="AF265" s="127"/>
      <c r="AG265" s="127"/>
      <c r="AH265" s="127"/>
      <c r="AI265" s="127"/>
      <c r="AJ265" s="127"/>
      <c r="AK265" s="127"/>
      <c r="AL265" s="127"/>
      <c r="AM265" s="127"/>
      <c r="AN265" s="127"/>
      <c r="AO265" s="127"/>
      <c r="AP265" s="127"/>
      <c r="AQ265" s="127"/>
      <c r="AR265" s="127"/>
      <c r="AS265" s="127"/>
      <c r="AT265" s="127"/>
      <c r="AU265" s="127"/>
      <c r="AV265" s="127"/>
      <c r="AW265" s="127"/>
      <c r="AX265" s="127"/>
      <c r="AY265" s="127"/>
      <c r="AZ265" s="127"/>
      <c r="BA265" s="127"/>
      <c r="BB265" s="127"/>
      <c r="BC265" s="127"/>
      <c r="BD265" s="127"/>
      <c r="BE265" s="127"/>
      <c r="BF265" s="127"/>
      <c r="BG265" s="127"/>
      <c r="BH265" s="127"/>
      <c r="BI265" s="127"/>
      <c r="BJ265" s="127"/>
      <c r="BK265" s="127"/>
      <c r="BL265" s="127"/>
      <c r="BM265" s="127"/>
      <c r="BN265" s="127"/>
      <c r="BO265" s="127"/>
      <c r="BP265" s="127"/>
      <c r="BQ265" s="127"/>
      <c r="BR265" s="127"/>
      <c r="BS265" s="127"/>
      <c r="BT265" s="127"/>
      <c r="BU265" s="127"/>
      <c r="BV265" s="127"/>
      <c r="BW265" s="127"/>
      <c r="BX265" s="127"/>
      <c r="BY265" s="127"/>
      <c r="BZ265" s="127"/>
      <c r="CA265" s="127"/>
      <c r="CB265" s="187"/>
      <c r="CC265" s="189"/>
      <c r="CD265" s="188"/>
      <c r="CE265" s="127"/>
      <c r="CF265" s="190"/>
      <c r="CG265" s="190"/>
      <c r="CH265" s="187"/>
      <c r="CI265" s="187"/>
      <c r="CJ265" s="187"/>
      <c r="CK265" s="187"/>
      <c r="CL265" s="187"/>
      <c r="CM265" s="187"/>
      <c r="CN265" s="187"/>
      <c r="CO265" s="127"/>
      <c r="CP265" s="127"/>
      <c r="CQ265" s="187"/>
      <c r="CR265" s="187"/>
      <c r="CS265" s="187"/>
      <c r="CT265" s="187"/>
      <c r="CU265" s="187"/>
      <c r="CV265" s="187"/>
      <c r="CW265" s="187"/>
      <c r="CX265" s="187"/>
    </row>
    <row r="266" spans="1:102" ht="12.75" customHeight="1" x14ac:dyDescent="0.2">
      <c r="A266" s="187"/>
      <c r="B266" s="127"/>
      <c r="C266" s="187"/>
      <c r="D266" s="127"/>
      <c r="E266" s="187"/>
      <c r="F266" s="187"/>
      <c r="G266" s="187"/>
      <c r="H266" s="187"/>
      <c r="I266" s="187"/>
      <c r="J266" s="187"/>
      <c r="K266" s="187"/>
      <c r="L266" s="187"/>
      <c r="M266" s="187"/>
      <c r="N266" s="187"/>
      <c r="O266" s="187"/>
      <c r="P266" s="187"/>
      <c r="Q266" s="187"/>
      <c r="R266" s="187"/>
      <c r="S266" s="187"/>
      <c r="T266" s="127"/>
      <c r="U266" s="188"/>
      <c r="V266" s="127"/>
      <c r="W266" s="1438"/>
      <c r="X266" s="127"/>
      <c r="Y266" s="127"/>
      <c r="Z266" s="127"/>
      <c r="AA266" s="127"/>
      <c r="AB266" s="127"/>
      <c r="AC266" s="127"/>
      <c r="AD266" s="127"/>
      <c r="AE266" s="127"/>
      <c r="AF266" s="127"/>
      <c r="AG266" s="127"/>
      <c r="AH266" s="127"/>
      <c r="AI266" s="127"/>
      <c r="AJ266" s="127"/>
      <c r="AK266" s="127"/>
      <c r="AL266" s="127"/>
      <c r="AM266" s="127"/>
      <c r="AN266" s="127"/>
      <c r="AO266" s="127"/>
      <c r="AP266" s="127"/>
      <c r="AQ266" s="127"/>
      <c r="AR266" s="127"/>
      <c r="AS266" s="127"/>
      <c r="AT266" s="127"/>
      <c r="AU266" s="127"/>
      <c r="AV266" s="127"/>
      <c r="AW266" s="127"/>
      <c r="AX266" s="127"/>
      <c r="AY266" s="127"/>
      <c r="AZ266" s="127"/>
      <c r="BA266" s="127"/>
      <c r="BB266" s="127"/>
      <c r="BC266" s="127"/>
      <c r="BD266" s="127"/>
      <c r="BE266" s="127"/>
      <c r="BF266" s="127"/>
      <c r="BG266" s="127"/>
      <c r="BH266" s="127"/>
      <c r="BI266" s="127"/>
      <c r="BJ266" s="127"/>
      <c r="BK266" s="127"/>
      <c r="BL266" s="127"/>
      <c r="BM266" s="127"/>
      <c r="BN266" s="127"/>
      <c r="BO266" s="127"/>
      <c r="BP266" s="127"/>
      <c r="BQ266" s="127"/>
      <c r="BR266" s="127"/>
      <c r="BS266" s="127"/>
      <c r="BT266" s="127"/>
      <c r="BU266" s="127"/>
      <c r="BV266" s="127"/>
      <c r="BW266" s="127"/>
      <c r="BX266" s="127"/>
      <c r="BY266" s="127"/>
      <c r="BZ266" s="127"/>
      <c r="CA266" s="127"/>
      <c r="CB266" s="187"/>
      <c r="CC266" s="189"/>
      <c r="CD266" s="188"/>
      <c r="CE266" s="127"/>
      <c r="CF266" s="190"/>
      <c r="CG266" s="190"/>
      <c r="CH266" s="187"/>
      <c r="CI266" s="187"/>
      <c r="CJ266" s="187"/>
      <c r="CK266" s="187"/>
      <c r="CL266" s="187"/>
      <c r="CM266" s="187"/>
      <c r="CN266" s="187"/>
      <c r="CO266" s="127"/>
      <c r="CP266" s="127"/>
      <c r="CQ266" s="187"/>
      <c r="CR266" s="187"/>
      <c r="CS266" s="187"/>
      <c r="CT266" s="187"/>
      <c r="CU266" s="187"/>
      <c r="CV266" s="187"/>
      <c r="CW266" s="187"/>
      <c r="CX266" s="187"/>
    </row>
    <row r="267" spans="1:102" ht="12.75" customHeight="1" x14ac:dyDescent="0.2">
      <c r="A267" s="187"/>
      <c r="B267" s="127"/>
      <c r="C267" s="187"/>
      <c r="D267" s="127"/>
      <c r="E267" s="187"/>
      <c r="F267" s="187"/>
      <c r="G267" s="187"/>
      <c r="H267" s="187"/>
      <c r="I267" s="187"/>
      <c r="J267" s="187"/>
      <c r="K267" s="187"/>
      <c r="L267" s="187"/>
      <c r="M267" s="187"/>
      <c r="N267" s="187"/>
      <c r="O267" s="187"/>
      <c r="P267" s="187"/>
      <c r="Q267" s="187"/>
      <c r="R267" s="187"/>
      <c r="S267" s="187"/>
      <c r="T267" s="127"/>
      <c r="U267" s="188"/>
      <c r="V267" s="127"/>
      <c r="W267" s="1438"/>
      <c r="X267" s="127"/>
      <c r="Y267" s="127"/>
      <c r="Z267" s="127"/>
      <c r="AA267" s="127"/>
      <c r="AB267" s="127"/>
      <c r="AC267" s="127"/>
      <c r="AD267" s="127"/>
      <c r="AE267" s="127"/>
      <c r="AF267" s="127"/>
      <c r="AG267" s="127"/>
      <c r="AH267" s="127"/>
      <c r="AI267" s="127"/>
      <c r="AJ267" s="127"/>
      <c r="AK267" s="127"/>
      <c r="AL267" s="127"/>
      <c r="AM267" s="127"/>
      <c r="AN267" s="127"/>
      <c r="AO267" s="127"/>
      <c r="AP267" s="127"/>
      <c r="AQ267" s="127"/>
      <c r="AR267" s="127"/>
      <c r="AS267" s="127"/>
      <c r="AT267" s="127"/>
      <c r="AU267" s="127"/>
      <c r="AV267" s="127"/>
      <c r="AW267" s="127"/>
      <c r="AX267" s="127"/>
      <c r="AY267" s="127"/>
      <c r="AZ267" s="127"/>
      <c r="BA267" s="127"/>
      <c r="BB267" s="127"/>
      <c r="BC267" s="127"/>
      <c r="BD267" s="127"/>
      <c r="BE267" s="127"/>
      <c r="BF267" s="127"/>
      <c r="BG267" s="127"/>
      <c r="BH267" s="127"/>
      <c r="BI267" s="127"/>
      <c r="BJ267" s="127"/>
      <c r="BK267" s="127"/>
      <c r="BL267" s="127"/>
      <c r="BM267" s="127"/>
      <c r="BN267" s="127"/>
      <c r="BO267" s="127"/>
      <c r="BP267" s="127"/>
      <c r="BQ267" s="127"/>
      <c r="BR267" s="127"/>
      <c r="BS267" s="127"/>
      <c r="BT267" s="127"/>
      <c r="BU267" s="127"/>
      <c r="BV267" s="127"/>
      <c r="BW267" s="127"/>
      <c r="BX267" s="127"/>
      <c r="BY267" s="127"/>
      <c r="BZ267" s="127"/>
      <c r="CA267" s="127"/>
      <c r="CB267" s="187"/>
      <c r="CC267" s="189"/>
      <c r="CD267" s="188"/>
      <c r="CE267" s="127"/>
      <c r="CF267" s="190"/>
      <c r="CG267" s="190"/>
      <c r="CH267" s="187"/>
      <c r="CI267" s="187"/>
      <c r="CJ267" s="187"/>
      <c r="CK267" s="187"/>
      <c r="CL267" s="187"/>
      <c r="CM267" s="187"/>
      <c r="CN267" s="187"/>
      <c r="CO267" s="127"/>
      <c r="CP267" s="127"/>
      <c r="CQ267" s="187"/>
      <c r="CR267" s="187"/>
      <c r="CS267" s="187"/>
      <c r="CT267" s="187"/>
      <c r="CU267" s="187"/>
      <c r="CV267" s="187"/>
      <c r="CW267" s="187"/>
      <c r="CX267" s="187"/>
    </row>
    <row r="268" spans="1:102" ht="12.75" customHeight="1" x14ac:dyDescent="0.2">
      <c r="A268" s="187"/>
      <c r="B268" s="127"/>
      <c r="C268" s="187"/>
      <c r="D268" s="127"/>
      <c r="E268" s="187"/>
      <c r="F268" s="187"/>
      <c r="G268" s="187"/>
      <c r="H268" s="187"/>
      <c r="I268" s="187"/>
      <c r="J268" s="187"/>
      <c r="K268" s="187"/>
      <c r="L268" s="187"/>
      <c r="M268" s="187"/>
      <c r="N268" s="187"/>
      <c r="O268" s="187"/>
      <c r="P268" s="187"/>
      <c r="Q268" s="187"/>
      <c r="R268" s="187"/>
      <c r="S268" s="187"/>
      <c r="T268" s="127"/>
      <c r="U268" s="188"/>
      <c r="V268" s="127"/>
      <c r="W268" s="1438"/>
      <c r="X268" s="127"/>
      <c r="Y268" s="127"/>
      <c r="Z268" s="127"/>
      <c r="AA268" s="127"/>
      <c r="AB268" s="127"/>
      <c r="AC268" s="127"/>
      <c r="AD268" s="127"/>
      <c r="AE268" s="127"/>
      <c r="AF268" s="127"/>
      <c r="AG268" s="127"/>
      <c r="AH268" s="127"/>
      <c r="AI268" s="127"/>
      <c r="AJ268" s="127"/>
      <c r="AK268" s="127"/>
      <c r="AL268" s="127"/>
      <c r="AM268" s="127"/>
      <c r="AN268" s="127"/>
      <c r="AO268" s="127"/>
      <c r="AP268" s="127"/>
      <c r="AQ268" s="127"/>
      <c r="AR268" s="127"/>
      <c r="AS268" s="127"/>
      <c r="AT268" s="127"/>
      <c r="AU268" s="127"/>
      <c r="AV268" s="127"/>
      <c r="AW268" s="127"/>
      <c r="AX268" s="127"/>
      <c r="AY268" s="127"/>
      <c r="AZ268" s="127"/>
      <c r="BA268" s="127"/>
      <c r="BB268" s="127"/>
      <c r="BC268" s="127"/>
      <c r="BD268" s="127"/>
      <c r="BE268" s="127"/>
      <c r="BF268" s="127"/>
      <c r="BG268" s="127"/>
      <c r="BH268" s="127"/>
      <c r="BI268" s="127"/>
      <c r="BJ268" s="127"/>
      <c r="BK268" s="127"/>
      <c r="BL268" s="127"/>
      <c r="BM268" s="127"/>
      <c r="BN268" s="127"/>
      <c r="BO268" s="127"/>
      <c r="BP268" s="127"/>
      <c r="BQ268" s="127"/>
      <c r="BR268" s="127"/>
      <c r="BS268" s="127"/>
      <c r="BT268" s="127"/>
      <c r="BU268" s="127"/>
      <c r="BV268" s="127"/>
      <c r="BW268" s="127"/>
      <c r="BX268" s="127"/>
      <c r="BY268" s="127"/>
      <c r="BZ268" s="127"/>
      <c r="CA268" s="127"/>
      <c r="CB268" s="187"/>
      <c r="CC268" s="189"/>
      <c r="CD268" s="188"/>
      <c r="CE268" s="127"/>
      <c r="CF268" s="190"/>
      <c r="CG268" s="190"/>
      <c r="CH268" s="187"/>
      <c r="CI268" s="187"/>
      <c r="CJ268" s="187"/>
      <c r="CK268" s="187"/>
      <c r="CL268" s="187"/>
      <c r="CM268" s="187"/>
      <c r="CN268" s="187"/>
      <c r="CO268" s="127"/>
      <c r="CP268" s="127"/>
      <c r="CQ268" s="187"/>
      <c r="CR268" s="187"/>
      <c r="CS268" s="187"/>
      <c r="CT268" s="187"/>
      <c r="CU268" s="187"/>
      <c r="CV268" s="187"/>
      <c r="CW268" s="187"/>
      <c r="CX268" s="187"/>
    </row>
    <row r="269" spans="1:102" ht="12.75" customHeight="1" x14ac:dyDescent="0.2">
      <c r="A269" s="187"/>
      <c r="B269" s="127"/>
      <c r="C269" s="187"/>
      <c r="D269" s="127"/>
      <c r="E269" s="187"/>
      <c r="F269" s="187"/>
      <c r="G269" s="187"/>
      <c r="H269" s="187"/>
      <c r="I269" s="187"/>
      <c r="J269" s="187"/>
      <c r="K269" s="187"/>
      <c r="L269" s="187"/>
      <c r="M269" s="187"/>
      <c r="N269" s="187"/>
      <c r="O269" s="187"/>
      <c r="P269" s="187"/>
      <c r="Q269" s="187"/>
      <c r="R269" s="187"/>
      <c r="S269" s="187"/>
      <c r="T269" s="127"/>
      <c r="U269" s="188"/>
      <c r="V269" s="127"/>
      <c r="W269" s="1438"/>
      <c r="X269" s="127"/>
      <c r="Y269" s="127"/>
      <c r="Z269" s="127"/>
      <c r="AA269" s="127"/>
      <c r="AB269" s="127"/>
      <c r="AC269" s="127"/>
      <c r="AD269" s="127"/>
      <c r="AE269" s="127"/>
      <c r="AF269" s="127"/>
      <c r="AG269" s="127"/>
      <c r="AH269" s="127"/>
      <c r="AI269" s="127"/>
      <c r="AJ269" s="127"/>
      <c r="AK269" s="127"/>
      <c r="AL269" s="127"/>
      <c r="AM269" s="127"/>
      <c r="AN269" s="127"/>
      <c r="AO269" s="127"/>
      <c r="AP269" s="127"/>
      <c r="AQ269" s="127"/>
      <c r="AR269" s="127"/>
      <c r="AS269" s="127"/>
      <c r="AT269" s="127"/>
      <c r="AU269" s="127"/>
      <c r="AV269" s="127"/>
      <c r="AW269" s="127"/>
      <c r="AX269" s="127"/>
      <c r="AY269" s="127"/>
      <c r="AZ269" s="127"/>
      <c r="BA269" s="127"/>
      <c r="BB269" s="127"/>
      <c r="BC269" s="127"/>
      <c r="BD269" s="127"/>
      <c r="BE269" s="127"/>
      <c r="BF269" s="127"/>
      <c r="BG269" s="127"/>
      <c r="BH269" s="127"/>
      <c r="BI269" s="127"/>
      <c r="BJ269" s="127"/>
      <c r="BK269" s="127"/>
      <c r="BL269" s="127"/>
      <c r="BM269" s="127"/>
      <c r="BN269" s="127"/>
      <c r="BO269" s="127"/>
      <c r="BP269" s="127"/>
      <c r="BQ269" s="127"/>
      <c r="BR269" s="127"/>
      <c r="BS269" s="127"/>
      <c r="BT269" s="127"/>
      <c r="BU269" s="127"/>
      <c r="BV269" s="127"/>
      <c r="BW269" s="127"/>
      <c r="BX269" s="127"/>
      <c r="BY269" s="127"/>
      <c r="BZ269" s="127"/>
      <c r="CA269" s="127"/>
      <c r="CB269" s="187"/>
      <c r="CC269" s="189"/>
      <c r="CD269" s="188"/>
      <c r="CE269" s="127"/>
      <c r="CF269" s="190"/>
      <c r="CG269" s="190"/>
      <c r="CH269" s="187"/>
      <c r="CI269" s="187"/>
      <c r="CJ269" s="187"/>
      <c r="CK269" s="187"/>
      <c r="CL269" s="187"/>
      <c r="CM269" s="187"/>
      <c r="CN269" s="187"/>
      <c r="CO269" s="127"/>
      <c r="CP269" s="127"/>
      <c r="CQ269" s="187"/>
      <c r="CR269" s="187"/>
      <c r="CS269" s="187"/>
      <c r="CT269" s="187"/>
      <c r="CU269" s="187"/>
      <c r="CV269" s="187"/>
      <c r="CW269" s="187"/>
      <c r="CX269" s="187"/>
    </row>
    <row r="270" spans="1:102" ht="12.75" customHeight="1" x14ac:dyDescent="0.2">
      <c r="A270" s="187"/>
      <c r="B270" s="127"/>
      <c r="C270" s="187"/>
      <c r="D270" s="127"/>
      <c r="E270" s="187"/>
      <c r="F270" s="187"/>
      <c r="G270" s="187"/>
      <c r="H270" s="187"/>
      <c r="I270" s="187"/>
      <c r="J270" s="187"/>
      <c r="K270" s="187"/>
      <c r="L270" s="187"/>
      <c r="M270" s="187"/>
      <c r="N270" s="187"/>
      <c r="O270" s="187"/>
      <c r="P270" s="187"/>
      <c r="Q270" s="187"/>
      <c r="R270" s="187"/>
      <c r="S270" s="187"/>
      <c r="T270" s="127"/>
      <c r="U270" s="188"/>
      <c r="V270" s="127"/>
      <c r="W270" s="1438"/>
      <c r="X270" s="127"/>
      <c r="Y270" s="127"/>
      <c r="Z270" s="127"/>
      <c r="AA270" s="127"/>
      <c r="AB270" s="127"/>
      <c r="AC270" s="127"/>
      <c r="AD270" s="127"/>
      <c r="AE270" s="127"/>
      <c r="AF270" s="127"/>
      <c r="AG270" s="127"/>
      <c r="AH270" s="127"/>
      <c r="AI270" s="127"/>
      <c r="AJ270" s="127"/>
      <c r="AK270" s="127"/>
      <c r="AL270" s="127"/>
      <c r="AM270" s="127"/>
      <c r="AN270" s="127"/>
      <c r="AO270" s="127"/>
      <c r="AP270" s="127"/>
      <c r="AQ270" s="127"/>
      <c r="AR270" s="127"/>
      <c r="AS270" s="127"/>
      <c r="AT270" s="127"/>
      <c r="AU270" s="127"/>
      <c r="AV270" s="127"/>
      <c r="AW270" s="127"/>
      <c r="AX270" s="127"/>
      <c r="AY270" s="127"/>
      <c r="AZ270" s="127"/>
      <c r="BA270" s="127"/>
      <c r="BB270" s="127"/>
      <c r="BC270" s="127"/>
      <c r="BD270" s="127"/>
      <c r="BE270" s="127"/>
      <c r="BF270" s="127"/>
      <c r="BG270" s="127"/>
      <c r="BH270" s="127"/>
      <c r="BI270" s="127"/>
      <c r="BJ270" s="127"/>
      <c r="BK270" s="127"/>
      <c r="BL270" s="127"/>
      <c r="BM270" s="127"/>
      <c r="BN270" s="127"/>
      <c r="BO270" s="127"/>
      <c r="BP270" s="127"/>
      <c r="BQ270" s="127"/>
      <c r="BR270" s="127"/>
      <c r="BS270" s="127"/>
      <c r="BT270" s="127"/>
      <c r="BU270" s="127"/>
      <c r="BV270" s="127"/>
      <c r="BW270" s="127"/>
      <c r="BX270" s="127"/>
      <c r="BY270" s="127"/>
      <c r="BZ270" s="127"/>
      <c r="CA270" s="127"/>
      <c r="CB270" s="187"/>
      <c r="CC270" s="189"/>
      <c r="CD270" s="188"/>
      <c r="CE270" s="127"/>
      <c r="CF270" s="190"/>
      <c r="CG270" s="190"/>
      <c r="CH270" s="187"/>
      <c r="CI270" s="187"/>
      <c r="CJ270" s="187"/>
      <c r="CK270" s="187"/>
      <c r="CL270" s="187"/>
      <c r="CM270" s="187"/>
      <c r="CN270" s="187"/>
      <c r="CO270" s="127"/>
      <c r="CP270" s="127"/>
      <c r="CQ270" s="187"/>
      <c r="CR270" s="187"/>
      <c r="CS270" s="187"/>
      <c r="CT270" s="187"/>
      <c r="CU270" s="187"/>
      <c r="CV270" s="187"/>
      <c r="CW270" s="187"/>
      <c r="CX270" s="187"/>
    </row>
    <row r="271" spans="1:102" ht="12.75" customHeight="1" x14ac:dyDescent="0.2">
      <c r="A271" s="187"/>
      <c r="B271" s="127"/>
      <c r="C271" s="187"/>
      <c r="D271" s="127"/>
      <c r="E271" s="187"/>
      <c r="F271" s="187"/>
      <c r="G271" s="187"/>
      <c r="H271" s="187"/>
      <c r="I271" s="187"/>
      <c r="J271" s="187"/>
      <c r="K271" s="187"/>
      <c r="L271" s="187"/>
      <c r="M271" s="187"/>
      <c r="N271" s="187"/>
      <c r="O271" s="187"/>
      <c r="P271" s="187"/>
      <c r="Q271" s="187"/>
      <c r="R271" s="187"/>
      <c r="S271" s="187"/>
      <c r="T271" s="127"/>
      <c r="U271" s="188"/>
      <c r="V271" s="127"/>
      <c r="W271" s="1438"/>
      <c r="X271" s="127"/>
      <c r="Y271" s="127"/>
      <c r="Z271" s="127"/>
      <c r="AA271" s="127"/>
      <c r="AB271" s="127"/>
      <c r="AC271" s="127"/>
      <c r="AD271" s="127"/>
      <c r="AE271" s="127"/>
      <c r="AF271" s="127"/>
      <c r="AG271" s="127"/>
      <c r="AH271" s="127"/>
      <c r="AI271" s="127"/>
      <c r="AJ271" s="127"/>
      <c r="AK271" s="127"/>
      <c r="AL271" s="127"/>
      <c r="AM271" s="127"/>
      <c r="AN271" s="127"/>
      <c r="AO271" s="127"/>
      <c r="AP271" s="127"/>
      <c r="AQ271" s="127"/>
      <c r="AR271" s="127"/>
      <c r="AS271" s="127"/>
      <c r="AT271" s="127"/>
      <c r="AU271" s="127"/>
      <c r="AV271" s="127"/>
      <c r="AW271" s="127"/>
      <c r="AX271" s="127"/>
      <c r="AY271" s="127"/>
      <c r="AZ271" s="127"/>
      <c r="BA271" s="127"/>
      <c r="BB271" s="127"/>
      <c r="BC271" s="127"/>
      <c r="BD271" s="127"/>
      <c r="BE271" s="127"/>
      <c r="BF271" s="127"/>
      <c r="BG271" s="127"/>
      <c r="BH271" s="127"/>
      <c r="BI271" s="127"/>
      <c r="BJ271" s="127"/>
      <c r="BK271" s="127"/>
      <c r="BL271" s="127"/>
      <c r="BM271" s="127"/>
      <c r="BN271" s="127"/>
      <c r="BO271" s="127"/>
      <c r="BP271" s="127"/>
      <c r="BQ271" s="127"/>
      <c r="BR271" s="127"/>
      <c r="BS271" s="127"/>
      <c r="BT271" s="127"/>
      <c r="BU271" s="127"/>
      <c r="BV271" s="127"/>
      <c r="BW271" s="127"/>
      <c r="BX271" s="127"/>
      <c r="BY271" s="127"/>
      <c r="BZ271" s="127"/>
      <c r="CA271" s="127"/>
      <c r="CB271" s="187"/>
      <c r="CC271" s="189"/>
      <c r="CD271" s="188"/>
      <c r="CE271" s="127"/>
      <c r="CF271" s="190"/>
      <c r="CG271" s="190"/>
      <c r="CH271" s="187"/>
      <c r="CI271" s="187"/>
      <c r="CJ271" s="187"/>
      <c r="CK271" s="187"/>
      <c r="CL271" s="187"/>
      <c r="CM271" s="187"/>
      <c r="CN271" s="187"/>
      <c r="CO271" s="127"/>
      <c r="CP271" s="127"/>
      <c r="CQ271" s="187"/>
      <c r="CR271" s="187"/>
      <c r="CS271" s="187"/>
      <c r="CT271" s="187"/>
      <c r="CU271" s="187"/>
      <c r="CV271" s="187"/>
      <c r="CW271" s="187"/>
      <c r="CX271" s="187"/>
    </row>
    <row r="272" spans="1:102" ht="12.75" customHeight="1" x14ac:dyDescent="0.2">
      <c r="A272" s="187"/>
      <c r="B272" s="127"/>
      <c r="C272" s="187"/>
      <c r="D272" s="127"/>
      <c r="E272" s="187"/>
      <c r="F272" s="187"/>
      <c r="G272" s="187"/>
      <c r="H272" s="187"/>
      <c r="I272" s="187"/>
      <c r="J272" s="187"/>
      <c r="K272" s="187"/>
      <c r="L272" s="187"/>
      <c r="M272" s="187"/>
      <c r="N272" s="187"/>
      <c r="O272" s="187"/>
      <c r="P272" s="187"/>
      <c r="Q272" s="187"/>
      <c r="R272" s="187"/>
      <c r="S272" s="187"/>
      <c r="T272" s="127"/>
      <c r="U272" s="188"/>
      <c r="V272" s="127"/>
      <c r="W272" s="1438"/>
      <c r="X272" s="127"/>
      <c r="Y272" s="127"/>
      <c r="Z272" s="127"/>
      <c r="AA272" s="127"/>
      <c r="AB272" s="127"/>
      <c r="AC272" s="127"/>
      <c r="AD272" s="127"/>
      <c r="AE272" s="127"/>
      <c r="AF272" s="127"/>
      <c r="AG272" s="127"/>
      <c r="AH272" s="127"/>
      <c r="AI272" s="127"/>
      <c r="AJ272" s="127"/>
      <c r="AK272" s="127"/>
      <c r="AL272" s="127"/>
      <c r="AM272" s="127"/>
      <c r="AN272" s="127"/>
      <c r="AO272" s="127"/>
      <c r="AP272" s="127"/>
      <c r="AQ272" s="127"/>
      <c r="AR272" s="127"/>
      <c r="AS272" s="127"/>
      <c r="AT272" s="127"/>
      <c r="AU272" s="127"/>
      <c r="AV272" s="127"/>
      <c r="AW272" s="127"/>
      <c r="AX272" s="127"/>
      <c r="AY272" s="127"/>
      <c r="AZ272" s="127"/>
      <c r="BA272" s="127"/>
      <c r="BB272" s="127"/>
      <c r="BC272" s="127"/>
      <c r="BD272" s="127"/>
      <c r="BE272" s="127"/>
      <c r="BF272" s="127"/>
      <c r="BG272" s="127"/>
      <c r="BH272" s="127"/>
      <c r="BI272" s="127"/>
      <c r="BJ272" s="127"/>
      <c r="BK272" s="127"/>
      <c r="BL272" s="127"/>
      <c r="BM272" s="127"/>
      <c r="BN272" s="127"/>
      <c r="BO272" s="127"/>
      <c r="BP272" s="127"/>
      <c r="BQ272" s="127"/>
      <c r="BR272" s="127"/>
      <c r="BS272" s="127"/>
      <c r="BT272" s="127"/>
      <c r="BU272" s="127"/>
      <c r="BV272" s="127"/>
      <c r="BW272" s="127"/>
      <c r="BX272" s="127"/>
      <c r="BY272" s="127"/>
      <c r="BZ272" s="127"/>
      <c r="CA272" s="127"/>
      <c r="CB272" s="187"/>
      <c r="CC272" s="189"/>
      <c r="CD272" s="188"/>
      <c r="CE272" s="127"/>
      <c r="CF272" s="190"/>
      <c r="CG272" s="190"/>
      <c r="CH272" s="187"/>
      <c r="CI272" s="187"/>
      <c r="CJ272" s="187"/>
      <c r="CK272" s="187"/>
      <c r="CL272" s="187"/>
      <c r="CM272" s="187"/>
      <c r="CN272" s="187"/>
      <c r="CO272" s="127"/>
      <c r="CP272" s="127"/>
      <c r="CQ272" s="187"/>
      <c r="CR272" s="187"/>
      <c r="CS272" s="187"/>
      <c r="CT272" s="187"/>
      <c r="CU272" s="187"/>
      <c r="CV272" s="187"/>
      <c r="CW272" s="187"/>
      <c r="CX272" s="187"/>
    </row>
    <row r="273" spans="1:102" ht="12.75" customHeight="1" x14ac:dyDescent="0.2">
      <c r="A273" s="187"/>
      <c r="B273" s="127"/>
      <c r="C273" s="187"/>
      <c r="D273" s="127"/>
      <c r="E273" s="187"/>
      <c r="F273" s="187"/>
      <c r="G273" s="187"/>
      <c r="H273" s="187"/>
      <c r="I273" s="187"/>
      <c r="J273" s="187"/>
      <c r="K273" s="187"/>
      <c r="L273" s="187"/>
      <c r="M273" s="187"/>
      <c r="N273" s="187"/>
      <c r="O273" s="187"/>
      <c r="P273" s="187"/>
      <c r="Q273" s="187"/>
      <c r="R273" s="187"/>
      <c r="S273" s="187"/>
      <c r="T273" s="127"/>
      <c r="U273" s="188"/>
      <c r="V273" s="127"/>
      <c r="W273" s="1438"/>
      <c r="X273" s="127"/>
      <c r="Y273" s="127"/>
      <c r="Z273" s="127"/>
      <c r="AA273" s="127"/>
      <c r="AB273" s="127"/>
      <c r="AC273" s="127"/>
      <c r="AD273" s="127"/>
      <c r="AE273" s="127"/>
      <c r="AF273" s="127"/>
      <c r="AG273" s="127"/>
      <c r="AH273" s="127"/>
      <c r="AI273" s="127"/>
      <c r="AJ273" s="127"/>
      <c r="AK273" s="127"/>
      <c r="AL273" s="127"/>
      <c r="AM273" s="127"/>
      <c r="AN273" s="127"/>
      <c r="AO273" s="127"/>
      <c r="AP273" s="127"/>
      <c r="AQ273" s="127"/>
      <c r="AR273" s="127"/>
      <c r="AS273" s="127"/>
      <c r="AT273" s="127"/>
      <c r="AU273" s="127"/>
      <c r="AV273" s="127"/>
      <c r="AW273" s="127"/>
      <c r="AX273" s="127"/>
      <c r="AY273" s="127"/>
      <c r="AZ273" s="127"/>
      <c r="BA273" s="127"/>
      <c r="BB273" s="127"/>
      <c r="BC273" s="127"/>
      <c r="BD273" s="127"/>
      <c r="BE273" s="127"/>
      <c r="BF273" s="127"/>
      <c r="BG273" s="127"/>
      <c r="BH273" s="127"/>
      <c r="BI273" s="127"/>
      <c r="BJ273" s="127"/>
      <c r="BK273" s="127"/>
      <c r="BL273" s="127"/>
      <c r="BM273" s="127"/>
      <c r="BN273" s="127"/>
      <c r="BO273" s="127"/>
      <c r="BP273" s="127"/>
      <c r="BQ273" s="127"/>
      <c r="BR273" s="127"/>
      <c r="BS273" s="127"/>
      <c r="BT273" s="127"/>
      <c r="BU273" s="127"/>
      <c r="BV273" s="127"/>
      <c r="BW273" s="127"/>
      <c r="BX273" s="127"/>
      <c r="BY273" s="127"/>
      <c r="BZ273" s="127"/>
      <c r="CA273" s="127"/>
      <c r="CB273" s="187"/>
      <c r="CC273" s="189"/>
      <c r="CD273" s="188"/>
      <c r="CE273" s="127"/>
      <c r="CF273" s="190"/>
      <c r="CG273" s="190"/>
      <c r="CH273" s="187"/>
      <c r="CI273" s="187"/>
      <c r="CJ273" s="187"/>
      <c r="CK273" s="187"/>
      <c r="CL273" s="187"/>
      <c r="CM273" s="187"/>
      <c r="CN273" s="187"/>
      <c r="CO273" s="127"/>
      <c r="CP273" s="127"/>
      <c r="CQ273" s="187"/>
      <c r="CR273" s="187"/>
      <c r="CS273" s="187"/>
      <c r="CT273" s="187"/>
      <c r="CU273" s="187"/>
      <c r="CV273" s="187"/>
      <c r="CW273" s="187"/>
      <c r="CX273" s="187"/>
    </row>
    <row r="274" spans="1:102" ht="12.75" customHeight="1" x14ac:dyDescent="0.2">
      <c r="A274" s="187"/>
      <c r="B274" s="127"/>
      <c r="C274" s="187"/>
      <c r="D274" s="127"/>
      <c r="E274" s="187"/>
      <c r="F274" s="187"/>
      <c r="G274" s="187"/>
      <c r="H274" s="187"/>
      <c r="I274" s="187"/>
      <c r="J274" s="187"/>
      <c r="K274" s="187"/>
      <c r="L274" s="187"/>
      <c r="M274" s="187"/>
      <c r="N274" s="187"/>
      <c r="O274" s="187"/>
      <c r="P274" s="187"/>
      <c r="Q274" s="187"/>
      <c r="R274" s="187"/>
      <c r="S274" s="187"/>
      <c r="T274" s="127"/>
      <c r="U274" s="188"/>
      <c r="V274" s="127"/>
      <c r="W274" s="1438"/>
      <c r="X274" s="127"/>
      <c r="Y274" s="127"/>
      <c r="Z274" s="127"/>
      <c r="AA274" s="127"/>
      <c r="AB274" s="127"/>
      <c r="AC274" s="127"/>
      <c r="AD274" s="127"/>
      <c r="AE274" s="127"/>
      <c r="AF274" s="127"/>
      <c r="AG274" s="127"/>
      <c r="AH274" s="127"/>
      <c r="AI274" s="127"/>
      <c r="AJ274" s="127"/>
      <c r="AK274" s="127"/>
      <c r="AL274" s="127"/>
      <c r="AM274" s="127"/>
      <c r="AN274" s="127"/>
      <c r="AO274" s="127"/>
      <c r="AP274" s="127"/>
      <c r="AQ274" s="127"/>
      <c r="AR274" s="127"/>
      <c r="AS274" s="127"/>
      <c r="AT274" s="127"/>
      <c r="AU274" s="127"/>
      <c r="AV274" s="127"/>
      <c r="AW274" s="127"/>
      <c r="AX274" s="127"/>
      <c r="AY274" s="127"/>
      <c r="AZ274" s="127"/>
      <c r="BA274" s="127"/>
      <c r="BB274" s="127"/>
      <c r="BC274" s="127"/>
      <c r="BD274" s="127"/>
      <c r="BE274" s="127"/>
      <c r="BF274" s="127"/>
      <c r="BG274" s="127"/>
      <c r="BH274" s="127"/>
      <c r="BI274" s="127"/>
      <c r="BJ274" s="127"/>
      <c r="BK274" s="127"/>
      <c r="BL274" s="127"/>
      <c r="BM274" s="127"/>
      <c r="BN274" s="127"/>
      <c r="BO274" s="127"/>
      <c r="BP274" s="127"/>
      <c r="BQ274" s="127"/>
      <c r="BR274" s="127"/>
      <c r="BS274" s="127"/>
      <c r="BT274" s="127"/>
      <c r="BU274" s="127"/>
      <c r="BV274" s="127"/>
      <c r="BW274" s="127"/>
      <c r="BX274" s="127"/>
      <c r="BY274" s="127"/>
      <c r="BZ274" s="127"/>
      <c r="CA274" s="127"/>
      <c r="CB274" s="187"/>
      <c r="CC274" s="189"/>
      <c r="CD274" s="188"/>
      <c r="CE274" s="127"/>
      <c r="CF274" s="190"/>
      <c r="CG274" s="190"/>
      <c r="CH274" s="187"/>
      <c r="CI274" s="187"/>
      <c r="CJ274" s="187"/>
      <c r="CK274" s="187"/>
      <c r="CL274" s="187"/>
      <c r="CM274" s="187"/>
      <c r="CN274" s="187"/>
      <c r="CO274" s="127"/>
      <c r="CP274" s="127"/>
      <c r="CQ274" s="187"/>
      <c r="CR274" s="187"/>
      <c r="CS274" s="187"/>
      <c r="CT274" s="187"/>
      <c r="CU274" s="187"/>
      <c r="CV274" s="187"/>
      <c r="CW274" s="187"/>
      <c r="CX274" s="187"/>
    </row>
    <row r="275" spans="1:102" ht="12.75" customHeight="1" x14ac:dyDescent="0.2">
      <c r="A275" s="187"/>
      <c r="B275" s="127"/>
      <c r="C275" s="187"/>
      <c r="D275" s="127"/>
      <c r="E275" s="187"/>
      <c r="F275" s="187"/>
      <c r="G275" s="187"/>
      <c r="H275" s="187"/>
      <c r="I275" s="187"/>
      <c r="J275" s="187"/>
      <c r="K275" s="187"/>
      <c r="L275" s="187"/>
      <c r="M275" s="187"/>
      <c r="N275" s="187"/>
      <c r="O275" s="187"/>
      <c r="P275" s="187"/>
      <c r="Q275" s="187"/>
      <c r="R275" s="187"/>
      <c r="S275" s="187"/>
      <c r="T275" s="127"/>
      <c r="U275" s="188"/>
      <c r="V275" s="127"/>
      <c r="W275" s="1438"/>
      <c r="X275" s="127"/>
      <c r="Y275" s="127"/>
      <c r="Z275" s="127"/>
      <c r="AA275" s="127"/>
      <c r="AB275" s="127"/>
      <c r="AC275" s="127"/>
      <c r="AD275" s="127"/>
      <c r="AE275" s="127"/>
      <c r="AF275" s="127"/>
      <c r="AG275" s="127"/>
      <c r="AH275" s="127"/>
      <c r="AI275" s="127"/>
      <c r="AJ275" s="127"/>
      <c r="AK275" s="127"/>
      <c r="AL275" s="127"/>
      <c r="AM275" s="127"/>
      <c r="AN275" s="127"/>
      <c r="AO275" s="127"/>
      <c r="AP275" s="127"/>
      <c r="AQ275" s="127"/>
      <c r="AR275" s="127"/>
      <c r="AS275" s="127"/>
      <c r="AT275" s="127"/>
      <c r="AU275" s="127"/>
      <c r="AV275" s="127"/>
      <c r="AW275" s="127"/>
      <c r="AX275" s="127"/>
      <c r="AY275" s="127"/>
      <c r="AZ275" s="127"/>
      <c r="BA275" s="127"/>
      <c r="BB275" s="127"/>
      <c r="BC275" s="127"/>
      <c r="BD275" s="127"/>
      <c r="BE275" s="127"/>
      <c r="BF275" s="127"/>
      <c r="BG275" s="127"/>
      <c r="BH275" s="127"/>
      <c r="BI275" s="127"/>
      <c r="BJ275" s="127"/>
      <c r="BK275" s="127"/>
      <c r="BL275" s="127"/>
      <c r="BM275" s="127"/>
      <c r="BN275" s="127"/>
      <c r="BO275" s="127"/>
      <c r="BP275" s="127"/>
      <c r="BQ275" s="127"/>
      <c r="BR275" s="127"/>
      <c r="BS275" s="127"/>
      <c r="BT275" s="127"/>
      <c r="BU275" s="127"/>
      <c r="BV275" s="127"/>
      <c r="BW275" s="127"/>
      <c r="BX275" s="127"/>
      <c r="BY275" s="127"/>
      <c r="BZ275" s="127"/>
      <c r="CA275" s="127"/>
      <c r="CB275" s="187"/>
      <c r="CC275" s="189"/>
      <c r="CD275" s="188"/>
      <c r="CE275" s="127"/>
      <c r="CF275" s="190"/>
      <c r="CG275" s="190"/>
      <c r="CH275" s="187"/>
      <c r="CI275" s="187"/>
      <c r="CJ275" s="187"/>
      <c r="CK275" s="187"/>
      <c r="CL275" s="187"/>
      <c r="CM275" s="187"/>
      <c r="CN275" s="187"/>
      <c r="CO275" s="127"/>
      <c r="CP275" s="127"/>
      <c r="CQ275" s="187"/>
      <c r="CR275" s="187"/>
      <c r="CS275" s="187"/>
      <c r="CT275" s="187"/>
      <c r="CU275" s="187"/>
      <c r="CV275" s="187"/>
      <c r="CW275" s="187"/>
      <c r="CX275" s="187"/>
    </row>
    <row r="276" spans="1:102" ht="12.75" customHeight="1" x14ac:dyDescent="0.2">
      <c r="A276" s="187"/>
      <c r="B276" s="127"/>
      <c r="C276" s="187"/>
      <c r="D276" s="127"/>
      <c r="E276" s="187"/>
      <c r="F276" s="187"/>
      <c r="G276" s="187"/>
      <c r="H276" s="187"/>
      <c r="I276" s="187"/>
      <c r="J276" s="187"/>
      <c r="K276" s="187"/>
      <c r="L276" s="187"/>
      <c r="M276" s="187"/>
      <c r="N276" s="187"/>
      <c r="O276" s="187"/>
      <c r="P276" s="187"/>
      <c r="Q276" s="187"/>
      <c r="R276" s="187"/>
      <c r="S276" s="187"/>
      <c r="T276" s="127"/>
      <c r="U276" s="188"/>
      <c r="V276" s="127"/>
      <c r="W276" s="1438"/>
      <c r="X276" s="127"/>
      <c r="Y276" s="127"/>
      <c r="Z276" s="127"/>
      <c r="AA276" s="127"/>
      <c r="AB276" s="127"/>
      <c r="AC276" s="127"/>
      <c r="AD276" s="127"/>
      <c r="AE276" s="127"/>
      <c r="AF276" s="127"/>
      <c r="AG276" s="127"/>
      <c r="AH276" s="127"/>
      <c r="AI276" s="127"/>
      <c r="AJ276" s="127"/>
      <c r="AK276" s="127"/>
      <c r="AL276" s="127"/>
      <c r="AM276" s="127"/>
      <c r="AN276" s="127"/>
      <c r="AO276" s="127"/>
      <c r="AP276" s="127"/>
      <c r="AQ276" s="127"/>
      <c r="AR276" s="127"/>
      <c r="AS276" s="127"/>
      <c r="AT276" s="127"/>
      <c r="AU276" s="127"/>
      <c r="AV276" s="127"/>
      <c r="AW276" s="127"/>
      <c r="AX276" s="127"/>
      <c r="AY276" s="127"/>
      <c r="AZ276" s="127"/>
      <c r="BA276" s="127"/>
      <c r="BB276" s="127"/>
      <c r="BC276" s="127"/>
      <c r="BD276" s="127"/>
      <c r="BE276" s="127"/>
      <c r="BF276" s="127"/>
      <c r="BG276" s="127"/>
      <c r="BH276" s="127"/>
      <c r="BI276" s="127"/>
      <c r="BJ276" s="127"/>
      <c r="BK276" s="127"/>
      <c r="BL276" s="127"/>
      <c r="BM276" s="127"/>
      <c r="BN276" s="127"/>
      <c r="BO276" s="127"/>
      <c r="BP276" s="127"/>
      <c r="BQ276" s="127"/>
      <c r="BR276" s="127"/>
      <c r="BS276" s="127"/>
      <c r="BT276" s="127"/>
      <c r="BU276" s="127"/>
      <c r="BV276" s="127"/>
      <c r="BW276" s="127"/>
      <c r="BX276" s="127"/>
      <c r="BY276" s="127"/>
      <c r="BZ276" s="127"/>
      <c r="CA276" s="127"/>
      <c r="CB276" s="187"/>
      <c r="CC276" s="189"/>
      <c r="CD276" s="188"/>
      <c r="CE276" s="127"/>
      <c r="CF276" s="190"/>
      <c r="CG276" s="190"/>
      <c r="CH276" s="187"/>
      <c r="CI276" s="187"/>
      <c r="CJ276" s="187"/>
      <c r="CK276" s="187"/>
      <c r="CL276" s="187"/>
      <c r="CM276" s="187"/>
      <c r="CN276" s="187"/>
      <c r="CO276" s="127"/>
      <c r="CP276" s="127"/>
      <c r="CQ276" s="187"/>
      <c r="CR276" s="187"/>
      <c r="CS276" s="187"/>
      <c r="CT276" s="187"/>
      <c r="CU276" s="187"/>
      <c r="CV276" s="187"/>
      <c r="CW276" s="187"/>
      <c r="CX276" s="187"/>
    </row>
    <row r="277" spans="1:102" ht="12.75" customHeight="1" x14ac:dyDescent="0.2">
      <c r="A277" s="187"/>
      <c r="B277" s="127"/>
      <c r="C277" s="187"/>
      <c r="D277" s="127"/>
      <c r="E277" s="187"/>
      <c r="F277" s="187"/>
      <c r="G277" s="187"/>
      <c r="H277" s="187"/>
      <c r="I277" s="187"/>
      <c r="J277" s="187"/>
      <c r="K277" s="187"/>
      <c r="L277" s="187"/>
      <c r="M277" s="187"/>
      <c r="N277" s="187"/>
      <c r="O277" s="187"/>
      <c r="P277" s="187"/>
      <c r="Q277" s="187"/>
      <c r="R277" s="187"/>
      <c r="S277" s="187"/>
      <c r="T277" s="127"/>
      <c r="U277" s="188"/>
      <c r="V277" s="127"/>
      <c r="W277" s="1438"/>
      <c r="X277" s="127"/>
      <c r="Y277" s="127"/>
      <c r="Z277" s="127"/>
      <c r="AA277" s="127"/>
      <c r="AB277" s="127"/>
      <c r="AC277" s="127"/>
      <c r="AD277" s="127"/>
      <c r="AE277" s="127"/>
      <c r="AF277" s="127"/>
      <c r="AG277" s="127"/>
      <c r="AH277" s="127"/>
      <c r="AI277" s="127"/>
      <c r="AJ277" s="127"/>
      <c r="AK277" s="127"/>
      <c r="AL277" s="127"/>
      <c r="AM277" s="127"/>
      <c r="AN277" s="127"/>
      <c r="AO277" s="127"/>
      <c r="AP277" s="127"/>
      <c r="AQ277" s="127"/>
      <c r="AR277" s="127"/>
      <c r="AS277" s="127"/>
      <c r="AT277" s="127"/>
      <c r="AU277" s="127"/>
      <c r="AV277" s="127"/>
      <c r="AW277" s="127"/>
      <c r="AX277" s="127"/>
      <c r="AY277" s="127"/>
      <c r="AZ277" s="127"/>
      <c r="BA277" s="127"/>
      <c r="BB277" s="127"/>
      <c r="BC277" s="127"/>
      <c r="BD277" s="127"/>
      <c r="BE277" s="127"/>
      <c r="BF277" s="127"/>
      <c r="BG277" s="127"/>
      <c r="BH277" s="127"/>
      <c r="BI277" s="127"/>
      <c r="BJ277" s="127"/>
      <c r="BK277" s="127"/>
      <c r="BL277" s="127"/>
      <c r="BM277" s="127"/>
      <c r="BN277" s="127"/>
      <c r="BO277" s="127"/>
      <c r="BP277" s="127"/>
      <c r="BQ277" s="127"/>
      <c r="BR277" s="127"/>
      <c r="BS277" s="127"/>
      <c r="BT277" s="127"/>
      <c r="BU277" s="127"/>
      <c r="BV277" s="127"/>
      <c r="BW277" s="127"/>
      <c r="BX277" s="127"/>
      <c r="BY277" s="127"/>
      <c r="BZ277" s="127"/>
      <c r="CA277" s="127"/>
      <c r="CB277" s="187"/>
      <c r="CC277" s="189"/>
      <c r="CD277" s="188"/>
      <c r="CE277" s="127"/>
      <c r="CF277" s="190"/>
      <c r="CG277" s="190"/>
      <c r="CH277" s="187"/>
      <c r="CI277" s="187"/>
      <c r="CJ277" s="187"/>
      <c r="CK277" s="187"/>
      <c r="CL277" s="187"/>
      <c r="CM277" s="187"/>
      <c r="CN277" s="187"/>
      <c r="CO277" s="127"/>
      <c r="CP277" s="127"/>
      <c r="CQ277" s="187"/>
      <c r="CR277" s="187"/>
      <c r="CS277" s="187"/>
      <c r="CT277" s="187"/>
      <c r="CU277" s="187"/>
      <c r="CV277" s="187"/>
      <c r="CW277" s="187"/>
      <c r="CX277" s="187"/>
    </row>
    <row r="278" spans="1:102" ht="12.75" customHeight="1" x14ac:dyDescent="0.2">
      <c r="A278" s="187"/>
      <c r="B278" s="127"/>
      <c r="C278" s="187"/>
      <c r="D278" s="127"/>
      <c r="E278" s="187"/>
      <c r="F278" s="187"/>
      <c r="G278" s="187"/>
      <c r="H278" s="187"/>
      <c r="I278" s="187"/>
      <c r="J278" s="187"/>
      <c r="K278" s="187"/>
      <c r="L278" s="187"/>
      <c r="M278" s="187"/>
      <c r="N278" s="187"/>
      <c r="O278" s="187"/>
      <c r="P278" s="187"/>
      <c r="Q278" s="187"/>
      <c r="R278" s="187"/>
      <c r="S278" s="187"/>
      <c r="T278" s="127"/>
      <c r="U278" s="188"/>
      <c r="V278" s="127"/>
      <c r="W278" s="1438"/>
      <c r="X278" s="127"/>
      <c r="Y278" s="127"/>
      <c r="Z278" s="127"/>
      <c r="AA278" s="127"/>
      <c r="AB278" s="127"/>
      <c r="AC278" s="127"/>
      <c r="AD278" s="127"/>
      <c r="AE278" s="127"/>
      <c r="AF278" s="127"/>
      <c r="AG278" s="127"/>
      <c r="AH278" s="127"/>
      <c r="AI278" s="127"/>
      <c r="AJ278" s="127"/>
      <c r="AK278" s="127"/>
      <c r="AL278" s="127"/>
      <c r="AM278" s="127"/>
      <c r="AN278" s="127"/>
      <c r="AO278" s="127"/>
      <c r="AP278" s="127"/>
      <c r="AQ278" s="127"/>
      <c r="AR278" s="127"/>
      <c r="AS278" s="127"/>
      <c r="AT278" s="127"/>
      <c r="AU278" s="127"/>
      <c r="AV278" s="127"/>
      <c r="AW278" s="127"/>
      <c r="AX278" s="127"/>
      <c r="AY278" s="127"/>
      <c r="AZ278" s="127"/>
      <c r="BA278" s="127"/>
      <c r="BB278" s="127"/>
      <c r="BC278" s="127"/>
      <c r="BD278" s="127"/>
      <c r="BE278" s="127"/>
      <c r="BF278" s="127"/>
      <c r="BG278" s="127"/>
      <c r="BH278" s="127"/>
      <c r="BI278" s="127"/>
      <c r="BJ278" s="127"/>
      <c r="BK278" s="127"/>
      <c r="BL278" s="127"/>
      <c r="BM278" s="127"/>
      <c r="BN278" s="127"/>
      <c r="BO278" s="127"/>
      <c r="BP278" s="127"/>
      <c r="BQ278" s="127"/>
      <c r="BR278" s="127"/>
      <c r="BS278" s="127"/>
      <c r="BT278" s="127"/>
      <c r="BU278" s="127"/>
      <c r="BV278" s="127"/>
      <c r="BW278" s="127"/>
      <c r="BX278" s="127"/>
      <c r="BY278" s="127"/>
      <c r="BZ278" s="127"/>
      <c r="CA278" s="127"/>
      <c r="CB278" s="187"/>
      <c r="CC278" s="189"/>
      <c r="CD278" s="188"/>
      <c r="CE278" s="127"/>
      <c r="CF278" s="190"/>
      <c r="CG278" s="190"/>
      <c r="CH278" s="187"/>
      <c r="CI278" s="187"/>
      <c r="CJ278" s="187"/>
      <c r="CK278" s="187"/>
      <c r="CL278" s="187"/>
      <c r="CM278" s="187"/>
      <c r="CN278" s="187"/>
      <c r="CO278" s="127"/>
      <c r="CP278" s="127"/>
      <c r="CQ278" s="187"/>
      <c r="CR278" s="187"/>
      <c r="CS278" s="187"/>
      <c r="CT278" s="187"/>
      <c r="CU278" s="187"/>
      <c r="CV278" s="187"/>
      <c r="CW278" s="187"/>
      <c r="CX278" s="187"/>
    </row>
    <row r="279" spans="1:102" ht="12.75" customHeight="1" x14ac:dyDescent="0.2">
      <c r="A279" s="187"/>
      <c r="B279" s="127"/>
      <c r="C279" s="187"/>
      <c r="D279" s="127"/>
      <c r="E279" s="187"/>
      <c r="F279" s="187"/>
      <c r="G279" s="187"/>
      <c r="H279" s="187"/>
      <c r="I279" s="187"/>
      <c r="J279" s="187"/>
      <c r="K279" s="187"/>
      <c r="L279" s="187"/>
      <c r="M279" s="187"/>
      <c r="N279" s="187"/>
      <c r="O279" s="187"/>
      <c r="P279" s="187"/>
      <c r="Q279" s="187"/>
      <c r="R279" s="187"/>
      <c r="S279" s="187"/>
      <c r="T279" s="127"/>
      <c r="U279" s="188"/>
      <c r="V279" s="127"/>
      <c r="W279" s="1438"/>
      <c r="X279" s="127"/>
      <c r="Y279" s="127"/>
      <c r="Z279" s="127"/>
      <c r="AA279" s="127"/>
      <c r="AB279" s="127"/>
      <c r="AC279" s="127"/>
      <c r="AD279" s="127"/>
      <c r="AE279" s="127"/>
      <c r="AF279" s="127"/>
      <c r="AG279" s="127"/>
      <c r="AH279" s="127"/>
      <c r="AI279" s="127"/>
      <c r="AJ279" s="127"/>
      <c r="AK279" s="127"/>
      <c r="AL279" s="127"/>
      <c r="AM279" s="127"/>
      <c r="AN279" s="127"/>
      <c r="AO279" s="127"/>
      <c r="AP279" s="127"/>
      <c r="AQ279" s="127"/>
      <c r="AR279" s="127"/>
      <c r="AS279" s="127"/>
      <c r="AT279" s="127"/>
      <c r="AU279" s="127"/>
      <c r="AV279" s="127"/>
      <c r="AW279" s="127"/>
      <c r="AX279" s="127"/>
      <c r="AY279" s="127"/>
      <c r="AZ279" s="127"/>
      <c r="BA279" s="127"/>
      <c r="BB279" s="127"/>
      <c r="BC279" s="127"/>
      <c r="BD279" s="127"/>
      <c r="BE279" s="127"/>
      <c r="BF279" s="127"/>
      <c r="BG279" s="127"/>
      <c r="BH279" s="127"/>
      <c r="BI279" s="127"/>
      <c r="BJ279" s="127"/>
      <c r="BK279" s="127"/>
      <c r="BL279" s="127"/>
      <c r="BM279" s="127"/>
      <c r="BN279" s="127"/>
      <c r="BO279" s="127"/>
      <c r="BP279" s="127"/>
      <c r="BQ279" s="127"/>
      <c r="BR279" s="127"/>
      <c r="BS279" s="127"/>
      <c r="BT279" s="127"/>
      <c r="BU279" s="127"/>
      <c r="BV279" s="127"/>
      <c r="BW279" s="127"/>
      <c r="BX279" s="127"/>
      <c r="BY279" s="127"/>
      <c r="BZ279" s="127"/>
      <c r="CA279" s="127"/>
      <c r="CB279" s="187"/>
      <c r="CC279" s="189"/>
      <c r="CD279" s="188"/>
      <c r="CE279" s="127"/>
      <c r="CF279" s="190"/>
      <c r="CG279" s="190"/>
      <c r="CH279" s="187"/>
      <c r="CI279" s="187"/>
      <c r="CJ279" s="187"/>
      <c r="CK279" s="187"/>
      <c r="CL279" s="187"/>
      <c r="CM279" s="187"/>
      <c r="CN279" s="187"/>
      <c r="CO279" s="127"/>
      <c r="CP279" s="127"/>
      <c r="CQ279" s="187"/>
      <c r="CR279" s="187"/>
      <c r="CS279" s="187"/>
      <c r="CT279" s="187"/>
      <c r="CU279" s="187"/>
      <c r="CV279" s="187"/>
      <c r="CW279" s="187"/>
      <c r="CX279" s="187"/>
    </row>
    <row r="280" spans="1:102" ht="12.75" customHeight="1" x14ac:dyDescent="0.2">
      <c r="A280" s="187"/>
      <c r="B280" s="127"/>
      <c r="C280" s="187"/>
      <c r="D280" s="127"/>
      <c r="E280" s="187"/>
      <c r="F280" s="187"/>
      <c r="G280" s="187"/>
      <c r="H280" s="187"/>
      <c r="I280" s="187"/>
      <c r="J280" s="187"/>
      <c r="K280" s="187"/>
      <c r="L280" s="187"/>
      <c r="M280" s="187"/>
      <c r="N280" s="187"/>
      <c r="O280" s="187"/>
      <c r="P280" s="187"/>
      <c r="Q280" s="187"/>
      <c r="R280" s="187"/>
      <c r="S280" s="187"/>
      <c r="T280" s="127"/>
      <c r="U280" s="188"/>
      <c r="V280" s="127"/>
      <c r="W280" s="1438"/>
      <c r="X280" s="127"/>
      <c r="Y280" s="127"/>
      <c r="Z280" s="127"/>
      <c r="AA280" s="127"/>
      <c r="AB280" s="127"/>
      <c r="AC280" s="127"/>
      <c r="AD280" s="127"/>
      <c r="AE280" s="127"/>
      <c r="AF280" s="127"/>
      <c r="AG280" s="127"/>
      <c r="AH280" s="127"/>
      <c r="AI280" s="127"/>
      <c r="AJ280" s="127"/>
      <c r="AK280" s="127"/>
      <c r="AL280" s="127"/>
      <c r="AM280" s="127"/>
      <c r="AN280" s="127"/>
      <c r="AO280" s="127"/>
      <c r="AP280" s="127"/>
      <c r="AQ280" s="127"/>
      <c r="AR280" s="127"/>
      <c r="AS280" s="127"/>
      <c r="AT280" s="127"/>
      <c r="AU280" s="127"/>
      <c r="AV280" s="127"/>
      <c r="AW280" s="127"/>
      <c r="AX280" s="127"/>
      <c r="AY280" s="127"/>
      <c r="AZ280" s="127"/>
      <c r="BA280" s="127"/>
      <c r="BB280" s="127"/>
      <c r="BC280" s="127"/>
      <c r="BD280" s="127"/>
      <c r="BE280" s="127"/>
      <c r="BF280" s="127"/>
      <c r="BG280" s="127"/>
      <c r="BH280" s="127"/>
      <c r="BI280" s="127"/>
      <c r="BJ280" s="127"/>
      <c r="BK280" s="127"/>
      <c r="BL280" s="127"/>
      <c r="BM280" s="127"/>
      <c r="BN280" s="127"/>
      <c r="BO280" s="127"/>
      <c r="BP280" s="127"/>
      <c r="BQ280" s="127"/>
      <c r="BR280" s="127"/>
      <c r="BS280" s="127"/>
      <c r="BT280" s="127"/>
      <c r="BU280" s="127"/>
      <c r="BV280" s="127"/>
      <c r="BW280" s="127"/>
      <c r="BX280" s="127"/>
      <c r="BY280" s="127"/>
      <c r="BZ280" s="127"/>
      <c r="CA280" s="127"/>
      <c r="CB280" s="187"/>
      <c r="CC280" s="189"/>
      <c r="CD280" s="188"/>
      <c r="CE280" s="127"/>
      <c r="CF280" s="190"/>
      <c r="CG280" s="190"/>
      <c r="CH280" s="187"/>
      <c r="CI280" s="187"/>
      <c r="CJ280" s="187"/>
      <c r="CK280" s="187"/>
      <c r="CL280" s="187"/>
      <c r="CM280" s="187"/>
      <c r="CN280" s="187"/>
      <c r="CO280" s="127"/>
      <c r="CP280" s="127"/>
      <c r="CQ280" s="187"/>
      <c r="CR280" s="187"/>
      <c r="CS280" s="187"/>
      <c r="CT280" s="187"/>
      <c r="CU280" s="187"/>
      <c r="CV280" s="187"/>
      <c r="CW280" s="187"/>
      <c r="CX280" s="187"/>
    </row>
    <row r="281" spans="1:102" ht="12.75" customHeight="1" x14ac:dyDescent="0.2">
      <c r="A281" s="187"/>
      <c r="B281" s="127"/>
      <c r="C281" s="187"/>
      <c r="D281" s="127"/>
      <c r="E281" s="187"/>
      <c r="F281" s="187"/>
      <c r="G281" s="187"/>
      <c r="H281" s="187"/>
      <c r="I281" s="187"/>
      <c r="J281" s="187"/>
      <c r="K281" s="187"/>
      <c r="L281" s="187"/>
      <c r="M281" s="187"/>
      <c r="N281" s="187"/>
      <c r="O281" s="187"/>
      <c r="P281" s="187"/>
      <c r="Q281" s="187"/>
      <c r="R281" s="187"/>
      <c r="S281" s="187"/>
      <c r="T281" s="127"/>
      <c r="U281" s="188"/>
      <c r="V281" s="127"/>
      <c r="W281" s="1438"/>
      <c r="X281" s="127"/>
      <c r="Y281" s="127"/>
      <c r="Z281" s="127"/>
      <c r="AA281" s="127"/>
      <c r="AB281" s="127"/>
      <c r="AC281" s="127"/>
      <c r="AD281" s="127"/>
      <c r="AE281" s="127"/>
      <c r="AF281" s="127"/>
      <c r="AG281" s="127"/>
      <c r="AH281" s="127"/>
      <c r="AI281" s="127"/>
      <c r="AJ281" s="127"/>
      <c r="AK281" s="127"/>
      <c r="AL281" s="127"/>
      <c r="AM281" s="127"/>
      <c r="AN281" s="127"/>
      <c r="AO281" s="127"/>
      <c r="AP281" s="127"/>
      <c r="AQ281" s="127"/>
      <c r="AR281" s="127"/>
      <c r="AS281" s="127"/>
      <c r="AT281" s="127"/>
      <c r="AU281" s="127"/>
      <c r="AV281" s="127"/>
      <c r="AW281" s="127"/>
      <c r="AX281" s="127"/>
      <c r="AY281" s="127"/>
      <c r="AZ281" s="127"/>
      <c r="BA281" s="127"/>
      <c r="BB281" s="127"/>
      <c r="BC281" s="127"/>
      <c r="BD281" s="127"/>
      <c r="BE281" s="127"/>
      <c r="BF281" s="127"/>
      <c r="BG281" s="127"/>
      <c r="BH281" s="127"/>
      <c r="BI281" s="127"/>
      <c r="BJ281" s="127"/>
      <c r="BK281" s="127"/>
      <c r="BL281" s="127"/>
      <c r="BM281" s="127"/>
      <c r="BN281" s="127"/>
      <c r="BO281" s="127"/>
      <c r="BP281" s="127"/>
      <c r="BQ281" s="127"/>
      <c r="BR281" s="127"/>
      <c r="BS281" s="127"/>
      <c r="BT281" s="127"/>
      <c r="BU281" s="127"/>
      <c r="BV281" s="127"/>
      <c r="BW281" s="127"/>
      <c r="BX281" s="127"/>
      <c r="BY281" s="127"/>
      <c r="BZ281" s="127"/>
      <c r="CA281" s="127"/>
      <c r="CB281" s="187"/>
      <c r="CC281" s="189"/>
      <c r="CD281" s="188"/>
      <c r="CE281" s="127"/>
      <c r="CF281" s="190"/>
      <c r="CG281" s="190"/>
      <c r="CH281" s="187"/>
      <c r="CI281" s="187"/>
      <c r="CJ281" s="187"/>
      <c r="CK281" s="187"/>
      <c r="CL281" s="187"/>
      <c r="CM281" s="187"/>
      <c r="CN281" s="187"/>
      <c r="CO281" s="127"/>
      <c r="CP281" s="127"/>
      <c r="CQ281" s="187"/>
      <c r="CR281" s="187"/>
      <c r="CS281" s="187"/>
      <c r="CT281" s="187"/>
      <c r="CU281" s="187"/>
      <c r="CV281" s="187"/>
      <c r="CW281" s="187"/>
      <c r="CX281" s="187"/>
    </row>
    <row r="282" spans="1:102" ht="12.75" customHeight="1" x14ac:dyDescent="0.2">
      <c r="A282" s="187"/>
      <c r="B282" s="127"/>
      <c r="C282" s="187"/>
      <c r="D282" s="127"/>
      <c r="E282" s="187"/>
      <c r="F282" s="187"/>
      <c r="G282" s="187"/>
      <c r="H282" s="187"/>
      <c r="I282" s="187"/>
      <c r="J282" s="187"/>
      <c r="K282" s="187"/>
      <c r="L282" s="187"/>
      <c r="M282" s="187"/>
      <c r="N282" s="187"/>
      <c r="O282" s="187"/>
      <c r="P282" s="187"/>
      <c r="Q282" s="187"/>
      <c r="R282" s="187"/>
      <c r="S282" s="187"/>
      <c r="T282" s="127"/>
      <c r="U282" s="188"/>
      <c r="V282" s="127"/>
      <c r="W282" s="1438"/>
      <c r="X282" s="127"/>
      <c r="Y282" s="127"/>
      <c r="Z282" s="127"/>
      <c r="AA282" s="127"/>
      <c r="AB282" s="127"/>
      <c r="AC282" s="127"/>
      <c r="AD282" s="127"/>
      <c r="AE282" s="127"/>
      <c r="AF282" s="127"/>
      <c r="AG282" s="127"/>
      <c r="AH282" s="127"/>
      <c r="AI282" s="127"/>
      <c r="AJ282" s="127"/>
      <c r="AK282" s="127"/>
      <c r="AL282" s="127"/>
      <c r="AM282" s="127"/>
      <c r="AN282" s="127"/>
      <c r="AO282" s="127"/>
      <c r="AP282" s="127"/>
      <c r="AQ282" s="127"/>
      <c r="AR282" s="127"/>
      <c r="AS282" s="127"/>
      <c r="AT282" s="127"/>
      <c r="AU282" s="127"/>
      <c r="AV282" s="127"/>
      <c r="AW282" s="127"/>
      <c r="AX282" s="127"/>
      <c r="AY282" s="127"/>
      <c r="AZ282" s="127"/>
      <c r="BA282" s="127"/>
      <c r="BB282" s="127"/>
      <c r="BC282" s="127"/>
      <c r="BD282" s="127"/>
      <c r="BE282" s="127"/>
      <c r="BF282" s="127"/>
      <c r="BG282" s="127"/>
      <c r="BH282" s="127"/>
      <c r="BI282" s="127"/>
      <c r="BJ282" s="127"/>
      <c r="BK282" s="127"/>
      <c r="BL282" s="127"/>
      <c r="BM282" s="127"/>
      <c r="BN282" s="127"/>
      <c r="BO282" s="127"/>
      <c r="BP282" s="127"/>
      <c r="BQ282" s="127"/>
      <c r="BR282" s="127"/>
      <c r="BS282" s="127"/>
      <c r="BT282" s="127"/>
      <c r="BU282" s="127"/>
      <c r="BV282" s="127"/>
      <c r="BW282" s="127"/>
      <c r="BX282" s="127"/>
      <c r="BY282" s="127"/>
      <c r="BZ282" s="127"/>
      <c r="CA282" s="127"/>
      <c r="CB282" s="187"/>
      <c r="CC282" s="189"/>
      <c r="CD282" s="188"/>
      <c r="CE282" s="127"/>
      <c r="CF282" s="190"/>
      <c r="CG282" s="190"/>
      <c r="CH282" s="187"/>
      <c r="CI282" s="187"/>
      <c r="CJ282" s="187"/>
      <c r="CK282" s="187"/>
      <c r="CL282" s="187"/>
      <c r="CM282" s="187"/>
      <c r="CN282" s="187"/>
      <c r="CO282" s="127"/>
      <c r="CP282" s="127"/>
      <c r="CQ282" s="187"/>
      <c r="CR282" s="187"/>
      <c r="CS282" s="187"/>
      <c r="CT282" s="187"/>
      <c r="CU282" s="187"/>
      <c r="CV282" s="187"/>
      <c r="CW282" s="187"/>
      <c r="CX282" s="187"/>
    </row>
    <row r="283" spans="1:102" ht="12.75" customHeight="1" x14ac:dyDescent="0.2">
      <c r="A283" s="187"/>
      <c r="B283" s="127"/>
      <c r="C283" s="187"/>
      <c r="D283" s="127"/>
      <c r="E283" s="187"/>
      <c r="F283" s="187"/>
      <c r="G283" s="187"/>
      <c r="H283" s="187"/>
      <c r="I283" s="187"/>
      <c r="J283" s="187"/>
      <c r="K283" s="187"/>
      <c r="L283" s="187"/>
      <c r="M283" s="187"/>
      <c r="N283" s="187"/>
      <c r="O283" s="187"/>
      <c r="P283" s="187"/>
      <c r="Q283" s="187"/>
      <c r="R283" s="187"/>
      <c r="S283" s="187"/>
      <c r="T283" s="127"/>
      <c r="U283" s="188"/>
      <c r="V283" s="127"/>
      <c r="W283" s="1438"/>
      <c r="X283" s="127"/>
      <c r="Y283" s="127"/>
      <c r="Z283" s="127"/>
      <c r="AA283" s="127"/>
      <c r="AB283" s="127"/>
      <c r="AC283" s="127"/>
      <c r="AD283" s="127"/>
      <c r="AE283" s="127"/>
      <c r="AF283" s="127"/>
      <c r="AG283" s="127"/>
      <c r="AH283" s="127"/>
      <c r="AI283" s="127"/>
      <c r="AJ283" s="127"/>
      <c r="AK283" s="127"/>
      <c r="AL283" s="127"/>
      <c r="AM283" s="127"/>
      <c r="AN283" s="127"/>
      <c r="AO283" s="127"/>
      <c r="AP283" s="127"/>
      <c r="AQ283" s="127"/>
      <c r="AR283" s="127"/>
      <c r="AS283" s="127"/>
      <c r="AT283" s="127"/>
      <c r="AU283" s="127"/>
      <c r="AV283" s="127"/>
      <c r="AW283" s="127"/>
      <c r="AX283" s="127"/>
      <c r="AY283" s="127"/>
      <c r="AZ283" s="127"/>
      <c r="BA283" s="127"/>
      <c r="BB283" s="127"/>
      <c r="BC283" s="127"/>
      <c r="BD283" s="127"/>
      <c r="BE283" s="127"/>
      <c r="BF283" s="127"/>
      <c r="BG283" s="127"/>
      <c r="BH283" s="127"/>
      <c r="BI283" s="127"/>
      <c r="BJ283" s="127"/>
      <c r="BK283" s="127"/>
      <c r="BL283" s="127"/>
      <c r="BM283" s="127"/>
      <c r="BN283" s="127"/>
      <c r="BO283" s="127"/>
      <c r="BP283" s="127"/>
      <c r="BQ283" s="127"/>
      <c r="BR283" s="127"/>
      <c r="BS283" s="127"/>
      <c r="BT283" s="127"/>
      <c r="BU283" s="127"/>
      <c r="BV283" s="127"/>
      <c r="BW283" s="127"/>
      <c r="BX283" s="127"/>
      <c r="BY283" s="127"/>
      <c r="BZ283" s="127"/>
      <c r="CA283" s="127"/>
      <c r="CB283" s="187"/>
      <c r="CC283" s="189"/>
      <c r="CD283" s="188"/>
      <c r="CE283" s="127"/>
      <c r="CF283" s="190"/>
      <c r="CG283" s="190"/>
      <c r="CH283" s="187"/>
      <c r="CI283" s="187"/>
      <c r="CJ283" s="187"/>
      <c r="CK283" s="187"/>
      <c r="CL283" s="187"/>
      <c r="CM283" s="187"/>
      <c r="CN283" s="187"/>
      <c r="CO283" s="127"/>
      <c r="CP283" s="127"/>
      <c r="CQ283" s="187"/>
      <c r="CR283" s="187"/>
      <c r="CS283" s="187"/>
      <c r="CT283" s="187"/>
      <c r="CU283" s="187"/>
      <c r="CV283" s="187"/>
      <c r="CW283" s="187"/>
      <c r="CX283" s="187"/>
    </row>
    <row r="284" spans="1:102" ht="12.75" customHeight="1" x14ac:dyDescent="0.2">
      <c r="A284" s="187"/>
      <c r="B284" s="127"/>
      <c r="C284" s="187"/>
      <c r="D284" s="127"/>
      <c r="E284" s="187"/>
      <c r="F284" s="187"/>
      <c r="G284" s="187"/>
      <c r="H284" s="187"/>
      <c r="I284" s="187"/>
      <c r="J284" s="187"/>
      <c r="K284" s="187"/>
      <c r="L284" s="187"/>
      <c r="M284" s="187"/>
      <c r="N284" s="187"/>
      <c r="O284" s="187"/>
      <c r="P284" s="187"/>
      <c r="Q284" s="187"/>
      <c r="R284" s="187"/>
      <c r="S284" s="187"/>
      <c r="T284" s="127"/>
      <c r="U284" s="188"/>
      <c r="V284" s="127"/>
      <c r="W284" s="1438"/>
      <c r="X284" s="127"/>
      <c r="Y284" s="127"/>
      <c r="Z284" s="127"/>
      <c r="AA284" s="127"/>
      <c r="AB284" s="127"/>
      <c r="AC284" s="127"/>
      <c r="AD284" s="127"/>
      <c r="AE284" s="127"/>
      <c r="AF284" s="127"/>
      <c r="AG284" s="127"/>
      <c r="AH284" s="127"/>
      <c r="AI284" s="127"/>
      <c r="AJ284" s="127"/>
      <c r="AK284" s="127"/>
      <c r="AL284" s="127"/>
      <c r="AM284" s="127"/>
      <c r="AN284" s="127"/>
      <c r="AO284" s="127"/>
      <c r="AP284" s="127"/>
      <c r="AQ284" s="127"/>
      <c r="AR284" s="127"/>
      <c r="AS284" s="127"/>
      <c r="AT284" s="127"/>
      <c r="AU284" s="127"/>
      <c r="AV284" s="127"/>
      <c r="AW284" s="127"/>
      <c r="AX284" s="127"/>
      <c r="AY284" s="127"/>
      <c r="AZ284" s="127"/>
      <c r="BA284" s="127"/>
      <c r="BB284" s="127"/>
      <c r="BC284" s="127"/>
      <c r="BD284" s="127"/>
      <c r="BE284" s="127"/>
      <c r="BF284" s="127"/>
      <c r="BG284" s="127"/>
      <c r="BH284" s="127"/>
      <c r="BI284" s="127"/>
      <c r="BJ284" s="127"/>
      <c r="BK284" s="127"/>
      <c r="BL284" s="127"/>
      <c r="BM284" s="127"/>
      <c r="BN284" s="127"/>
      <c r="BO284" s="127"/>
      <c r="BP284" s="127"/>
      <c r="BQ284" s="127"/>
      <c r="BR284" s="127"/>
      <c r="BS284" s="127"/>
      <c r="BT284" s="127"/>
      <c r="BU284" s="127"/>
      <c r="BV284" s="127"/>
      <c r="BW284" s="127"/>
      <c r="BX284" s="127"/>
      <c r="BY284" s="127"/>
      <c r="BZ284" s="127"/>
      <c r="CA284" s="127"/>
      <c r="CB284" s="187"/>
      <c r="CC284" s="189"/>
      <c r="CD284" s="188"/>
      <c r="CE284" s="127"/>
      <c r="CF284" s="190"/>
      <c r="CG284" s="190"/>
      <c r="CH284" s="187"/>
      <c r="CI284" s="187"/>
      <c r="CJ284" s="187"/>
      <c r="CK284" s="187"/>
      <c r="CL284" s="187"/>
      <c r="CM284" s="187"/>
      <c r="CN284" s="187"/>
      <c r="CO284" s="127"/>
      <c r="CP284" s="127"/>
      <c r="CQ284" s="187"/>
      <c r="CR284" s="187"/>
      <c r="CS284" s="187"/>
      <c r="CT284" s="187"/>
      <c r="CU284" s="187"/>
      <c r="CV284" s="187"/>
      <c r="CW284" s="187"/>
      <c r="CX284" s="187"/>
    </row>
    <row r="285" spans="1:102" ht="12.75" customHeight="1" x14ac:dyDescent="0.2">
      <c r="A285" s="187"/>
      <c r="B285" s="127"/>
      <c r="C285" s="187"/>
      <c r="D285" s="127"/>
      <c r="E285" s="187"/>
      <c r="F285" s="187"/>
      <c r="G285" s="187"/>
      <c r="H285" s="187"/>
      <c r="I285" s="187"/>
      <c r="J285" s="187"/>
      <c r="K285" s="187"/>
      <c r="L285" s="187"/>
      <c r="M285" s="187"/>
      <c r="N285" s="187"/>
      <c r="O285" s="187"/>
      <c r="P285" s="187"/>
      <c r="Q285" s="187"/>
      <c r="R285" s="187"/>
      <c r="S285" s="187"/>
      <c r="T285" s="127"/>
      <c r="U285" s="188"/>
      <c r="V285" s="127"/>
      <c r="W285" s="1438"/>
      <c r="X285" s="127"/>
      <c r="Y285" s="127"/>
      <c r="Z285" s="127"/>
      <c r="AA285" s="127"/>
      <c r="AB285" s="127"/>
      <c r="AC285" s="127"/>
      <c r="AD285" s="127"/>
      <c r="AE285" s="127"/>
      <c r="AF285" s="127"/>
      <c r="AG285" s="127"/>
      <c r="AH285" s="127"/>
      <c r="AI285" s="127"/>
      <c r="AJ285" s="127"/>
      <c r="AK285" s="127"/>
      <c r="AL285" s="127"/>
      <c r="AM285" s="127"/>
      <c r="AN285" s="127"/>
      <c r="AO285" s="127"/>
      <c r="AP285" s="127"/>
      <c r="AQ285" s="127"/>
      <c r="AR285" s="127"/>
      <c r="AS285" s="127"/>
      <c r="AT285" s="127"/>
      <c r="AU285" s="127"/>
      <c r="AV285" s="127"/>
      <c r="AW285" s="127"/>
      <c r="AX285" s="127"/>
      <c r="AY285" s="127"/>
      <c r="AZ285" s="127"/>
      <c r="BA285" s="127"/>
      <c r="BB285" s="127"/>
      <c r="BC285" s="127"/>
      <c r="BD285" s="127"/>
      <c r="BE285" s="127"/>
      <c r="BF285" s="127"/>
      <c r="BG285" s="127"/>
      <c r="BH285" s="127"/>
      <c r="BI285" s="127"/>
      <c r="BJ285" s="127"/>
      <c r="BK285" s="127"/>
      <c r="BL285" s="127"/>
      <c r="BM285" s="127"/>
      <c r="BN285" s="127"/>
      <c r="BO285" s="127"/>
      <c r="BP285" s="127"/>
      <c r="BQ285" s="127"/>
      <c r="BR285" s="127"/>
      <c r="BS285" s="127"/>
      <c r="BT285" s="127"/>
      <c r="BU285" s="127"/>
      <c r="BV285" s="127"/>
      <c r="BW285" s="127"/>
      <c r="BX285" s="127"/>
      <c r="BY285" s="127"/>
      <c r="BZ285" s="127"/>
      <c r="CA285" s="127"/>
      <c r="CB285" s="187"/>
      <c r="CC285" s="189"/>
      <c r="CD285" s="188"/>
      <c r="CE285" s="127"/>
      <c r="CF285" s="190"/>
      <c r="CG285" s="190"/>
      <c r="CH285" s="187"/>
      <c r="CI285" s="187"/>
      <c r="CJ285" s="187"/>
      <c r="CK285" s="187"/>
      <c r="CL285" s="187"/>
      <c r="CM285" s="187"/>
      <c r="CN285" s="187"/>
      <c r="CO285" s="127"/>
      <c r="CP285" s="127"/>
      <c r="CQ285" s="187"/>
      <c r="CR285" s="187"/>
      <c r="CS285" s="187"/>
      <c r="CT285" s="187"/>
      <c r="CU285" s="187"/>
      <c r="CV285" s="187"/>
      <c r="CW285" s="187"/>
      <c r="CX285" s="187"/>
    </row>
    <row r="286" spans="1:102" ht="12.75" customHeight="1" x14ac:dyDescent="0.2">
      <c r="A286" s="187"/>
      <c r="B286" s="127"/>
      <c r="C286" s="187"/>
      <c r="D286" s="127"/>
      <c r="E286" s="187"/>
      <c r="F286" s="187"/>
      <c r="G286" s="187"/>
      <c r="H286" s="187"/>
      <c r="I286" s="187"/>
      <c r="J286" s="187"/>
      <c r="K286" s="187"/>
      <c r="L286" s="187"/>
      <c r="M286" s="187"/>
      <c r="N286" s="187"/>
      <c r="O286" s="187"/>
      <c r="P286" s="187"/>
      <c r="Q286" s="187"/>
      <c r="R286" s="187"/>
      <c r="S286" s="187"/>
      <c r="T286" s="127"/>
      <c r="U286" s="188"/>
      <c r="V286" s="127"/>
      <c r="W286" s="1438"/>
      <c r="X286" s="127"/>
      <c r="Y286" s="127"/>
      <c r="Z286" s="127"/>
      <c r="AA286" s="127"/>
      <c r="AB286" s="127"/>
      <c r="AC286" s="127"/>
      <c r="AD286" s="127"/>
      <c r="AE286" s="127"/>
      <c r="AF286" s="127"/>
      <c r="AG286" s="127"/>
      <c r="AH286" s="127"/>
      <c r="AI286" s="127"/>
      <c r="AJ286" s="127"/>
      <c r="AK286" s="127"/>
      <c r="AL286" s="127"/>
      <c r="AM286" s="127"/>
      <c r="AN286" s="127"/>
      <c r="AO286" s="127"/>
      <c r="AP286" s="127"/>
      <c r="AQ286" s="127"/>
      <c r="AR286" s="127"/>
      <c r="AS286" s="127"/>
      <c r="AT286" s="127"/>
      <c r="AU286" s="127"/>
      <c r="AV286" s="127"/>
      <c r="AW286" s="127"/>
      <c r="AX286" s="127"/>
      <c r="AY286" s="127"/>
      <c r="AZ286" s="127"/>
      <c r="BA286" s="127"/>
      <c r="BB286" s="127"/>
      <c r="BC286" s="127"/>
      <c r="BD286" s="127"/>
      <c r="BE286" s="127"/>
      <c r="BF286" s="127"/>
      <c r="BG286" s="127"/>
      <c r="BH286" s="127"/>
      <c r="BI286" s="127"/>
      <c r="BJ286" s="127"/>
      <c r="BK286" s="127"/>
      <c r="BL286" s="127"/>
      <c r="BM286" s="127"/>
      <c r="BN286" s="127"/>
      <c r="BO286" s="127"/>
      <c r="BP286" s="127"/>
      <c r="BQ286" s="127"/>
      <c r="BR286" s="127"/>
      <c r="BS286" s="127"/>
      <c r="BT286" s="127"/>
      <c r="BU286" s="127"/>
      <c r="BV286" s="127"/>
      <c r="BW286" s="127"/>
      <c r="BX286" s="127"/>
      <c r="BY286" s="127"/>
      <c r="BZ286" s="127"/>
      <c r="CA286" s="127"/>
      <c r="CB286" s="187"/>
      <c r="CC286" s="189"/>
      <c r="CD286" s="188"/>
      <c r="CE286" s="127"/>
      <c r="CF286" s="190"/>
      <c r="CG286" s="190"/>
      <c r="CH286" s="187"/>
      <c r="CI286" s="187"/>
      <c r="CJ286" s="187"/>
      <c r="CK286" s="187"/>
      <c r="CL286" s="187"/>
      <c r="CM286" s="187"/>
      <c r="CN286" s="187"/>
      <c r="CO286" s="127"/>
      <c r="CP286" s="127"/>
      <c r="CQ286" s="187"/>
      <c r="CR286" s="187"/>
      <c r="CS286" s="187"/>
      <c r="CT286" s="187"/>
      <c r="CU286" s="187"/>
      <c r="CV286" s="187"/>
      <c r="CW286" s="187"/>
      <c r="CX286" s="187"/>
    </row>
    <row r="287" spans="1:102" ht="12.75" customHeight="1" x14ac:dyDescent="0.2">
      <c r="A287" s="187"/>
      <c r="B287" s="127"/>
      <c r="C287" s="187"/>
      <c r="D287" s="127"/>
      <c r="E287" s="187"/>
      <c r="F287" s="187"/>
      <c r="G287" s="187"/>
      <c r="H287" s="187"/>
      <c r="I287" s="187"/>
      <c r="J287" s="187"/>
      <c r="K287" s="187"/>
      <c r="L287" s="187"/>
      <c r="M287" s="187"/>
      <c r="N287" s="187"/>
      <c r="O287" s="187"/>
      <c r="P287" s="187"/>
      <c r="Q287" s="187"/>
      <c r="R287" s="187"/>
      <c r="S287" s="187"/>
      <c r="T287" s="127"/>
      <c r="U287" s="188"/>
      <c r="V287" s="127"/>
      <c r="W287" s="1438"/>
      <c r="X287" s="127"/>
      <c r="Y287" s="127"/>
      <c r="Z287" s="127"/>
      <c r="AA287" s="127"/>
      <c r="AB287" s="127"/>
      <c r="AC287" s="127"/>
      <c r="AD287" s="127"/>
      <c r="AE287" s="127"/>
      <c r="AF287" s="127"/>
      <c r="AG287" s="127"/>
      <c r="AH287" s="127"/>
      <c r="AI287" s="127"/>
      <c r="AJ287" s="127"/>
      <c r="AK287" s="127"/>
      <c r="AL287" s="127"/>
      <c r="AM287" s="127"/>
      <c r="AN287" s="127"/>
      <c r="AO287" s="127"/>
      <c r="AP287" s="127"/>
      <c r="AQ287" s="127"/>
      <c r="AR287" s="127"/>
      <c r="AS287" s="127"/>
      <c r="AT287" s="127"/>
      <c r="AU287" s="127"/>
      <c r="AV287" s="127"/>
      <c r="AW287" s="127"/>
      <c r="AX287" s="127"/>
      <c r="AY287" s="127"/>
      <c r="AZ287" s="127"/>
      <c r="BA287" s="127"/>
      <c r="BB287" s="127"/>
      <c r="BC287" s="127"/>
      <c r="BD287" s="127"/>
      <c r="BE287" s="127"/>
      <c r="BF287" s="127"/>
      <c r="BG287" s="127"/>
      <c r="BH287" s="127"/>
      <c r="BI287" s="127"/>
      <c r="BJ287" s="127"/>
      <c r="BK287" s="127"/>
      <c r="BL287" s="127"/>
      <c r="BM287" s="127"/>
      <c r="BN287" s="127"/>
      <c r="BO287" s="127"/>
      <c r="BP287" s="127"/>
      <c r="BQ287" s="127"/>
      <c r="BR287" s="127"/>
      <c r="BS287" s="127"/>
      <c r="BT287" s="127"/>
      <c r="BU287" s="127"/>
      <c r="BV287" s="127"/>
      <c r="BW287" s="127"/>
      <c r="BX287" s="127"/>
      <c r="BY287" s="127"/>
      <c r="BZ287" s="127"/>
      <c r="CA287" s="127"/>
      <c r="CB287" s="187"/>
      <c r="CC287" s="189"/>
      <c r="CD287" s="188"/>
      <c r="CE287" s="127"/>
      <c r="CF287" s="190"/>
      <c r="CG287" s="190"/>
      <c r="CH287" s="187"/>
      <c r="CI287" s="187"/>
      <c r="CJ287" s="187"/>
      <c r="CK287" s="187"/>
      <c r="CL287" s="187"/>
      <c r="CM287" s="187"/>
      <c r="CN287" s="187"/>
      <c r="CO287" s="127"/>
      <c r="CP287" s="127"/>
      <c r="CQ287" s="187"/>
      <c r="CR287" s="187"/>
      <c r="CS287" s="187"/>
      <c r="CT287" s="187"/>
      <c r="CU287" s="187"/>
      <c r="CV287" s="187"/>
      <c r="CW287" s="187"/>
      <c r="CX287" s="187"/>
    </row>
    <row r="288" spans="1:102" ht="12.75" customHeight="1" x14ac:dyDescent="0.2">
      <c r="A288" s="187"/>
      <c r="B288" s="127"/>
      <c r="C288" s="187"/>
      <c r="D288" s="127"/>
      <c r="E288" s="187"/>
      <c r="F288" s="187"/>
      <c r="G288" s="187"/>
      <c r="H288" s="187"/>
      <c r="I288" s="187"/>
      <c r="J288" s="187"/>
      <c r="K288" s="187"/>
      <c r="L288" s="187"/>
      <c r="M288" s="187"/>
      <c r="N288" s="187"/>
      <c r="O288" s="187"/>
      <c r="P288" s="187"/>
      <c r="Q288" s="187"/>
      <c r="R288" s="187"/>
      <c r="S288" s="187"/>
      <c r="T288" s="127"/>
      <c r="U288" s="188"/>
      <c r="V288" s="127"/>
      <c r="W288" s="1438"/>
      <c r="X288" s="127"/>
      <c r="Y288" s="127"/>
      <c r="Z288" s="127"/>
      <c r="AA288" s="127"/>
      <c r="AB288" s="127"/>
      <c r="AC288" s="127"/>
      <c r="AD288" s="127"/>
      <c r="AE288" s="127"/>
      <c r="AF288" s="127"/>
      <c r="AG288" s="127"/>
      <c r="AH288" s="127"/>
      <c r="AI288" s="127"/>
      <c r="AJ288" s="127"/>
      <c r="AK288" s="127"/>
      <c r="AL288" s="127"/>
      <c r="AM288" s="127"/>
      <c r="AN288" s="127"/>
      <c r="AO288" s="127"/>
      <c r="AP288" s="127"/>
      <c r="AQ288" s="127"/>
      <c r="AR288" s="127"/>
      <c r="AS288" s="127"/>
      <c r="AT288" s="127"/>
      <c r="AU288" s="127"/>
      <c r="AV288" s="127"/>
      <c r="AW288" s="127"/>
      <c r="AX288" s="127"/>
      <c r="AY288" s="127"/>
      <c r="AZ288" s="127"/>
      <c r="BA288" s="127"/>
      <c r="BB288" s="127"/>
      <c r="BC288" s="127"/>
      <c r="BD288" s="127"/>
      <c r="BE288" s="127"/>
      <c r="BF288" s="127"/>
      <c r="BG288" s="127"/>
      <c r="BH288" s="127"/>
      <c r="BI288" s="127"/>
      <c r="BJ288" s="127"/>
      <c r="BK288" s="127"/>
      <c r="BL288" s="127"/>
      <c r="BM288" s="127"/>
      <c r="BN288" s="127"/>
      <c r="BO288" s="127"/>
      <c r="BP288" s="127"/>
      <c r="BQ288" s="127"/>
      <c r="BR288" s="127"/>
      <c r="BS288" s="127"/>
      <c r="BT288" s="127"/>
      <c r="BU288" s="127"/>
      <c r="BV288" s="127"/>
      <c r="BW288" s="127"/>
      <c r="BX288" s="127"/>
      <c r="BY288" s="127"/>
      <c r="BZ288" s="127"/>
      <c r="CA288" s="127"/>
      <c r="CB288" s="187"/>
      <c r="CC288" s="189"/>
      <c r="CD288" s="188"/>
      <c r="CE288" s="127"/>
      <c r="CF288" s="190"/>
      <c r="CG288" s="190"/>
      <c r="CH288" s="187"/>
      <c r="CI288" s="187"/>
      <c r="CJ288" s="187"/>
      <c r="CK288" s="187"/>
      <c r="CL288" s="187"/>
      <c r="CM288" s="187"/>
      <c r="CN288" s="187"/>
      <c r="CO288" s="127"/>
      <c r="CP288" s="127"/>
      <c r="CQ288" s="187"/>
      <c r="CR288" s="187"/>
      <c r="CS288" s="187"/>
      <c r="CT288" s="187"/>
      <c r="CU288" s="187"/>
      <c r="CV288" s="187"/>
      <c r="CW288" s="187"/>
      <c r="CX288" s="187"/>
    </row>
    <row r="289" spans="1:102" ht="12.75" customHeight="1" x14ac:dyDescent="0.2">
      <c r="A289" s="187"/>
      <c r="B289" s="127"/>
      <c r="C289" s="187"/>
      <c r="D289" s="127"/>
      <c r="E289" s="187"/>
      <c r="F289" s="187"/>
      <c r="G289" s="187"/>
      <c r="H289" s="187"/>
      <c r="I289" s="187"/>
      <c r="J289" s="187"/>
      <c r="K289" s="187"/>
      <c r="L289" s="187"/>
      <c r="M289" s="187"/>
      <c r="N289" s="187"/>
      <c r="O289" s="187"/>
      <c r="P289" s="187"/>
      <c r="Q289" s="187"/>
      <c r="R289" s="187"/>
      <c r="S289" s="187"/>
      <c r="T289" s="127"/>
      <c r="U289" s="188"/>
      <c r="V289" s="127"/>
      <c r="W289" s="1438"/>
      <c r="X289" s="127"/>
      <c r="Y289" s="127"/>
      <c r="Z289" s="127"/>
      <c r="AA289" s="127"/>
      <c r="AB289" s="127"/>
      <c r="AC289" s="127"/>
      <c r="AD289" s="127"/>
      <c r="AE289" s="127"/>
      <c r="AF289" s="127"/>
      <c r="AG289" s="127"/>
      <c r="AH289" s="127"/>
      <c r="AI289" s="127"/>
      <c r="AJ289" s="127"/>
      <c r="AK289" s="127"/>
      <c r="AL289" s="127"/>
      <c r="AM289" s="127"/>
      <c r="AN289" s="127"/>
      <c r="AO289" s="127"/>
      <c r="AP289" s="127"/>
      <c r="AQ289" s="127"/>
      <c r="AR289" s="127"/>
      <c r="AS289" s="127"/>
      <c r="AT289" s="127"/>
      <c r="AU289" s="127"/>
      <c r="AV289" s="127"/>
      <c r="AW289" s="127"/>
      <c r="AX289" s="127"/>
      <c r="AY289" s="127"/>
      <c r="AZ289" s="127"/>
      <c r="BA289" s="127"/>
      <c r="BB289" s="127"/>
      <c r="BC289" s="127"/>
      <c r="BD289" s="127"/>
      <c r="BE289" s="127"/>
      <c r="BF289" s="127"/>
      <c r="BG289" s="127"/>
      <c r="BH289" s="127"/>
      <c r="BI289" s="127"/>
      <c r="BJ289" s="127"/>
      <c r="BK289" s="127"/>
      <c r="BL289" s="127"/>
      <c r="BM289" s="127"/>
      <c r="BN289" s="127"/>
      <c r="BO289" s="127"/>
      <c r="BP289" s="127"/>
      <c r="BQ289" s="127"/>
      <c r="BR289" s="127"/>
      <c r="BS289" s="127"/>
      <c r="BT289" s="127"/>
      <c r="BU289" s="127"/>
      <c r="BV289" s="127"/>
      <c r="BW289" s="127"/>
      <c r="BX289" s="127"/>
      <c r="BY289" s="127"/>
      <c r="BZ289" s="127"/>
      <c r="CA289" s="127"/>
      <c r="CB289" s="187"/>
      <c r="CC289" s="189"/>
      <c r="CD289" s="188"/>
      <c r="CE289" s="127"/>
      <c r="CF289" s="190"/>
      <c r="CG289" s="190"/>
      <c r="CH289" s="187"/>
      <c r="CI289" s="187"/>
      <c r="CJ289" s="187"/>
      <c r="CK289" s="187"/>
      <c r="CL289" s="187"/>
      <c r="CM289" s="187"/>
      <c r="CN289" s="187"/>
      <c r="CO289" s="127"/>
      <c r="CP289" s="127"/>
      <c r="CQ289" s="187"/>
      <c r="CR289" s="187"/>
      <c r="CS289" s="187"/>
      <c r="CT289" s="187"/>
      <c r="CU289" s="187"/>
      <c r="CV289" s="187"/>
      <c r="CW289" s="187"/>
      <c r="CX289" s="187"/>
    </row>
    <row r="290" spans="1:102" ht="12.75" customHeight="1" x14ac:dyDescent="0.2">
      <c r="A290" s="187"/>
      <c r="B290" s="127"/>
      <c r="C290" s="187"/>
      <c r="D290" s="127"/>
      <c r="E290" s="187"/>
      <c r="F290" s="187"/>
      <c r="G290" s="187"/>
      <c r="H290" s="187"/>
      <c r="I290" s="187"/>
      <c r="J290" s="187"/>
      <c r="K290" s="187"/>
      <c r="L290" s="187"/>
      <c r="M290" s="187"/>
      <c r="N290" s="187"/>
      <c r="O290" s="187"/>
      <c r="P290" s="187"/>
      <c r="Q290" s="187"/>
      <c r="R290" s="187"/>
      <c r="S290" s="187"/>
      <c r="T290" s="127"/>
      <c r="U290" s="188"/>
      <c r="V290" s="127"/>
      <c r="W290" s="1438"/>
      <c r="X290" s="127"/>
      <c r="Y290" s="127"/>
      <c r="Z290" s="127"/>
      <c r="AA290" s="127"/>
      <c r="AB290" s="127"/>
      <c r="AC290" s="127"/>
      <c r="AD290" s="127"/>
      <c r="AE290" s="127"/>
      <c r="AF290" s="127"/>
      <c r="AG290" s="127"/>
      <c r="AH290" s="127"/>
      <c r="AI290" s="127"/>
      <c r="AJ290" s="127"/>
      <c r="AK290" s="127"/>
      <c r="AL290" s="127"/>
      <c r="AM290" s="127"/>
      <c r="AN290" s="127"/>
      <c r="AO290" s="127"/>
      <c r="AP290" s="127"/>
      <c r="AQ290" s="127"/>
      <c r="AR290" s="127"/>
      <c r="AS290" s="127"/>
      <c r="AT290" s="127"/>
      <c r="AU290" s="127"/>
      <c r="AV290" s="127"/>
      <c r="AW290" s="127"/>
      <c r="AX290" s="127"/>
      <c r="AY290" s="127"/>
      <c r="AZ290" s="127"/>
      <c r="BA290" s="127"/>
      <c r="BB290" s="127"/>
      <c r="BC290" s="127"/>
      <c r="BD290" s="127"/>
      <c r="BE290" s="127"/>
      <c r="BF290" s="127"/>
      <c r="BG290" s="127"/>
      <c r="BH290" s="127"/>
      <c r="BI290" s="127"/>
      <c r="BJ290" s="127"/>
      <c r="BK290" s="127"/>
      <c r="BL290" s="127"/>
      <c r="BM290" s="127"/>
      <c r="BN290" s="127"/>
      <c r="BO290" s="127"/>
      <c r="BP290" s="127"/>
      <c r="BQ290" s="127"/>
      <c r="BR290" s="127"/>
      <c r="BS290" s="127"/>
      <c r="BT290" s="127"/>
      <c r="BU290" s="127"/>
      <c r="BV290" s="127"/>
      <c r="BW290" s="127"/>
      <c r="BX290" s="127"/>
      <c r="BY290" s="127"/>
      <c r="BZ290" s="127"/>
      <c r="CA290" s="127"/>
      <c r="CB290" s="187"/>
      <c r="CC290" s="189"/>
      <c r="CD290" s="188"/>
      <c r="CE290" s="127"/>
      <c r="CF290" s="190"/>
      <c r="CG290" s="190"/>
      <c r="CH290" s="187"/>
      <c r="CI290" s="187"/>
      <c r="CJ290" s="187"/>
      <c r="CK290" s="187"/>
      <c r="CL290" s="187"/>
      <c r="CM290" s="187"/>
      <c r="CN290" s="187"/>
      <c r="CO290" s="127"/>
      <c r="CP290" s="127"/>
      <c r="CQ290" s="187"/>
      <c r="CR290" s="187"/>
      <c r="CS290" s="187"/>
      <c r="CT290" s="187"/>
      <c r="CU290" s="187"/>
      <c r="CV290" s="187"/>
      <c r="CW290" s="187"/>
      <c r="CX290" s="187"/>
    </row>
    <row r="291" spans="1:102" ht="12.75" customHeight="1" x14ac:dyDescent="0.2">
      <c r="A291" s="187"/>
      <c r="B291" s="127"/>
      <c r="C291" s="187"/>
      <c r="D291" s="127"/>
      <c r="E291" s="187"/>
      <c r="F291" s="187"/>
      <c r="G291" s="187"/>
      <c r="H291" s="187"/>
      <c r="I291" s="187"/>
      <c r="J291" s="187"/>
      <c r="K291" s="187"/>
      <c r="L291" s="187"/>
      <c r="M291" s="187"/>
      <c r="N291" s="187"/>
      <c r="O291" s="187"/>
      <c r="P291" s="187"/>
      <c r="Q291" s="187"/>
      <c r="R291" s="187"/>
      <c r="S291" s="187"/>
      <c r="T291" s="127"/>
      <c r="U291" s="188"/>
      <c r="V291" s="127"/>
      <c r="W291" s="1438"/>
      <c r="X291" s="127"/>
      <c r="Y291" s="127"/>
      <c r="Z291" s="127"/>
      <c r="AA291" s="127"/>
      <c r="AB291" s="127"/>
      <c r="AC291" s="127"/>
      <c r="AD291" s="127"/>
      <c r="AE291" s="127"/>
      <c r="AF291" s="127"/>
      <c r="AG291" s="127"/>
      <c r="AH291" s="127"/>
      <c r="AI291" s="127"/>
      <c r="AJ291" s="127"/>
      <c r="AK291" s="127"/>
      <c r="AL291" s="127"/>
      <c r="AM291" s="127"/>
      <c r="AN291" s="127"/>
      <c r="AO291" s="127"/>
      <c r="AP291" s="127"/>
      <c r="AQ291" s="127"/>
      <c r="AR291" s="127"/>
      <c r="AS291" s="127"/>
      <c r="AT291" s="127"/>
      <c r="AU291" s="127"/>
      <c r="AV291" s="127"/>
      <c r="AW291" s="127"/>
      <c r="AX291" s="127"/>
      <c r="AY291" s="127"/>
      <c r="AZ291" s="127"/>
      <c r="BA291" s="127"/>
      <c r="BB291" s="127"/>
      <c r="BC291" s="127"/>
      <c r="BD291" s="127"/>
      <c r="BE291" s="127"/>
      <c r="BF291" s="127"/>
      <c r="BG291" s="127"/>
      <c r="BH291" s="127"/>
      <c r="BI291" s="127"/>
      <c r="BJ291" s="127"/>
      <c r="BK291" s="127"/>
      <c r="BL291" s="127"/>
      <c r="BM291" s="127"/>
      <c r="BN291" s="127"/>
      <c r="BO291" s="127"/>
      <c r="BP291" s="127"/>
      <c r="BQ291" s="127"/>
      <c r="BR291" s="127"/>
      <c r="BS291" s="127"/>
      <c r="BT291" s="127"/>
      <c r="BU291" s="127"/>
      <c r="BV291" s="127"/>
      <c r="BW291" s="127"/>
      <c r="BX291" s="127"/>
      <c r="BY291" s="127"/>
      <c r="BZ291" s="127"/>
      <c r="CA291" s="127"/>
      <c r="CB291" s="187"/>
      <c r="CC291" s="189"/>
      <c r="CD291" s="188"/>
      <c r="CE291" s="127"/>
      <c r="CF291" s="190"/>
      <c r="CG291" s="190"/>
      <c r="CH291" s="187"/>
      <c r="CI291" s="187"/>
      <c r="CJ291" s="187"/>
      <c r="CK291" s="187"/>
      <c r="CL291" s="187"/>
      <c r="CM291" s="187"/>
      <c r="CN291" s="187"/>
      <c r="CO291" s="127"/>
      <c r="CP291" s="127"/>
      <c r="CQ291" s="187"/>
      <c r="CR291" s="187"/>
      <c r="CS291" s="187"/>
      <c r="CT291" s="187"/>
      <c r="CU291" s="187"/>
      <c r="CV291" s="187"/>
      <c r="CW291" s="187"/>
      <c r="CX291" s="187"/>
    </row>
    <row r="292" spans="1:102" ht="12.75" customHeight="1" x14ac:dyDescent="0.2">
      <c r="A292" s="187"/>
      <c r="B292" s="127"/>
      <c r="C292" s="187"/>
      <c r="D292" s="127"/>
      <c r="E292" s="187"/>
      <c r="F292" s="187"/>
      <c r="G292" s="187"/>
      <c r="H292" s="187"/>
      <c r="I292" s="187"/>
      <c r="J292" s="187"/>
      <c r="K292" s="187"/>
      <c r="L292" s="187"/>
      <c r="M292" s="187"/>
      <c r="N292" s="187"/>
      <c r="O292" s="187"/>
      <c r="P292" s="187"/>
      <c r="Q292" s="187"/>
      <c r="R292" s="187"/>
      <c r="S292" s="187"/>
      <c r="T292" s="127"/>
      <c r="U292" s="188"/>
      <c r="V292" s="127"/>
      <c r="W292" s="1438"/>
      <c r="X292" s="127"/>
      <c r="Y292" s="127"/>
      <c r="Z292" s="127"/>
      <c r="AA292" s="127"/>
      <c r="AB292" s="127"/>
      <c r="AC292" s="127"/>
      <c r="AD292" s="127"/>
      <c r="AE292" s="127"/>
      <c r="AF292" s="127"/>
      <c r="AG292" s="127"/>
      <c r="AH292" s="127"/>
      <c r="AI292" s="127"/>
      <c r="AJ292" s="127"/>
      <c r="AK292" s="127"/>
      <c r="AL292" s="127"/>
      <c r="AM292" s="127"/>
      <c r="AN292" s="127"/>
      <c r="AO292" s="127"/>
      <c r="AP292" s="127"/>
      <c r="AQ292" s="127"/>
      <c r="AR292" s="127"/>
      <c r="AS292" s="127"/>
      <c r="AT292" s="127"/>
      <c r="AU292" s="127"/>
      <c r="AV292" s="127"/>
      <c r="AW292" s="127"/>
      <c r="AX292" s="127"/>
      <c r="AY292" s="127"/>
      <c r="AZ292" s="127"/>
      <c r="BA292" s="127"/>
      <c r="BB292" s="127"/>
      <c r="BC292" s="127"/>
      <c r="BD292" s="127"/>
      <c r="BE292" s="127"/>
      <c r="BF292" s="127"/>
      <c r="BG292" s="127"/>
      <c r="BH292" s="127"/>
      <c r="BI292" s="127"/>
      <c r="BJ292" s="127"/>
      <c r="BK292" s="127"/>
      <c r="BL292" s="127"/>
      <c r="BM292" s="127"/>
      <c r="BN292" s="127"/>
      <c r="BO292" s="127"/>
      <c r="BP292" s="127"/>
      <c r="BQ292" s="127"/>
      <c r="BR292" s="127"/>
      <c r="BS292" s="127"/>
      <c r="BT292" s="127"/>
      <c r="BU292" s="127"/>
      <c r="BV292" s="127"/>
      <c r="BW292" s="127"/>
      <c r="BX292" s="127"/>
      <c r="BY292" s="127"/>
      <c r="BZ292" s="127"/>
      <c r="CA292" s="127"/>
      <c r="CB292" s="187"/>
      <c r="CC292" s="189"/>
      <c r="CD292" s="188"/>
      <c r="CE292" s="127"/>
      <c r="CF292" s="190"/>
      <c r="CG292" s="190"/>
      <c r="CH292" s="187"/>
      <c r="CI292" s="187"/>
      <c r="CJ292" s="187"/>
      <c r="CK292" s="187"/>
      <c r="CL292" s="187"/>
      <c r="CM292" s="187"/>
      <c r="CN292" s="187"/>
      <c r="CO292" s="127"/>
      <c r="CP292" s="127"/>
      <c r="CQ292" s="187"/>
      <c r="CR292" s="187"/>
      <c r="CS292" s="187"/>
      <c r="CT292" s="187"/>
      <c r="CU292" s="187"/>
      <c r="CV292" s="187"/>
      <c r="CW292" s="187"/>
      <c r="CX292" s="187"/>
    </row>
    <row r="293" spans="1:102" ht="12.75" customHeight="1" x14ac:dyDescent="0.2">
      <c r="A293" s="187"/>
      <c r="B293" s="127"/>
      <c r="C293" s="187"/>
      <c r="D293" s="127"/>
      <c r="E293" s="187"/>
      <c r="F293" s="187"/>
      <c r="G293" s="187"/>
      <c r="H293" s="187"/>
      <c r="I293" s="187"/>
      <c r="J293" s="187"/>
      <c r="K293" s="187"/>
      <c r="L293" s="187"/>
      <c r="M293" s="187"/>
      <c r="N293" s="187"/>
      <c r="O293" s="187"/>
      <c r="P293" s="187"/>
      <c r="Q293" s="187"/>
      <c r="R293" s="187"/>
      <c r="S293" s="187"/>
      <c r="T293" s="127"/>
      <c r="U293" s="188"/>
      <c r="V293" s="127"/>
      <c r="W293" s="1438"/>
      <c r="X293" s="127"/>
      <c r="Y293" s="127"/>
      <c r="Z293" s="127"/>
      <c r="AA293" s="127"/>
      <c r="AB293" s="127"/>
      <c r="AC293" s="127"/>
      <c r="AD293" s="127"/>
      <c r="AE293" s="127"/>
      <c r="AF293" s="127"/>
      <c r="AG293" s="127"/>
      <c r="AH293" s="127"/>
      <c r="AI293" s="127"/>
      <c r="AJ293" s="127"/>
      <c r="AK293" s="127"/>
      <c r="AL293" s="127"/>
      <c r="AM293" s="127"/>
      <c r="AN293" s="127"/>
      <c r="AO293" s="127"/>
      <c r="AP293" s="127"/>
      <c r="AQ293" s="127"/>
      <c r="AR293" s="127"/>
      <c r="AS293" s="127"/>
      <c r="AT293" s="127"/>
      <c r="AU293" s="127"/>
      <c r="AV293" s="127"/>
      <c r="AW293" s="127"/>
      <c r="AX293" s="127"/>
      <c r="AY293" s="127"/>
      <c r="AZ293" s="127"/>
      <c r="BA293" s="127"/>
      <c r="BB293" s="127"/>
      <c r="BC293" s="127"/>
      <c r="BD293" s="127"/>
      <c r="BE293" s="127"/>
      <c r="BF293" s="127"/>
      <c r="BG293" s="127"/>
      <c r="BH293" s="127"/>
      <c r="BI293" s="127"/>
      <c r="BJ293" s="127"/>
      <c r="BK293" s="127"/>
      <c r="BL293" s="127"/>
      <c r="BM293" s="127"/>
      <c r="BN293" s="127"/>
      <c r="BO293" s="127"/>
      <c r="BP293" s="127"/>
      <c r="BQ293" s="127"/>
      <c r="BR293" s="127"/>
      <c r="BS293" s="127"/>
      <c r="BT293" s="127"/>
      <c r="BU293" s="127"/>
      <c r="BV293" s="127"/>
      <c r="BW293" s="127"/>
      <c r="BX293" s="127"/>
      <c r="BY293" s="127"/>
      <c r="BZ293" s="127"/>
      <c r="CA293" s="127"/>
      <c r="CB293" s="187"/>
      <c r="CC293" s="189"/>
      <c r="CD293" s="188"/>
      <c r="CE293" s="127"/>
      <c r="CF293" s="190"/>
      <c r="CG293" s="190"/>
      <c r="CH293" s="187"/>
      <c r="CI293" s="187"/>
      <c r="CJ293" s="187"/>
      <c r="CK293" s="187"/>
      <c r="CL293" s="187"/>
      <c r="CM293" s="187"/>
      <c r="CN293" s="187"/>
      <c r="CO293" s="127"/>
      <c r="CP293" s="127"/>
      <c r="CQ293" s="187"/>
      <c r="CR293" s="187"/>
      <c r="CS293" s="187"/>
      <c r="CT293" s="187"/>
      <c r="CU293" s="187"/>
      <c r="CV293" s="187"/>
      <c r="CW293" s="187"/>
      <c r="CX293" s="187"/>
    </row>
    <row r="294" spans="1:102" ht="12.75" customHeight="1" x14ac:dyDescent="0.2">
      <c r="A294" s="187"/>
      <c r="B294" s="127"/>
      <c r="C294" s="187"/>
      <c r="D294" s="127"/>
      <c r="E294" s="187"/>
      <c r="F294" s="187"/>
      <c r="G294" s="187"/>
      <c r="H294" s="187"/>
      <c r="I294" s="187"/>
      <c r="J294" s="187"/>
      <c r="K294" s="187"/>
      <c r="L294" s="187"/>
      <c r="M294" s="187"/>
      <c r="N294" s="187"/>
      <c r="O294" s="187"/>
      <c r="P294" s="187"/>
      <c r="Q294" s="187"/>
      <c r="R294" s="187"/>
      <c r="S294" s="187"/>
      <c r="T294" s="127"/>
      <c r="U294" s="188"/>
      <c r="V294" s="127"/>
      <c r="W294" s="1438"/>
      <c r="X294" s="127"/>
      <c r="Y294" s="127"/>
      <c r="Z294" s="127"/>
      <c r="AA294" s="127"/>
      <c r="AB294" s="127"/>
      <c r="AC294" s="127"/>
      <c r="AD294" s="127"/>
      <c r="AE294" s="127"/>
      <c r="AF294" s="127"/>
      <c r="AG294" s="127"/>
      <c r="AH294" s="127"/>
      <c r="AI294" s="127"/>
      <c r="AJ294" s="127"/>
      <c r="AK294" s="127"/>
      <c r="AL294" s="127"/>
      <c r="AM294" s="127"/>
      <c r="AN294" s="127"/>
      <c r="AO294" s="127"/>
      <c r="AP294" s="127"/>
      <c r="AQ294" s="127"/>
      <c r="AR294" s="127"/>
      <c r="AS294" s="127"/>
      <c r="AT294" s="127"/>
      <c r="AU294" s="127"/>
      <c r="AV294" s="127"/>
      <c r="AW294" s="127"/>
      <c r="AX294" s="127"/>
      <c r="AY294" s="127"/>
      <c r="AZ294" s="127"/>
      <c r="BA294" s="127"/>
      <c r="BB294" s="127"/>
      <c r="BC294" s="127"/>
      <c r="BD294" s="127"/>
      <c r="BE294" s="127"/>
      <c r="BF294" s="127"/>
      <c r="BG294" s="127"/>
      <c r="BH294" s="127"/>
      <c r="BI294" s="127"/>
      <c r="BJ294" s="127"/>
      <c r="BK294" s="127"/>
      <c r="BL294" s="127"/>
      <c r="BM294" s="127"/>
      <c r="BN294" s="127"/>
      <c r="BO294" s="127"/>
      <c r="BP294" s="127"/>
      <c r="BQ294" s="127"/>
      <c r="BR294" s="127"/>
      <c r="BS294" s="127"/>
      <c r="BT294" s="127"/>
      <c r="BU294" s="127"/>
      <c r="BV294" s="127"/>
      <c r="BW294" s="127"/>
      <c r="BX294" s="127"/>
      <c r="BY294" s="127"/>
      <c r="BZ294" s="127"/>
      <c r="CA294" s="127"/>
      <c r="CB294" s="187"/>
      <c r="CC294" s="189"/>
      <c r="CD294" s="188"/>
      <c r="CE294" s="127"/>
      <c r="CF294" s="190"/>
      <c r="CG294" s="190"/>
      <c r="CH294" s="187"/>
      <c r="CI294" s="187"/>
      <c r="CJ294" s="187"/>
      <c r="CK294" s="187"/>
      <c r="CL294" s="187"/>
      <c r="CM294" s="187"/>
      <c r="CN294" s="187"/>
      <c r="CO294" s="127"/>
      <c r="CP294" s="127"/>
      <c r="CQ294" s="187"/>
      <c r="CR294" s="187"/>
      <c r="CS294" s="187"/>
      <c r="CT294" s="187"/>
      <c r="CU294" s="187"/>
      <c r="CV294" s="187"/>
      <c r="CW294" s="187"/>
      <c r="CX294" s="187"/>
    </row>
    <row r="295" spans="1:102" ht="12.75" customHeight="1" x14ac:dyDescent="0.2">
      <c r="A295" s="187"/>
      <c r="B295" s="127"/>
      <c r="C295" s="187"/>
      <c r="D295" s="127"/>
      <c r="E295" s="187"/>
      <c r="F295" s="187"/>
      <c r="G295" s="187"/>
      <c r="H295" s="187"/>
      <c r="I295" s="187"/>
      <c r="J295" s="187"/>
      <c r="K295" s="187"/>
      <c r="L295" s="187"/>
      <c r="M295" s="187"/>
      <c r="N295" s="187"/>
      <c r="O295" s="187"/>
      <c r="P295" s="187"/>
      <c r="Q295" s="187"/>
      <c r="R295" s="187"/>
      <c r="S295" s="187"/>
      <c r="T295" s="127"/>
      <c r="U295" s="188"/>
      <c r="V295" s="127"/>
      <c r="W295" s="1438"/>
      <c r="X295" s="127"/>
      <c r="Y295" s="127"/>
      <c r="Z295" s="127"/>
      <c r="AA295" s="127"/>
      <c r="AB295" s="127"/>
      <c r="AC295" s="127"/>
      <c r="AD295" s="127"/>
      <c r="AE295" s="127"/>
      <c r="AF295" s="127"/>
      <c r="AG295" s="127"/>
      <c r="AH295" s="127"/>
      <c r="AI295" s="127"/>
      <c r="AJ295" s="127"/>
      <c r="AK295" s="127"/>
      <c r="AL295" s="127"/>
      <c r="AM295" s="127"/>
      <c r="AN295" s="127"/>
      <c r="AO295" s="127"/>
      <c r="AP295" s="127"/>
      <c r="AQ295" s="127"/>
      <c r="AR295" s="127"/>
      <c r="AS295" s="127"/>
      <c r="AT295" s="127"/>
      <c r="AU295" s="127"/>
      <c r="AV295" s="127"/>
      <c r="AW295" s="127"/>
      <c r="AX295" s="127"/>
      <c r="AY295" s="127"/>
      <c r="AZ295" s="127"/>
      <c r="BA295" s="127"/>
      <c r="BB295" s="127"/>
      <c r="BC295" s="127"/>
      <c r="BD295" s="127"/>
      <c r="BE295" s="127"/>
      <c r="BF295" s="127"/>
      <c r="BG295" s="127"/>
      <c r="BH295" s="127"/>
      <c r="BI295" s="127"/>
      <c r="BJ295" s="127"/>
      <c r="BK295" s="127"/>
      <c r="BL295" s="127"/>
      <c r="BM295" s="127"/>
      <c r="BN295" s="127"/>
      <c r="BO295" s="127"/>
      <c r="BP295" s="127"/>
      <c r="BQ295" s="127"/>
      <c r="BR295" s="127"/>
      <c r="BS295" s="127"/>
      <c r="BT295" s="127"/>
      <c r="BU295" s="127"/>
      <c r="BV295" s="127"/>
      <c r="BW295" s="127"/>
      <c r="BX295" s="127"/>
      <c r="BY295" s="127"/>
      <c r="BZ295" s="127"/>
      <c r="CA295" s="127"/>
      <c r="CB295" s="187"/>
      <c r="CC295" s="189"/>
      <c r="CD295" s="188"/>
      <c r="CE295" s="127"/>
      <c r="CF295" s="190"/>
      <c r="CG295" s="190"/>
      <c r="CH295" s="187"/>
      <c r="CI295" s="187"/>
      <c r="CJ295" s="187"/>
      <c r="CK295" s="187"/>
      <c r="CL295" s="187"/>
      <c r="CM295" s="187"/>
      <c r="CN295" s="187"/>
      <c r="CO295" s="127"/>
      <c r="CP295" s="127"/>
      <c r="CQ295" s="187"/>
      <c r="CR295" s="187"/>
      <c r="CS295" s="187"/>
      <c r="CT295" s="187"/>
      <c r="CU295" s="187"/>
      <c r="CV295" s="187"/>
      <c r="CW295" s="187"/>
      <c r="CX295" s="187"/>
    </row>
    <row r="296" spans="1:102" ht="12.75" customHeight="1" x14ac:dyDescent="0.2">
      <c r="A296" s="187"/>
      <c r="B296" s="127"/>
      <c r="C296" s="187"/>
      <c r="D296" s="127"/>
      <c r="E296" s="187"/>
      <c r="F296" s="187"/>
      <c r="G296" s="187"/>
      <c r="H296" s="187"/>
      <c r="I296" s="187"/>
      <c r="J296" s="187"/>
      <c r="K296" s="187"/>
      <c r="L296" s="187"/>
      <c r="M296" s="187"/>
      <c r="N296" s="187"/>
      <c r="O296" s="187"/>
      <c r="P296" s="187"/>
      <c r="Q296" s="187"/>
      <c r="R296" s="187"/>
      <c r="S296" s="187"/>
      <c r="T296" s="127"/>
      <c r="U296" s="188"/>
      <c r="V296" s="127"/>
      <c r="W296" s="1438"/>
      <c r="X296" s="127"/>
      <c r="Y296" s="127"/>
      <c r="Z296" s="127"/>
      <c r="AA296" s="127"/>
      <c r="AB296" s="127"/>
      <c r="AC296" s="127"/>
      <c r="AD296" s="127"/>
      <c r="AE296" s="127"/>
      <c r="AF296" s="127"/>
      <c r="AG296" s="127"/>
      <c r="AH296" s="127"/>
      <c r="AI296" s="127"/>
      <c r="AJ296" s="127"/>
      <c r="AK296" s="127"/>
      <c r="AL296" s="127"/>
      <c r="AM296" s="127"/>
      <c r="AN296" s="127"/>
      <c r="AO296" s="127"/>
      <c r="AP296" s="127"/>
      <c r="AQ296" s="127"/>
      <c r="AR296" s="127"/>
      <c r="AS296" s="127"/>
      <c r="AT296" s="127"/>
      <c r="AU296" s="127"/>
      <c r="AV296" s="127"/>
      <c r="AW296" s="127"/>
      <c r="AX296" s="127"/>
      <c r="AY296" s="127"/>
      <c r="AZ296" s="127"/>
      <c r="BA296" s="127"/>
      <c r="BB296" s="127"/>
      <c r="BC296" s="127"/>
      <c r="BD296" s="127"/>
      <c r="BE296" s="127"/>
      <c r="BF296" s="127"/>
      <c r="BG296" s="127"/>
      <c r="BH296" s="127"/>
      <c r="BI296" s="127"/>
      <c r="BJ296" s="127"/>
      <c r="BK296" s="127"/>
      <c r="BL296" s="127"/>
      <c r="BM296" s="127"/>
      <c r="BN296" s="127"/>
      <c r="BO296" s="127"/>
      <c r="BP296" s="127"/>
      <c r="BQ296" s="127"/>
      <c r="BR296" s="127"/>
      <c r="BS296" s="127"/>
      <c r="BT296" s="127"/>
      <c r="BU296" s="127"/>
      <c r="BV296" s="127"/>
      <c r="BW296" s="127"/>
      <c r="BX296" s="127"/>
      <c r="BY296" s="127"/>
      <c r="BZ296" s="127"/>
      <c r="CA296" s="127"/>
      <c r="CB296" s="187"/>
      <c r="CC296" s="189"/>
      <c r="CD296" s="188"/>
      <c r="CE296" s="127"/>
      <c r="CF296" s="190"/>
      <c r="CG296" s="190"/>
      <c r="CH296" s="187"/>
      <c r="CI296" s="187"/>
      <c r="CJ296" s="187"/>
      <c r="CK296" s="187"/>
      <c r="CL296" s="187"/>
      <c r="CM296" s="187"/>
      <c r="CN296" s="187"/>
      <c r="CO296" s="127"/>
      <c r="CP296" s="127"/>
      <c r="CQ296" s="187"/>
      <c r="CR296" s="187"/>
      <c r="CS296" s="187"/>
      <c r="CT296" s="187"/>
      <c r="CU296" s="187"/>
      <c r="CV296" s="187"/>
      <c r="CW296" s="187"/>
      <c r="CX296" s="187"/>
    </row>
    <row r="297" spans="1:102" ht="12.75" customHeight="1" x14ac:dyDescent="0.2">
      <c r="A297" s="187"/>
      <c r="B297" s="127"/>
      <c r="C297" s="187"/>
      <c r="D297" s="127"/>
      <c r="E297" s="187"/>
      <c r="F297" s="187"/>
      <c r="G297" s="187"/>
      <c r="H297" s="187"/>
      <c r="I297" s="187"/>
      <c r="J297" s="187"/>
      <c r="K297" s="187"/>
      <c r="L297" s="187"/>
      <c r="M297" s="187"/>
      <c r="N297" s="187"/>
      <c r="O297" s="187"/>
      <c r="P297" s="187"/>
      <c r="Q297" s="187"/>
      <c r="R297" s="187"/>
      <c r="S297" s="187"/>
      <c r="T297" s="127"/>
      <c r="U297" s="188"/>
      <c r="V297" s="127"/>
      <c r="W297" s="1438"/>
      <c r="X297" s="127"/>
      <c r="Y297" s="127"/>
      <c r="Z297" s="127"/>
      <c r="AA297" s="127"/>
      <c r="AB297" s="127"/>
      <c r="AC297" s="127"/>
      <c r="AD297" s="127"/>
      <c r="AE297" s="127"/>
      <c r="AF297" s="127"/>
      <c r="AG297" s="127"/>
      <c r="AH297" s="127"/>
      <c r="AI297" s="127"/>
      <c r="AJ297" s="127"/>
      <c r="AK297" s="127"/>
      <c r="AL297" s="127"/>
      <c r="AM297" s="127"/>
      <c r="AN297" s="127"/>
      <c r="AO297" s="127"/>
      <c r="AP297" s="127"/>
      <c r="AQ297" s="127"/>
      <c r="AR297" s="127"/>
      <c r="AS297" s="127"/>
      <c r="AT297" s="127"/>
      <c r="AU297" s="127"/>
      <c r="AV297" s="127"/>
      <c r="AW297" s="127"/>
      <c r="AX297" s="127"/>
      <c r="AY297" s="127"/>
      <c r="AZ297" s="127"/>
      <c r="BA297" s="127"/>
      <c r="BB297" s="127"/>
      <c r="BC297" s="127"/>
      <c r="BD297" s="127"/>
      <c r="BE297" s="127"/>
      <c r="BF297" s="127"/>
      <c r="BG297" s="127"/>
      <c r="BH297" s="127"/>
      <c r="BI297" s="127"/>
      <c r="BJ297" s="127"/>
      <c r="BK297" s="127"/>
      <c r="BL297" s="127"/>
      <c r="BM297" s="127"/>
      <c r="BN297" s="127"/>
      <c r="BO297" s="127"/>
      <c r="BP297" s="127"/>
      <c r="BQ297" s="127"/>
      <c r="BR297" s="127"/>
      <c r="BS297" s="127"/>
      <c r="BT297" s="127"/>
      <c r="BU297" s="127"/>
      <c r="BV297" s="127"/>
      <c r="BW297" s="127"/>
      <c r="BX297" s="127"/>
      <c r="BY297" s="127"/>
      <c r="BZ297" s="127"/>
      <c r="CA297" s="127"/>
      <c r="CB297" s="187"/>
      <c r="CC297" s="189"/>
      <c r="CD297" s="188"/>
      <c r="CE297" s="127"/>
      <c r="CF297" s="190"/>
      <c r="CG297" s="190"/>
      <c r="CH297" s="187"/>
      <c r="CI297" s="187"/>
      <c r="CJ297" s="187"/>
      <c r="CK297" s="187"/>
      <c r="CL297" s="187"/>
      <c r="CM297" s="187"/>
      <c r="CN297" s="187"/>
      <c r="CO297" s="127"/>
      <c r="CP297" s="127"/>
      <c r="CQ297" s="187"/>
      <c r="CR297" s="187"/>
      <c r="CS297" s="187"/>
      <c r="CT297" s="187"/>
      <c r="CU297" s="187"/>
      <c r="CV297" s="187"/>
      <c r="CW297" s="187"/>
      <c r="CX297" s="187"/>
    </row>
    <row r="298" spans="1:102" ht="12.75" customHeight="1" x14ac:dyDescent="0.2">
      <c r="A298" s="187"/>
      <c r="B298" s="127"/>
      <c r="C298" s="187"/>
      <c r="D298" s="127"/>
      <c r="E298" s="187"/>
      <c r="F298" s="187"/>
      <c r="G298" s="187"/>
      <c r="H298" s="187"/>
      <c r="I298" s="187"/>
      <c r="J298" s="187"/>
      <c r="K298" s="187"/>
      <c r="L298" s="187"/>
      <c r="M298" s="187"/>
      <c r="N298" s="187"/>
      <c r="O298" s="187"/>
      <c r="P298" s="187"/>
      <c r="Q298" s="187"/>
      <c r="R298" s="187"/>
      <c r="S298" s="187"/>
      <c r="T298" s="127"/>
      <c r="U298" s="188"/>
      <c r="V298" s="127"/>
      <c r="W298" s="1438"/>
      <c r="X298" s="127"/>
      <c r="Y298" s="127"/>
      <c r="Z298" s="127"/>
      <c r="AA298" s="127"/>
      <c r="AB298" s="127"/>
      <c r="AC298" s="127"/>
      <c r="AD298" s="127"/>
      <c r="AE298" s="127"/>
      <c r="AF298" s="127"/>
      <c r="AG298" s="127"/>
      <c r="AH298" s="127"/>
      <c r="AI298" s="127"/>
      <c r="AJ298" s="127"/>
      <c r="AK298" s="127"/>
      <c r="AL298" s="127"/>
      <c r="AM298" s="127"/>
      <c r="AN298" s="127"/>
      <c r="AO298" s="127"/>
      <c r="AP298" s="127"/>
      <c r="AQ298" s="127"/>
      <c r="AR298" s="127"/>
      <c r="AS298" s="127"/>
      <c r="AT298" s="127"/>
      <c r="AU298" s="127"/>
      <c r="AV298" s="127"/>
      <c r="AW298" s="127"/>
      <c r="AX298" s="127"/>
      <c r="AY298" s="127"/>
      <c r="AZ298" s="127"/>
      <c r="BA298" s="127"/>
      <c r="BB298" s="127"/>
      <c r="BC298" s="127"/>
      <c r="BD298" s="127"/>
      <c r="BE298" s="127"/>
      <c r="BF298" s="127"/>
      <c r="BG298" s="127"/>
      <c r="BH298" s="127"/>
      <c r="BI298" s="127"/>
      <c r="BJ298" s="127"/>
      <c r="BK298" s="127"/>
      <c r="BL298" s="127"/>
      <c r="BM298" s="127"/>
      <c r="BN298" s="127"/>
      <c r="BO298" s="127"/>
      <c r="BP298" s="127"/>
      <c r="BQ298" s="127"/>
      <c r="BR298" s="127"/>
      <c r="BS298" s="127"/>
      <c r="BT298" s="127"/>
      <c r="BU298" s="127"/>
      <c r="BV298" s="127"/>
      <c r="BW298" s="127"/>
      <c r="BX298" s="127"/>
      <c r="BY298" s="127"/>
      <c r="BZ298" s="127"/>
      <c r="CA298" s="127"/>
      <c r="CB298" s="187"/>
      <c r="CC298" s="189"/>
      <c r="CD298" s="188"/>
      <c r="CE298" s="127"/>
      <c r="CF298" s="190"/>
      <c r="CG298" s="190"/>
      <c r="CH298" s="187"/>
      <c r="CI298" s="187"/>
      <c r="CJ298" s="187"/>
      <c r="CK298" s="187"/>
      <c r="CL298" s="187"/>
      <c r="CM298" s="187"/>
      <c r="CN298" s="187"/>
      <c r="CO298" s="127"/>
      <c r="CP298" s="127"/>
      <c r="CQ298" s="187"/>
      <c r="CR298" s="187"/>
      <c r="CS298" s="187"/>
      <c r="CT298" s="187"/>
      <c r="CU298" s="187"/>
      <c r="CV298" s="187"/>
      <c r="CW298" s="187"/>
      <c r="CX298" s="187"/>
    </row>
    <row r="299" spans="1:102" ht="12.75" customHeight="1" x14ac:dyDescent="0.2">
      <c r="A299" s="187"/>
      <c r="B299" s="127"/>
      <c r="C299" s="187"/>
      <c r="D299" s="127"/>
      <c r="E299" s="187"/>
      <c r="F299" s="187"/>
      <c r="G299" s="187"/>
      <c r="H299" s="187"/>
      <c r="I299" s="187"/>
      <c r="J299" s="187"/>
      <c r="K299" s="187"/>
      <c r="L299" s="187"/>
      <c r="M299" s="187"/>
      <c r="N299" s="187"/>
      <c r="O299" s="187"/>
      <c r="P299" s="187"/>
      <c r="Q299" s="187"/>
      <c r="R299" s="187"/>
      <c r="S299" s="187"/>
      <c r="T299" s="127"/>
      <c r="U299" s="188"/>
      <c r="V299" s="127"/>
      <c r="W299" s="1438"/>
      <c r="X299" s="127"/>
      <c r="Y299" s="127"/>
      <c r="Z299" s="127"/>
      <c r="AA299" s="127"/>
      <c r="AB299" s="127"/>
      <c r="AC299" s="127"/>
      <c r="AD299" s="127"/>
      <c r="AE299" s="127"/>
      <c r="AF299" s="127"/>
      <c r="AG299" s="127"/>
      <c r="AH299" s="127"/>
      <c r="AI299" s="127"/>
      <c r="AJ299" s="127"/>
      <c r="AK299" s="127"/>
      <c r="AL299" s="127"/>
      <c r="AM299" s="127"/>
      <c r="AN299" s="127"/>
      <c r="AO299" s="127"/>
      <c r="AP299" s="127"/>
      <c r="AQ299" s="127"/>
      <c r="AR299" s="127"/>
      <c r="AS299" s="127"/>
      <c r="AT299" s="127"/>
      <c r="AU299" s="127"/>
      <c r="AV299" s="127"/>
      <c r="AW299" s="127"/>
      <c r="AX299" s="127"/>
      <c r="AY299" s="127"/>
      <c r="AZ299" s="127"/>
      <c r="BA299" s="127"/>
      <c r="BB299" s="127"/>
      <c r="BC299" s="127"/>
      <c r="BD299" s="127"/>
      <c r="BE299" s="127"/>
      <c r="BF299" s="127"/>
      <c r="BG299" s="127"/>
      <c r="BH299" s="127"/>
      <c r="BI299" s="127"/>
      <c r="BJ299" s="127"/>
      <c r="BK299" s="127"/>
      <c r="BL299" s="127"/>
      <c r="BM299" s="127"/>
      <c r="BN299" s="127"/>
      <c r="BO299" s="127"/>
      <c r="BP299" s="127"/>
      <c r="BQ299" s="127"/>
      <c r="BR299" s="127"/>
      <c r="BS299" s="127"/>
      <c r="BT299" s="127"/>
      <c r="BU299" s="127"/>
      <c r="BV299" s="127"/>
      <c r="BW299" s="127"/>
      <c r="BX299" s="127"/>
      <c r="BY299" s="127"/>
      <c r="BZ299" s="127"/>
      <c r="CA299" s="127"/>
      <c r="CB299" s="187"/>
      <c r="CC299" s="189"/>
      <c r="CD299" s="188"/>
      <c r="CE299" s="127"/>
      <c r="CF299" s="190"/>
      <c r="CG299" s="190"/>
      <c r="CH299" s="187"/>
      <c r="CI299" s="187"/>
      <c r="CJ299" s="187"/>
      <c r="CK299" s="187"/>
      <c r="CL299" s="187"/>
      <c r="CM299" s="187"/>
      <c r="CN299" s="187"/>
      <c r="CO299" s="127"/>
      <c r="CP299" s="127"/>
      <c r="CQ299" s="187"/>
      <c r="CR299" s="187"/>
      <c r="CS299" s="187"/>
      <c r="CT299" s="187"/>
      <c r="CU299" s="187"/>
      <c r="CV299" s="187"/>
      <c r="CW299" s="187"/>
      <c r="CX299" s="187"/>
    </row>
    <row r="300" spans="1:102" ht="12.75" customHeight="1" x14ac:dyDescent="0.2">
      <c r="A300" s="187"/>
      <c r="B300" s="127"/>
      <c r="C300" s="187"/>
      <c r="D300" s="127"/>
      <c r="E300" s="187"/>
      <c r="F300" s="187"/>
      <c r="G300" s="187"/>
      <c r="H300" s="187"/>
      <c r="I300" s="187"/>
      <c r="J300" s="187"/>
      <c r="K300" s="187"/>
      <c r="L300" s="187"/>
      <c r="M300" s="187"/>
      <c r="N300" s="187"/>
      <c r="O300" s="187"/>
      <c r="P300" s="187"/>
      <c r="Q300" s="187"/>
      <c r="R300" s="187"/>
      <c r="S300" s="187"/>
      <c r="T300" s="127"/>
      <c r="U300" s="188"/>
      <c r="V300" s="127"/>
      <c r="W300" s="1438"/>
      <c r="X300" s="127"/>
      <c r="Y300" s="127"/>
      <c r="Z300" s="127"/>
      <c r="AA300" s="127"/>
      <c r="AB300" s="127"/>
      <c r="AC300" s="127"/>
      <c r="AD300" s="127"/>
      <c r="AE300" s="127"/>
      <c r="AF300" s="127"/>
      <c r="AG300" s="127"/>
      <c r="AH300" s="127"/>
      <c r="AI300" s="127"/>
      <c r="AJ300" s="127"/>
      <c r="AK300" s="127"/>
      <c r="AL300" s="127"/>
      <c r="AM300" s="127"/>
      <c r="AN300" s="127"/>
      <c r="AO300" s="127"/>
      <c r="AP300" s="127"/>
      <c r="AQ300" s="127"/>
      <c r="AR300" s="127"/>
      <c r="AS300" s="127"/>
      <c r="AT300" s="127"/>
      <c r="AU300" s="127"/>
      <c r="AV300" s="127"/>
      <c r="AW300" s="127"/>
      <c r="AX300" s="127"/>
      <c r="AY300" s="127"/>
      <c r="AZ300" s="127"/>
      <c r="BA300" s="127"/>
      <c r="BB300" s="127"/>
      <c r="BC300" s="127"/>
      <c r="BD300" s="127"/>
      <c r="BE300" s="127"/>
      <c r="BF300" s="127"/>
      <c r="BG300" s="127"/>
      <c r="BH300" s="127"/>
      <c r="BI300" s="127"/>
      <c r="BJ300" s="127"/>
      <c r="BK300" s="127"/>
      <c r="BL300" s="127"/>
      <c r="BM300" s="127"/>
      <c r="BN300" s="127"/>
      <c r="BO300" s="127"/>
      <c r="BP300" s="127"/>
      <c r="BQ300" s="127"/>
      <c r="BR300" s="127"/>
      <c r="BS300" s="127"/>
      <c r="BT300" s="127"/>
      <c r="BU300" s="127"/>
      <c r="BV300" s="127"/>
      <c r="BW300" s="127"/>
      <c r="BX300" s="127"/>
      <c r="BY300" s="127"/>
      <c r="BZ300" s="127"/>
      <c r="CA300" s="127"/>
      <c r="CB300" s="187"/>
      <c r="CC300" s="189"/>
      <c r="CD300" s="188"/>
      <c r="CE300" s="127"/>
      <c r="CF300" s="190"/>
      <c r="CG300" s="190"/>
      <c r="CH300" s="187"/>
      <c r="CI300" s="187"/>
      <c r="CJ300" s="187"/>
      <c r="CK300" s="187"/>
      <c r="CL300" s="187"/>
      <c r="CM300" s="187"/>
      <c r="CN300" s="187"/>
      <c r="CO300" s="127"/>
      <c r="CP300" s="127"/>
      <c r="CQ300" s="187"/>
      <c r="CR300" s="187"/>
      <c r="CS300" s="187"/>
      <c r="CT300" s="187"/>
      <c r="CU300" s="187"/>
      <c r="CV300" s="187"/>
      <c r="CW300" s="187"/>
      <c r="CX300" s="187"/>
    </row>
    <row r="301" spans="1:102" ht="12.75" customHeight="1" x14ac:dyDescent="0.2">
      <c r="A301" s="187"/>
      <c r="B301" s="127"/>
      <c r="C301" s="187"/>
      <c r="D301" s="127"/>
      <c r="E301" s="187"/>
      <c r="F301" s="187"/>
      <c r="G301" s="187"/>
      <c r="H301" s="187"/>
      <c r="I301" s="187"/>
      <c r="J301" s="187"/>
      <c r="K301" s="187"/>
      <c r="L301" s="187"/>
      <c r="M301" s="187"/>
      <c r="N301" s="187"/>
      <c r="O301" s="187"/>
      <c r="P301" s="187"/>
      <c r="Q301" s="187"/>
      <c r="R301" s="187"/>
      <c r="S301" s="187"/>
      <c r="T301" s="127"/>
      <c r="U301" s="188"/>
      <c r="V301" s="127"/>
      <c r="W301" s="1438"/>
      <c r="X301" s="127"/>
      <c r="Y301" s="127"/>
      <c r="Z301" s="127"/>
      <c r="AA301" s="127"/>
      <c r="AB301" s="127"/>
      <c r="AC301" s="127"/>
      <c r="AD301" s="127"/>
      <c r="AE301" s="127"/>
      <c r="AF301" s="127"/>
      <c r="AG301" s="127"/>
      <c r="AH301" s="127"/>
      <c r="AI301" s="127"/>
      <c r="AJ301" s="127"/>
      <c r="AK301" s="127"/>
      <c r="AL301" s="127"/>
      <c r="AM301" s="127"/>
      <c r="AN301" s="127"/>
      <c r="AO301" s="127"/>
      <c r="AP301" s="127"/>
      <c r="AQ301" s="127"/>
      <c r="AR301" s="127"/>
      <c r="AS301" s="127"/>
      <c r="AT301" s="127"/>
      <c r="AU301" s="127"/>
      <c r="AV301" s="127"/>
      <c r="AW301" s="127"/>
      <c r="AX301" s="127"/>
      <c r="AY301" s="127"/>
      <c r="AZ301" s="127"/>
      <c r="BA301" s="127"/>
      <c r="BB301" s="127"/>
      <c r="BC301" s="127"/>
      <c r="BD301" s="127"/>
      <c r="BE301" s="127"/>
      <c r="BF301" s="127"/>
      <c r="BG301" s="127"/>
      <c r="BH301" s="127"/>
      <c r="BI301" s="127"/>
      <c r="BJ301" s="127"/>
      <c r="BK301" s="127"/>
      <c r="BL301" s="127"/>
      <c r="BM301" s="127"/>
      <c r="BN301" s="127"/>
      <c r="BO301" s="127"/>
      <c r="BP301" s="127"/>
      <c r="BQ301" s="127"/>
      <c r="BR301" s="127"/>
      <c r="BS301" s="127"/>
      <c r="BT301" s="127"/>
      <c r="BU301" s="127"/>
      <c r="BV301" s="127"/>
      <c r="BW301" s="127"/>
      <c r="BX301" s="127"/>
      <c r="BY301" s="127"/>
      <c r="BZ301" s="127"/>
      <c r="CA301" s="127"/>
      <c r="CB301" s="187"/>
      <c r="CC301" s="189"/>
      <c r="CD301" s="188"/>
      <c r="CE301" s="127"/>
      <c r="CF301" s="190"/>
      <c r="CG301" s="190"/>
      <c r="CH301" s="187"/>
      <c r="CI301" s="187"/>
      <c r="CJ301" s="187"/>
      <c r="CK301" s="187"/>
      <c r="CL301" s="187"/>
      <c r="CM301" s="187"/>
      <c r="CN301" s="187"/>
      <c r="CO301" s="127"/>
      <c r="CP301" s="127"/>
      <c r="CQ301" s="187"/>
      <c r="CR301" s="187"/>
      <c r="CS301" s="187"/>
      <c r="CT301" s="187"/>
      <c r="CU301" s="187"/>
      <c r="CV301" s="187"/>
      <c r="CW301" s="187"/>
      <c r="CX301" s="187"/>
    </row>
    <row r="302" spans="1:102" ht="12.75" customHeight="1" x14ac:dyDescent="0.2">
      <c r="A302" s="187"/>
      <c r="B302" s="127"/>
      <c r="C302" s="187"/>
      <c r="D302" s="127"/>
      <c r="E302" s="187"/>
      <c r="F302" s="187"/>
      <c r="G302" s="187"/>
      <c r="H302" s="187"/>
      <c r="I302" s="187"/>
      <c r="J302" s="187"/>
      <c r="K302" s="187"/>
      <c r="L302" s="187"/>
      <c r="M302" s="187"/>
      <c r="N302" s="187"/>
      <c r="O302" s="187"/>
      <c r="P302" s="187"/>
      <c r="Q302" s="187"/>
      <c r="R302" s="187"/>
      <c r="S302" s="187"/>
      <c r="T302" s="127"/>
      <c r="U302" s="188"/>
      <c r="V302" s="127"/>
      <c r="W302" s="1438"/>
      <c r="X302" s="127"/>
      <c r="Y302" s="127"/>
      <c r="Z302" s="127"/>
      <c r="AA302" s="127"/>
      <c r="AB302" s="127"/>
      <c r="AC302" s="127"/>
      <c r="AD302" s="127"/>
      <c r="AE302" s="127"/>
      <c r="AF302" s="127"/>
      <c r="AG302" s="127"/>
      <c r="AH302" s="127"/>
      <c r="AI302" s="127"/>
      <c r="AJ302" s="127"/>
      <c r="AK302" s="127"/>
      <c r="AL302" s="127"/>
      <c r="AM302" s="127"/>
      <c r="AN302" s="127"/>
      <c r="AO302" s="127"/>
      <c r="AP302" s="127"/>
      <c r="AQ302" s="127"/>
      <c r="AR302" s="127"/>
      <c r="AS302" s="127"/>
      <c r="AT302" s="127"/>
      <c r="AU302" s="127"/>
      <c r="AV302" s="127"/>
      <c r="AW302" s="127"/>
      <c r="AX302" s="127"/>
      <c r="AY302" s="127"/>
      <c r="AZ302" s="127"/>
      <c r="BA302" s="127"/>
      <c r="BB302" s="127"/>
      <c r="BC302" s="127"/>
      <c r="BD302" s="127"/>
      <c r="BE302" s="127"/>
      <c r="BF302" s="127"/>
      <c r="BG302" s="127"/>
      <c r="BH302" s="127"/>
      <c r="BI302" s="127"/>
      <c r="BJ302" s="127"/>
      <c r="BK302" s="127"/>
      <c r="BL302" s="127"/>
      <c r="BM302" s="127"/>
      <c r="BN302" s="127"/>
      <c r="BO302" s="127"/>
      <c r="BP302" s="127"/>
      <c r="BQ302" s="127"/>
      <c r="BR302" s="127"/>
      <c r="BS302" s="127"/>
      <c r="BT302" s="127"/>
      <c r="BU302" s="127"/>
      <c r="BV302" s="127"/>
      <c r="BW302" s="127"/>
      <c r="BX302" s="127"/>
      <c r="BY302" s="127"/>
      <c r="BZ302" s="127"/>
      <c r="CA302" s="127"/>
      <c r="CB302" s="187"/>
      <c r="CC302" s="189"/>
      <c r="CD302" s="188"/>
      <c r="CE302" s="127"/>
      <c r="CF302" s="190"/>
      <c r="CG302" s="190"/>
      <c r="CH302" s="187"/>
      <c r="CI302" s="187"/>
      <c r="CJ302" s="187"/>
      <c r="CK302" s="187"/>
      <c r="CL302" s="187"/>
      <c r="CM302" s="187"/>
      <c r="CN302" s="187"/>
      <c r="CO302" s="127"/>
      <c r="CP302" s="127"/>
      <c r="CQ302" s="187"/>
      <c r="CR302" s="187"/>
      <c r="CS302" s="187"/>
      <c r="CT302" s="187"/>
      <c r="CU302" s="187"/>
      <c r="CV302" s="187"/>
      <c r="CW302" s="187"/>
      <c r="CX302" s="187"/>
    </row>
    <row r="303" spans="1:102" ht="12.75" customHeight="1" x14ac:dyDescent="0.2">
      <c r="A303" s="187"/>
      <c r="B303" s="127"/>
      <c r="C303" s="187"/>
      <c r="D303" s="127"/>
      <c r="E303" s="187"/>
      <c r="F303" s="187"/>
      <c r="G303" s="187"/>
      <c r="H303" s="187"/>
      <c r="I303" s="187"/>
      <c r="J303" s="187"/>
      <c r="K303" s="187"/>
      <c r="L303" s="187"/>
      <c r="M303" s="187"/>
      <c r="N303" s="187"/>
      <c r="O303" s="187"/>
      <c r="P303" s="187"/>
      <c r="Q303" s="187"/>
      <c r="R303" s="187"/>
      <c r="S303" s="187"/>
      <c r="T303" s="127"/>
      <c r="U303" s="188"/>
      <c r="V303" s="127"/>
      <c r="W303" s="1438"/>
      <c r="X303" s="127"/>
      <c r="Y303" s="127"/>
      <c r="Z303" s="127"/>
      <c r="AA303" s="127"/>
      <c r="AB303" s="127"/>
      <c r="AC303" s="127"/>
      <c r="AD303" s="127"/>
      <c r="AE303" s="127"/>
      <c r="AF303" s="127"/>
      <c r="AG303" s="127"/>
      <c r="AH303" s="127"/>
      <c r="AI303" s="127"/>
      <c r="AJ303" s="127"/>
      <c r="AK303" s="127"/>
      <c r="AL303" s="127"/>
      <c r="AM303" s="127"/>
      <c r="AN303" s="127"/>
      <c r="AO303" s="127"/>
      <c r="AP303" s="127"/>
      <c r="AQ303" s="127"/>
      <c r="AR303" s="127"/>
      <c r="AS303" s="127"/>
      <c r="AT303" s="127"/>
      <c r="AU303" s="127"/>
      <c r="AV303" s="127"/>
      <c r="AW303" s="127"/>
      <c r="AX303" s="127"/>
      <c r="AY303" s="127"/>
      <c r="AZ303" s="127"/>
      <c r="BA303" s="127"/>
      <c r="BB303" s="127"/>
      <c r="BC303" s="127"/>
      <c r="BD303" s="127"/>
      <c r="BE303" s="127"/>
      <c r="BF303" s="127"/>
      <c r="BG303" s="127"/>
      <c r="BH303" s="127"/>
      <c r="BI303" s="127"/>
      <c r="BJ303" s="127"/>
      <c r="BK303" s="127"/>
      <c r="BL303" s="127"/>
      <c r="BM303" s="127"/>
      <c r="BN303" s="127"/>
      <c r="BO303" s="127"/>
      <c r="BP303" s="127"/>
      <c r="BQ303" s="127"/>
      <c r="BR303" s="127"/>
      <c r="BS303" s="127"/>
      <c r="BT303" s="127"/>
      <c r="BU303" s="127"/>
      <c r="BV303" s="127"/>
      <c r="BW303" s="127"/>
      <c r="BX303" s="127"/>
      <c r="BY303" s="127"/>
      <c r="BZ303" s="127"/>
      <c r="CA303" s="127"/>
      <c r="CB303" s="187"/>
      <c r="CC303" s="189"/>
      <c r="CD303" s="188"/>
      <c r="CE303" s="127"/>
      <c r="CF303" s="190"/>
      <c r="CG303" s="190"/>
      <c r="CH303" s="187"/>
      <c r="CI303" s="187"/>
      <c r="CJ303" s="187"/>
      <c r="CK303" s="187"/>
      <c r="CL303" s="187"/>
      <c r="CM303" s="187"/>
      <c r="CN303" s="187"/>
      <c r="CO303" s="127"/>
      <c r="CP303" s="127"/>
      <c r="CQ303" s="187"/>
      <c r="CR303" s="187"/>
      <c r="CS303" s="187"/>
      <c r="CT303" s="187"/>
      <c r="CU303" s="187"/>
      <c r="CV303" s="187"/>
      <c r="CW303" s="187"/>
      <c r="CX303" s="187"/>
    </row>
    <row r="304" spans="1:102" ht="12.75" customHeight="1" x14ac:dyDescent="0.2">
      <c r="A304" s="187"/>
      <c r="B304" s="127"/>
      <c r="C304" s="187"/>
      <c r="D304" s="127"/>
      <c r="E304" s="187"/>
      <c r="F304" s="187"/>
      <c r="G304" s="187"/>
      <c r="H304" s="187"/>
      <c r="I304" s="187"/>
      <c r="J304" s="187"/>
      <c r="K304" s="187"/>
      <c r="L304" s="187"/>
      <c r="M304" s="187"/>
      <c r="N304" s="187"/>
      <c r="O304" s="187"/>
      <c r="P304" s="187"/>
      <c r="Q304" s="187"/>
      <c r="R304" s="187"/>
      <c r="S304" s="187"/>
      <c r="T304" s="127"/>
      <c r="U304" s="188"/>
      <c r="V304" s="127"/>
      <c r="W304" s="1438"/>
      <c r="X304" s="127"/>
      <c r="Y304" s="127"/>
      <c r="Z304" s="127"/>
      <c r="AA304" s="127"/>
      <c r="AB304" s="127"/>
      <c r="AC304" s="127"/>
      <c r="AD304" s="127"/>
      <c r="AE304" s="127"/>
      <c r="AF304" s="127"/>
      <c r="AG304" s="127"/>
      <c r="AH304" s="127"/>
      <c r="AI304" s="127"/>
      <c r="AJ304" s="127"/>
      <c r="AK304" s="127"/>
      <c r="AL304" s="127"/>
      <c r="AM304" s="127"/>
      <c r="AN304" s="127"/>
      <c r="AO304" s="127"/>
      <c r="AP304" s="127"/>
      <c r="AQ304" s="127"/>
      <c r="AR304" s="127"/>
      <c r="AS304" s="127"/>
      <c r="AT304" s="127"/>
      <c r="AU304" s="127"/>
      <c r="AV304" s="127"/>
      <c r="AW304" s="127"/>
      <c r="AX304" s="127"/>
      <c r="AY304" s="127"/>
      <c r="AZ304" s="127"/>
      <c r="BA304" s="127"/>
      <c r="BB304" s="127"/>
      <c r="BC304" s="127"/>
      <c r="BD304" s="127"/>
      <c r="BE304" s="127"/>
      <c r="BF304" s="127"/>
      <c r="BG304" s="127"/>
      <c r="BH304" s="127"/>
      <c r="BI304" s="127"/>
      <c r="BJ304" s="127"/>
      <c r="BK304" s="127"/>
      <c r="BL304" s="127"/>
      <c r="BM304" s="127"/>
      <c r="BN304" s="127"/>
      <c r="BO304" s="127"/>
      <c r="BP304" s="127"/>
      <c r="BQ304" s="127"/>
      <c r="BR304" s="127"/>
      <c r="BS304" s="127"/>
      <c r="BT304" s="127"/>
      <c r="BU304" s="127"/>
      <c r="BV304" s="127"/>
      <c r="BW304" s="127"/>
      <c r="BX304" s="127"/>
      <c r="BY304" s="127"/>
      <c r="BZ304" s="127"/>
      <c r="CA304" s="127"/>
      <c r="CB304" s="187"/>
      <c r="CC304" s="189"/>
      <c r="CD304" s="188"/>
      <c r="CE304" s="127"/>
      <c r="CF304" s="190"/>
      <c r="CG304" s="190"/>
      <c r="CH304" s="187"/>
      <c r="CI304" s="187"/>
      <c r="CJ304" s="187"/>
      <c r="CK304" s="187"/>
      <c r="CL304" s="187"/>
      <c r="CM304" s="187"/>
      <c r="CN304" s="187"/>
      <c r="CO304" s="127"/>
      <c r="CP304" s="127"/>
      <c r="CQ304" s="187"/>
      <c r="CR304" s="187"/>
      <c r="CS304" s="187"/>
      <c r="CT304" s="187"/>
      <c r="CU304" s="187"/>
      <c r="CV304" s="187"/>
      <c r="CW304" s="187"/>
      <c r="CX304" s="187"/>
    </row>
    <row r="305" spans="1:102" ht="12.75" customHeight="1" x14ac:dyDescent="0.2">
      <c r="A305" s="187"/>
      <c r="B305" s="127"/>
      <c r="C305" s="187"/>
      <c r="D305" s="127"/>
      <c r="E305" s="187"/>
      <c r="F305" s="187"/>
      <c r="G305" s="187"/>
      <c r="H305" s="187"/>
      <c r="I305" s="187"/>
      <c r="J305" s="187"/>
      <c r="K305" s="187"/>
      <c r="L305" s="187"/>
      <c r="M305" s="187"/>
      <c r="N305" s="187"/>
      <c r="O305" s="187"/>
      <c r="P305" s="187"/>
      <c r="Q305" s="187"/>
      <c r="R305" s="187"/>
      <c r="S305" s="187"/>
      <c r="T305" s="127"/>
      <c r="U305" s="188"/>
      <c r="V305" s="127"/>
      <c r="W305" s="1438"/>
      <c r="X305" s="127"/>
      <c r="Y305" s="127"/>
      <c r="Z305" s="127"/>
      <c r="AA305" s="127"/>
      <c r="AB305" s="127"/>
      <c r="AC305" s="127"/>
      <c r="AD305" s="127"/>
      <c r="AE305" s="127"/>
      <c r="AF305" s="127"/>
      <c r="AG305" s="127"/>
      <c r="AH305" s="127"/>
      <c r="AI305" s="127"/>
      <c r="AJ305" s="127"/>
      <c r="AK305" s="127"/>
      <c r="AL305" s="127"/>
      <c r="AM305" s="127"/>
      <c r="AN305" s="127"/>
      <c r="AO305" s="127"/>
      <c r="AP305" s="127"/>
      <c r="AQ305" s="127"/>
      <c r="AR305" s="127"/>
      <c r="AS305" s="127"/>
      <c r="AT305" s="127"/>
      <c r="AU305" s="127"/>
      <c r="AV305" s="127"/>
      <c r="AW305" s="127"/>
      <c r="AX305" s="127"/>
      <c r="AY305" s="127"/>
      <c r="AZ305" s="127"/>
      <c r="BA305" s="127"/>
      <c r="BB305" s="127"/>
      <c r="BC305" s="127"/>
      <c r="BD305" s="127"/>
      <c r="BE305" s="127"/>
      <c r="BF305" s="127"/>
      <c r="BG305" s="127"/>
      <c r="BH305" s="127"/>
      <c r="BI305" s="127"/>
      <c r="BJ305" s="127"/>
      <c r="BK305" s="127"/>
      <c r="BL305" s="127"/>
      <c r="BM305" s="127"/>
      <c r="BN305" s="127"/>
      <c r="BO305" s="127"/>
      <c r="BP305" s="127"/>
      <c r="BQ305" s="127"/>
      <c r="BR305" s="127"/>
      <c r="BS305" s="127"/>
      <c r="BT305" s="127"/>
      <c r="BU305" s="127"/>
      <c r="BV305" s="127"/>
      <c r="BW305" s="127"/>
      <c r="BX305" s="127"/>
      <c r="BY305" s="127"/>
      <c r="BZ305" s="127"/>
      <c r="CA305" s="127"/>
      <c r="CB305" s="187"/>
      <c r="CC305" s="189"/>
      <c r="CD305" s="188"/>
      <c r="CE305" s="127"/>
      <c r="CF305" s="190"/>
      <c r="CG305" s="190"/>
      <c r="CH305" s="187"/>
      <c r="CI305" s="187"/>
      <c r="CJ305" s="187"/>
      <c r="CK305" s="187"/>
      <c r="CL305" s="187"/>
      <c r="CM305" s="187"/>
      <c r="CN305" s="187"/>
      <c r="CO305" s="127"/>
      <c r="CP305" s="127"/>
      <c r="CQ305" s="187"/>
      <c r="CR305" s="187"/>
      <c r="CS305" s="187"/>
      <c r="CT305" s="187"/>
      <c r="CU305" s="187"/>
      <c r="CV305" s="187"/>
      <c r="CW305" s="187"/>
      <c r="CX305" s="187"/>
    </row>
    <row r="306" spans="1:102" ht="12.75" customHeight="1" x14ac:dyDescent="0.2">
      <c r="A306" s="187"/>
      <c r="B306" s="127"/>
      <c r="C306" s="187"/>
      <c r="D306" s="127"/>
      <c r="E306" s="187"/>
      <c r="F306" s="187"/>
      <c r="G306" s="187"/>
      <c r="H306" s="187"/>
      <c r="I306" s="187"/>
      <c r="J306" s="187"/>
      <c r="K306" s="187"/>
      <c r="L306" s="187"/>
      <c r="M306" s="187"/>
      <c r="N306" s="187"/>
      <c r="O306" s="187"/>
      <c r="P306" s="187"/>
      <c r="Q306" s="187"/>
      <c r="R306" s="187"/>
      <c r="S306" s="187"/>
      <c r="T306" s="127"/>
      <c r="U306" s="188"/>
      <c r="V306" s="127"/>
      <c r="W306" s="1438"/>
      <c r="X306" s="127"/>
      <c r="Y306" s="127"/>
      <c r="Z306" s="127"/>
      <c r="AA306" s="127"/>
      <c r="AB306" s="127"/>
      <c r="AC306" s="127"/>
      <c r="AD306" s="127"/>
      <c r="AE306" s="127"/>
      <c r="AF306" s="127"/>
      <c r="AG306" s="127"/>
      <c r="AH306" s="127"/>
      <c r="AI306" s="127"/>
      <c r="AJ306" s="127"/>
      <c r="AK306" s="127"/>
      <c r="AL306" s="127"/>
      <c r="AM306" s="127"/>
      <c r="AN306" s="127"/>
      <c r="AO306" s="127"/>
      <c r="AP306" s="127"/>
      <c r="AQ306" s="127"/>
      <c r="AR306" s="127"/>
      <c r="AS306" s="127"/>
      <c r="AT306" s="127"/>
      <c r="AU306" s="127"/>
      <c r="AV306" s="127"/>
      <c r="AW306" s="127"/>
      <c r="AX306" s="127"/>
      <c r="AY306" s="127"/>
      <c r="AZ306" s="127"/>
      <c r="BA306" s="127"/>
      <c r="BB306" s="127"/>
      <c r="BC306" s="127"/>
      <c r="BD306" s="127"/>
      <c r="BE306" s="127"/>
      <c r="BF306" s="127"/>
      <c r="BG306" s="127"/>
      <c r="BH306" s="127"/>
      <c r="BI306" s="127"/>
      <c r="BJ306" s="127"/>
      <c r="BK306" s="127"/>
      <c r="BL306" s="127"/>
      <c r="BM306" s="127"/>
      <c r="BN306" s="127"/>
      <c r="BO306" s="127"/>
      <c r="BP306" s="127"/>
      <c r="BQ306" s="127"/>
      <c r="BR306" s="127"/>
      <c r="BS306" s="127"/>
      <c r="BT306" s="127"/>
      <c r="BU306" s="127"/>
      <c r="BV306" s="127"/>
      <c r="BW306" s="127"/>
      <c r="BX306" s="127"/>
      <c r="BY306" s="127"/>
      <c r="BZ306" s="127"/>
      <c r="CA306" s="127"/>
      <c r="CB306" s="187"/>
      <c r="CC306" s="189"/>
      <c r="CD306" s="188"/>
      <c r="CE306" s="127"/>
      <c r="CF306" s="190"/>
      <c r="CG306" s="190"/>
      <c r="CH306" s="187"/>
      <c r="CI306" s="187"/>
      <c r="CJ306" s="187"/>
      <c r="CK306" s="187"/>
      <c r="CL306" s="187"/>
      <c r="CM306" s="187"/>
      <c r="CN306" s="187"/>
      <c r="CO306" s="127"/>
      <c r="CP306" s="127"/>
      <c r="CQ306" s="187"/>
      <c r="CR306" s="187"/>
      <c r="CS306" s="187"/>
      <c r="CT306" s="187"/>
      <c r="CU306" s="187"/>
      <c r="CV306" s="187"/>
      <c r="CW306" s="187"/>
      <c r="CX306" s="187"/>
    </row>
    <row r="307" spans="1:102" ht="12.75" customHeight="1" x14ac:dyDescent="0.2">
      <c r="A307" s="187"/>
      <c r="B307" s="127"/>
      <c r="C307" s="187"/>
      <c r="D307" s="127"/>
      <c r="E307" s="187"/>
      <c r="F307" s="187"/>
      <c r="G307" s="187"/>
      <c r="H307" s="187"/>
      <c r="I307" s="187"/>
      <c r="J307" s="187"/>
      <c r="K307" s="187"/>
      <c r="L307" s="187"/>
      <c r="M307" s="187"/>
      <c r="N307" s="187"/>
      <c r="O307" s="187"/>
      <c r="P307" s="187"/>
      <c r="Q307" s="187"/>
      <c r="R307" s="187"/>
      <c r="S307" s="187"/>
      <c r="T307" s="127"/>
      <c r="U307" s="188"/>
      <c r="V307" s="127"/>
      <c r="W307" s="1438"/>
      <c r="X307" s="127"/>
      <c r="Y307" s="127"/>
      <c r="Z307" s="127"/>
      <c r="AA307" s="127"/>
      <c r="AB307" s="127"/>
      <c r="AC307" s="127"/>
      <c r="AD307" s="127"/>
      <c r="AE307" s="127"/>
      <c r="AF307" s="127"/>
      <c r="AG307" s="127"/>
      <c r="AH307" s="127"/>
      <c r="AI307" s="127"/>
      <c r="AJ307" s="127"/>
      <c r="AK307" s="127"/>
      <c r="AL307" s="127"/>
      <c r="AM307" s="127"/>
      <c r="AN307" s="127"/>
      <c r="AO307" s="127"/>
      <c r="AP307" s="127"/>
      <c r="AQ307" s="127"/>
      <c r="AR307" s="127"/>
      <c r="AS307" s="127"/>
      <c r="AT307" s="127"/>
      <c r="AU307" s="127"/>
      <c r="AV307" s="127"/>
      <c r="AW307" s="127"/>
      <c r="AX307" s="127"/>
      <c r="AY307" s="127"/>
      <c r="AZ307" s="127"/>
      <c r="BA307" s="127"/>
      <c r="BB307" s="127"/>
      <c r="BC307" s="127"/>
      <c r="BD307" s="127"/>
      <c r="BE307" s="127"/>
      <c r="BF307" s="127"/>
      <c r="BG307" s="127"/>
      <c r="BH307" s="127"/>
      <c r="BI307" s="127"/>
      <c r="BJ307" s="127"/>
      <c r="BK307" s="127"/>
      <c r="BL307" s="127"/>
      <c r="BM307" s="127"/>
      <c r="BN307" s="127"/>
      <c r="BO307" s="127"/>
      <c r="BP307" s="127"/>
      <c r="BQ307" s="127"/>
      <c r="BR307" s="127"/>
      <c r="BS307" s="127"/>
      <c r="BT307" s="127"/>
      <c r="BU307" s="127"/>
      <c r="BV307" s="127"/>
      <c r="BW307" s="127"/>
      <c r="BX307" s="127"/>
      <c r="BY307" s="127"/>
      <c r="BZ307" s="127"/>
      <c r="CA307" s="127"/>
      <c r="CB307" s="187"/>
      <c r="CC307" s="189"/>
      <c r="CD307" s="188"/>
      <c r="CE307" s="127"/>
      <c r="CF307" s="190"/>
      <c r="CG307" s="190"/>
      <c r="CH307" s="187"/>
      <c r="CI307" s="187"/>
      <c r="CJ307" s="187"/>
      <c r="CK307" s="187"/>
      <c r="CL307" s="187"/>
      <c r="CM307" s="187"/>
      <c r="CN307" s="187"/>
      <c r="CO307" s="127"/>
      <c r="CP307" s="127"/>
      <c r="CQ307" s="187"/>
      <c r="CR307" s="187"/>
      <c r="CS307" s="187"/>
      <c r="CT307" s="187"/>
      <c r="CU307" s="187"/>
      <c r="CV307" s="187"/>
      <c r="CW307" s="187"/>
      <c r="CX307" s="187"/>
    </row>
    <row r="308" spans="1:102" ht="12.75" customHeight="1" x14ac:dyDescent="0.2">
      <c r="A308" s="187"/>
      <c r="B308" s="127"/>
      <c r="C308" s="187"/>
      <c r="D308" s="127"/>
      <c r="E308" s="187"/>
      <c r="F308" s="187"/>
      <c r="G308" s="187"/>
      <c r="H308" s="187"/>
      <c r="I308" s="187"/>
      <c r="J308" s="187"/>
      <c r="K308" s="187"/>
      <c r="L308" s="187"/>
      <c r="M308" s="187"/>
      <c r="N308" s="187"/>
      <c r="O308" s="187"/>
      <c r="P308" s="187"/>
      <c r="Q308" s="187"/>
      <c r="R308" s="187"/>
      <c r="S308" s="187"/>
      <c r="T308" s="127"/>
      <c r="U308" s="188"/>
      <c r="V308" s="127"/>
      <c r="W308" s="1438"/>
      <c r="X308" s="127"/>
      <c r="Y308" s="127"/>
      <c r="Z308" s="127"/>
      <c r="AA308" s="127"/>
      <c r="AB308" s="127"/>
      <c r="AC308" s="127"/>
      <c r="AD308" s="127"/>
      <c r="AE308" s="127"/>
      <c r="AF308" s="127"/>
      <c r="AG308" s="127"/>
      <c r="AH308" s="127"/>
      <c r="AI308" s="127"/>
      <c r="AJ308" s="127"/>
      <c r="AK308" s="127"/>
      <c r="AL308" s="127"/>
      <c r="AM308" s="127"/>
      <c r="AN308" s="127"/>
      <c r="AO308" s="127"/>
      <c r="AP308" s="127"/>
      <c r="AQ308" s="127"/>
      <c r="AR308" s="127"/>
      <c r="AS308" s="127"/>
      <c r="AT308" s="127"/>
      <c r="AU308" s="127"/>
      <c r="AV308" s="127"/>
      <c r="AW308" s="127"/>
      <c r="AX308" s="127"/>
      <c r="AY308" s="127"/>
      <c r="AZ308" s="127"/>
      <c r="BA308" s="127"/>
      <c r="BB308" s="127"/>
      <c r="BC308" s="127"/>
      <c r="BD308" s="127"/>
      <c r="BE308" s="127"/>
      <c r="BF308" s="127"/>
      <c r="BG308" s="127"/>
      <c r="BH308" s="127"/>
      <c r="BI308" s="127"/>
      <c r="BJ308" s="127"/>
      <c r="BK308" s="127"/>
      <c r="BL308" s="127"/>
      <c r="BM308" s="127"/>
      <c r="BN308" s="127"/>
      <c r="BO308" s="127"/>
      <c r="BP308" s="127"/>
      <c r="BQ308" s="127"/>
      <c r="BR308" s="127"/>
      <c r="BS308" s="127"/>
      <c r="BT308" s="127"/>
      <c r="BU308" s="127"/>
      <c r="BV308" s="127"/>
      <c r="BW308" s="127"/>
      <c r="BX308" s="127"/>
      <c r="BY308" s="127"/>
      <c r="BZ308" s="127"/>
      <c r="CA308" s="127"/>
      <c r="CB308" s="187"/>
      <c r="CC308" s="189"/>
      <c r="CD308" s="188"/>
      <c r="CE308" s="127"/>
      <c r="CF308" s="190"/>
      <c r="CG308" s="190"/>
      <c r="CH308" s="187"/>
      <c r="CI308" s="187"/>
      <c r="CJ308" s="187"/>
      <c r="CK308" s="187"/>
      <c r="CL308" s="187"/>
      <c r="CM308" s="187"/>
      <c r="CN308" s="187"/>
      <c r="CO308" s="127"/>
      <c r="CP308" s="127"/>
      <c r="CQ308" s="187"/>
      <c r="CR308" s="187"/>
      <c r="CS308" s="187"/>
      <c r="CT308" s="187"/>
      <c r="CU308" s="187"/>
      <c r="CV308" s="187"/>
      <c r="CW308" s="187"/>
      <c r="CX308" s="187"/>
    </row>
    <row r="309" spans="1:102" ht="12.75" customHeight="1" x14ac:dyDescent="0.2">
      <c r="A309" s="187"/>
      <c r="B309" s="127"/>
      <c r="C309" s="187"/>
      <c r="D309" s="127"/>
      <c r="E309" s="187"/>
      <c r="F309" s="187"/>
      <c r="G309" s="187"/>
      <c r="H309" s="187"/>
      <c r="I309" s="187"/>
      <c r="J309" s="187"/>
      <c r="K309" s="187"/>
      <c r="L309" s="187"/>
      <c r="M309" s="187"/>
      <c r="N309" s="187"/>
      <c r="O309" s="187"/>
      <c r="P309" s="187"/>
      <c r="Q309" s="187"/>
      <c r="R309" s="187"/>
      <c r="S309" s="187"/>
      <c r="T309" s="127"/>
      <c r="U309" s="188"/>
      <c r="V309" s="127"/>
      <c r="W309" s="1438"/>
      <c r="X309" s="127"/>
      <c r="Y309" s="127"/>
      <c r="Z309" s="127"/>
      <c r="AA309" s="127"/>
      <c r="AB309" s="127"/>
      <c r="AC309" s="127"/>
      <c r="AD309" s="127"/>
      <c r="AE309" s="127"/>
      <c r="AF309" s="127"/>
      <c r="AG309" s="127"/>
      <c r="AH309" s="127"/>
      <c r="AI309" s="127"/>
      <c r="AJ309" s="127"/>
      <c r="AK309" s="127"/>
      <c r="AL309" s="127"/>
      <c r="AM309" s="127"/>
      <c r="AN309" s="127"/>
      <c r="AO309" s="127"/>
      <c r="AP309" s="127"/>
      <c r="AQ309" s="127"/>
      <c r="AR309" s="127"/>
      <c r="AS309" s="127"/>
      <c r="AT309" s="127"/>
      <c r="AU309" s="127"/>
      <c r="AV309" s="127"/>
      <c r="AW309" s="127"/>
      <c r="AX309" s="127"/>
      <c r="AY309" s="127"/>
      <c r="AZ309" s="127"/>
      <c r="BA309" s="127"/>
      <c r="BB309" s="127"/>
      <c r="BC309" s="127"/>
      <c r="BD309" s="127"/>
      <c r="BE309" s="127"/>
      <c r="BF309" s="127"/>
      <c r="BG309" s="127"/>
      <c r="BH309" s="127"/>
      <c r="BI309" s="127"/>
      <c r="BJ309" s="127"/>
      <c r="BK309" s="127"/>
      <c r="BL309" s="127"/>
      <c r="BM309" s="127"/>
      <c r="BN309" s="127"/>
      <c r="BO309" s="127"/>
      <c r="BP309" s="127"/>
      <c r="BQ309" s="127"/>
      <c r="BR309" s="127"/>
      <c r="BS309" s="127"/>
      <c r="BT309" s="127"/>
      <c r="BU309" s="127"/>
      <c r="BV309" s="127"/>
      <c r="BW309" s="127"/>
      <c r="BX309" s="127"/>
      <c r="BY309" s="127"/>
      <c r="BZ309" s="127"/>
      <c r="CA309" s="127"/>
      <c r="CB309" s="187"/>
      <c r="CC309" s="189"/>
      <c r="CD309" s="188"/>
      <c r="CE309" s="127"/>
      <c r="CF309" s="190"/>
      <c r="CG309" s="190"/>
      <c r="CH309" s="187"/>
      <c r="CI309" s="187"/>
      <c r="CJ309" s="187"/>
      <c r="CK309" s="187"/>
      <c r="CL309" s="187"/>
      <c r="CM309" s="187"/>
      <c r="CN309" s="187"/>
      <c r="CO309" s="127"/>
      <c r="CP309" s="127"/>
      <c r="CQ309" s="187"/>
      <c r="CR309" s="187"/>
      <c r="CS309" s="187"/>
      <c r="CT309" s="187"/>
      <c r="CU309" s="187"/>
      <c r="CV309" s="187"/>
      <c r="CW309" s="187"/>
      <c r="CX309" s="187"/>
    </row>
    <row r="310" spans="1:102" ht="12.75" customHeight="1" x14ac:dyDescent="0.2">
      <c r="A310" s="187"/>
      <c r="B310" s="127"/>
      <c r="C310" s="187"/>
      <c r="D310" s="127"/>
      <c r="E310" s="187"/>
      <c r="F310" s="187"/>
      <c r="G310" s="187"/>
      <c r="H310" s="187"/>
      <c r="I310" s="187"/>
      <c r="J310" s="187"/>
      <c r="K310" s="187"/>
      <c r="L310" s="187"/>
      <c r="M310" s="187"/>
      <c r="N310" s="187"/>
      <c r="O310" s="187"/>
      <c r="P310" s="187"/>
      <c r="Q310" s="187"/>
      <c r="R310" s="187"/>
      <c r="S310" s="187"/>
      <c r="T310" s="127"/>
      <c r="U310" s="188"/>
      <c r="V310" s="127"/>
      <c r="W310" s="1438"/>
      <c r="X310" s="127"/>
      <c r="Y310" s="127"/>
      <c r="Z310" s="127"/>
      <c r="AA310" s="127"/>
      <c r="AB310" s="127"/>
      <c r="AC310" s="127"/>
      <c r="AD310" s="127"/>
      <c r="AE310" s="127"/>
      <c r="AF310" s="127"/>
      <c r="AG310" s="127"/>
      <c r="AH310" s="127"/>
      <c r="AI310" s="127"/>
      <c r="AJ310" s="127"/>
      <c r="AK310" s="127"/>
      <c r="AL310" s="127"/>
      <c r="AM310" s="127"/>
      <c r="AN310" s="127"/>
      <c r="AO310" s="127"/>
      <c r="AP310" s="127"/>
      <c r="AQ310" s="127"/>
      <c r="AR310" s="127"/>
      <c r="AS310" s="127"/>
      <c r="AT310" s="127"/>
      <c r="AU310" s="127"/>
      <c r="AV310" s="127"/>
      <c r="AW310" s="127"/>
      <c r="AX310" s="127"/>
      <c r="AY310" s="127"/>
      <c r="AZ310" s="127"/>
      <c r="BA310" s="127"/>
      <c r="BB310" s="127"/>
      <c r="BC310" s="127"/>
      <c r="BD310" s="127"/>
      <c r="BE310" s="127"/>
      <c r="BF310" s="127"/>
      <c r="BG310" s="127"/>
      <c r="BH310" s="127"/>
      <c r="BI310" s="127"/>
      <c r="BJ310" s="127"/>
      <c r="BK310" s="127"/>
      <c r="BL310" s="127"/>
      <c r="BM310" s="127"/>
      <c r="BN310" s="127"/>
      <c r="BO310" s="127"/>
      <c r="BP310" s="127"/>
      <c r="BQ310" s="127"/>
      <c r="BR310" s="127"/>
      <c r="BS310" s="127"/>
      <c r="BT310" s="127"/>
      <c r="BU310" s="127"/>
      <c r="BV310" s="127"/>
      <c r="BW310" s="127"/>
      <c r="BX310" s="127"/>
      <c r="BY310" s="127"/>
      <c r="BZ310" s="127"/>
      <c r="CA310" s="127"/>
      <c r="CB310" s="187"/>
      <c r="CC310" s="189"/>
      <c r="CD310" s="188"/>
      <c r="CE310" s="127"/>
      <c r="CF310" s="190"/>
      <c r="CG310" s="190"/>
      <c r="CH310" s="187"/>
      <c r="CI310" s="187"/>
      <c r="CJ310" s="187"/>
      <c r="CK310" s="187"/>
      <c r="CL310" s="187"/>
      <c r="CM310" s="187"/>
      <c r="CN310" s="187"/>
      <c r="CO310" s="127"/>
      <c r="CP310" s="127"/>
      <c r="CQ310" s="187"/>
      <c r="CR310" s="187"/>
      <c r="CS310" s="187"/>
      <c r="CT310" s="187"/>
      <c r="CU310" s="187"/>
      <c r="CV310" s="187"/>
      <c r="CW310" s="187"/>
      <c r="CX310" s="187"/>
    </row>
    <row r="311" spans="1:102" ht="12.75" customHeight="1" x14ac:dyDescent="0.2">
      <c r="A311" s="187"/>
      <c r="B311" s="127"/>
      <c r="C311" s="187"/>
      <c r="D311" s="127"/>
      <c r="E311" s="187"/>
      <c r="F311" s="187"/>
      <c r="G311" s="187"/>
      <c r="H311" s="187"/>
      <c r="I311" s="187"/>
      <c r="J311" s="187"/>
      <c r="K311" s="187"/>
      <c r="L311" s="187"/>
      <c r="M311" s="187"/>
      <c r="N311" s="187"/>
      <c r="O311" s="187"/>
      <c r="P311" s="187"/>
      <c r="Q311" s="187"/>
      <c r="R311" s="187"/>
      <c r="S311" s="187"/>
      <c r="T311" s="127"/>
      <c r="U311" s="188"/>
      <c r="V311" s="127"/>
      <c r="W311" s="1438"/>
      <c r="X311" s="127"/>
      <c r="Y311" s="127"/>
      <c r="Z311" s="127"/>
      <c r="AA311" s="127"/>
      <c r="AB311" s="127"/>
      <c r="AC311" s="127"/>
      <c r="AD311" s="127"/>
      <c r="AE311" s="127"/>
      <c r="AF311" s="127"/>
      <c r="AG311" s="127"/>
      <c r="AH311" s="127"/>
      <c r="AI311" s="127"/>
      <c r="AJ311" s="127"/>
      <c r="AK311" s="127"/>
      <c r="AL311" s="127"/>
      <c r="AM311" s="127"/>
      <c r="AN311" s="127"/>
      <c r="AO311" s="127"/>
      <c r="AP311" s="127"/>
      <c r="AQ311" s="127"/>
      <c r="AR311" s="127"/>
      <c r="AS311" s="127"/>
      <c r="AT311" s="127"/>
      <c r="AU311" s="127"/>
      <c r="AV311" s="127"/>
      <c r="AW311" s="127"/>
      <c r="AX311" s="127"/>
      <c r="AY311" s="127"/>
      <c r="AZ311" s="127"/>
      <c r="BA311" s="127"/>
      <c r="BB311" s="127"/>
      <c r="BC311" s="127"/>
      <c r="BD311" s="127"/>
      <c r="BE311" s="127"/>
      <c r="BF311" s="127"/>
      <c r="BG311" s="127"/>
      <c r="BH311" s="127"/>
      <c r="BI311" s="127"/>
      <c r="BJ311" s="127"/>
      <c r="BK311" s="127"/>
      <c r="BL311" s="127"/>
      <c r="BM311" s="127"/>
      <c r="BN311" s="127"/>
      <c r="BO311" s="127"/>
      <c r="BP311" s="127"/>
      <c r="BQ311" s="127"/>
      <c r="BR311" s="127"/>
      <c r="BS311" s="127"/>
      <c r="BT311" s="127"/>
      <c r="BU311" s="127"/>
      <c r="BV311" s="127"/>
      <c r="BW311" s="127"/>
      <c r="BX311" s="127"/>
      <c r="BY311" s="127"/>
      <c r="BZ311" s="127"/>
      <c r="CA311" s="127"/>
      <c r="CB311" s="187"/>
      <c r="CC311" s="189"/>
      <c r="CD311" s="188"/>
      <c r="CE311" s="127"/>
      <c r="CF311" s="190"/>
      <c r="CG311" s="190"/>
      <c r="CH311" s="187"/>
      <c r="CI311" s="187"/>
      <c r="CJ311" s="187"/>
      <c r="CK311" s="187"/>
      <c r="CL311" s="187"/>
      <c r="CM311" s="187"/>
      <c r="CN311" s="187"/>
      <c r="CO311" s="127"/>
      <c r="CP311" s="127"/>
      <c r="CQ311" s="187"/>
      <c r="CR311" s="187"/>
      <c r="CS311" s="187"/>
      <c r="CT311" s="187"/>
      <c r="CU311" s="187"/>
      <c r="CV311" s="187"/>
      <c r="CW311" s="187"/>
      <c r="CX311" s="187"/>
    </row>
    <row r="312" spans="1:102" ht="12.75" customHeight="1" x14ac:dyDescent="0.2">
      <c r="A312" s="187"/>
      <c r="B312" s="127"/>
      <c r="C312" s="187"/>
      <c r="D312" s="127"/>
      <c r="E312" s="187"/>
      <c r="F312" s="187"/>
      <c r="G312" s="187"/>
      <c r="H312" s="187"/>
      <c r="I312" s="187"/>
      <c r="J312" s="187"/>
      <c r="K312" s="187"/>
      <c r="L312" s="187"/>
      <c r="M312" s="187"/>
      <c r="N312" s="187"/>
      <c r="O312" s="187"/>
      <c r="P312" s="187"/>
      <c r="Q312" s="187"/>
      <c r="R312" s="187"/>
      <c r="S312" s="187"/>
      <c r="T312" s="127"/>
      <c r="U312" s="188"/>
      <c r="V312" s="127"/>
      <c r="W312" s="1438"/>
      <c r="X312" s="127"/>
      <c r="Y312" s="127"/>
      <c r="Z312" s="127"/>
      <c r="AA312" s="127"/>
      <c r="AB312" s="127"/>
      <c r="AC312" s="127"/>
      <c r="AD312" s="127"/>
      <c r="AE312" s="127"/>
      <c r="AF312" s="127"/>
      <c r="AG312" s="127"/>
      <c r="AH312" s="127"/>
      <c r="AI312" s="127"/>
      <c r="AJ312" s="127"/>
      <c r="AK312" s="127"/>
      <c r="AL312" s="127"/>
      <c r="AM312" s="127"/>
      <c r="AN312" s="127"/>
      <c r="AO312" s="127"/>
      <c r="AP312" s="127"/>
      <c r="AQ312" s="127"/>
      <c r="AR312" s="127"/>
      <c r="AS312" s="127"/>
      <c r="AT312" s="127"/>
      <c r="AU312" s="127"/>
      <c r="AV312" s="127"/>
      <c r="AW312" s="127"/>
      <c r="AX312" s="127"/>
      <c r="AY312" s="127"/>
      <c r="AZ312" s="127"/>
      <c r="BA312" s="127"/>
      <c r="BB312" s="127"/>
      <c r="BC312" s="127"/>
      <c r="BD312" s="127"/>
      <c r="BE312" s="127"/>
      <c r="BF312" s="127"/>
      <c r="BG312" s="127"/>
      <c r="BH312" s="127"/>
      <c r="BI312" s="127"/>
      <c r="BJ312" s="127"/>
      <c r="BK312" s="127"/>
      <c r="BL312" s="127"/>
      <c r="BM312" s="127"/>
      <c r="BN312" s="127"/>
      <c r="BO312" s="127"/>
      <c r="BP312" s="127"/>
      <c r="BQ312" s="127"/>
      <c r="BR312" s="127"/>
      <c r="BS312" s="127"/>
      <c r="BT312" s="127"/>
      <c r="BU312" s="127"/>
      <c r="BV312" s="127"/>
      <c r="BW312" s="127"/>
      <c r="BX312" s="127"/>
      <c r="BY312" s="127"/>
      <c r="BZ312" s="127"/>
      <c r="CA312" s="127"/>
      <c r="CB312" s="187"/>
      <c r="CC312" s="189"/>
      <c r="CD312" s="188"/>
      <c r="CE312" s="127"/>
      <c r="CF312" s="190"/>
      <c r="CG312" s="190"/>
      <c r="CH312" s="187"/>
      <c r="CI312" s="187"/>
      <c r="CJ312" s="187"/>
      <c r="CK312" s="187"/>
      <c r="CL312" s="187"/>
      <c r="CM312" s="187"/>
      <c r="CN312" s="187"/>
      <c r="CO312" s="127"/>
      <c r="CP312" s="127"/>
      <c r="CQ312" s="187"/>
      <c r="CR312" s="187"/>
      <c r="CS312" s="187"/>
      <c r="CT312" s="187"/>
      <c r="CU312" s="187"/>
      <c r="CV312" s="187"/>
      <c r="CW312" s="187"/>
      <c r="CX312" s="187"/>
    </row>
    <row r="313" spans="1:102" ht="12.75" customHeight="1" x14ac:dyDescent="0.2">
      <c r="A313" s="187"/>
      <c r="B313" s="127"/>
      <c r="C313" s="187"/>
      <c r="D313" s="127"/>
      <c r="E313" s="187"/>
      <c r="F313" s="187"/>
      <c r="G313" s="187"/>
      <c r="H313" s="187"/>
      <c r="I313" s="187"/>
      <c r="J313" s="187"/>
      <c r="K313" s="187"/>
      <c r="L313" s="187"/>
      <c r="M313" s="187"/>
      <c r="N313" s="187"/>
      <c r="O313" s="187"/>
      <c r="P313" s="187"/>
      <c r="Q313" s="187"/>
      <c r="R313" s="187"/>
      <c r="S313" s="187"/>
      <c r="T313" s="127"/>
      <c r="U313" s="188"/>
      <c r="V313" s="127"/>
      <c r="W313" s="1438"/>
      <c r="X313" s="127"/>
      <c r="Y313" s="127"/>
      <c r="Z313" s="127"/>
      <c r="AA313" s="127"/>
      <c r="AB313" s="127"/>
      <c r="AC313" s="127"/>
      <c r="AD313" s="127"/>
      <c r="AE313" s="127"/>
      <c r="AF313" s="127"/>
      <c r="AG313" s="127"/>
      <c r="AH313" s="127"/>
      <c r="AI313" s="127"/>
      <c r="AJ313" s="127"/>
      <c r="AK313" s="127"/>
      <c r="AL313" s="127"/>
      <c r="AM313" s="127"/>
      <c r="AN313" s="127"/>
      <c r="AO313" s="127"/>
      <c r="AP313" s="127"/>
      <c r="AQ313" s="127"/>
      <c r="AR313" s="127"/>
      <c r="AS313" s="127"/>
      <c r="AT313" s="127"/>
      <c r="AU313" s="127"/>
      <c r="AV313" s="127"/>
      <c r="AW313" s="127"/>
      <c r="AX313" s="127"/>
      <c r="AY313" s="127"/>
      <c r="AZ313" s="127"/>
      <c r="BA313" s="127"/>
      <c r="BB313" s="127"/>
      <c r="BC313" s="127"/>
      <c r="BD313" s="127"/>
      <c r="BE313" s="127"/>
      <c r="BF313" s="127"/>
      <c r="BG313" s="127"/>
      <c r="BH313" s="127"/>
      <c r="BI313" s="127"/>
      <c r="BJ313" s="127"/>
      <c r="BK313" s="127"/>
      <c r="BL313" s="127"/>
      <c r="BM313" s="127"/>
      <c r="BN313" s="127"/>
      <c r="BO313" s="127"/>
      <c r="BP313" s="127"/>
      <c r="BQ313" s="127"/>
      <c r="BR313" s="127"/>
      <c r="BS313" s="127"/>
      <c r="BT313" s="127"/>
      <c r="BU313" s="127"/>
      <c r="BV313" s="127"/>
      <c r="BW313" s="127"/>
      <c r="BX313" s="127"/>
      <c r="BY313" s="127"/>
      <c r="BZ313" s="127"/>
      <c r="CA313" s="127"/>
      <c r="CB313" s="187"/>
      <c r="CC313" s="189"/>
      <c r="CD313" s="188"/>
      <c r="CE313" s="127"/>
      <c r="CF313" s="190"/>
      <c r="CG313" s="190"/>
      <c r="CH313" s="187"/>
      <c r="CI313" s="187"/>
      <c r="CJ313" s="187"/>
      <c r="CK313" s="187"/>
      <c r="CL313" s="187"/>
      <c r="CM313" s="187"/>
      <c r="CN313" s="187"/>
      <c r="CO313" s="127"/>
      <c r="CP313" s="127"/>
      <c r="CQ313" s="187"/>
      <c r="CR313" s="187"/>
      <c r="CS313" s="187"/>
      <c r="CT313" s="187"/>
      <c r="CU313" s="187"/>
      <c r="CV313" s="187"/>
      <c r="CW313" s="187"/>
      <c r="CX313" s="187"/>
    </row>
    <row r="314" spans="1:102" ht="12.75" customHeight="1" x14ac:dyDescent="0.2">
      <c r="A314" s="187"/>
      <c r="B314" s="127"/>
      <c r="C314" s="187"/>
      <c r="D314" s="127"/>
      <c r="E314" s="187"/>
      <c r="F314" s="187"/>
      <c r="G314" s="187"/>
      <c r="H314" s="187"/>
      <c r="I314" s="187"/>
      <c r="J314" s="187"/>
      <c r="K314" s="187"/>
      <c r="L314" s="187"/>
      <c r="M314" s="187"/>
      <c r="N314" s="187"/>
      <c r="O314" s="187"/>
      <c r="P314" s="187"/>
      <c r="Q314" s="187"/>
      <c r="R314" s="187"/>
      <c r="S314" s="187"/>
      <c r="T314" s="127"/>
      <c r="U314" s="188"/>
      <c r="V314" s="127"/>
      <c r="W314" s="1438"/>
      <c r="X314" s="127"/>
      <c r="Y314" s="127"/>
      <c r="Z314" s="127"/>
      <c r="AA314" s="127"/>
      <c r="AB314" s="127"/>
      <c r="AC314" s="127"/>
      <c r="AD314" s="127"/>
      <c r="AE314" s="127"/>
      <c r="AF314" s="127"/>
      <c r="AG314" s="127"/>
      <c r="AH314" s="127"/>
      <c r="AI314" s="127"/>
      <c r="AJ314" s="127"/>
      <c r="AK314" s="127"/>
      <c r="AL314" s="127"/>
      <c r="AM314" s="127"/>
      <c r="AN314" s="127"/>
      <c r="AO314" s="127"/>
      <c r="AP314" s="127"/>
      <c r="AQ314" s="127"/>
      <c r="AR314" s="127"/>
      <c r="AS314" s="127"/>
      <c r="AT314" s="127"/>
      <c r="AU314" s="127"/>
      <c r="AV314" s="127"/>
      <c r="AW314" s="127"/>
      <c r="AX314" s="127"/>
      <c r="AY314" s="127"/>
      <c r="AZ314" s="127"/>
      <c r="BA314" s="127"/>
      <c r="BB314" s="127"/>
      <c r="BC314" s="127"/>
      <c r="BD314" s="127"/>
      <c r="BE314" s="127"/>
      <c r="BF314" s="127"/>
      <c r="BG314" s="127"/>
      <c r="BH314" s="127"/>
      <c r="BI314" s="127"/>
      <c r="BJ314" s="127"/>
      <c r="BK314" s="127"/>
      <c r="BL314" s="127"/>
      <c r="BM314" s="127"/>
      <c r="BN314" s="127"/>
      <c r="BO314" s="127"/>
      <c r="BP314" s="127"/>
      <c r="BQ314" s="127"/>
      <c r="BR314" s="127"/>
      <c r="BS314" s="127"/>
      <c r="BT314" s="127"/>
      <c r="BU314" s="127"/>
      <c r="BV314" s="127"/>
      <c r="BW314" s="127"/>
      <c r="BX314" s="127"/>
      <c r="BY314" s="127"/>
      <c r="BZ314" s="127"/>
      <c r="CA314" s="127"/>
      <c r="CB314" s="187"/>
      <c r="CC314" s="189"/>
      <c r="CD314" s="188"/>
      <c r="CE314" s="127"/>
      <c r="CF314" s="190"/>
      <c r="CG314" s="190"/>
      <c r="CH314" s="187"/>
      <c r="CI314" s="187"/>
      <c r="CJ314" s="187"/>
      <c r="CK314" s="187"/>
      <c r="CL314" s="187"/>
      <c r="CM314" s="187"/>
      <c r="CN314" s="187"/>
      <c r="CO314" s="127"/>
      <c r="CP314" s="127"/>
      <c r="CQ314" s="187"/>
      <c r="CR314" s="187"/>
      <c r="CS314" s="187"/>
      <c r="CT314" s="187"/>
      <c r="CU314" s="187"/>
      <c r="CV314" s="187"/>
      <c r="CW314" s="187"/>
      <c r="CX314" s="187"/>
    </row>
    <row r="315" spans="1:102" ht="12.75" customHeight="1" x14ac:dyDescent="0.2">
      <c r="A315" s="187"/>
      <c r="B315" s="127"/>
      <c r="C315" s="187"/>
      <c r="D315" s="127"/>
      <c r="E315" s="187"/>
      <c r="F315" s="187"/>
      <c r="G315" s="187"/>
      <c r="H315" s="187"/>
      <c r="I315" s="187"/>
      <c r="J315" s="187"/>
      <c r="K315" s="187"/>
      <c r="L315" s="187"/>
      <c r="M315" s="187"/>
      <c r="N315" s="187"/>
      <c r="O315" s="187"/>
      <c r="P315" s="187"/>
      <c r="Q315" s="187"/>
      <c r="R315" s="187"/>
      <c r="S315" s="187"/>
      <c r="T315" s="127"/>
      <c r="U315" s="188"/>
      <c r="V315" s="127"/>
      <c r="W315" s="1438"/>
      <c r="X315" s="127"/>
      <c r="Y315" s="127"/>
      <c r="Z315" s="127"/>
      <c r="AA315" s="127"/>
      <c r="AB315" s="127"/>
      <c r="AC315" s="127"/>
      <c r="AD315" s="127"/>
      <c r="AE315" s="127"/>
      <c r="AF315" s="127"/>
      <c r="AG315" s="127"/>
      <c r="AH315" s="127"/>
      <c r="AI315" s="127"/>
      <c r="AJ315" s="127"/>
      <c r="AK315" s="127"/>
      <c r="AL315" s="127"/>
      <c r="AM315" s="127"/>
      <c r="AN315" s="127"/>
      <c r="AO315" s="127"/>
      <c r="AP315" s="127"/>
      <c r="AQ315" s="127"/>
      <c r="AR315" s="127"/>
      <c r="AS315" s="127"/>
      <c r="AT315" s="127"/>
      <c r="AU315" s="127"/>
      <c r="AV315" s="127"/>
      <c r="AW315" s="127"/>
      <c r="AX315" s="127"/>
      <c r="AY315" s="127"/>
      <c r="AZ315" s="127"/>
      <c r="BA315" s="127"/>
      <c r="BB315" s="127"/>
      <c r="BC315" s="127"/>
      <c r="BD315" s="127"/>
      <c r="BE315" s="127"/>
      <c r="BF315" s="127"/>
      <c r="BG315" s="127"/>
      <c r="BH315" s="127"/>
      <c r="BI315" s="127"/>
      <c r="BJ315" s="127"/>
      <c r="BK315" s="127"/>
      <c r="BL315" s="127"/>
      <c r="BM315" s="127"/>
      <c r="BN315" s="127"/>
      <c r="BO315" s="127"/>
      <c r="BP315" s="127"/>
      <c r="BQ315" s="127"/>
      <c r="BR315" s="127"/>
      <c r="BS315" s="127"/>
      <c r="BT315" s="127"/>
      <c r="BU315" s="127"/>
      <c r="BV315" s="127"/>
      <c r="BW315" s="127"/>
      <c r="BX315" s="127"/>
      <c r="BY315" s="127"/>
      <c r="BZ315" s="127"/>
      <c r="CA315" s="127"/>
      <c r="CB315" s="187"/>
      <c r="CC315" s="189"/>
      <c r="CD315" s="188"/>
      <c r="CE315" s="127"/>
      <c r="CF315" s="190"/>
      <c r="CG315" s="190"/>
      <c r="CH315" s="187"/>
      <c r="CI315" s="187"/>
      <c r="CJ315" s="187"/>
      <c r="CK315" s="187"/>
      <c r="CL315" s="187"/>
      <c r="CM315" s="187"/>
      <c r="CN315" s="187"/>
      <c r="CO315" s="127"/>
      <c r="CP315" s="127"/>
      <c r="CQ315" s="187"/>
      <c r="CR315" s="187"/>
      <c r="CS315" s="187"/>
      <c r="CT315" s="187"/>
      <c r="CU315" s="187"/>
      <c r="CV315" s="187"/>
      <c r="CW315" s="187"/>
      <c r="CX315" s="187"/>
    </row>
    <row r="316" spans="1:102" ht="12.75" customHeight="1" x14ac:dyDescent="0.2">
      <c r="A316" s="187"/>
      <c r="B316" s="127"/>
      <c r="C316" s="187"/>
      <c r="D316" s="127"/>
      <c r="E316" s="187"/>
      <c r="F316" s="187"/>
      <c r="G316" s="187"/>
      <c r="H316" s="187"/>
      <c r="I316" s="187"/>
      <c r="J316" s="187"/>
      <c r="K316" s="187"/>
      <c r="L316" s="187"/>
      <c r="M316" s="187"/>
      <c r="N316" s="187"/>
      <c r="O316" s="187"/>
      <c r="P316" s="187"/>
      <c r="Q316" s="187"/>
      <c r="R316" s="187"/>
      <c r="S316" s="187"/>
      <c r="T316" s="127"/>
      <c r="U316" s="188"/>
      <c r="V316" s="127"/>
      <c r="W316" s="1438"/>
      <c r="X316" s="127"/>
      <c r="Y316" s="127"/>
      <c r="Z316" s="127"/>
      <c r="AA316" s="127"/>
      <c r="AB316" s="127"/>
      <c r="AC316" s="127"/>
      <c r="AD316" s="127"/>
      <c r="AE316" s="127"/>
      <c r="AF316" s="127"/>
      <c r="AG316" s="127"/>
      <c r="AH316" s="127"/>
      <c r="AI316" s="127"/>
      <c r="AJ316" s="127"/>
      <c r="AK316" s="127"/>
      <c r="AL316" s="127"/>
      <c r="AM316" s="127"/>
      <c r="AN316" s="127"/>
      <c r="AO316" s="127"/>
      <c r="AP316" s="127"/>
      <c r="AQ316" s="127"/>
      <c r="AR316" s="127"/>
      <c r="AS316" s="127"/>
      <c r="AT316" s="127"/>
      <c r="AU316" s="127"/>
      <c r="AV316" s="127"/>
      <c r="AW316" s="127"/>
      <c r="AX316" s="127"/>
      <c r="AY316" s="127"/>
      <c r="AZ316" s="127"/>
      <c r="BA316" s="127"/>
      <c r="BB316" s="127"/>
      <c r="BC316" s="127"/>
      <c r="BD316" s="127"/>
      <c r="BE316" s="127"/>
      <c r="BF316" s="127"/>
      <c r="BG316" s="127"/>
      <c r="BH316" s="127"/>
      <c r="BI316" s="127"/>
      <c r="BJ316" s="127"/>
      <c r="BK316" s="127"/>
      <c r="BL316" s="127"/>
      <c r="BM316" s="127"/>
      <c r="BN316" s="127"/>
      <c r="BO316" s="127"/>
      <c r="BP316" s="127"/>
      <c r="BQ316" s="127"/>
      <c r="BR316" s="127"/>
      <c r="BS316" s="127"/>
      <c r="BT316" s="127"/>
      <c r="BU316" s="127"/>
      <c r="BV316" s="127"/>
      <c r="BW316" s="127"/>
      <c r="BX316" s="127"/>
      <c r="BY316" s="127"/>
      <c r="BZ316" s="127"/>
      <c r="CA316" s="127"/>
      <c r="CB316" s="187"/>
      <c r="CC316" s="189"/>
      <c r="CD316" s="188"/>
      <c r="CE316" s="127"/>
      <c r="CF316" s="190"/>
      <c r="CG316" s="190"/>
      <c r="CH316" s="187"/>
      <c r="CI316" s="187"/>
      <c r="CJ316" s="187"/>
      <c r="CK316" s="187"/>
      <c r="CL316" s="187"/>
      <c r="CM316" s="187"/>
      <c r="CN316" s="187"/>
      <c r="CO316" s="127"/>
      <c r="CP316" s="127"/>
      <c r="CQ316" s="187"/>
      <c r="CR316" s="187"/>
      <c r="CS316" s="187"/>
      <c r="CT316" s="187"/>
      <c r="CU316" s="187"/>
      <c r="CV316" s="187"/>
      <c r="CW316" s="187"/>
      <c r="CX316" s="187"/>
    </row>
    <row r="317" spans="1:102" ht="12.75" customHeight="1" x14ac:dyDescent="0.2">
      <c r="A317" s="187"/>
      <c r="B317" s="127"/>
      <c r="C317" s="187"/>
      <c r="D317" s="127"/>
      <c r="E317" s="187"/>
      <c r="F317" s="187"/>
      <c r="G317" s="187"/>
      <c r="H317" s="187"/>
      <c r="I317" s="187"/>
      <c r="J317" s="187"/>
      <c r="K317" s="187"/>
      <c r="L317" s="187"/>
      <c r="M317" s="187"/>
      <c r="N317" s="187"/>
      <c r="O317" s="187"/>
      <c r="P317" s="187"/>
      <c r="Q317" s="187"/>
      <c r="R317" s="187"/>
      <c r="S317" s="187"/>
      <c r="T317" s="127"/>
      <c r="U317" s="188"/>
      <c r="V317" s="127"/>
      <c r="W317" s="1438"/>
      <c r="X317" s="127"/>
      <c r="Y317" s="127"/>
      <c r="Z317" s="127"/>
      <c r="AA317" s="127"/>
      <c r="AB317" s="127"/>
      <c r="AC317" s="127"/>
      <c r="AD317" s="127"/>
      <c r="AE317" s="127"/>
      <c r="AF317" s="127"/>
      <c r="AG317" s="127"/>
      <c r="AH317" s="127"/>
      <c r="AI317" s="127"/>
      <c r="AJ317" s="127"/>
      <c r="AK317" s="127"/>
      <c r="AL317" s="127"/>
      <c r="AM317" s="127"/>
      <c r="AN317" s="127"/>
      <c r="AO317" s="127"/>
      <c r="AP317" s="127"/>
      <c r="AQ317" s="127"/>
      <c r="AR317" s="127"/>
      <c r="AS317" s="127"/>
      <c r="AT317" s="127"/>
      <c r="AU317" s="127"/>
      <c r="AV317" s="127"/>
      <c r="AW317" s="127"/>
      <c r="AX317" s="127"/>
      <c r="AY317" s="127"/>
      <c r="AZ317" s="127"/>
      <c r="BA317" s="127"/>
      <c r="BB317" s="127"/>
      <c r="BC317" s="127"/>
      <c r="BD317" s="127"/>
      <c r="BE317" s="127"/>
      <c r="BF317" s="127"/>
      <c r="BG317" s="127"/>
      <c r="BH317" s="127"/>
      <c r="BI317" s="127"/>
      <c r="BJ317" s="127"/>
      <c r="BK317" s="127"/>
      <c r="BL317" s="127"/>
      <c r="BM317" s="127"/>
      <c r="BN317" s="127"/>
      <c r="BO317" s="127"/>
      <c r="BP317" s="127"/>
      <c r="BQ317" s="127"/>
      <c r="BR317" s="127"/>
      <c r="BS317" s="127"/>
      <c r="BT317" s="127"/>
      <c r="BU317" s="127"/>
      <c r="BV317" s="127"/>
      <c r="BW317" s="127"/>
      <c r="BX317" s="127"/>
      <c r="BY317" s="127"/>
      <c r="BZ317" s="127"/>
      <c r="CA317" s="127"/>
      <c r="CB317" s="187"/>
      <c r="CC317" s="189"/>
      <c r="CD317" s="188"/>
      <c r="CE317" s="127"/>
      <c r="CF317" s="190"/>
      <c r="CG317" s="190"/>
      <c r="CH317" s="187"/>
      <c r="CI317" s="187"/>
      <c r="CJ317" s="187"/>
      <c r="CK317" s="187"/>
      <c r="CL317" s="187"/>
      <c r="CM317" s="187"/>
      <c r="CN317" s="187"/>
      <c r="CO317" s="127"/>
      <c r="CP317" s="127"/>
      <c r="CQ317" s="187"/>
      <c r="CR317" s="187"/>
      <c r="CS317" s="187"/>
      <c r="CT317" s="187"/>
      <c r="CU317" s="187"/>
      <c r="CV317" s="187"/>
      <c r="CW317" s="187"/>
      <c r="CX317" s="187"/>
    </row>
    <row r="318" spans="1:102" ht="12.75" customHeight="1" x14ac:dyDescent="0.2">
      <c r="A318" s="187"/>
      <c r="B318" s="127"/>
      <c r="C318" s="187"/>
      <c r="D318" s="127"/>
      <c r="E318" s="187"/>
      <c r="F318" s="187"/>
      <c r="G318" s="187"/>
      <c r="H318" s="187"/>
      <c r="I318" s="187"/>
      <c r="J318" s="187"/>
      <c r="K318" s="187"/>
      <c r="L318" s="187"/>
      <c r="M318" s="187"/>
      <c r="N318" s="187"/>
      <c r="O318" s="187"/>
      <c r="P318" s="187"/>
      <c r="Q318" s="187"/>
      <c r="R318" s="187"/>
      <c r="S318" s="187"/>
      <c r="T318" s="127"/>
      <c r="U318" s="188"/>
      <c r="V318" s="127"/>
      <c r="W318" s="1438"/>
      <c r="X318" s="127"/>
      <c r="Y318" s="127"/>
      <c r="Z318" s="127"/>
      <c r="AA318" s="127"/>
      <c r="AB318" s="127"/>
      <c r="AC318" s="127"/>
      <c r="AD318" s="127"/>
      <c r="AE318" s="127"/>
      <c r="AF318" s="127"/>
      <c r="AG318" s="127"/>
      <c r="AH318" s="127"/>
      <c r="AI318" s="127"/>
      <c r="AJ318" s="127"/>
      <c r="AK318" s="127"/>
      <c r="AL318" s="127"/>
      <c r="AM318" s="127"/>
      <c r="AN318" s="127"/>
      <c r="AO318" s="127"/>
      <c r="AP318" s="127"/>
      <c r="AQ318" s="127"/>
      <c r="AR318" s="127"/>
      <c r="AS318" s="127"/>
      <c r="AT318" s="127"/>
      <c r="AU318" s="127"/>
      <c r="AV318" s="127"/>
      <c r="AW318" s="127"/>
      <c r="AX318" s="127"/>
      <c r="AY318" s="127"/>
      <c r="AZ318" s="127"/>
      <c r="BA318" s="127"/>
      <c r="BB318" s="127"/>
      <c r="BC318" s="127"/>
      <c r="BD318" s="127"/>
      <c r="BE318" s="127"/>
      <c r="BF318" s="127"/>
      <c r="BG318" s="127"/>
      <c r="BH318" s="127"/>
      <c r="BI318" s="127"/>
      <c r="BJ318" s="127"/>
      <c r="BK318" s="127"/>
      <c r="BL318" s="127"/>
      <c r="BM318" s="127"/>
      <c r="BN318" s="127"/>
      <c r="BO318" s="127"/>
      <c r="BP318" s="127"/>
      <c r="BQ318" s="127"/>
      <c r="BR318" s="127"/>
      <c r="BS318" s="127"/>
      <c r="BT318" s="127"/>
      <c r="BU318" s="127"/>
      <c r="BV318" s="127"/>
      <c r="BW318" s="127"/>
      <c r="BX318" s="127"/>
      <c r="BY318" s="127"/>
      <c r="BZ318" s="127"/>
      <c r="CA318" s="127"/>
      <c r="CB318" s="187"/>
      <c r="CC318" s="189"/>
      <c r="CD318" s="188"/>
      <c r="CE318" s="127"/>
      <c r="CF318" s="190"/>
      <c r="CG318" s="190"/>
      <c r="CH318" s="187"/>
      <c r="CI318" s="187"/>
      <c r="CJ318" s="187"/>
      <c r="CK318" s="187"/>
      <c r="CL318" s="187"/>
      <c r="CM318" s="187"/>
      <c r="CN318" s="187"/>
      <c r="CO318" s="127"/>
      <c r="CP318" s="127"/>
      <c r="CQ318" s="187"/>
      <c r="CR318" s="187"/>
      <c r="CS318" s="187"/>
      <c r="CT318" s="187"/>
      <c r="CU318" s="187"/>
      <c r="CV318" s="187"/>
      <c r="CW318" s="187"/>
      <c r="CX318" s="187"/>
    </row>
    <row r="319" spans="1:102" ht="12.75" customHeight="1" x14ac:dyDescent="0.2">
      <c r="A319" s="187"/>
      <c r="B319" s="127"/>
      <c r="C319" s="187"/>
      <c r="D319" s="127"/>
      <c r="E319" s="187"/>
      <c r="F319" s="187"/>
      <c r="G319" s="187"/>
      <c r="H319" s="187"/>
      <c r="I319" s="187"/>
      <c r="J319" s="187"/>
      <c r="K319" s="187"/>
      <c r="L319" s="187"/>
      <c r="M319" s="187"/>
      <c r="N319" s="187"/>
      <c r="O319" s="187"/>
      <c r="P319" s="187"/>
      <c r="Q319" s="187"/>
      <c r="R319" s="187"/>
      <c r="S319" s="187"/>
      <c r="T319" s="127"/>
      <c r="U319" s="188"/>
      <c r="V319" s="127"/>
      <c r="W319" s="1438"/>
      <c r="X319" s="127"/>
      <c r="Y319" s="127"/>
      <c r="Z319" s="127"/>
      <c r="AA319" s="127"/>
      <c r="AB319" s="127"/>
      <c r="AC319" s="127"/>
      <c r="AD319" s="127"/>
      <c r="AE319" s="127"/>
      <c r="AF319" s="127"/>
      <c r="AG319" s="127"/>
      <c r="AH319" s="127"/>
      <c r="AI319" s="127"/>
      <c r="AJ319" s="127"/>
      <c r="AK319" s="127"/>
      <c r="AL319" s="127"/>
      <c r="AM319" s="127"/>
      <c r="AN319" s="127"/>
      <c r="AO319" s="127"/>
      <c r="AP319" s="127"/>
      <c r="AQ319" s="127"/>
      <c r="AR319" s="127"/>
      <c r="AS319" s="127"/>
      <c r="AT319" s="127"/>
      <c r="AU319" s="127"/>
      <c r="AV319" s="127"/>
      <c r="AW319" s="127"/>
      <c r="AX319" s="127"/>
      <c r="AY319" s="127"/>
      <c r="AZ319" s="127"/>
      <c r="BA319" s="127"/>
      <c r="BB319" s="127"/>
      <c r="BC319" s="127"/>
      <c r="BD319" s="127"/>
      <c r="BE319" s="127"/>
      <c r="BF319" s="127"/>
      <c r="BG319" s="127"/>
      <c r="BH319" s="127"/>
      <c r="BI319" s="127"/>
      <c r="BJ319" s="127"/>
      <c r="BK319" s="127"/>
      <c r="BL319" s="127"/>
      <c r="BM319" s="127"/>
      <c r="BN319" s="127"/>
      <c r="BO319" s="127"/>
      <c r="BP319" s="127"/>
      <c r="BQ319" s="127"/>
      <c r="BR319" s="127"/>
      <c r="BS319" s="127"/>
      <c r="BT319" s="127"/>
      <c r="BU319" s="127"/>
      <c r="BV319" s="127"/>
      <c r="BW319" s="127"/>
      <c r="BX319" s="127"/>
      <c r="BY319" s="127"/>
      <c r="BZ319" s="127"/>
      <c r="CA319" s="127"/>
      <c r="CB319" s="187"/>
      <c r="CC319" s="189"/>
      <c r="CD319" s="188"/>
      <c r="CE319" s="127"/>
      <c r="CF319" s="190"/>
      <c r="CG319" s="190"/>
      <c r="CH319" s="187"/>
      <c r="CI319" s="187"/>
      <c r="CJ319" s="187"/>
      <c r="CK319" s="187"/>
      <c r="CL319" s="187"/>
      <c r="CM319" s="187"/>
      <c r="CN319" s="187"/>
      <c r="CO319" s="127"/>
      <c r="CP319" s="127"/>
      <c r="CQ319" s="187"/>
      <c r="CR319" s="187"/>
      <c r="CS319" s="187"/>
      <c r="CT319" s="187"/>
      <c r="CU319" s="187"/>
      <c r="CV319" s="187"/>
      <c r="CW319" s="187"/>
      <c r="CX319" s="187"/>
    </row>
    <row r="320" spans="1:102" ht="12.75" customHeight="1" x14ac:dyDescent="0.2">
      <c r="A320" s="187"/>
      <c r="B320" s="127"/>
      <c r="C320" s="187"/>
      <c r="D320" s="127"/>
      <c r="E320" s="187"/>
      <c r="F320" s="187"/>
      <c r="G320" s="187"/>
      <c r="H320" s="187"/>
      <c r="I320" s="187"/>
      <c r="J320" s="187"/>
      <c r="K320" s="187"/>
      <c r="L320" s="187"/>
      <c r="M320" s="187"/>
      <c r="N320" s="187"/>
      <c r="O320" s="187"/>
      <c r="P320" s="187"/>
      <c r="Q320" s="187"/>
      <c r="R320" s="187"/>
      <c r="S320" s="187"/>
      <c r="T320" s="127"/>
      <c r="U320" s="188"/>
      <c r="V320" s="127"/>
      <c r="W320" s="1438"/>
      <c r="X320" s="127"/>
      <c r="Y320" s="127"/>
      <c r="Z320" s="127"/>
      <c r="AA320" s="127"/>
      <c r="AB320" s="127"/>
      <c r="AC320" s="127"/>
      <c r="AD320" s="127"/>
      <c r="AE320" s="127"/>
      <c r="AF320" s="127"/>
      <c r="AG320" s="127"/>
      <c r="AH320" s="127"/>
      <c r="AI320" s="127"/>
      <c r="AJ320" s="127"/>
      <c r="AK320" s="127"/>
      <c r="AL320" s="127"/>
      <c r="AM320" s="127"/>
      <c r="AN320" s="127"/>
      <c r="AO320" s="127"/>
      <c r="AP320" s="127"/>
      <c r="AQ320" s="127"/>
      <c r="AR320" s="127"/>
      <c r="AS320" s="127"/>
      <c r="AT320" s="127"/>
      <c r="AU320" s="127"/>
      <c r="AV320" s="127"/>
      <c r="AW320" s="127"/>
      <c r="AX320" s="127"/>
      <c r="AY320" s="127"/>
      <c r="AZ320" s="127"/>
      <c r="BA320" s="127"/>
      <c r="BB320" s="127"/>
      <c r="BC320" s="127"/>
      <c r="BD320" s="127"/>
      <c r="BE320" s="127"/>
      <c r="BF320" s="127"/>
      <c r="BG320" s="127"/>
      <c r="BH320" s="127"/>
      <c r="BI320" s="127"/>
      <c r="BJ320" s="127"/>
      <c r="BK320" s="127"/>
      <c r="BL320" s="127"/>
      <c r="BM320" s="127"/>
      <c r="BN320" s="127"/>
      <c r="BO320" s="127"/>
      <c r="BP320" s="127"/>
      <c r="BQ320" s="127"/>
      <c r="BR320" s="127"/>
      <c r="BS320" s="127"/>
      <c r="BT320" s="127"/>
      <c r="BU320" s="127"/>
      <c r="BV320" s="127"/>
      <c r="BW320" s="127"/>
      <c r="BX320" s="127"/>
      <c r="BY320" s="127"/>
      <c r="BZ320" s="127"/>
      <c r="CA320" s="127"/>
      <c r="CB320" s="187"/>
      <c r="CC320" s="189"/>
      <c r="CD320" s="188"/>
      <c r="CE320" s="127"/>
      <c r="CF320" s="190"/>
      <c r="CG320" s="190"/>
      <c r="CH320" s="187"/>
      <c r="CI320" s="187"/>
      <c r="CJ320" s="187"/>
      <c r="CK320" s="187"/>
      <c r="CL320" s="187"/>
      <c r="CM320" s="187"/>
      <c r="CN320" s="187"/>
      <c r="CO320" s="127"/>
      <c r="CP320" s="127"/>
      <c r="CQ320" s="187"/>
      <c r="CR320" s="187"/>
      <c r="CS320" s="187"/>
      <c r="CT320" s="187"/>
      <c r="CU320" s="187"/>
      <c r="CV320" s="187"/>
      <c r="CW320" s="187"/>
      <c r="CX320" s="187"/>
    </row>
    <row r="321" spans="1:102" ht="12.75" customHeight="1" x14ac:dyDescent="0.2">
      <c r="A321" s="187"/>
      <c r="B321" s="127"/>
      <c r="C321" s="187"/>
      <c r="D321" s="127"/>
      <c r="E321" s="187"/>
      <c r="F321" s="187"/>
      <c r="G321" s="187"/>
      <c r="H321" s="187"/>
      <c r="I321" s="187"/>
      <c r="J321" s="187"/>
      <c r="K321" s="187"/>
      <c r="L321" s="187"/>
      <c r="M321" s="187"/>
      <c r="N321" s="187"/>
      <c r="O321" s="187"/>
      <c r="P321" s="187"/>
      <c r="Q321" s="187"/>
      <c r="R321" s="187"/>
      <c r="S321" s="187"/>
      <c r="T321" s="127"/>
      <c r="U321" s="188"/>
      <c r="V321" s="127"/>
      <c r="W321" s="1438"/>
      <c r="X321" s="127"/>
      <c r="Y321" s="127"/>
      <c r="Z321" s="127"/>
      <c r="AA321" s="127"/>
      <c r="AB321" s="127"/>
      <c r="AC321" s="127"/>
      <c r="AD321" s="127"/>
      <c r="AE321" s="127"/>
      <c r="AF321" s="127"/>
      <c r="AG321" s="127"/>
      <c r="AH321" s="127"/>
      <c r="AI321" s="127"/>
      <c r="AJ321" s="127"/>
      <c r="AK321" s="127"/>
      <c r="AL321" s="127"/>
      <c r="AM321" s="127"/>
      <c r="AN321" s="127"/>
      <c r="AO321" s="127"/>
      <c r="AP321" s="127"/>
      <c r="AQ321" s="127"/>
      <c r="AR321" s="127"/>
      <c r="AS321" s="127"/>
      <c r="AT321" s="127"/>
      <c r="AU321" s="127"/>
      <c r="AV321" s="127"/>
      <c r="AW321" s="127"/>
      <c r="AX321" s="127"/>
      <c r="AY321" s="127"/>
      <c r="AZ321" s="127"/>
      <c r="BA321" s="127"/>
      <c r="BB321" s="127"/>
      <c r="BC321" s="127"/>
      <c r="BD321" s="127"/>
      <c r="BE321" s="127"/>
      <c r="BF321" s="127"/>
      <c r="BG321" s="127"/>
      <c r="BH321" s="127"/>
      <c r="BI321" s="127"/>
      <c r="BJ321" s="127"/>
      <c r="BK321" s="127"/>
      <c r="BL321" s="127"/>
      <c r="BM321" s="127"/>
      <c r="BN321" s="127"/>
      <c r="BO321" s="127"/>
      <c r="BP321" s="127"/>
      <c r="BQ321" s="127"/>
      <c r="BR321" s="127"/>
      <c r="BS321" s="127"/>
      <c r="BT321" s="127"/>
      <c r="BU321" s="127"/>
      <c r="BV321" s="127"/>
      <c r="BW321" s="127"/>
      <c r="BX321" s="127"/>
      <c r="BY321" s="127"/>
      <c r="BZ321" s="127"/>
      <c r="CA321" s="127"/>
      <c r="CB321" s="187"/>
      <c r="CC321" s="189"/>
      <c r="CD321" s="188"/>
      <c r="CE321" s="127"/>
      <c r="CF321" s="190"/>
      <c r="CG321" s="190"/>
      <c r="CH321" s="187"/>
      <c r="CI321" s="187"/>
      <c r="CJ321" s="187"/>
      <c r="CK321" s="187"/>
      <c r="CL321" s="187"/>
      <c r="CM321" s="187"/>
      <c r="CN321" s="187"/>
      <c r="CO321" s="127"/>
      <c r="CP321" s="127"/>
      <c r="CQ321" s="187"/>
      <c r="CR321" s="187"/>
      <c r="CS321" s="187"/>
      <c r="CT321" s="187"/>
      <c r="CU321" s="187"/>
      <c r="CV321" s="187"/>
      <c r="CW321" s="187"/>
      <c r="CX321" s="187"/>
    </row>
    <row r="322" spans="1:102" ht="12.75" customHeight="1" x14ac:dyDescent="0.2">
      <c r="A322" s="187"/>
      <c r="B322" s="127"/>
      <c r="C322" s="187"/>
      <c r="D322" s="127"/>
      <c r="E322" s="187"/>
      <c r="F322" s="187"/>
      <c r="G322" s="187"/>
      <c r="H322" s="187"/>
      <c r="I322" s="187"/>
      <c r="J322" s="187"/>
      <c r="K322" s="187"/>
      <c r="L322" s="187"/>
      <c r="M322" s="187"/>
      <c r="N322" s="187"/>
      <c r="O322" s="187"/>
      <c r="P322" s="187"/>
      <c r="Q322" s="187"/>
      <c r="R322" s="187"/>
      <c r="S322" s="187"/>
      <c r="T322" s="127"/>
      <c r="U322" s="188"/>
      <c r="V322" s="127"/>
      <c r="W322" s="1438"/>
      <c r="X322" s="127"/>
      <c r="Y322" s="127"/>
      <c r="Z322" s="127"/>
      <c r="AA322" s="127"/>
      <c r="AB322" s="127"/>
      <c r="AC322" s="127"/>
      <c r="AD322" s="127"/>
      <c r="AE322" s="127"/>
      <c r="AF322" s="127"/>
      <c r="AG322" s="127"/>
      <c r="AH322" s="127"/>
      <c r="AI322" s="127"/>
      <c r="AJ322" s="127"/>
      <c r="AK322" s="127"/>
      <c r="AL322" s="127"/>
      <c r="AM322" s="127"/>
      <c r="AN322" s="127"/>
      <c r="AO322" s="127"/>
      <c r="AP322" s="127"/>
      <c r="AQ322" s="127"/>
      <c r="AR322" s="127"/>
      <c r="AS322" s="127"/>
      <c r="AT322" s="127"/>
      <c r="AU322" s="127"/>
      <c r="AV322" s="127"/>
      <c r="AW322" s="127"/>
      <c r="AX322" s="127"/>
      <c r="AY322" s="127"/>
      <c r="AZ322" s="127"/>
      <c r="BA322" s="127"/>
      <c r="BB322" s="127"/>
      <c r="BC322" s="127"/>
      <c r="BD322" s="127"/>
      <c r="BE322" s="127"/>
      <c r="BF322" s="127"/>
      <c r="BG322" s="127"/>
      <c r="BH322" s="127"/>
      <c r="BI322" s="127"/>
      <c r="BJ322" s="127"/>
      <c r="BK322" s="127"/>
      <c r="BL322" s="127"/>
      <c r="BM322" s="127"/>
      <c r="BN322" s="127"/>
      <c r="BO322" s="127"/>
      <c r="BP322" s="127"/>
      <c r="BQ322" s="127"/>
      <c r="BR322" s="127"/>
      <c r="BS322" s="127"/>
      <c r="BT322" s="127"/>
      <c r="BU322" s="127"/>
      <c r="BV322" s="127"/>
      <c r="BW322" s="127"/>
      <c r="BX322" s="127"/>
      <c r="BY322" s="127"/>
      <c r="BZ322" s="127"/>
      <c r="CA322" s="127"/>
      <c r="CB322" s="187"/>
      <c r="CC322" s="189"/>
      <c r="CD322" s="188"/>
      <c r="CE322" s="127"/>
      <c r="CF322" s="190"/>
      <c r="CG322" s="190"/>
      <c r="CH322" s="187"/>
      <c r="CI322" s="187"/>
      <c r="CJ322" s="187"/>
      <c r="CK322" s="187"/>
      <c r="CL322" s="187"/>
      <c r="CM322" s="187"/>
      <c r="CN322" s="187"/>
      <c r="CO322" s="127"/>
      <c r="CP322" s="127"/>
      <c r="CQ322" s="187"/>
      <c r="CR322" s="187"/>
      <c r="CS322" s="187"/>
      <c r="CT322" s="187"/>
      <c r="CU322" s="187"/>
      <c r="CV322" s="187"/>
      <c r="CW322" s="187"/>
      <c r="CX322" s="187"/>
    </row>
    <row r="323" spans="1:102" ht="12.75" customHeight="1" x14ac:dyDescent="0.2">
      <c r="A323" s="187"/>
      <c r="B323" s="127"/>
      <c r="C323" s="187"/>
      <c r="D323" s="127"/>
      <c r="E323" s="187"/>
      <c r="F323" s="187"/>
      <c r="G323" s="187"/>
      <c r="H323" s="187"/>
      <c r="I323" s="187"/>
      <c r="J323" s="187"/>
      <c r="K323" s="187"/>
      <c r="L323" s="187"/>
      <c r="M323" s="187"/>
      <c r="N323" s="187"/>
      <c r="O323" s="187"/>
      <c r="P323" s="187"/>
      <c r="Q323" s="187"/>
      <c r="R323" s="187"/>
      <c r="S323" s="187"/>
      <c r="T323" s="127"/>
      <c r="U323" s="188"/>
      <c r="V323" s="127"/>
      <c r="W323" s="1438"/>
      <c r="X323" s="127"/>
      <c r="Y323" s="127"/>
      <c r="Z323" s="127"/>
      <c r="AA323" s="127"/>
      <c r="AB323" s="127"/>
      <c r="AC323" s="127"/>
      <c r="AD323" s="127"/>
      <c r="AE323" s="127"/>
      <c r="AF323" s="127"/>
      <c r="AG323" s="127"/>
      <c r="AH323" s="127"/>
      <c r="AI323" s="127"/>
      <c r="AJ323" s="127"/>
      <c r="AK323" s="127"/>
      <c r="AL323" s="127"/>
      <c r="AM323" s="127"/>
      <c r="AN323" s="127"/>
      <c r="AO323" s="127"/>
      <c r="AP323" s="127"/>
      <c r="AQ323" s="127"/>
      <c r="AR323" s="127"/>
      <c r="AS323" s="127"/>
      <c r="AT323" s="127"/>
      <c r="AU323" s="127"/>
      <c r="AV323" s="127"/>
      <c r="AW323" s="127"/>
      <c r="AX323" s="127"/>
      <c r="AY323" s="127"/>
      <c r="AZ323" s="127"/>
      <c r="BA323" s="127"/>
      <c r="BB323" s="127"/>
      <c r="BC323" s="127"/>
      <c r="BD323" s="127"/>
      <c r="BE323" s="127"/>
      <c r="BF323" s="127"/>
      <c r="BG323" s="127"/>
      <c r="BH323" s="127"/>
      <c r="BI323" s="127"/>
      <c r="BJ323" s="127"/>
      <c r="BK323" s="127"/>
      <c r="BL323" s="127"/>
      <c r="BM323" s="127"/>
      <c r="BN323" s="127"/>
      <c r="BO323" s="127"/>
      <c r="BP323" s="127"/>
      <c r="BQ323" s="127"/>
      <c r="BR323" s="127"/>
      <c r="BS323" s="127"/>
      <c r="BT323" s="127"/>
      <c r="BU323" s="127"/>
      <c r="BV323" s="127"/>
      <c r="BW323" s="127"/>
      <c r="BX323" s="127"/>
      <c r="BY323" s="127"/>
      <c r="BZ323" s="127"/>
      <c r="CA323" s="127"/>
      <c r="CB323" s="187"/>
      <c r="CC323" s="189"/>
      <c r="CD323" s="188"/>
      <c r="CE323" s="127"/>
      <c r="CF323" s="190"/>
      <c r="CG323" s="190"/>
      <c r="CH323" s="187"/>
      <c r="CI323" s="187"/>
      <c r="CJ323" s="187"/>
      <c r="CK323" s="187"/>
      <c r="CL323" s="187"/>
      <c r="CM323" s="187"/>
      <c r="CN323" s="187"/>
      <c r="CO323" s="127"/>
      <c r="CP323" s="127"/>
      <c r="CQ323" s="187"/>
      <c r="CR323" s="187"/>
      <c r="CS323" s="187"/>
      <c r="CT323" s="187"/>
      <c r="CU323" s="187"/>
      <c r="CV323" s="187"/>
      <c r="CW323" s="187"/>
      <c r="CX323" s="187"/>
    </row>
    <row r="324" spans="1:102" ht="12.75" customHeight="1" x14ac:dyDescent="0.2">
      <c r="A324" s="187"/>
      <c r="B324" s="127"/>
      <c r="C324" s="187"/>
      <c r="D324" s="127"/>
      <c r="E324" s="187"/>
      <c r="F324" s="187"/>
      <c r="G324" s="187"/>
      <c r="H324" s="187"/>
      <c r="I324" s="187"/>
      <c r="J324" s="187"/>
      <c r="K324" s="187"/>
      <c r="L324" s="187"/>
      <c r="M324" s="187"/>
      <c r="N324" s="187"/>
      <c r="O324" s="187"/>
      <c r="P324" s="187"/>
      <c r="Q324" s="187"/>
      <c r="R324" s="187"/>
      <c r="S324" s="187"/>
      <c r="T324" s="127"/>
      <c r="U324" s="188"/>
      <c r="V324" s="127"/>
      <c r="W324" s="1438"/>
      <c r="X324" s="127"/>
      <c r="Y324" s="127"/>
      <c r="Z324" s="127"/>
      <c r="AA324" s="127"/>
      <c r="AB324" s="127"/>
      <c r="AC324" s="127"/>
      <c r="AD324" s="127"/>
      <c r="AE324" s="127"/>
      <c r="AF324" s="127"/>
      <c r="AG324" s="127"/>
      <c r="AH324" s="127"/>
      <c r="AI324" s="127"/>
      <c r="AJ324" s="127"/>
      <c r="AK324" s="127"/>
      <c r="AL324" s="127"/>
      <c r="AM324" s="127"/>
      <c r="AN324" s="127"/>
      <c r="AO324" s="127"/>
      <c r="AP324" s="127"/>
      <c r="AQ324" s="127"/>
      <c r="AR324" s="127"/>
      <c r="AS324" s="127"/>
      <c r="AT324" s="127"/>
      <c r="AU324" s="127"/>
      <c r="AV324" s="127"/>
      <c r="AW324" s="127"/>
      <c r="AX324" s="127"/>
      <c r="AY324" s="127"/>
      <c r="AZ324" s="127"/>
      <c r="BA324" s="127"/>
      <c r="BB324" s="127"/>
      <c r="BC324" s="127"/>
      <c r="BD324" s="127"/>
      <c r="BE324" s="127"/>
      <c r="BF324" s="127"/>
      <c r="BG324" s="127"/>
      <c r="BH324" s="127"/>
      <c r="BI324" s="127"/>
      <c r="BJ324" s="127"/>
      <c r="BK324" s="127"/>
      <c r="BL324" s="127"/>
      <c r="BM324" s="127"/>
      <c r="BN324" s="127"/>
      <c r="BO324" s="127"/>
      <c r="BP324" s="127"/>
      <c r="BQ324" s="127"/>
      <c r="BR324" s="127"/>
      <c r="BS324" s="127"/>
      <c r="BT324" s="127"/>
      <c r="BU324" s="127"/>
      <c r="BV324" s="127"/>
      <c r="BW324" s="127"/>
      <c r="BX324" s="127"/>
      <c r="BY324" s="127"/>
      <c r="BZ324" s="127"/>
      <c r="CA324" s="127"/>
      <c r="CB324" s="187"/>
      <c r="CC324" s="189"/>
      <c r="CD324" s="188"/>
      <c r="CE324" s="127"/>
      <c r="CF324" s="190"/>
      <c r="CG324" s="190"/>
      <c r="CH324" s="187"/>
      <c r="CI324" s="187"/>
      <c r="CJ324" s="187"/>
      <c r="CK324" s="187"/>
      <c r="CL324" s="187"/>
      <c r="CM324" s="187"/>
      <c r="CN324" s="187"/>
      <c r="CO324" s="127"/>
      <c r="CP324" s="127"/>
      <c r="CQ324" s="187"/>
      <c r="CR324" s="187"/>
      <c r="CS324" s="187"/>
      <c r="CT324" s="187"/>
      <c r="CU324" s="187"/>
      <c r="CV324" s="187"/>
      <c r="CW324" s="187"/>
      <c r="CX324" s="187"/>
    </row>
    <row r="325" spans="1:102" ht="12.75" customHeight="1" x14ac:dyDescent="0.2">
      <c r="A325" s="187"/>
      <c r="B325" s="127"/>
      <c r="C325" s="187"/>
      <c r="D325" s="127"/>
      <c r="E325" s="187"/>
      <c r="F325" s="187"/>
      <c r="G325" s="187"/>
      <c r="H325" s="187"/>
      <c r="I325" s="187"/>
      <c r="J325" s="187"/>
      <c r="K325" s="187"/>
      <c r="L325" s="187"/>
      <c r="M325" s="187"/>
      <c r="N325" s="187"/>
      <c r="O325" s="187"/>
      <c r="P325" s="187"/>
      <c r="Q325" s="187"/>
      <c r="R325" s="187"/>
      <c r="S325" s="187"/>
      <c r="T325" s="127"/>
      <c r="U325" s="188"/>
      <c r="V325" s="127"/>
      <c r="W325" s="1438"/>
      <c r="X325" s="127"/>
      <c r="Y325" s="127"/>
      <c r="Z325" s="127"/>
      <c r="AA325" s="127"/>
      <c r="AB325" s="127"/>
      <c r="AC325" s="127"/>
      <c r="AD325" s="127"/>
      <c r="AE325" s="127"/>
      <c r="AF325" s="127"/>
      <c r="AG325" s="127"/>
      <c r="AH325" s="127"/>
      <c r="AI325" s="127"/>
      <c r="AJ325" s="127"/>
      <c r="AK325" s="127"/>
      <c r="AL325" s="127"/>
      <c r="AM325" s="127"/>
      <c r="AN325" s="127"/>
      <c r="AO325" s="127"/>
      <c r="AP325" s="127"/>
      <c r="AQ325" s="127"/>
      <c r="AR325" s="127"/>
      <c r="AS325" s="127"/>
      <c r="AT325" s="127"/>
      <c r="AU325" s="127"/>
      <c r="AV325" s="127"/>
      <c r="AW325" s="127"/>
      <c r="AX325" s="127"/>
      <c r="AY325" s="127"/>
      <c r="AZ325" s="127"/>
      <c r="BA325" s="127"/>
      <c r="BB325" s="127"/>
      <c r="BC325" s="127"/>
      <c r="BD325" s="127"/>
      <c r="BE325" s="127"/>
      <c r="BF325" s="127"/>
      <c r="BG325" s="127"/>
      <c r="BH325" s="127"/>
      <c r="BI325" s="127"/>
      <c r="BJ325" s="127"/>
      <c r="BK325" s="127"/>
      <c r="BL325" s="127"/>
      <c r="BM325" s="127"/>
      <c r="BN325" s="127"/>
      <c r="BO325" s="127"/>
      <c r="BP325" s="127"/>
      <c r="BQ325" s="127"/>
      <c r="BR325" s="127"/>
      <c r="BS325" s="127"/>
      <c r="BT325" s="127"/>
      <c r="BU325" s="127"/>
      <c r="BV325" s="127"/>
      <c r="BW325" s="127"/>
      <c r="BX325" s="127"/>
      <c r="BY325" s="127"/>
      <c r="BZ325" s="127"/>
      <c r="CA325" s="127"/>
      <c r="CB325" s="187"/>
      <c r="CC325" s="189"/>
      <c r="CD325" s="188"/>
      <c r="CE325" s="127"/>
      <c r="CF325" s="190"/>
      <c r="CG325" s="190"/>
      <c r="CH325" s="187"/>
      <c r="CI325" s="187"/>
      <c r="CJ325" s="187"/>
      <c r="CK325" s="187"/>
      <c r="CL325" s="187"/>
      <c r="CM325" s="187"/>
      <c r="CN325" s="187"/>
      <c r="CO325" s="127"/>
      <c r="CP325" s="127"/>
      <c r="CQ325" s="187"/>
      <c r="CR325" s="187"/>
      <c r="CS325" s="187"/>
      <c r="CT325" s="187"/>
      <c r="CU325" s="187"/>
      <c r="CV325" s="187"/>
      <c r="CW325" s="187"/>
      <c r="CX325" s="187"/>
    </row>
    <row r="326" spans="1:102" ht="12.75" customHeight="1" x14ac:dyDescent="0.2">
      <c r="A326" s="187"/>
      <c r="B326" s="127"/>
      <c r="C326" s="187"/>
      <c r="D326" s="127"/>
      <c r="E326" s="187"/>
      <c r="F326" s="187"/>
      <c r="G326" s="187"/>
      <c r="H326" s="187"/>
      <c r="I326" s="187"/>
      <c r="J326" s="187"/>
      <c r="K326" s="187"/>
      <c r="L326" s="187"/>
      <c r="M326" s="187"/>
      <c r="N326" s="187"/>
      <c r="O326" s="187"/>
      <c r="P326" s="187"/>
      <c r="Q326" s="187"/>
      <c r="R326" s="187"/>
      <c r="S326" s="187"/>
      <c r="T326" s="127"/>
      <c r="U326" s="188"/>
      <c r="V326" s="127"/>
      <c r="W326" s="1438"/>
      <c r="X326" s="127"/>
      <c r="Y326" s="127"/>
      <c r="Z326" s="127"/>
      <c r="AA326" s="127"/>
      <c r="AB326" s="127"/>
      <c r="AC326" s="127"/>
      <c r="AD326" s="127"/>
      <c r="AE326" s="127"/>
      <c r="AF326" s="127"/>
      <c r="AG326" s="127"/>
      <c r="AH326" s="127"/>
      <c r="AI326" s="127"/>
      <c r="AJ326" s="127"/>
      <c r="AK326" s="127"/>
      <c r="AL326" s="127"/>
      <c r="AM326" s="127"/>
      <c r="AN326" s="127"/>
      <c r="AO326" s="127"/>
      <c r="AP326" s="127"/>
      <c r="AQ326" s="127"/>
      <c r="AR326" s="127"/>
      <c r="AS326" s="127"/>
      <c r="AT326" s="127"/>
      <c r="AU326" s="127"/>
      <c r="AV326" s="127"/>
      <c r="AW326" s="127"/>
      <c r="AX326" s="127"/>
      <c r="AY326" s="127"/>
      <c r="AZ326" s="127"/>
      <c r="BA326" s="127"/>
      <c r="BB326" s="127"/>
      <c r="BC326" s="127"/>
      <c r="BD326" s="127"/>
      <c r="BE326" s="127"/>
      <c r="BF326" s="127"/>
      <c r="BG326" s="127"/>
      <c r="BH326" s="127"/>
      <c r="BI326" s="127"/>
      <c r="BJ326" s="127"/>
      <c r="BK326" s="127"/>
      <c r="BL326" s="127"/>
      <c r="BM326" s="127"/>
      <c r="BN326" s="127"/>
      <c r="BO326" s="127"/>
      <c r="BP326" s="127"/>
      <c r="BQ326" s="127"/>
      <c r="BR326" s="127"/>
      <c r="BS326" s="127"/>
      <c r="BT326" s="127"/>
      <c r="BU326" s="127"/>
      <c r="BV326" s="127"/>
      <c r="BW326" s="127"/>
      <c r="BX326" s="127"/>
      <c r="BY326" s="127"/>
      <c r="BZ326" s="127"/>
      <c r="CA326" s="127"/>
      <c r="CB326" s="187"/>
      <c r="CC326" s="189"/>
      <c r="CD326" s="188"/>
      <c r="CE326" s="127"/>
      <c r="CF326" s="190"/>
      <c r="CG326" s="190"/>
      <c r="CH326" s="187"/>
      <c r="CI326" s="187"/>
      <c r="CJ326" s="187"/>
      <c r="CK326" s="187"/>
      <c r="CL326" s="187"/>
      <c r="CM326" s="187"/>
      <c r="CN326" s="187"/>
      <c r="CO326" s="127"/>
      <c r="CP326" s="127"/>
      <c r="CQ326" s="187"/>
      <c r="CR326" s="187"/>
      <c r="CS326" s="187"/>
      <c r="CT326" s="187"/>
      <c r="CU326" s="187"/>
      <c r="CV326" s="187"/>
      <c r="CW326" s="187"/>
      <c r="CX326" s="187"/>
    </row>
    <row r="327" spans="1:102" ht="12.75" customHeight="1" x14ac:dyDescent="0.2">
      <c r="A327" s="187"/>
      <c r="B327" s="127"/>
      <c r="C327" s="187"/>
      <c r="D327" s="127"/>
      <c r="E327" s="187"/>
      <c r="F327" s="187"/>
      <c r="G327" s="187"/>
      <c r="H327" s="187"/>
      <c r="I327" s="187"/>
      <c r="J327" s="187"/>
      <c r="K327" s="187"/>
      <c r="L327" s="187"/>
      <c r="M327" s="187"/>
      <c r="N327" s="187"/>
      <c r="O327" s="187"/>
      <c r="P327" s="187"/>
      <c r="Q327" s="187"/>
      <c r="R327" s="187"/>
      <c r="S327" s="187"/>
      <c r="T327" s="127"/>
      <c r="U327" s="188"/>
      <c r="V327" s="127"/>
      <c r="W327" s="1438"/>
      <c r="X327" s="127"/>
      <c r="Y327" s="127"/>
      <c r="Z327" s="127"/>
      <c r="AA327" s="127"/>
      <c r="AB327" s="127"/>
      <c r="AC327" s="127"/>
      <c r="AD327" s="127"/>
      <c r="AE327" s="127"/>
      <c r="AF327" s="127"/>
      <c r="AG327" s="127"/>
      <c r="AH327" s="127"/>
      <c r="AI327" s="127"/>
      <c r="AJ327" s="127"/>
      <c r="AK327" s="127"/>
      <c r="AL327" s="127"/>
      <c r="AM327" s="127"/>
      <c r="AN327" s="127"/>
      <c r="AO327" s="127"/>
      <c r="AP327" s="127"/>
      <c r="AQ327" s="127"/>
      <c r="AR327" s="127"/>
      <c r="AS327" s="127"/>
      <c r="AT327" s="127"/>
      <c r="AU327" s="127"/>
      <c r="AV327" s="127"/>
      <c r="AW327" s="127"/>
      <c r="AX327" s="127"/>
      <c r="AY327" s="127"/>
      <c r="AZ327" s="127"/>
      <c r="BA327" s="127"/>
      <c r="BB327" s="127"/>
      <c r="BC327" s="127"/>
      <c r="BD327" s="127"/>
      <c r="BE327" s="127"/>
      <c r="BF327" s="127"/>
      <c r="BG327" s="127"/>
      <c r="BH327" s="127"/>
      <c r="BI327" s="127"/>
      <c r="BJ327" s="127"/>
      <c r="BK327" s="127"/>
      <c r="BL327" s="127"/>
      <c r="BM327" s="127"/>
      <c r="BN327" s="127"/>
      <c r="BO327" s="127"/>
      <c r="BP327" s="127"/>
      <c r="BQ327" s="127"/>
      <c r="BR327" s="127"/>
      <c r="BS327" s="127"/>
      <c r="BT327" s="127"/>
      <c r="BU327" s="127"/>
      <c r="BV327" s="127"/>
      <c r="BW327" s="127"/>
      <c r="BX327" s="127"/>
      <c r="BY327" s="127"/>
      <c r="BZ327" s="127"/>
      <c r="CA327" s="127"/>
      <c r="CB327" s="187"/>
      <c r="CC327" s="189"/>
      <c r="CD327" s="188"/>
      <c r="CE327" s="127"/>
      <c r="CF327" s="190"/>
      <c r="CG327" s="190"/>
      <c r="CH327" s="187"/>
      <c r="CI327" s="187"/>
      <c r="CJ327" s="187"/>
      <c r="CK327" s="187"/>
      <c r="CL327" s="187"/>
      <c r="CM327" s="187"/>
      <c r="CN327" s="187"/>
      <c r="CO327" s="127"/>
      <c r="CP327" s="127"/>
      <c r="CQ327" s="187"/>
      <c r="CR327" s="187"/>
      <c r="CS327" s="187"/>
      <c r="CT327" s="187"/>
      <c r="CU327" s="187"/>
      <c r="CV327" s="187"/>
      <c r="CW327" s="187"/>
      <c r="CX327" s="187"/>
    </row>
    <row r="328" spans="1:102" ht="12.75" customHeight="1" x14ac:dyDescent="0.2">
      <c r="A328" s="187"/>
      <c r="B328" s="127"/>
      <c r="C328" s="187"/>
      <c r="D328" s="127"/>
      <c r="E328" s="187"/>
      <c r="F328" s="187"/>
      <c r="G328" s="187"/>
      <c r="H328" s="187"/>
      <c r="I328" s="187"/>
      <c r="J328" s="187"/>
      <c r="K328" s="187"/>
      <c r="L328" s="187"/>
      <c r="M328" s="187"/>
      <c r="N328" s="187"/>
      <c r="O328" s="187"/>
      <c r="P328" s="187"/>
      <c r="Q328" s="187"/>
      <c r="R328" s="187"/>
      <c r="S328" s="187"/>
      <c r="T328" s="127"/>
      <c r="U328" s="188"/>
      <c r="V328" s="127"/>
      <c r="W328" s="1438"/>
      <c r="X328" s="127"/>
      <c r="Y328" s="127"/>
      <c r="Z328" s="127"/>
      <c r="AA328" s="127"/>
      <c r="AB328" s="127"/>
      <c r="AC328" s="127"/>
      <c r="AD328" s="127"/>
      <c r="AE328" s="127"/>
      <c r="AF328" s="127"/>
      <c r="AG328" s="127"/>
      <c r="AH328" s="127"/>
      <c r="AI328" s="127"/>
      <c r="AJ328" s="127"/>
      <c r="AK328" s="127"/>
      <c r="AL328" s="127"/>
      <c r="AM328" s="127"/>
      <c r="AN328" s="127"/>
      <c r="AO328" s="127"/>
      <c r="AP328" s="127"/>
      <c r="AQ328" s="127"/>
      <c r="AR328" s="127"/>
      <c r="AS328" s="127"/>
      <c r="AT328" s="127"/>
      <c r="AU328" s="127"/>
      <c r="AV328" s="127"/>
      <c r="AW328" s="127"/>
      <c r="AX328" s="127"/>
      <c r="AY328" s="127"/>
      <c r="AZ328" s="127"/>
      <c r="BA328" s="127"/>
      <c r="BB328" s="127"/>
      <c r="BC328" s="127"/>
      <c r="BD328" s="127"/>
      <c r="BE328" s="127"/>
      <c r="BF328" s="127"/>
      <c r="BG328" s="127"/>
      <c r="BH328" s="127"/>
      <c r="BI328" s="127"/>
      <c r="BJ328" s="127"/>
      <c r="BK328" s="127"/>
      <c r="BL328" s="127"/>
      <c r="BM328" s="127"/>
      <c r="BN328" s="127"/>
      <c r="BO328" s="127"/>
      <c r="BP328" s="127"/>
      <c r="BQ328" s="127"/>
      <c r="BR328" s="127"/>
      <c r="BS328" s="127"/>
      <c r="BT328" s="127"/>
      <c r="BU328" s="127"/>
      <c r="BV328" s="127"/>
      <c r="BW328" s="127"/>
      <c r="BX328" s="127"/>
      <c r="BY328" s="127"/>
      <c r="BZ328" s="127"/>
      <c r="CA328" s="127"/>
      <c r="CB328" s="187"/>
      <c r="CC328" s="189"/>
      <c r="CD328" s="188"/>
      <c r="CE328" s="127"/>
      <c r="CF328" s="190"/>
      <c r="CG328" s="190"/>
      <c r="CH328" s="187"/>
      <c r="CI328" s="187"/>
      <c r="CJ328" s="187"/>
      <c r="CK328" s="187"/>
      <c r="CL328" s="187"/>
      <c r="CM328" s="187"/>
      <c r="CN328" s="187"/>
      <c r="CO328" s="127"/>
      <c r="CP328" s="127"/>
      <c r="CQ328" s="187"/>
      <c r="CR328" s="187"/>
      <c r="CS328" s="187"/>
      <c r="CT328" s="187"/>
      <c r="CU328" s="187"/>
      <c r="CV328" s="187"/>
      <c r="CW328" s="187"/>
      <c r="CX328" s="187"/>
    </row>
    <row r="329" spans="1:102" ht="12.75" customHeight="1" x14ac:dyDescent="0.2">
      <c r="A329" s="187"/>
      <c r="B329" s="127"/>
      <c r="C329" s="187"/>
      <c r="D329" s="127"/>
      <c r="E329" s="187"/>
      <c r="F329" s="187"/>
      <c r="G329" s="187"/>
      <c r="H329" s="187"/>
      <c r="I329" s="187"/>
      <c r="J329" s="187"/>
      <c r="K329" s="187"/>
      <c r="L329" s="187"/>
      <c r="M329" s="187"/>
      <c r="N329" s="187"/>
      <c r="O329" s="187"/>
      <c r="P329" s="187"/>
      <c r="Q329" s="187"/>
      <c r="R329" s="187"/>
      <c r="S329" s="187"/>
      <c r="T329" s="127"/>
      <c r="U329" s="188"/>
      <c r="V329" s="127"/>
      <c r="W329" s="1438"/>
      <c r="X329" s="127"/>
      <c r="Y329" s="127"/>
      <c r="Z329" s="127"/>
      <c r="AA329" s="127"/>
      <c r="AB329" s="127"/>
      <c r="AC329" s="127"/>
      <c r="AD329" s="127"/>
      <c r="AE329" s="127"/>
      <c r="AF329" s="127"/>
      <c r="AG329" s="127"/>
      <c r="AH329" s="127"/>
      <c r="AI329" s="127"/>
      <c r="AJ329" s="127"/>
      <c r="AK329" s="127"/>
      <c r="AL329" s="127"/>
      <c r="AM329" s="127"/>
      <c r="AN329" s="127"/>
      <c r="AO329" s="127"/>
      <c r="AP329" s="127"/>
      <c r="AQ329" s="127"/>
      <c r="AR329" s="127"/>
      <c r="AS329" s="127"/>
      <c r="AT329" s="127"/>
      <c r="AU329" s="127"/>
      <c r="AV329" s="127"/>
      <c r="AW329" s="127"/>
      <c r="AX329" s="127"/>
      <c r="AY329" s="127"/>
      <c r="AZ329" s="127"/>
      <c r="BA329" s="127"/>
      <c r="BB329" s="127"/>
      <c r="BC329" s="127"/>
      <c r="BD329" s="127"/>
      <c r="BE329" s="127"/>
      <c r="BF329" s="127"/>
      <c r="BG329" s="127"/>
      <c r="BH329" s="127"/>
      <c r="BI329" s="127"/>
      <c r="BJ329" s="127"/>
      <c r="BK329" s="127"/>
      <c r="BL329" s="127"/>
      <c r="BM329" s="127"/>
      <c r="BN329" s="127"/>
      <c r="BO329" s="127"/>
      <c r="BP329" s="127"/>
      <c r="BQ329" s="127"/>
      <c r="BR329" s="127"/>
      <c r="BS329" s="127"/>
      <c r="BT329" s="127"/>
      <c r="BU329" s="127"/>
      <c r="BV329" s="127"/>
      <c r="BW329" s="127"/>
      <c r="BX329" s="127"/>
      <c r="BY329" s="127"/>
      <c r="BZ329" s="127"/>
      <c r="CA329" s="127"/>
      <c r="CB329" s="187"/>
      <c r="CC329" s="189"/>
      <c r="CD329" s="188"/>
      <c r="CE329" s="127"/>
      <c r="CF329" s="190"/>
      <c r="CG329" s="190"/>
      <c r="CH329" s="187"/>
      <c r="CI329" s="187"/>
      <c r="CJ329" s="187"/>
      <c r="CK329" s="187"/>
      <c r="CL329" s="187"/>
      <c r="CM329" s="187"/>
      <c r="CN329" s="187"/>
      <c r="CO329" s="127"/>
      <c r="CP329" s="127"/>
      <c r="CQ329" s="187"/>
      <c r="CR329" s="187"/>
      <c r="CS329" s="187"/>
      <c r="CT329" s="187"/>
      <c r="CU329" s="187"/>
      <c r="CV329" s="187"/>
      <c r="CW329" s="187"/>
      <c r="CX329" s="187"/>
    </row>
    <row r="330" spans="1:102" ht="12.75" customHeight="1" x14ac:dyDescent="0.2">
      <c r="A330" s="187"/>
      <c r="B330" s="127"/>
      <c r="C330" s="187"/>
      <c r="D330" s="127"/>
      <c r="E330" s="187"/>
      <c r="F330" s="187"/>
      <c r="G330" s="187"/>
      <c r="H330" s="187"/>
      <c r="I330" s="187"/>
      <c r="J330" s="187"/>
      <c r="K330" s="187"/>
      <c r="L330" s="187"/>
      <c r="M330" s="187"/>
      <c r="N330" s="187"/>
      <c r="O330" s="187"/>
      <c r="P330" s="187"/>
      <c r="Q330" s="187"/>
      <c r="R330" s="187"/>
      <c r="S330" s="187"/>
      <c r="T330" s="127"/>
      <c r="U330" s="188"/>
      <c r="V330" s="127"/>
      <c r="W330" s="1438"/>
      <c r="X330" s="127"/>
      <c r="Y330" s="127"/>
      <c r="Z330" s="127"/>
      <c r="AA330" s="127"/>
      <c r="AB330" s="127"/>
      <c r="AC330" s="127"/>
      <c r="AD330" s="127"/>
      <c r="AE330" s="127"/>
      <c r="AF330" s="127"/>
      <c r="AG330" s="127"/>
      <c r="AH330" s="127"/>
      <c r="AI330" s="127"/>
      <c r="AJ330" s="127"/>
      <c r="AK330" s="127"/>
      <c r="AL330" s="127"/>
      <c r="AM330" s="127"/>
      <c r="AN330" s="127"/>
      <c r="AO330" s="127"/>
      <c r="AP330" s="127"/>
      <c r="AQ330" s="127"/>
      <c r="AR330" s="127"/>
      <c r="AS330" s="127"/>
      <c r="AT330" s="127"/>
      <c r="AU330" s="127"/>
      <c r="AV330" s="127"/>
      <c r="AW330" s="127"/>
      <c r="AX330" s="127"/>
      <c r="AY330" s="127"/>
      <c r="AZ330" s="127"/>
      <c r="BA330" s="127"/>
      <c r="BB330" s="127"/>
      <c r="BC330" s="127"/>
      <c r="BD330" s="127"/>
      <c r="BE330" s="127"/>
      <c r="BF330" s="127"/>
      <c r="BG330" s="127"/>
      <c r="BH330" s="127"/>
      <c r="BI330" s="127"/>
      <c r="BJ330" s="127"/>
      <c r="BK330" s="127"/>
      <c r="BL330" s="127"/>
      <c r="BM330" s="127"/>
      <c r="BN330" s="127"/>
      <c r="BO330" s="127"/>
      <c r="BP330" s="127"/>
      <c r="BQ330" s="127"/>
      <c r="BR330" s="127"/>
      <c r="BS330" s="127"/>
      <c r="BT330" s="127"/>
      <c r="BU330" s="127"/>
      <c r="BV330" s="127"/>
      <c r="BW330" s="127"/>
      <c r="BX330" s="127"/>
      <c r="BY330" s="127"/>
      <c r="BZ330" s="127"/>
      <c r="CA330" s="127"/>
      <c r="CB330" s="187"/>
      <c r="CC330" s="189"/>
      <c r="CD330" s="188"/>
      <c r="CE330" s="127"/>
      <c r="CF330" s="190"/>
      <c r="CG330" s="190"/>
      <c r="CH330" s="187"/>
      <c r="CI330" s="187"/>
      <c r="CJ330" s="187"/>
      <c r="CK330" s="187"/>
      <c r="CL330" s="187"/>
      <c r="CM330" s="187"/>
      <c r="CN330" s="187"/>
      <c r="CO330" s="127"/>
      <c r="CP330" s="127"/>
      <c r="CQ330" s="187"/>
      <c r="CR330" s="187"/>
      <c r="CS330" s="187"/>
      <c r="CT330" s="187"/>
      <c r="CU330" s="187"/>
      <c r="CV330" s="187"/>
      <c r="CW330" s="187"/>
      <c r="CX330" s="187"/>
    </row>
    <row r="331" spans="1:102" ht="12.75" customHeight="1" x14ac:dyDescent="0.2">
      <c r="A331" s="187"/>
      <c r="B331" s="127"/>
      <c r="C331" s="187"/>
      <c r="D331" s="127"/>
      <c r="E331" s="187"/>
      <c r="F331" s="187"/>
      <c r="G331" s="187"/>
      <c r="H331" s="187"/>
      <c r="I331" s="187"/>
      <c r="J331" s="187"/>
      <c r="K331" s="187"/>
      <c r="L331" s="187"/>
      <c r="M331" s="187"/>
      <c r="N331" s="187"/>
      <c r="O331" s="187"/>
      <c r="P331" s="187"/>
      <c r="Q331" s="187"/>
      <c r="R331" s="187"/>
      <c r="S331" s="187"/>
      <c r="T331" s="127"/>
      <c r="U331" s="188"/>
      <c r="V331" s="127"/>
      <c r="W331" s="1438"/>
      <c r="X331" s="127"/>
      <c r="Y331" s="127"/>
      <c r="Z331" s="127"/>
      <c r="AA331" s="127"/>
      <c r="AB331" s="127"/>
      <c r="AC331" s="127"/>
      <c r="AD331" s="127"/>
      <c r="AE331" s="127"/>
      <c r="AF331" s="127"/>
      <c r="AG331" s="127"/>
      <c r="AH331" s="127"/>
      <c r="AI331" s="127"/>
      <c r="AJ331" s="127"/>
      <c r="AK331" s="127"/>
      <c r="AL331" s="127"/>
      <c r="AM331" s="127"/>
      <c r="AN331" s="127"/>
      <c r="AO331" s="127"/>
      <c r="AP331" s="127"/>
      <c r="AQ331" s="127"/>
      <c r="AR331" s="127"/>
      <c r="AS331" s="127"/>
      <c r="AT331" s="127"/>
      <c r="AU331" s="127"/>
      <c r="AV331" s="127"/>
      <c r="AW331" s="127"/>
      <c r="AX331" s="127"/>
      <c r="AY331" s="127"/>
      <c r="AZ331" s="127"/>
      <c r="BA331" s="127"/>
      <c r="BB331" s="127"/>
      <c r="BC331" s="127"/>
      <c r="BD331" s="127"/>
      <c r="BE331" s="127"/>
      <c r="BF331" s="127"/>
      <c r="BG331" s="127"/>
      <c r="BH331" s="127"/>
      <c r="BI331" s="127"/>
      <c r="BJ331" s="127"/>
      <c r="BK331" s="127"/>
      <c r="BL331" s="127"/>
      <c r="BM331" s="127"/>
      <c r="BN331" s="127"/>
      <c r="BO331" s="127"/>
      <c r="BP331" s="127"/>
      <c r="BQ331" s="127"/>
      <c r="BR331" s="127"/>
      <c r="BS331" s="127"/>
      <c r="BT331" s="127"/>
      <c r="BU331" s="127"/>
      <c r="BV331" s="127"/>
      <c r="BW331" s="127"/>
      <c r="BX331" s="127"/>
      <c r="BY331" s="127"/>
      <c r="BZ331" s="127"/>
      <c r="CA331" s="127"/>
      <c r="CB331" s="187"/>
      <c r="CC331" s="189"/>
      <c r="CD331" s="188"/>
      <c r="CE331" s="127"/>
      <c r="CF331" s="190"/>
      <c r="CG331" s="190"/>
      <c r="CH331" s="187"/>
      <c r="CI331" s="187"/>
      <c r="CJ331" s="187"/>
      <c r="CK331" s="187"/>
      <c r="CL331" s="187"/>
      <c r="CM331" s="187"/>
      <c r="CN331" s="187"/>
      <c r="CO331" s="127"/>
      <c r="CP331" s="127"/>
      <c r="CQ331" s="187"/>
      <c r="CR331" s="187"/>
      <c r="CS331" s="187"/>
      <c r="CT331" s="187"/>
      <c r="CU331" s="187"/>
      <c r="CV331" s="187"/>
      <c r="CW331" s="187"/>
      <c r="CX331" s="187"/>
    </row>
    <row r="332" spans="1:102" ht="12.75" customHeight="1" x14ac:dyDescent="0.2">
      <c r="A332" s="187"/>
      <c r="B332" s="127"/>
      <c r="C332" s="187"/>
      <c r="D332" s="127"/>
      <c r="E332" s="187"/>
      <c r="F332" s="187"/>
      <c r="G332" s="187"/>
      <c r="H332" s="187"/>
      <c r="I332" s="187"/>
      <c r="J332" s="187"/>
      <c r="K332" s="187"/>
      <c r="L332" s="187"/>
      <c r="M332" s="187"/>
      <c r="N332" s="187"/>
      <c r="O332" s="187"/>
      <c r="P332" s="187"/>
      <c r="Q332" s="187"/>
      <c r="R332" s="187"/>
      <c r="S332" s="187"/>
      <c r="T332" s="127"/>
      <c r="U332" s="188"/>
      <c r="V332" s="127"/>
      <c r="W332" s="1438"/>
      <c r="X332" s="127"/>
      <c r="Y332" s="127"/>
      <c r="Z332" s="127"/>
      <c r="AA332" s="127"/>
      <c r="AB332" s="127"/>
      <c r="AC332" s="127"/>
      <c r="AD332" s="127"/>
      <c r="AE332" s="127"/>
      <c r="AF332" s="127"/>
      <c r="AG332" s="127"/>
      <c r="AH332" s="127"/>
      <c r="AI332" s="127"/>
      <c r="AJ332" s="127"/>
      <c r="AK332" s="127"/>
      <c r="AL332" s="127"/>
      <c r="AM332" s="127"/>
      <c r="AN332" s="127"/>
      <c r="AO332" s="127"/>
      <c r="AP332" s="127"/>
      <c r="AQ332" s="127"/>
      <c r="AR332" s="127"/>
      <c r="AS332" s="127"/>
      <c r="AT332" s="127"/>
      <c r="AU332" s="127"/>
      <c r="AV332" s="127"/>
      <c r="AW332" s="127"/>
      <c r="AX332" s="127"/>
      <c r="AY332" s="127"/>
      <c r="AZ332" s="127"/>
      <c r="BA332" s="127"/>
      <c r="BB332" s="127"/>
      <c r="BC332" s="127"/>
      <c r="BD332" s="127"/>
      <c r="BE332" s="127"/>
      <c r="BF332" s="127"/>
      <c r="BG332" s="127"/>
      <c r="BH332" s="127"/>
      <c r="BI332" s="127"/>
      <c r="BJ332" s="127"/>
      <c r="BK332" s="127"/>
      <c r="BL332" s="127"/>
      <c r="BM332" s="127"/>
      <c r="BN332" s="127"/>
      <c r="BO332" s="127"/>
      <c r="BP332" s="127"/>
      <c r="BQ332" s="127"/>
      <c r="BR332" s="127"/>
      <c r="BS332" s="127"/>
      <c r="BT332" s="127"/>
      <c r="BU332" s="127"/>
      <c r="BV332" s="127"/>
      <c r="BW332" s="127"/>
      <c r="BX332" s="127"/>
      <c r="BY332" s="127"/>
      <c r="BZ332" s="127"/>
      <c r="CA332" s="127"/>
      <c r="CB332" s="187"/>
      <c r="CC332" s="189"/>
      <c r="CD332" s="188"/>
      <c r="CE332" s="127"/>
      <c r="CF332" s="190"/>
      <c r="CG332" s="190"/>
      <c r="CH332" s="187"/>
      <c r="CI332" s="187"/>
      <c r="CJ332" s="187"/>
      <c r="CK332" s="187"/>
      <c r="CL332" s="187"/>
      <c r="CM332" s="187"/>
      <c r="CN332" s="187"/>
      <c r="CO332" s="127"/>
      <c r="CP332" s="127"/>
      <c r="CQ332" s="187"/>
      <c r="CR332" s="187"/>
      <c r="CS332" s="187"/>
      <c r="CT332" s="187"/>
      <c r="CU332" s="187"/>
      <c r="CV332" s="187"/>
      <c r="CW332" s="187"/>
      <c r="CX332" s="187"/>
    </row>
    <row r="333" spans="1:102" ht="12.75" customHeight="1" x14ac:dyDescent="0.2">
      <c r="A333" s="187"/>
      <c r="B333" s="127"/>
      <c r="C333" s="187"/>
      <c r="D333" s="127"/>
      <c r="E333" s="187"/>
      <c r="F333" s="187"/>
      <c r="G333" s="187"/>
      <c r="H333" s="187"/>
      <c r="I333" s="187"/>
      <c r="J333" s="187"/>
      <c r="K333" s="187"/>
      <c r="L333" s="187"/>
      <c r="M333" s="187"/>
      <c r="N333" s="187"/>
      <c r="O333" s="187"/>
      <c r="P333" s="187"/>
      <c r="Q333" s="187"/>
      <c r="R333" s="187"/>
      <c r="S333" s="187"/>
      <c r="T333" s="127"/>
      <c r="U333" s="188"/>
      <c r="V333" s="127"/>
      <c r="W333" s="1438"/>
      <c r="X333" s="127"/>
      <c r="Y333" s="127"/>
      <c r="Z333" s="127"/>
      <c r="AA333" s="127"/>
      <c r="AB333" s="127"/>
      <c r="AC333" s="127"/>
      <c r="AD333" s="127"/>
      <c r="AE333" s="127"/>
      <c r="AF333" s="127"/>
      <c r="AG333" s="127"/>
      <c r="AH333" s="127"/>
      <c r="AI333" s="127"/>
      <c r="AJ333" s="127"/>
      <c r="AK333" s="127"/>
      <c r="AL333" s="127"/>
      <c r="AM333" s="127"/>
      <c r="AN333" s="127"/>
      <c r="AO333" s="127"/>
      <c r="AP333" s="127"/>
      <c r="AQ333" s="127"/>
      <c r="AR333" s="127"/>
      <c r="AS333" s="127"/>
      <c r="AT333" s="127"/>
      <c r="AU333" s="127"/>
      <c r="AV333" s="127"/>
      <c r="AW333" s="127"/>
      <c r="AX333" s="127"/>
      <c r="AY333" s="127"/>
      <c r="AZ333" s="127"/>
      <c r="BA333" s="127"/>
      <c r="BB333" s="127"/>
      <c r="BC333" s="127"/>
      <c r="BD333" s="127"/>
      <c r="BE333" s="127"/>
      <c r="BF333" s="127"/>
      <c r="BG333" s="127"/>
      <c r="BH333" s="127"/>
      <c r="BI333" s="127"/>
      <c r="BJ333" s="127"/>
      <c r="BK333" s="127"/>
      <c r="BL333" s="127"/>
      <c r="BM333" s="127"/>
      <c r="BN333" s="127"/>
      <c r="BO333" s="127"/>
      <c r="BP333" s="127"/>
      <c r="BQ333" s="127"/>
      <c r="BR333" s="127"/>
      <c r="BS333" s="127"/>
      <c r="BT333" s="127"/>
      <c r="BU333" s="127"/>
      <c r="BV333" s="127"/>
      <c r="BW333" s="127"/>
      <c r="BX333" s="127"/>
      <c r="BY333" s="127"/>
      <c r="BZ333" s="127"/>
      <c r="CA333" s="127"/>
      <c r="CB333" s="187"/>
      <c r="CC333" s="189"/>
      <c r="CD333" s="188"/>
      <c r="CE333" s="127"/>
      <c r="CF333" s="190"/>
      <c r="CG333" s="190"/>
      <c r="CH333" s="187"/>
      <c r="CI333" s="187"/>
      <c r="CJ333" s="187"/>
      <c r="CK333" s="187"/>
      <c r="CL333" s="187"/>
      <c r="CM333" s="187"/>
      <c r="CN333" s="187"/>
      <c r="CO333" s="127"/>
      <c r="CP333" s="127"/>
      <c r="CQ333" s="187"/>
      <c r="CR333" s="187"/>
      <c r="CS333" s="187"/>
      <c r="CT333" s="187"/>
      <c r="CU333" s="187"/>
      <c r="CV333" s="187"/>
      <c r="CW333" s="187"/>
      <c r="CX333" s="187"/>
    </row>
    <row r="334" spans="1:102" ht="12.75" customHeight="1" x14ac:dyDescent="0.2">
      <c r="A334" s="187"/>
      <c r="B334" s="127"/>
      <c r="C334" s="187"/>
      <c r="D334" s="127"/>
      <c r="E334" s="187"/>
      <c r="F334" s="187"/>
      <c r="G334" s="187"/>
      <c r="H334" s="187"/>
      <c r="I334" s="187"/>
      <c r="J334" s="187"/>
      <c r="K334" s="187"/>
      <c r="L334" s="187"/>
      <c r="M334" s="187"/>
      <c r="N334" s="187"/>
      <c r="O334" s="187"/>
      <c r="P334" s="187"/>
      <c r="Q334" s="187"/>
      <c r="R334" s="187"/>
      <c r="S334" s="187"/>
      <c r="T334" s="127"/>
      <c r="U334" s="188"/>
      <c r="V334" s="127"/>
      <c r="W334" s="1438"/>
      <c r="X334" s="127"/>
      <c r="Y334" s="127"/>
      <c r="Z334" s="127"/>
      <c r="AA334" s="127"/>
      <c r="AB334" s="127"/>
      <c r="AC334" s="127"/>
      <c r="AD334" s="127"/>
      <c r="AE334" s="127"/>
      <c r="AF334" s="127"/>
      <c r="AG334" s="127"/>
      <c r="AH334" s="127"/>
      <c r="AI334" s="127"/>
      <c r="AJ334" s="127"/>
      <c r="AK334" s="127"/>
      <c r="AL334" s="127"/>
      <c r="AM334" s="127"/>
      <c r="AN334" s="127"/>
      <c r="AO334" s="127"/>
      <c r="AP334" s="127"/>
      <c r="AQ334" s="127"/>
      <c r="AR334" s="127"/>
      <c r="AS334" s="127"/>
      <c r="AT334" s="127"/>
      <c r="AU334" s="127"/>
      <c r="AV334" s="127"/>
      <c r="AW334" s="127"/>
      <c r="AX334" s="127"/>
      <c r="AY334" s="127"/>
      <c r="AZ334" s="127"/>
      <c r="BA334" s="127"/>
      <c r="BB334" s="127"/>
      <c r="BC334" s="127"/>
      <c r="BD334" s="127"/>
      <c r="BE334" s="127"/>
      <c r="BF334" s="127"/>
      <c r="BG334" s="127"/>
      <c r="BH334" s="127"/>
      <c r="BI334" s="127"/>
      <c r="BJ334" s="127"/>
      <c r="BK334" s="127"/>
      <c r="BL334" s="127"/>
      <c r="BM334" s="127"/>
      <c r="BN334" s="127"/>
      <c r="BO334" s="127"/>
      <c r="BP334" s="127"/>
      <c r="BQ334" s="127"/>
      <c r="BR334" s="127"/>
      <c r="BS334" s="127"/>
      <c r="BT334" s="127"/>
      <c r="BU334" s="127"/>
      <c r="BV334" s="127"/>
      <c r="BW334" s="127"/>
      <c r="BX334" s="127"/>
      <c r="BY334" s="127"/>
      <c r="BZ334" s="127"/>
      <c r="CA334" s="127"/>
      <c r="CB334" s="187"/>
      <c r="CC334" s="189"/>
      <c r="CD334" s="188"/>
      <c r="CE334" s="127"/>
      <c r="CF334" s="190"/>
      <c r="CG334" s="190"/>
      <c r="CH334" s="187"/>
      <c r="CI334" s="187"/>
      <c r="CJ334" s="187"/>
      <c r="CK334" s="187"/>
      <c r="CL334" s="187"/>
      <c r="CM334" s="187"/>
      <c r="CN334" s="187"/>
      <c r="CO334" s="127"/>
      <c r="CP334" s="127"/>
      <c r="CQ334" s="187"/>
      <c r="CR334" s="187"/>
      <c r="CS334" s="187"/>
      <c r="CT334" s="187"/>
      <c r="CU334" s="187"/>
      <c r="CV334" s="187"/>
      <c r="CW334" s="187"/>
      <c r="CX334" s="187"/>
    </row>
    <row r="335" spans="1:102" ht="12.75" customHeight="1" x14ac:dyDescent="0.2">
      <c r="A335" s="187"/>
      <c r="B335" s="127"/>
      <c r="C335" s="187"/>
      <c r="D335" s="127"/>
      <c r="E335" s="187"/>
      <c r="F335" s="187"/>
      <c r="G335" s="187"/>
      <c r="H335" s="187"/>
      <c r="I335" s="187"/>
      <c r="J335" s="187"/>
      <c r="K335" s="187"/>
      <c r="L335" s="187"/>
      <c r="M335" s="187"/>
      <c r="N335" s="187"/>
      <c r="O335" s="187"/>
      <c r="P335" s="187"/>
      <c r="Q335" s="187"/>
      <c r="R335" s="187"/>
      <c r="S335" s="187"/>
      <c r="T335" s="127"/>
      <c r="U335" s="188"/>
      <c r="V335" s="127"/>
      <c r="W335" s="1438"/>
      <c r="X335" s="127"/>
      <c r="Y335" s="127"/>
      <c r="Z335" s="127"/>
      <c r="AA335" s="127"/>
      <c r="AB335" s="127"/>
      <c r="AC335" s="127"/>
      <c r="AD335" s="127"/>
      <c r="AE335" s="127"/>
      <c r="AF335" s="127"/>
      <c r="AG335" s="127"/>
      <c r="AH335" s="127"/>
      <c r="AI335" s="127"/>
      <c r="AJ335" s="127"/>
      <c r="AK335" s="127"/>
      <c r="AL335" s="127"/>
      <c r="AM335" s="127"/>
      <c r="AN335" s="127"/>
      <c r="AO335" s="127"/>
      <c r="AP335" s="127"/>
      <c r="AQ335" s="127"/>
      <c r="AR335" s="127"/>
      <c r="AS335" s="127"/>
      <c r="AT335" s="127"/>
      <c r="AU335" s="127"/>
      <c r="AV335" s="127"/>
      <c r="AW335" s="127"/>
      <c r="AX335" s="127"/>
      <c r="AY335" s="127"/>
      <c r="AZ335" s="127"/>
      <c r="BA335" s="127"/>
      <c r="BB335" s="127"/>
      <c r="BC335" s="127"/>
      <c r="BD335" s="127"/>
      <c r="BE335" s="127"/>
      <c r="BF335" s="127"/>
      <c r="BG335" s="127"/>
      <c r="BH335" s="127"/>
      <c r="BI335" s="127"/>
      <c r="BJ335" s="127"/>
      <c r="BK335" s="127"/>
      <c r="BL335" s="127"/>
      <c r="BM335" s="127"/>
      <c r="BN335" s="127"/>
      <c r="BO335" s="127"/>
      <c r="BP335" s="127"/>
      <c r="BQ335" s="127"/>
      <c r="BR335" s="127"/>
      <c r="BS335" s="127"/>
      <c r="BT335" s="127"/>
      <c r="BU335" s="127"/>
      <c r="BV335" s="127"/>
      <c r="BW335" s="127"/>
      <c r="BX335" s="127"/>
      <c r="BY335" s="127"/>
      <c r="BZ335" s="127"/>
      <c r="CA335" s="127"/>
      <c r="CB335" s="187"/>
      <c r="CC335" s="189"/>
      <c r="CD335" s="188"/>
      <c r="CE335" s="127"/>
      <c r="CF335" s="190"/>
      <c r="CG335" s="190"/>
      <c r="CH335" s="187"/>
      <c r="CI335" s="187"/>
      <c r="CJ335" s="187"/>
      <c r="CK335" s="187"/>
      <c r="CL335" s="187"/>
      <c r="CM335" s="187"/>
      <c r="CN335" s="187"/>
      <c r="CO335" s="127"/>
      <c r="CP335" s="127"/>
      <c r="CQ335" s="187"/>
      <c r="CR335" s="187"/>
      <c r="CS335" s="187"/>
      <c r="CT335" s="187"/>
      <c r="CU335" s="187"/>
      <c r="CV335" s="187"/>
      <c r="CW335" s="187"/>
      <c r="CX335" s="187"/>
    </row>
    <row r="336" spans="1:102" ht="12.75" customHeight="1" x14ac:dyDescent="0.2">
      <c r="A336" s="187"/>
      <c r="B336" s="127"/>
      <c r="C336" s="187"/>
      <c r="D336" s="127"/>
      <c r="E336" s="187"/>
      <c r="F336" s="187"/>
      <c r="G336" s="187"/>
      <c r="H336" s="187"/>
      <c r="I336" s="187"/>
      <c r="J336" s="187"/>
      <c r="K336" s="187"/>
      <c r="L336" s="187"/>
      <c r="M336" s="187"/>
      <c r="N336" s="187"/>
      <c r="O336" s="187"/>
      <c r="P336" s="187"/>
      <c r="Q336" s="187"/>
      <c r="R336" s="187"/>
      <c r="S336" s="187"/>
      <c r="T336" s="127"/>
      <c r="U336" s="188"/>
      <c r="V336" s="127"/>
      <c r="W336" s="1438"/>
      <c r="X336" s="127"/>
      <c r="Y336" s="127"/>
      <c r="Z336" s="127"/>
      <c r="AA336" s="127"/>
      <c r="AB336" s="127"/>
      <c r="AC336" s="127"/>
      <c r="AD336" s="127"/>
      <c r="AE336" s="127"/>
      <c r="AF336" s="127"/>
      <c r="AG336" s="127"/>
      <c r="AH336" s="127"/>
      <c r="AI336" s="127"/>
      <c r="AJ336" s="127"/>
      <c r="AK336" s="127"/>
      <c r="AL336" s="127"/>
      <c r="AM336" s="127"/>
      <c r="AN336" s="127"/>
      <c r="AO336" s="127"/>
      <c r="AP336" s="127"/>
      <c r="AQ336" s="127"/>
      <c r="AR336" s="127"/>
      <c r="AS336" s="127"/>
      <c r="AT336" s="127"/>
      <c r="AU336" s="127"/>
      <c r="AV336" s="127"/>
      <c r="AW336" s="127"/>
      <c r="AX336" s="127"/>
      <c r="AY336" s="127"/>
      <c r="AZ336" s="127"/>
      <c r="BA336" s="127"/>
      <c r="BB336" s="127"/>
      <c r="BC336" s="127"/>
      <c r="BD336" s="127"/>
      <c r="BE336" s="127"/>
      <c r="BF336" s="127"/>
      <c r="BG336" s="127"/>
      <c r="BH336" s="127"/>
      <c r="BI336" s="127"/>
      <c r="BJ336" s="127"/>
      <c r="BK336" s="127"/>
      <c r="BL336" s="127"/>
      <c r="BM336" s="127"/>
      <c r="BN336" s="127"/>
      <c r="BO336" s="127"/>
      <c r="BP336" s="127"/>
      <c r="BQ336" s="127"/>
      <c r="BR336" s="127"/>
      <c r="BS336" s="127"/>
      <c r="BT336" s="127"/>
      <c r="BU336" s="127"/>
      <c r="BV336" s="127"/>
      <c r="BW336" s="127"/>
      <c r="BX336" s="127"/>
      <c r="BY336" s="127"/>
      <c r="BZ336" s="127"/>
      <c r="CA336" s="127"/>
      <c r="CB336" s="187"/>
      <c r="CC336" s="189"/>
      <c r="CD336" s="188"/>
      <c r="CE336" s="127"/>
      <c r="CF336" s="190"/>
      <c r="CG336" s="190"/>
      <c r="CH336" s="187"/>
      <c r="CI336" s="187"/>
      <c r="CJ336" s="187"/>
      <c r="CK336" s="187"/>
      <c r="CL336" s="187"/>
      <c r="CM336" s="187"/>
      <c r="CN336" s="187"/>
      <c r="CO336" s="127"/>
      <c r="CP336" s="127"/>
      <c r="CQ336" s="187"/>
      <c r="CR336" s="187"/>
      <c r="CS336" s="187"/>
      <c r="CT336" s="187"/>
      <c r="CU336" s="187"/>
      <c r="CV336" s="187"/>
      <c r="CW336" s="187"/>
      <c r="CX336" s="187"/>
    </row>
    <row r="337" spans="1:102" ht="12.75" customHeight="1" x14ac:dyDescent="0.2">
      <c r="A337" s="187"/>
      <c r="B337" s="127"/>
      <c r="C337" s="187"/>
      <c r="D337" s="127"/>
      <c r="E337" s="187"/>
      <c r="F337" s="187"/>
      <c r="G337" s="187"/>
      <c r="H337" s="187"/>
      <c r="I337" s="187"/>
      <c r="J337" s="187"/>
      <c r="K337" s="187"/>
      <c r="L337" s="187"/>
      <c r="M337" s="187"/>
      <c r="N337" s="187"/>
      <c r="O337" s="187"/>
      <c r="P337" s="187"/>
      <c r="Q337" s="187"/>
      <c r="R337" s="187"/>
      <c r="S337" s="187"/>
      <c r="T337" s="127"/>
      <c r="U337" s="188"/>
      <c r="V337" s="127"/>
      <c r="W337" s="1438"/>
      <c r="X337" s="127"/>
      <c r="Y337" s="127"/>
      <c r="Z337" s="127"/>
      <c r="AA337" s="127"/>
      <c r="AB337" s="127"/>
      <c r="AC337" s="127"/>
      <c r="AD337" s="127"/>
      <c r="AE337" s="127"/>
      <c r="AF337" s="127"/>
      <c r="AG337" s="127"/>
      <c r="AH337" s="127"/>
      <c r="AI337" s="127"/>
      <c r="AJ337" s="127"/>
      <c r="AK337" s="127"/>
      <c r="AL337" s="127"/>
      <c r="AM337" s="127"/>
      <c r="AN337" s="127"/>
      <c r="AO337" s="127"/>
      <c r="AP337" s="127"/>
      <c r="AQ337" s="127"/>
      <c r="AR337" s="127"/>
      <c r="AS337" s="127"/>
      <c r="AT337" s="127"/>
      <c r="AU337" s="127"/>
      <c r="AV337" s="127"/>
      <c r="AW337" s="127"/>
      <c r="AX337" s="127"/>
      <c r="AY337" s="127"/>
      <c r="AZ337" s="127"/>
      <c r="BA337" s="127"/>
      <c r="BB337" s="127"/>
      <c r="BC337" s="127"/>
      <c r="BD337" s="127"/>
      <c r="BE337" s="127"/>
      <c r="BF337" s="127"/>
      <c r="BG337" s="127"/>
      <c r="BH337" s="127"/>
      <c r="BI337" s="127"/>
      <c r="BJ337" s="127"/>
      <c r="BK337" s="127"/>
      <c r="BL337" s="127"/>
      <c r="BM337" s="127"/>
      <c r="BN337" s="127"/>
      <c r="BO337" s="127"/>
      <c r="BP337" s="127"/>
      <c r="BQ337" s="127"/>
      <c r="BR337" s="127"/>
      <c r="BS337" s="127"/>
      <c r="BT337" s="127"/>
      <c r="BU337" s="127"/>
      <c r="BV337" s="127"/>
      <c r="BW337" s="127"/>
      <c r="BX337" s="127"/>
      <c r="BY337" s="127"/>
      <c r="BZ337" s="127"/>
      <c r="CA337" s="127"/>
      <c r="CB337" s="187"/>
      <c r="CC337" s="189"/>
      <c r="CD337" s="188"/>
      <c r="CE337" s="127"/>
      <c r="CF337" s="190"/>
      <c r="CG337" s="190"/>
      <c r="CH337" s="187"/>
      <c r="CI337" s="187"/>
      <c r="CJ337" s="187"/>
      <c r="CK337" s="187"/>
      <c r="CL337" s="187"/>
      <c r="CM337" s="187"/>
      <c r="CN337" s="187"/>
      <c r="CO337" s="127"/>
      <c r="CP337" s="127"/>
      <c r="CQ337" s="187"/>
      <c r="CR337" s="187"/>
      <c r="CS337" s="187"/>
      <c r="CT337" s="187"/>
      <c r="CU337" s="187"/>
      <c r="CV337" s="187"/>
      <c r="CW337" s="187"/>
      <c r="CX337" s="187"/>
    </row>
    <row r="338" spans="1:102" ht="12.75" customHeight="1" x14ac:dyDescent="0.2">
      <c r="A338" s="187"/>
      <c r="B338" s="127"/>
      <c r="C338" s="187"/>
      <c r="D338" s="127"/>
      <c r="E338" s="187"/>
      <c r="F338" s="187"/>
      <c r="G338" s="187"/>
      <c r="H338" s="187"/>
      <c r="I338" s="187"/>
      <c r="J338" s="187"/>
      <c r="K338" s="187"/>
      <c r="L338" s="187"/>
      <c r="M338" s="187"/>
      <c r="N338" s="187"/>
      <c r="O338" s="187"/>
      <c r="P338" s="187"/>
      <c r="Q338" s="187"/>
      <c r="R338" s="187"/>
      <c r="S338" s="187"/>
      <c r="T338" s="127"/>
      <c r="U338" s="188"/>
      <c r="V338" s="127"/>
      <c r="W338" s="1438"/>
      <c r="X338" s="127"/>
      <c r="Y338" s="127"/>
      <c r="Z338" s="127"/>
      <c r="AA338" s="127"/>
      <c r="AB338" s="127"/>
      <c r="AC338" s="127"/>
      <c r="AD338" s="127"/>
      <c r="AE338" s="127"/>
      <c r="AF338" s="127"/>
      <c r="AG338" s="127"/>
      <c r="AH338" s="127"/>
      <c r="AI338" s="127"/>
      <c r="AJ338" s="127"/>
      <c r="AK338" s="127"/>
      <c r="AL338" s="127"/>
      <c r="AM338" s="127"/>
      <c r="AN338" s="127"/>
      <c r="AO338" s="127"/>
      <c r="AP338" s="127"/>
      <c r="AQ338" s="127"/>
      <c r="AR338" s="127"/>
      <c r="AS338" s="127"/>
      <c r="AT338" s="127"/>
      <c r="AU338" s="127"/>
      <c r="AV338" s="127"/>
      <c r="AW338" s="127"/>
      <c r="AX338" s="127"/>
      <c r="AY338" s="127"/>
      <c r="AZ338" s="127"/>
      <c r="BA338" s="127"/>
      <c r="BB338" s="127"/>
      <c r="BC338" s="127"/>
      <c r="BD338" s="127"/>
      <c r="BE338" s="127"/>
      <c r="BF338" s="127"/>
      <c r="BG338" s="127"/>
      <c r="BH338" s="127"/>
      <c r="BI338" s="127"/>
      <c r="BJ338" s="127"/>
      <c r="BK338" s="127"/>
      <c r="BL338" s="127"/>
      <c r="BM338" s="127"/>
      <c r="BN338" s="127"/>
      <c r="BO338" s="127"/>
      <c r="BP338" s="127"/>
      <c r="BQ338" s="127"/>
      <c r="BR338" s="127"/>
      <c r="BS338" s="127"/>
      <c r="BT338" s="127"/>
      <c r="BU338" s="127"/>
      <c r="BV338" s="127"/>
      <c r="BW338" s="127"/>
      <c r="BX338" s="127"/>
      <c r="BY338" s="127"/>
      <c r="BZ338" s="127"/>
      <c r="CA338" s="127"/>
      <c r="CB338" s="187"/>
      <c r="CC338" s="189"/>
      <c r="CD338" s="188"/>
      <c r="CE338" s="127"/>
      <c r="CF338" s="190"/>
      <c r="CG338" s="190"/>
      <c r="CH338" s="187"/>
      <c r="CI338" s="187"/>
      <c r="CJ338" s="187"/>
      <c r="CK338" s="187"/>
      <c r="CL338" s="187"/>
      <c r="CM338" s="187"/>
      <c r="CN338" s="187"/>
      <c r="CO338" s="127"/>
      <c r="CP338" s="127"/>
      <c r="CQ338" s="187"/>
      <c r="CR338" s="187"/>
      <c r="CS338" s="187"/>
      <c r="CT338" s="187"/>
      <c r="CU338" s="187"/>
      <c r="CV338" s="187"/>
      <c r="CW338" s="187"/>
      <c r="CX338" s="187"/>
    </row>
    <row r="339" spans="1:102" ht="12.75" customHeight="1" x14ac:dyDescent="0.2">
      <c r="A339" s="187"/>
      <c r="B339" s="127"/>
      <c r="C339" s="187"/>
      <c r="D339" s="127"/>
      <c r="E339" s="187"/>
      <c r="F339" s="187"/>
      <c r="G339" s="187"/>
      <c r="H339" s="187"/>
      <c r="I339" s="187"/>
      <c r="J339" s="187"/>
      <c r="K339" s="187"/>
      <c r="L339" s="187"/>
      <c r="M339" s="187"/>
      <c r="N339" s="187"/>
      <c r="O339" s="187"/>
      <c r="P339" s="187"/>
      <c r="Q339" s="187"/>
      <c r="R339" s="187"/>
      <c r="S339" s="187"/>
      <c r="T339" s="127"/>
      <c r="U339" s="188"/>
      <c r="V339" s="127"/>
      <c r="W339" s="1438"/>
      <c r="X339" s="127"/>
      <c r="Y339" s="127"/>
      <c r="Z339" s="127"/>
      <c r="AA339" s="127"/>
      <c r="AB339" s="127"/>
      <c r="AC339" s="127"/>
      <c r="AD339" s="127"/>
      <c r="AE339" s="127"/>
      <c r="AF339" s="127"/>
      <c r="AG339" s="127"/>
      <c r="AH339" s="127"/>
      <c r="AI339" s="127"/>
      <c r="AJ339" s="127"/>
      <c r="AK339" s="127"/>
      <c r="AL339" s="127"/>
      <c r="AM339" s="127"/>
      <c r="AN339" s="127"/>
      <c r="AO339" s="127"/>
      <c r="AP339" s="127"/>
      <c r="AQ339" s="127"/>
      <c r="AR339" s="127"/>
      <c r="AS339" s="127"/>
      <c r="AT339" s="127"/>
      <c r="AU339" s="127"/>
      <c r="AV339" s="127"/>
      <c r="AW339" s="127"/>
      <c r="AX339" s="127"/>
      <c r="AY339" s="127"/>
      <c r="AZ339" s="127"/>
      <c r="BA339" s="127"/>
      <c r="BB339" s="127"/>
      <c r="BC339" s="127"/>
      <c r="BD339" s="127"/>
      <c r="BE339" s="127"/>
      <c r="BF339" s="127"/>
      <c r="BG339" s="127"/>
      <c r="BH339" s="127"/>
      <c r="BI339" s="127"/>
      <c r="BJ339" s="127"/>
      <c r="BK339" s="127"/>
      <c r="BL339" s="127"/>
      <c r="BM339" s="127"/>
      <c r="BN339" s="127"/>
      <c r="BO339" s="127"/>
      <c r="BP339" s="127"/>
      <c r="BQ339" s="127"/>
      <c r="BR339" s="127"/>
      <c r="BS339" s="127"/>
      <c r="BT339" s="127"/>
      <c r="BU339" s="127"/>
      <c r="BV339" s="127"/>
      <c r="BW339" s="127"/>
      <c r="BX339" s="127"/>
      <c r="BY339" s="127"/>
      <c r="BZ339" s="127"/>
      <c r="CA339" s="127"/>
      <c r="CB339" s="187"/>
      <c r="CC339" s="189"/>
      <c r="CD339" s="188"/>
      <c r="CE339" s="127"/>
      <c r="CF339" s="190"/>
      <c r="CG339" s="190"/>
      <c r="CH339" s="187"/>
      <c r="CI339" s="187"/>
      <c r="CJ339" s="187"/>
      <c r="CK339" s="187"/>
      <c r="CL339" s="187"/>
      <c r="CM339" s="187"/>
      <c r="CN339" s="187"/>
      <c r="CO339" s="127"/>
      <c r="CP339" s="127"/>
      <c r="CQ339" s="187"/>
      <c r="CR339" s="187"/>
      <c r="CS339" s="187"/>
      <c r="CT339" s="187"/>
      <c r="CU339" s="187"/>
      <c r="CV339" s="187"/>
      <c r="CW339" s="187"/>
      <c r="CX339" s="187"/>
    </row>
    <row r="340" spans="1:102" ht="12.75" customHeight="1" x14ac:dyDescent="0.2">
      <c r="A340" s="187"/>
      <c r="B340" s="127"/>
      <c r="C340" s="187"/>
      <c r="D340" s="127"/>
      <c r="E340" s="187"/>
      <c r="F340" s="187"/>
      <c r="G340" s="187"/>
      <c r="H340" s="187"/>
      <c r="I340" s="187"/>
      <c r="J340" s="187"/>
      <c r="K340" s="187"/>
      <c r="L340" s="187"/>
      <c r="M340" s="187"/>
      <c r="N340" s="187"/>
      <c r="O340" s="187"/>
      <c r="P340" s="187"/>
      <c r="Q340" s="187"/>
      <c r="R340" s="187"/>
      <c r="S340" s="187"/>
      <c r="T340" s="127"/>
      <c r="U340" s="188"/>
      <c r="V340" s="127"/>
      <c r="W340" s="1438"/>
      <c r="X340" s="127"/>
      <c r="Y340" s="127"/>
      <c r="Z340" s="127"/>
      <c r="AA340" s="127"/>
      <c r="AB340" s="127"/>
      <c r="AC340" s="127"/>
      <c r="AD340" s="127"/>
      <c r="AE340" s="127"/>
      <c r="AF340" s="127"/>
      <c r="AG340" s="127"/>
      <c r="AH340" s="127"/>
      <c r="AI340" s="127"/>
      <c r="AJ340" s="127"/>
      <c r="AK340" s="127"/>
      <c r="AL340" s="127"/>
      <c r="AM340" s="127"/>
      <c r="AN340" s="127"/>
      <c r="AO340" s="127"/>
      <c r="AP340" s="127"/>
      <c r="AQ340" s="127"/>
      <c r="AR340" s="127"/>
      <c r="AS340" s="127"/>
      <c r="AT340" s="127"/>
      <c r="AU340" s="127"/>
      <c r="AV340" s="127"/>
      <c r="AW340" s="127"/>
      <c r="AX340" s="127"/>
      <c r="AY340" s="127"/>
      <c r="AZ340" s="127"/>
      <c r="BA340" s="127"/>
      <c r="BB340" s="127"/>
      <c r="BC340" s="127"/>
      <c r="BD340" s="127"/>
      <c r="BE340" s="127"/>
      <c r="BF340" s="127"/>
      <c r="BG340" s="127"/>
      <c r="BH340" s="127"/>
      <c r="BI340" s="127"/>
      <c r="BJ340" s="127"/>
      <c r="BK340" s="127"/>
      <c r="BL340" s="127"/>
      <c r="BM340" s="127"/>
      <c r="BN340" s="127"/>
      <c r="BO340" s="127"/>
      <c r="BP340" s="127"/>
      <c r="BQ340" s="127"/>
      <c r="BR340" s="127"/>
      <c r="BS340" s="127"/>
      <c r="BT340" s="127"/>
      <c r="BU340" s="127"/>
      <c r="BV340" s="127"/>
      <c r="BW340" s="127"/>
      <c r="BX340" s="127"/>
      <c r="BY340" s="127"/>
      <c r="BZ340" s="127"/>
      <c r="CA340" s="127"/>
      <c r="CB340" s="187"/>
      <c r="CC340" s="189"/>
      <c r="CD340" s="188"/>
      <c r="CE340" s="127"/>
      <c r="CF340" s="190"/>
      <c r="CG340" s="190"/>
      <c r="CH340" s="187"/>
      <c r="CI340" s="187"/>
      <c r="CJ340" s="187"/>
      <c r="CK340" s="187"/>
      <c r="CL340" s="187"/>
      <c r="CM340" s="187"/>
      <c r="CN340" s="187"/>
      <c r="CO340" s="127"/>
      <c r="CP340" s="127"/>
      <c r="CQ340" s="187"/>
      <c r="CR340" s="187"/>
      <c r="CS340" s="187"/>
      <c r="CT340" s="187"/>
      <c r="CU340" s="187"/>
      <c r="CV340" s="187"/>
      <c r="CW340" s="187"/>
      <c r="CX340" s="187"/>
    </row>
    <row r="341" spans="1:102" ht="12.75" customHeight="1" x14ac:dyDescent="0.2">
      <c r="A341" s="187"/>
      <c r="B341" s="127"/>
      <c r="C341" s="187"/>
      <c r="D341" s="127"/>
      <c r="E341" s="187"/>
      <c r="F341" s="187"/>
      <c r="G341" s="187"/>
      <c r="H341" s="187"/>
      <c r="I341" s="187"/>
      <c r="J341" s="187"/>
      <c r="K341" s="187"/>
      <c r="L341" s="187"/>
      <c r="M341" s="187"/>
      <c r="N341" s="187"/>
      <c r="O341" s="187"/>
      <c r="P341" s="187"/>
      <c r="Q341" s="187"/>
      <c r="R341" s="187"/>
      <c r="S341" s="187"/>
      <c r="T341" s="127"/>
      <c r="U341" s="188"/>
      <c r="V341" s="127"/>
      <c r="W341" s="1438"/>
      <c r="X341" s="127"/>
      <c r="Y341" s="127"/>
      <c r="Z341" s="127"/>
      <c r="AA341" s="127"/>
      <c r="AB341" s="127"/>
      <c r="AC341" s="127"/>
      <c r="AD341" s="127"/>
      <c r="AE341" s="127"/>
      <c r="AF341" s="127"/>
      <c r="AG341" s="127"/>
      <c r="AH341" s="127"/>
      <c r="AI341" s="127"/>
      <c r="AJ341" s="127"/>
      <c r="AK341" s="127"/>
      <c r="AL341" s="127"/>
      <c r="AM341" s="127"/>
      <c r="AN341" s="127"/>
      <c r="AO341" s="127"/>
      <c r="AP341" s="127"/>
      <c r="AQ341" s="127"/>
      <c r="AR341" s="127"/>
      <c r="AS341" s="127"/>
      <c r="AT341" s="127"/>
      <c r="AU341" s="127"/>
      <c r="AV341" s="127"/>
      <c r="AW341" s="127"/>
      <c r="AX341" s="127"/>
      <c r="AY341" s="127"/>
      <c r="AZ341" s="127"/>
      <c r="BA341" s="127"/>
      <c r="BB341" s="127"/>
      <c r="BC341" s="127"/>
      <c r="BD341" s="127"/>
      <c r="BE341" s="127"/>
      <c r="BF341" s="127"/>
      <c r="BG341" s="127"/>
      <c r="BH341" s="127"/>
      <c r="BI341" s="127"/>
      <c r="BJ341" s="127"/>
      <c r="BK341" s="127"/>
      <c r="BL341" s="127"/>
      <c r="BM341" s="127"/>
      <c r="BN341" s="127"/>
      <c r="BO341" s="127"/>
      <c r="BP341" s="127"/>
      <c r="BQ341" s="127"/>
      <c r="BR341" s="127"/>
      <c r="BS341" s="127"/>
      <c r="BT341" s="127"/>
      <c r="BU341" s="127"/>
      <c r="BV341" s="127"/>
      <c r="BW341" s="127"/>
      <c r="BX341" s="127"/>
      <c r="BY341" s="127"/>
      <c r="BZ341" s="127"/>
      <c r="CA341" s="127"/>
      <c r="CB341" s="187"/>
      <c r="CC341" s="189"/>
      <c r="CD341" s="188"/>
      <c r="CE341" s="127"/>
      <c r="CF341" s="190"/>
      <c r="CG341" s="190"/>
      <c r="CH341" s="187"/>
      <c r="CI341" s="187"/>
      <c r="CJ341" s="187"/>
      <c r="CK341" s="187"/>
      <c r="CL341" s="187"/>
      <c r="CM341" s="187"/>
      <c r="CN341" s="187"/>
      <c r="CO341" s="127"/>
      <c r="CP341" s="127"/>
      <c r="CQ341" s="187"/>
      <c r="CR341" s="187"/>
      <c r="CS341" s="187"/>
      <c r="CT341" s="187"/>
      <c r="CU341" s="187"/>
      <c r="CV341" s="187"/>
      <c r="CW341" s="187"/>
      <c r="CX341" s="187"/>
    </row>
    <row r="342" spans="1:102" ht="12.75" customHeight="1" x14ac:dyDescent="0.2">
      <c r="A342" s="187"/>
      <c r="B342" s="127"/>
      <c r="C342" s="187"/>
      <c r="D342" s="127"/>
      <c r="E342" s="187"/>
      <c r="F342" s="187"/>
      <c r="G342" s="187"/>
      <c r="H342" s="187"/>
      <c r="I342" s="187"/>
      <c r="J342" s="187"/>
      <c r="K342" s="187"/>
      <c r="L342" s="187"/>
      <c r="M342" s="187"/>
      <c r="N342" s="187"/>
      <c r="O342" s="187"/>
      <c r="P342" s="187"/>
      <c r="Q342" s="187"/>
      <c r="R342" s="187"/>
      <c r="S342" s="187"/>
      <c r="T342" s="127"/>
      <c r="U342" s="188"/>
      <c r="V342" s="127"/>
      <c r="W342" s="1438"/>
      <c r="X342" s="127"/>
      <c r="Y342" s="127"/>
      <c r="Z342" s="127"/>
      <c r="AA342" s="127"/>
      <c r="AB342" s="127"/>
      <c r="AC342" s="127"/>
      <c r="AD342" s="127"/>
      <c r="AE342" s="127"/>
      <c r="AF342" s="127"/>
      <c r="AG342" s="127"/>
      <c r="AH342" s="127"/>
      <c r="AI342" s="127"/>
      <c r="AJ342" s="127"/>
      <c r="AK342" s="127"/>
      <c r="AL342" s="127"/>
      <c r="AM342" s="127"/>
      <c r="AN342" s="127"/>
      <c r="AO342" s="127"/>
      <c r="AP342" s="127"/>
      <c r="AQ342" s="127"/>
      <c r="AR342" s="127"/>
      <c r="AS342" s="127"/>
      <c r="AT342" s="127"/>
      <c r="AU342" s="127"/>
      <c r="AV342" s="127"/>
      <c r="AW342" s="127"/>
      <c r="AX342" s="127"/>
      <c r="AY342" s="127"/>
      <c r="AZ342" s="127"/>
      <c r="BA342" s="127"/>
      <c r="BB342" s="127"/>
      <c r="BC342" s="127"/>
      <c r="BD342" s="127"/>
      <c r="BE342" s="127"/>
      <c r="BF342" s="127"/>
      <c r="BG342" s="127"/>
      <c r="BH342" s="127"/>
      <c r="BI342" s="127"/>
      <c r="BJ342" s="127"/>
      <c r="BK342" s="127"/>
      <c r="BL342" s="127"/>
      <c r="BM342" s="127"/>
      <c r="BN342" s="127"/>
      <c r="BO342" s="127"/>
      <c r="BP342" s="127"/>
      <c r="BQ342" s="127"/>
      <c r="BR342" s="127"/>
      <c r="BS342" s="127"/>
      <c r="BT342" s="127"/>
      <c r="BU342" s="127"/>
      <c r="BV342" s="127"/>
      <c r="BW342" s="127"/>
      <c r="BX342" s="127"/>
      <c r="BY342" s="127"/>
      <c r="BZ342" s="127"/>
      <c r="CA342" s="127"/>
      <c r="CB342" s="187"/>
      <c r="CC342" s="189"/>
      <c r="CD342" s="188"/>
      <c r="CE342" s="127"/>
      <c r="CF342" s="190"/>
      <c r="CG342" s="190"/>
      <c r="CH342" s="187"/>
      <c r="CI342" s="187"/>
      <c r="CJ342" s="187"/>
      <c r="CK342" s="187"/>
      <c r="CL342" s="187"/>
      <c r="CM342" s="187"/>
      <c r="CN342" s="187"/>
      <c r="CO342" s="127"/>
      <c r="CP342" s="127"/>
      <c r="CQ342" s="187"/>
      <c r="CR342" s="187"/>
      <c r="CS342" s="187"/>
      <c r="CT342" s="187"/>
      <c r="CU342" s="187"/>
      <c r="CV342" s="187"/>
      <c r="CW342" s="187"/>
      <c r="CX342" s="187"/>
    </row>
    <row r="343" spans="1:102" ht="12.75" customHeight="1" x14ac:dyDescent="0.2">
      <c r="A343" s="187"/>
      <c r="B343" s="127"/>
      <c r="C343" s="187"/>
      <c r="D343" s="127"/>
      <c r="E343" s="187"/>
      <c r="F343" s="187"/>
      <c r="G343" s="187"/>
      <c r="H343" s="187"/>
      <c r="I343" s="187"/>
      <c r="J343" s="187"/>
      <c r="K343" s="187"/>
      <c r="L343" s="187"/>
      <c r="M343" s="187"/>
      <c r="N343" s="187"/>
      <c r="O343" s="187"/>
      <c r="P343" s="187"/>
      <c r="Q343" s="187"/>
      <c r="R343" s="187"/>
      <c r="S343" s="187"/>
      <c r="T343" s="127"/>
      <c r="U343" s="188"/>
      <c r="V343" s="127"/>
      <c r="W343" s="1438"/>
      <c r="X343" s="127"/>
      <c r="Y343" s="127"/>
      <c r="Z343" s="127"/>
      <c r="AA343" s="127"/>
      <c r="AB343" s="127"/>
      <c r="AC343" s="127"/>
      <c r="AD343" s="127"/>
      <c r="AE343" s="127"/>
      <c r="AF343" s="127"/>
      <c r="AG343" s="127"/>
      <c r="AH343" s="127"/>
      <c r="AI343" s="127"/>
      <c r="AJ343" s="127"/>
      <c r="AK343" s="127"/>
      <c r="AL343" s="127"/>
      <c r="AM343" s="127"/>
      <c r="AN343" s="127"/>
      <c r="AO343" s="127"/>
      <c r="AP343" s="127"/>
      <c r="AQ343" s="127"/>
      <c r="AR343" s="127"/>
      <c r="AS343" s="127"/>
      <c r="AT343" s="127"/>
      <c r="AU343" s="127"/>
      <c r="AV343" s="127"/>
      <c r="AW343" s="127"/>
      <c r="AX343" s="127"/>
      <c r="AY343" s="127"/>
      <c r="AZ343" s="127"/>
      <c r="BA343" s="127"/>
      <c r="BB343" s="127"/>
      <c r="BC343" s="127"/>
      <c r="BD343" s="127"/>
      <c r="BE343" s="127"/>
      <c r="BF343" s="127"/>
      <c r="BG343" s="127"/>
      <c r="BH343" s="127"/>
      <c r="BI343" s="127"/>
      <c r="BJ343" s="127"/>
      <c r="BK343" s="127"/>
      <c r="BL343" s="127"/>
      <c r="BM343" s="127"/>
      <c r="BN343" s="127"/>
      <c r="BO343" s="127"/>
      <c r="BP343" s="127"/>
      <c r="BQ343" s="127"/>
      <c r="BR343" s="127"/>
      <c r="BS343" s="127"/>
      <c r="BT343" s="127"/>
      <c r="BU343" s="127"/>
      <c r="BV343" s="127"/>
      <c r="BW343" s="127"/>
      <c r="BX343" s="127"/>
      <c r="BY343" s="127"/>
      <c r="BZ343" s="127"/>
      <c r="CA343" s="127"/>
      <c r="CB343" s="187"/>
      <c r="CC343" s="189"/>
      <c r="CD343" s="188"/>
      <c r="CE343" s="127"/>
      <c r="CF343" s="190"/>
      <c r="CG343" s="190"/>
      <c r="CH343" s="187"/>
      <c r="CI343" s="187"/>
      <c r="CJ343" s="187"/>
      <c r="CK343" s="187"/>
      <c r="CL343" s="187"/>
      <c r="CM343" s="187"/>
      <c r="CN343" s="187"/>
      <c r="CO343" s="127"/>
      <c r="CP343" s="127"/>
      <c r="CQ343" s="187"/>
      <c r="CR343" s="187"/>
      <c r="CS343" s="187"/>
      <c r="CT343" s="187"/>
      <c r="CU343" s="187"/>
      <c r="CV343" s="187"/>
      <c r="CW343" s="187"/>
      <c r="CX343" s="187"/>
    </row>
    <row r="344" spans="1:102" ht="12.75" customHeight="1" x14ac:dyDescent="0.2">
      <c r="A344" s="187"/>
      <c r="B344" s="127"/>
      <c r="C344" s="187"/>
      <c r="D344" s="127"/>
      <c r="E344" s="187"/>
      <c r="F344" s="187"/>
      <c r="G344" s="187"/>
      <c r="H344" s="187"/>
      <c r="I344" s="187"/>
      <c r="J344" s="187"/>
      <c r="K344" s="187"/>
      <c r="L344" s="187"/>
      <c r="M344" s="187"/>
      <c r="N344" s="187"/>
      <c r="O344" s="187"/>
      <c r="P344" s="187"/>
      <c r="Q344" s="187"/>
      <c r="R344" s="187"/>
      <c r="S344" s="187"/>
      <c r="T344" s="127"/>
      <c r="U344" s="188"/>
      <c r="V344" s="127"/>
      <c r="W344" s="1438"/>
      <c r="X344" s="127"/>
      <c r="Y344" s="127"/>
      <c r="Z344" s="127"/>
      <c r="AA344" s="127"/>
      <c r="AB344" s="127"/>
      <c r="AC344" s="127"/>
      <c r="AD344" s="127"/>
      <c r="AE344" s="127"/>
      <c r="AF344" s="127"/>
      <c r="AG344" s="127"/>
      <c r="AH344" s="127"/>
      <c r="AI344" s="127"/>
      <c r="AJ344" s="127"/>
      <c r="AK344" s="127"/>
      <c r="AL344" s="127"/>
      <c r="AM344" s="127"/>
      <c r="AN344" s="127"/>
      <c r="AO344" s="127"/>
      <c r="AP344" s="127"/>
      <c r="AQ344" s="127"/>
      <c r="AR344" s="127"/>
      <c r="AS344" s="127"/>
      <c r="AT344" s="127"/>
      <c r="AU344" s="127"/>
      <c r="AV344" s="127"/>
      <c r="AW344" s="127"/>
      <c r="AX344" s="127"/>
      <c r="AY344" s="127"/>
      <c r="AZ344" s="127"/>
      <c r="BA344" s="127"/>
      <c r="BB344" s="127"/>
      <c r="BC344" s="127"/>
      <c r="BD344" s="127"/>
      <c r="BE344" s="127"/>
      <c r="BF344" s="127"/>
      <c r="BG344" s="127"/>
      <c r="BH344" s="127"/>
      <c r="BI344" s="127"/>
      <c r="BJ344" s="127"/>
      <c r="BK344" s="127"/>
      <c r="BL344" s="127"/>
      <c r="BM344" s="127"/>
      <c r="BN344" s="127"/>
      <c r="BO344" s="127"/>
      <c r="BP344" s="127"/>
      <c r="BQ344" s="127"/>
      <c r="BR344" s="127"/>
      <c r="BS344" s="127"/>
      <c r="BT344" s="127"/>
      <c r="BU344" s="127"/>
      <c r="BV344" s="127"/>
      <c r="BW344" s="127"/>
      <c r="BX344" s="127"/>
      <c r="BY344" s="127"/>
      <c r="BZ344" s="127"/>
      <c r="CA344" s="127"/>
      <c r="CB344" s="187"/>
      <c r="CC344" s="189"/>
      <c r="CD344" s="188"/>
      <c r="CE344" s="127"/>
      <c r="CF344" s="190"/>
      <c r="CG344" s="190"/>
      <c r="CH344" s="187"/>
      <c r="CI344" s="187"/>
      <c r="CJ344" s="187"/>
      <c r="CK344" s="187"/>
      <c r="CL344" s="187"/>
      <c r="CM344" s="187"/>
      <c r="CN344" s="187"/>
      <c r="CO344" s="127"/>
      <c r="CP344" s="127"/>
      <c r="CQ344" s="187"/>
      <c r="CR344" s="187"/>
      <c r="CS344" s="187"/>
      <c r="CT344" s="187"/>
      <c r="CU344" s="187"/>
      <c r="CV344" s="187"/>
      <c r="CW344" s="187"/>
      <c r="CX344" s="187"/>
    </row>
    <row r="345" spans="1:102" ht="12.75" customHeight="1" x14ac:dyDescent="0.2">
      <c r="A345" s="187"/>
      <c r="B345" s="127"/>
      <c r="C345" s="187"/>
      <c r="D345" s="127"/>
      <c r="E345" s="187"/>
      <c r="F345" s="187"/>
      <c r="G345" s="187"/>
      <c r="H345" s="187"/>
      <c r="I345" s="187"/>
      <c r="J345" s="187"/>
      <c r="K345" s="187"/>
      <c r="L345" s="187"/>
      <c r="M345" s="187"/>
      <c r="N345" s="187"/>
      <c r="O345" s="187"/>
      <c r="P345" s="187"/>
      <c r="Q345" s="187"/>
      <c r="R345" s="187"/>
      <c r="S345" s="187"/>
      <c r="T345" s="127"/>
      <c r="U345" s="188"/>
      <c r="V345" s="127"/>
      <c r="W345" s="1438"/>
      <c r="X345" s="127"/>
      <c r="Y345" s="127"/>
      <c r="Z345" s="127"/>
      <c r="AA345" s="127"/>
      <c r="AB345" s="127"/>
      <c r="AC345" s="127"/>
      <c r="AD345" s="127"/>
      <c r="AE345" s="127"/>
      <c r="AF345" s="127"/>
      <c r="AG345" s="127"/>
      <c r="AH345" s="127"/>
      <c r="AI345" s="127"/>
      <c r="AJ345" s="127"/>
      <c r="AK345" s="127"/>
      <c r="AL345" s="127"/>
      <c r="AM345" s="127"/>
      <c r="AN345" s="127"/>
      <c r="AO345" s="127"/>
      <c r="AP345" s="127"/>
      <c r="AQ345" s="127"/>
      <c r="AR345" s="127"/>
      <c r="AS345" s="127"/>
      <c r="AT345" s="127"/>
      <c r="AU345" s="127"/>
      <c r="AV345" s="127"/>
      <c r="AW345" s="127"/>
      <c r="AX345" s="127"/>
      <c r="AY345" s="127"/>
      <c r="AZ345" s="127"/>
      <c r="BA345" s="127"/>
      <c r="BB345" s="127"/>
      <c r="BC345" s="127"/>
      <c r="BD345" s="127"/>
      <c r="BE345" s="127"/>
      <c r="BF345" s="127"/>
      <c r="BG345" s="127"/>
      <c r="BH345" s="127"/>
      <c r="BI345" s="127"/>
      <c r="BJ345" s="127"/>
      <c r="BK345" s="127"/>
      <c r="BL345" s="127"/>
      <c r="BM345" s="127"/>
      <c r="BN345" s="127"/>
      <c r="BO345" s="127"/>
      <c r="BP345" s="127"/>
      <c r="BQ345" s="127"/>
      <c r="BR345" s="127"/>
      <c r="BS345" s="127"/>
      <c r="BT345" s="127"/>
      <c r="BU345" s="127"/>
      <c r="BV345" s="127"/>
      <c r="BW345" s="127"/>
      <c r="BX345" s="127"/>
      <c r="BY345" s="127"/>
      <c r="BZ345" s="127"/>
      <c r="CA345" s="127"/>
      <c r="CB345" s="187"/>
      <c r="CC345" s="189"/>
      <c r="CD345" s="188"/>
      <c r="CE345" s="127"/>
      <c r="CF345" s="190"/>
      <c r="CG345" s="190"/>
      <c r="CH345" s="187"/>
      <c r="CI345" s="187"/>
      <c r="CJ345" s="187"/>
      <c r="CK345" s="187"/>
      <c r="CL345" s="187"/>
      <c r="CM345" s="187"/>
      <c r="CN345" s="187"/>
      <c r="CO345" s="127"/>
      <c r="CP345" s="127"/>
      <c r="CQ345" s="187"/>
      <c r="CR345" s="187"/>
      <c r="CS345" s="187"/>
      <c r="CT345" s="187"/>
      <c r="CU345" s="187"/>
      <c r="CV345" s="187"/>
      <c r="CW345" s="187"/>
      <c r="CX345" s="187"/>
    </row>
    <row r="346" spans="1:102" ht="12.75" customHeight="1" x14ac:dyDescent="0.2">
      <c r="A346" s="187"/>
      <c r="B346" s="127"/>
      <c r="C346" s="187"/>
      <c r="D346" s="127"/>
      <c r="E346" s="187"/>
      <c r="F346" s="187"/>
      <c r="G346" s="187"/>
      <c r="H346" s="187"/>
      <c r="I346" s="187"/>
      <c r="J346" s="187"/>
      <c r="K346" s="187"/>
      <c r="L346" s="187"/>
      <c r="M346" s="187"/>
      <c r="N346" s="187"/>
      <c r="O346" s="187"/>
      <c r="P346" s="187"/>
      <c r="Q346" s="187"/>
      <c r="R346" s="187"/>
      <c r="S346" s="187"/>
      <c r="T346" s="127"/>
      <c r="U346" s="188"/>
      <c r="V346" s="127"/>
      <c r="W346" s="1438"/>
      <c r="X346" s="127"/>
      <c r="Y346" s="127"/>
      <c r="Z346" s="127"/>
      <c r="AA346" s="127"/>
      <c r="AB346" s="127"/>
      <c r="AC346" s="127"/>
      <c r="AD346" s="127"/>
      <c r="AE346" s="127"/>
      <c r="AF346" s="127"/>
      <c r="AG346" s="127"/>
      <c r="AH346" s="127"/>
      <c r="AI346" s="127"/>
      <c r="AJ346" s="127"/>
      <c r="AK346" s="127"/>
      <c r="AL346" s="127"/>
      <c r="AM346" s="127"/>
      <c r="AN346" s="127"/>
      <c r="AO346" s="127"/>
      <c r="AP346" s="127"/>
      <c r="AQ346" s="127"/>
      <c r="AR346" s="127"/>
      <c r="AS346" s="127"/>
      <c r="AT346" s="127"/>
      <c r="AU346" s="127"/>
      <c r="AV346" s="127"/>
      <c r="AW346" s="127"/>
      <c r="AX346" s="127"/>
      <c r="AY346" s="127"/>
      <c r="AZ346" s="127"/>
      <c r="BA346" s="127"/>
      <c r="BB346" s="127"/>
      <c r="BC346" s="127"/>
      <c r="BD346" s="127"/>
      <c r="BE346" s="127"/>
      <c r="BF346" s="127"/>
      <c r="BG346" s="127"/>
      <c r="BH346" s="127"/>
      <c r="BI346" s="127"/>
      <c r="BJ346" s="127"/>
      <c r="BK346" s="127"/>
      <c r="BL346" s="127"/>
      <c r="BM346" s="127"/>
      <c r="BN346" s="127"/>
      <c r="BO346" s="127"/>
      <c r="BP346" s="127"/>
      <c r="BQ346" s="127"/>
      <c r="BR346" s="127"/>
      <c r="BS346" s="127"/>
      <c r="BT346" s="127"/>
      <c r="BU346" s="127"/>
      <c r="BV346" s="127"/>
      <c r="BW346" s="127"/>
      <c r="BX346" s="127"/>
      <c r="BY346" s="127"/>
      <c r="BZ346" s="127"/>
      <c r="CA346" s="127"/>
      <c r="CB346" s="187"/>
      <c r="CC346" s="189"/>
      <c r="CD346" s="188"/>
      <c r="CE346" s="127"/>
      <c r="CF346" s="190"/>
      <c r="CG346" s="190"/>
      <c r="CH346" s="187"/>
      <c r="CI346" s="187"/>
      <c r="CJ346" s="187"/>
      <c r="CK346" s="187"/>
      <c r="CL346" s="187"/>
      <c r="CM346" s="187"/>
      <c r="CN346" s="187"/>
      <c r="CO346" s="127"/>
      <c r="CP346" s="127"/>
      <c r="CQ346" s="187"/>
      <c r="CR346" s="187"/>
      <c r="CS346" s="187"/>
      <c r="CT346" s="187"/>
      <c r="CU346" s="187"/>
      <c r="CV346" s="187"/>
      <c r="CW346" s="187"/>
      <c r="CX346" s="187"/>
    </row>
    <row r="347" spans="1:102" ht="12.75" customHeight="1" x14ac:dyDescent="0.2">
      <c r="A347" s="187"/>
      <c r="B347" s="127"/>
      <c r="C347" s="187"/>
      <c r="D347" s="127"/>
      <c r="E347" s="187"/>
      <c r="F347" s="187"/>
      <c r="G347" s="187"/>
      <c r="H347" s="187"/>
      <c r="I347" s="187"/>
      <c r="J347" s="187"/>
      <c r="K347" s="187"/>
      <c r="L347" s="187"/>
      <c r="M347" s="187"/>
      <c r="N347" s="187"/>
      <c r="O347" s="187"/>
      <c r="P347" s="187"/>
      <c r="Q347" s="187"/>
      <c r="R347" s="187"/>
      <c r="S347" s="187"/>
      <c r="T347" s="127"/>
      <c r="U347" s="188"/>
      <c r="V347" s="127"/>
      <c r="W347" s="1438"/>
      <c r="X347" s="127"/>
      <c r="Y347" s="127"/>
      <c r="Z347" s="127"/>
      <c r="AA347" s="127"/>
      <c r="AB347" s="127"/>
      <c r="AC347" s="127"/>
      <c r="AD347" s="127"/>
      <c r="AE347" s="127"/>
      <c r="AF347" s="127"/>
      <c r="AG347" s="127"/>
      <c r="AH347" s="127"/>
      <c r="AI347" s="127"/>
      <c r="AJ347" s="127"/>
      <c r="AK347" s="127"/>
      <c r="AL347" s="127"/>
      <c r="AM347" s="127"/>
      <c r="AN347" s="127"/>
      <c r="AO347" s="127"/>
      <c r="AP347" s="127"/>
      <c r="AQ347" s="127"/>
      <c r="AR347" s="127"/>
      <c r="AS347" s="127"/>
      <c r="AT347" s="127"/>
      <c r="AU347" s="127"/>
      <c r="AV347" s="127"/>
      <c r="AW347" s="127"/>
      <c r="AX347" s="127"/>
      <c r="AY347" s="127"/>
      <c r="AZ347" s="127"/>
      <c r="BA347" s="127"/>
      <c r="BB347" s="127"/>
      <c r="BC347" s="127"/>
      <c r="BD347" s="127"/>
      <c r="BE347" s="127"/>
      <c r="BF347" s="127"/>
      <c r="BG347" s="127"/>
      <c r="BH347" s="127"/>
      <c r="BI347" s="127"/>
      <c r="BJ347" s="127"/>
      <c r="BK347" s="127"/>
      <c r="BL347" s="127"/>
      <c r="BM347" s="127"/>
      <c r="BN347" s="127"/>
      <c r="BO347" s="127"/>
      <c r="BP347" s="127"/>
      <c r="BQ347" s="127"/>
      <c r="BR347" s="127"/>
      <c r="BS347" s="127"/>
      <c r="BT347" s="127"/>
      <c r="BU347" s="127"/>
      <c r="BV347" s="127"/>
      <c r="BW347" s="127"/>
      <c r="BX347" s="127"/>
      <c r="BY347" s="127"/>
      <c r="BZ347" s="127"/>
      <c r="CA347" s="127"/>
      <c r="CB347" s="187"/>
      <c r="CC347" s="189"/>
      <c r="CD347" s="188"/>
      <c r="CE347" s="127"/>
      <c r="CF347" s="190"/>
      <c r="CG347" s="190"/>
      <c r="CH347" s="187"/>
      <c r="CI347" s="187"/>
      <c r="CJ347" s="187"/>
      <c r="CK347" s="187"/>
      <c r="CL347" s="187"/>
      <c r="CM347" s="187"/>
      <c r="CN347" s="187"/>
      <c r="CO347" s="127"/>
      <c r="CP347" s="127"/>
      <c r="CQ347" s="187"/>
      <c r="CR347" s="187"/>
      <c r="CS347" s="187"/>
      <c r="CT347" s="187"/>
      <c r="CU347" s="187"/>
      <c r="CV347" s="187"/>
      <c r="CW347" s="187"/>
      <c r="CX347" s="187"/>
    </row>
    <row r="348" spans="1:102" ht="12.75" customHeight="1" x14ac:dyDescent="0.2">
      <c r="A348" s="187"/>
      <c r="B348" s="127"/>
      <c r="C348" s="187"/>
      <c r="D348" s="127"/>
      <c r="E348" s="187"/>
      <c r="F348" s="187"/>
      <c r="G348" s="187"/>
      <c r="H348" s="187"/>
      <c r="I348" s="187"/>
      <c r="J348" s="187"/>
      <c r="K348" s="187"/>
      <c r="L348" s="187"/>
      <c r="M348" s="187"/>
      <c r="N348" s="187"/>
      <c r="O348" s="187"/>
      <c r="P348" s="187"/>
      <c r="Q348" s="187"/>
      <c r="R348" s="187"/>
      <c r="S348" s="187"/>
      <c r="T348" s="127"/>
      <c r="U348" s="188"/>
      <c r="V348" s="127"/>
      <c r="W348" s="1438"/>
      <c r="X348" s="127"/>
      <c r="Y348" s="127"/>
      <c r="Z348" s="127"/>
      <c r="AA348" s="127"/>
      <c r="AB348" s="127"/>
      <c r="AC348" s="127"/>
      <c r="AD348" s="127"/>
      <c r="AE348" s="127"/>
      <c r="AF348" s="127"/>
      <c r="AG348" s="127"/>
      <c r="AH348" s="127"/>
      <c r="AI348" s="127"/>
      <c r="AJ348" s="127"/>
      <c r="AK348" s="127"/>
      <c r="AL348" s="127"/>
      <c r="AM348" s="127"/>
      <c r="AN348" s="127"/>
      <c r="AO348" s="127"/>
      <c r="AP348" s="127"/>
      <c r="AQ348" s="127"/>
      <c r="AR348" s="127"/>
      <c r="AS348" s="127"/>
      <c r="AT348" s="127"/>
      <c r="AU348" s="127"/>
      <c r="AV348" s="127"/>
      <c r="AW348" s="127"/>
      <c r="AX348" s="127"/>
      <c r="AY348" s="127"/>
      <c r="AZ348" s="127"/>
      <c r="BA348" s="127"/>
      <c r="BB348" s="127"/>
      <c r="BC348" s="127"/>
      <c r="BD348" s="127"/>
      <c r="BE348" s="127"/>
      <c r="BF348" s="127"/>
      <c r="BG348" s="127"/>
      <c r="BH348" s="127"/>
      <c r="BI348" s="127"/>
      <c r="BJ348" s="127"/>
      <c r="BK348" s="127"/>
      <c r="BL348" s="127"/>
      <c r="BM348" s="127"/>
      <c r="BN348" s="127"/>
      <c r="BO348" s="127"/>
      <c r="BP348" s="127"/>
      <c r="BQ348" s="127"/>
      <c r="BR348" s="127"/>
      <c r="BS348" s="127"/>
      <c r="BT348" s="127"/>
      <c r="BU348" s="127"/>
      <c r="BV348" s="127"/>
      <c r="BW348" s="127"/>
      <c r="BX348" s="127"/>
      <c r="BY348" s="127"/>
      <c r="BZ348" s="127"/>
      <c r="CA348" s="127"/>
      <c r="CB348" s="187"/>
      <c r="CC348" s="189"/>
      <c r="CD348" s="188"/>
      <c r="CE348" s="127"/>
      <c r="CF348" s="190"/>
      <c r="CG348" s="190"/>
      <c r="CH348" s="187"/>
      <c r="CI348" s="187"/>
      <c r="CJ348" s="187"/>
      <c r="CK348" s="187"/>
      <c r="CL348" s="187"/>
      <c r="CM348" s="187"/>
      <c r="CN348" s="187"/>
      <c r="CO348" s="127"/>
      <c r="CP348" s="127"/>
      <c r="CQ348" s="187"/>
      <c r="CR348" s="187"/>
      <c r="CS348" s="187"/>
      <c r="CT348" s="187"/>
      <c r="CU348" s="187"/>
      <c r="CV348" s="187"/>
      <c r="CW348" s="187"/>
      <c r="CX348" s="187"/>
    </row>
    <row r="349" spans="1:102" ht="12.75" customHeight="1" x14ac:dyDescent="0.2">
      <c r="A349" s="187"/>
      <c r="B349" s="127"/>
      <c r="C349" s="187"/>
      <c r="D349" s="127"/>
      <c r="E349" s="187"/>
      <c r="F349" s="187"/>
      <c r="G349" s="187"/>
      <c r="H349" s="187"/>
      <c r="I349" s="187"/>
      <c r="J349" s="187"/>
      <c r="K349" s="187"/>
      <c r="L349" s="187"/>
      <c r="M349" s="187"/>
      <c r="N349" s="187"/>
      <c r="O349" s="187"/>
      <c r="P349" s="187"/>
      <c r="Q349" s="187"/>
      <c r="R349" s="187"/>
      <c r="S349" s="187"/>
      <c r="T349" s="127"/>
      <c r="U349" s="188"/>
      <c r="V349" s="127"/>
      <c r="W349" s="1438"/>
      <c r="X349" s="127"/>
      <c r="Y349" s="127"/>
      <c r="Z349" s="127"/>
      <c r="AA349" s="127"/>
      <c r="AB349" s="127"/>
      <c r="AC349" s="127"/>
      <c r="AD349" s="127"/>
      <c r="AE349" s="127"/>
      <c r="AF349" s="127"/>
      <c r="AG349" s="127"/>
      <c r="AH349" s="127"/>
      <c r="AI349" s="127"/>
      <c r="AJ349" s="127"/>
      <c r="AK349" s="127"/>
      <c r="AL349" s="127"/>
      <c r="AM349" s="127"/>
      <c r="AN349" s="127"/>
      <c r="AO349" s="127"/>
      <c r="AP349" s="127"/>
      <c r="AQ349" s="127"/>
      <c r="AR349" s="127"/>
      <c r="AS349" s="127"/>
      <c r="AT349" s="127"/>
      <c r="AU349" s="127"/>
      <c r="AV349" s="127"/>
      <c r="AW349" s="127"/>
      <c r="AX349" s="127"/>
      <c r="AY349" s="127"/>
      <c r="AZ349" s="127"/>
      <c r="BA349" s="127"/>
      <c r="BB349" s="127"/>
      <c r="BC349" s="127"/>
      <c r="BD349" s="127"/>
      <c r="BE349" s="127"/>
      <c r="BF349" s="127"/>
      <c r="BG349" s="127"/>
      <c r="BH349" s="127"/>
      <c r="BI349" s="127"/>
      <c r="BJ349" s="127"/>
      <c r="BK349" s="127"/>
      <c r="BL349" s="127"/>
      <c r="BM349" s="127"/>
      <c r="BN349" s="127"/>
      <c r="BO349" s="127"/>
      <c r="BP349" s="127"/>
      <c r="BQ349" s="127"/>
      <c r="BR349" s="127"/>
      <c r="BS349" s="127"/>
      <c r="BT349" s="127"/>
      <c r="BU349" s="127"/>
      <c r="BV349" s="127"/>
      <c r="BW349" s="127"/>
      <c r="BX349" s="127"/>
      <c r="BY349" s="127"/>
      <c r="BZ349" s="127"/>
      <c r="CA349" s="127"/>
      <c r="CB349" s="187"/>
      <c r="CC349" s="189"/>
      <c r="CD349" s="188"/>
      <c r="CE349" s="127"/>
      <c r="CF349" s="190"/>
      <c r="CG349" s="190"/>
      <c r="CH349" s="187"/>
      <c r="CI349" s="187"/>
      <c r="CJ349" s="187"/>
      <c r="CK349" s="187"/>
      <c r="CL349" s="187"/>
      <c r="CM349" s="187"/>
      <c r="CN349" s="187"/>
      <c r="CO349" s="127"/>
      <c r="CP349" s="127"/>
      <c r="CQ349" s="187"/>
      <c r="CR349" s="187"/>
      <c r="CS349" s="187"/>
      <c r="CT349" s="187"/>
      <c r="CU349" s="187"/>
      <c r="CV349" s="187"/>
      <c r="CW349" s="187"/>
      <c r="CX349" s="187"/>
    </row>
    <row r="350" spans="1:102" ht="12.75" customHeight="1" x14ac:dyDescent="0.2">
      <c r="A350" s="187"/>
      <c r="B350" s="127"/>
      <c r="C350" s="187"/>
      <c r="D350" s="127"/>
      <c r="E350" s="187"/>
      <c r="F350" s="187"/>
      <c r="G350" s="187"/>
      <c r="H350" s="187"/>
      <c r="I350" s="187"/>
      <c r="J350" s="187"/>
      <c r="K350" s="187"/>
      <c r="L350" s="187"/>
      <c r="M350" s="187"/>
      <c r="N350" s="187"/>
      <c r="O350" s="187"/>
      <c r="P350" s="187"/>
      <c r="Q350" s="187"/>
      <c r="R350" s="187"/>
      <c r="S350" s="187"/>
      <c r="T350" s="127"/>
      <c r="U350" s="188"/>
      <c r="V350" s="127"/>
      <c r="W350" s="1438"/>
      <c r="X350" s="127"/>
      <c r="Y350" s="127"/>
      <c r="Z350" s="127"/>
      <c r="AA350" s="127"/>
      <c r="AB350" s="127"/>
      <c r="AC350" s="127"/>
      <c r="AD350" s="127"/>
      <c r="AE350" s="127"/>
      <c r="AF350" s="127"/>
      <c r="AG350" s="127"/>
      <c r="AH350" s="127"/>
      <c r="AI350" s="127"/>
      <c r="AJ350" s="127"/>
      <c r="AK350" s="127"/>
      <c r="AL350" s="127"/>
      <c r="AM350" s="127"/>
      <c r="AN350" s="127"/>
      <c r="AO350" s="127"/>
      <c r="AP350" s="127"/>
      <c r="AQ350" s="127"/>
      <c r="AR350" s="127"/>
      <c r="AS350" s="127"/>
      <c r="AT350" s="127"/>
      <c r="AU350" s="127"/>
      <c r="AV350" s="127"/>
      <c r="AW350" s="127"/>
      <c r="AX350" s="127"/>
      <c r="AY350" s="127"/>
      <c r="AZ350" s="127"/>
      <c r="BA350" s="127"/>
      <c r="BB350" s="127"/>
      <c r="BC350" s="127"/>
      <c r="BD350" s="127"/>
      <c r="BE350" s="127"/>
      <c r="BF350" s="127"/>
      <c r="BG350" s="127"/>
      <c r="BH350" s="127"/>
      <c r="BI350" s="127"/>
      <c r="BJ350" s="127"/>
      <c r="BK350" s="127"/>
      <c r="BL350" s="127"/>
      <c r="BM350" s="127"/>
      <c r="BN350" s="127"/>
      <c r="BO350" s="127"/>
      <c r="BP350" s="127"/>
      <c r="BQ350" s="127"/>
      <c r="BR350" s="127"/>
      <c r="BS350" s="127"/>
      <c r="BT350" s="127"/>
      <c r="BU350" s="127"/>
      <c r="BV350" s="127"/>
      <c r="BW350" s="127"/>
      <c r="BX350" s="127"/>
      <c r="BY350" s="127"/>
      <c r="BZ350" s="127"/>
      <c r="CA350" s="127"/>
      <c r="CB350" s="187"/>
      <c r="CC350" s="189"/>
      <c r="CD350" s="188"/>
      <c r="CE350" s="127"/>
      <c r="CF350" s="190"/>
      <c r="CG350" s="190"/>
      <c r="CH350" s="187"/>
      <c r="CI350" s="187"/>
      <c r="CJ350" s="187"/>
      <c r="CK350" s="187"/>
      <c r="CL350" s="187"/>
      <c r="CM350" s="187"/>
      <c r="CN350" s="187"/>
      <c r="CO350" s="127"/>
      <c r="CP350" s="127"/>
      <c r="CQ350" s="187"/>
      <c r="CR350" s="187"/>
      <c r="CS350" s="187"/>
      <c r="CT350" s="187"/>
      <c r="CU350" s="187"/>
      <c r="CV350" s="187"/>
      <c r="CW350" s="187"/>
      <c r="CX350" s="187"/>
    </row>
    <row r="351" spans="1:102" ht="12.75" customHeight="1" x14ac:dyDescent="0.2">
      <c r="A351" s="187"/>
      <c r="B351" s="127"/>
      <c r="C351" s="187"/>
      <c r="D351" s="127"/>
      <c r="E351" s="187"/>
      <c r="F351" s="187"/>
      <c r="G351" s="187"/>
      <c r="H351" s="187"/>
      <c r="I351" s="187"/>
      <c r="J351" s="187"/>
      <c r="K351" s="187"/>
      <c r="L351" s="187"/>
      <c r="M351" s="187"/>
      <c r="N351" s="187"/>
      <c r="O351" s="187"/>
      <c r="P351" s="187"/>
      <c r="Q351" s="187"/>
      <c r="R351" s="187"/>
      <c r="S351" s="187"/>
      <c r="T351" s="127"/>
      <c r="U351" s="188"/>
      <c r="V351" s="127"/>
      <c r="W351" s="1438"/>
      <c r="X351" s="127"/>
      <c r="Y351" s="127"/>
      <c r="Z351" s="127"/>
      <c r="AA351" s="127"/>
      <c r="AB351" s="127"/>
      <c r="AC351" s="127"/>
      <c r="AD351" s="127"/>
      <c r="AE351" s="127"/>
      <c r="AF351" s="127"/>
      <c r="AG351" s="127"/>
      <c r="AH351" s="127"/>
      <c r="AI351" s="127"/>
      <c r="AJ351" s="127"/>
      <c r="AK351" s="127"/>
      <c r="AL351" s="127"/>
      <c r="AM351" s="127"/>
      <c r="AN351" s="127"/>
      <c r="AO351" s="127"/>
      <c r="AP351" s="127"/>
      <c r="AQ351" s="127"/>
      <c r="AR351" s="127"/>
      <c r="AS351" s="127"/>
      <c r="AT351" s="127"/>
      <c r="AU351" s="127"/>
      <c r="AV351" s="127"/>
      <c r="AW351" s="127"/>
      <c r="AX351" s="127"/>
      <c r="AY351" s="127"/>
      <c r="AZ351" s="127"/>
      <c r="BA351" s="127"/>
      <c r="BB351" s="127"/>
      <c r="BC351" s="127"/>
      <c r="BD351" s="127"/>
      <c r="BE351" s="127"/>
      <c r="BF351" s="127"/>
      <c r="BG351" s="127"/>
      <c r="BH351" s="127"/>
      <c r="BI351" s="127"/>
      <c r="BJ351" s="127"/>
      <c r="BK351" s="127"/>
      <c r="BL351" s="127"/>
      <c r="BM351" s="127"/>
      <c r="BN351" s="127"/>
      <c r="BO351" s="127"/>
      <c r="BP351" s="127"/>
      <c r="BQ351" s="127"/>
      <c r="BR351" s="127"/>
      <c r="BS351" s="127"/>
      <c r="BT351" s="127"/>
      <c r="BU351" s="127"/>
      <c r="BV351" s="127"/>
      <c r="BW351" s="127"/>
      <c r="BX351" s="127"/>
      <c r="BY351" s="127"/>
      <c r="BZ351" s="127"/>
      <c r="CA351" s="127"/>
      <c r="CB351" s="187"/>
      <c r="CC351" s="189"/>
      <c r="CD351" s="188"/>
      <c r="CE351" s="127"/>
      <c r="CF351" s="190"/>
      <c r="CG351" s="190"/>
      <c r="CH351" s="187"/>
      <c r="CI351" s="187"/>
      <c r="CJ351" s="187"/>
      <c r="CK351" s="187"/>
      <c r="CL351" s="187"/>
      <c r="CM351" s="187"/>
      <c r="CN351" s="187"/>
      <c r="CO351" s="127"/>
      <c r="CP351" s="127"/>
      <c r="CQ351" s="187"/>
      <c r="CR351" s="187"/>
      <c r="CS351" s="187"/>
      <c r="CT351" s="187"/>
      <c r="CU351" s="187"/>
      <c r="CV351" s="187"/>
      <c r="CW351" s="187"/>
      <c r="CX351" s="187"/>
    </row>
    <row r="352" spans="1:102" ht="12.75" customHeight="1" x14ac:dyDescent="0.2">
      <c r="A352" s="187"/>
      <c r="B352" s="127"/>
      <c r="C352" s="187"/>
      <c r="D352" s="127"/>
      <c r="E352" s="187"/>
      <c r="F352" s="187"/>
      <c r="G352" s="187"/>
      <c r="H352" s="187"/>
      <c r="I352" s="187"/>
      <c r="J352" s="187"/>
      <c r="K352" s="187"/>
      <c r="L352" s="187"/>
      <c r="M352" s="187"/>
      <c r="N352" s="187"/>
      <c r="O352" s="187"/>
      <c r="P352" s="187"/>
      <c r="Q352" s="187"/>
      <c r="R352" s="187"/>
      <c r="S352" s="187"/>
      <c r="T352" s="127"/>
      <c r="U352" s="188"/>
      <c r="V352" s="127"/>
      <c r="W352" s="1438"/>
      <c r="X352" s="127"/>
      <c r="Y352" s="127"/>
      <c r="Z352" s="127"/>
      <c r="AA352" s="127"/>
      <c r="AB352" s="127"/>
      <c r="AC352" s="127"/>
      <c r="AD352" s="127"/>
      <c r="AE352" s="127"/>
      <c r="AF352" s="127"/>
      <c r="AG352" s="127"/>
      <c r="AH352" s="127"/>
      <c r="AI352" s="127"/>
      <c r="AJ352" s="127"/>
      <c r="AK352" s="127"/>
      <c r="AL352" s="127"/>
      <c r="AM352" s="127"/>
      <c r="AN352" s="127"/>
      <c r="AO352" s="127"/>
      <c r="AP352" s="127"/>
      <c r="AQ352" s="127"/>
      <c r="AR352" s="127"/>
      <c r="AS352" s="127"/>
      <c r="AT352" s="127"/>
      <c r="AU352" s="127"/>
      <c r="AV352" s="127"/>
      <c r="AW352" s="127"/>
      <c r="AX352" s="127"/>
      <c r="AY352" s="127"/>
      <c r="AZ352" s="127"/>
      <c r="BA352" s="127"/>
      <c r="BB352" s="127"/>
      <c r="BC352" s="127"/>
      <c r="BD352" s="127"/>
      <c r="BE352" s="127"/>
      <c r="BF352" s="127"/>
      <c r="BG352" s="127"/>
      <c r="BH352" s="127"/>
      <c r="BI352" s="127"/>
      <c r="BJ352" s="127"/>
      <c r="BK352" s="127"/>
      <c r="BL352" s="127"/>
      <c r="BM352" s="127"/>
      <c r="BN352" s="127"/>
      <c r="BO352" s="127"/>
      <c r="BP352" s="127"/>
      <c r="BQ352" s="127"/>
      <c r="BR352" s="127"/>
      <c r="BS352" s="127"/>
      <c r="BT352" s="127"/>
      <c r="BU352" s="127"/>
      <c r="BV352" s="127"/>
      <c r="BW352" s="127"/>
      <c r="BX352" s="127"/>
      <c r="BY352" s="127"/>
      <c r="BZ352" s="127"/>
      <c r="CA352" s="127"/>
      <c r="CB352" s="187"/>
      <c r="CC352" s="189"/>
      <c r="CD352" s="188"/>
      <c r="CE352" s="127"/>
      <c r="CF352" s="190"/>
      <c r="CG352" s="190"/>
      <c r="CH352" s="187"/>
      <c r="CI352" s="187"/>
      <c r="CJ352" s="187"/>
      <c r="CK352" s="187"/>
      <c r="CL352" s="187"/>
      <c r="CM352" s="187"/>
      <c r="CN352" s="187"/>
      <c r="CO352" s="127"/>
      <c r="CP352" s="127"/>
      <c r="CQ352" s="187"/>
      <c r="CR352" s="187"/>
      <c r="CS352" s="187"/>
      <c r="CT352" s="187"/>
      <c r="CU352" s="187"/>
      <c r="CV352" s="187"/>
      <c r="CW352" s="187"/>
      <c r="CX352" s="187"/>
    </row>
    <row r="353" spans="1:102" ht="12.75" customHeight="1" x14ac:dyDescent="0.2">
      <c r="A353" s="187"/>
      <c r="B353" s="127"/>
      <c r="C353" s="187"/>
      <c r="D353" s="127"/>
      <c r="E353" s="187"/>
      <c r="F353" s="187"/>
      <c r="G353" s="187"/>
      <c r="H353" s="187"/>
      <c r="I353" s="187"/>
      <c r="J353" s="187"/>
      <c r="K353" s="187"/>
      <c r="L353" s="187"/>
      <c r="M353" s="187"/>
      <c r="N353" s="187"/>
      <c r="O353" s="187"/>
      <c r="P353" s="187"/>
      <c r="Q353" s="187"/>
      <c r="R353" s="187"/>
      <c r="S353" s="187"/>
      <c r="T353" s="127"/>
      <c r="U353" s="188"/>
      <c r="V353" s="127"/>
      <c r="W353" s="1438"/>
      <c r="X353" s="127"/>
      <c r="Y353" s="127"/>
      <c r="Z353" s="127"/>
      <c r="AA353" s="127"/>
      <c r="AB353" s="127"/>
      <c r="AC353" s="127"/>
      <c r="AD353" s="127"/>
      <c r="AE353" s="127"/>
      <c r="AF353" s="127"/>
      <c r="AG353" s="127"/>
      <c r="AH353" s="127"/>
      <c r="AI353" s="127"/>
      <c r="AJ353" s="127"/>
      <c r="AK353" s="127"/>
      <c r="AL353" s="127"/>
      <c r="AM353" s="127"/>
      <c r="AN353" s="127"/>
      <c r="AO353" s="127"/>
      <c r="AP353" s="127"/>
      <c r="AQ353" s="127"/>
      <c r="AR353" s="127"/>
      <c r="AS353" s="127"/>
      <c r="AT353" s="127"/>
      <c r="AU353" s="127"/>
      <c r="AV353" s="127"/>
      <c r="AW353" s="127"/>
      <c r="AX353" s="127"/>
      <c r="AY353" s="127"/>
      <c r="AZ353" s="127"/>
      <c r="BA353" s="127"/>
      <c r="BB353" s="127"/>
      <c r="BC353" s="127"/>
      <c r="BD353" s="127"/>
      <c r="BE353" s="127"/>
      <c r="BF353" s="127"/>
      <c r="BG353" s="127"/>
      <c r="BH353" s="127"/>
      <c r="BI353" s="127"/>
      <c r="BJ353" s="127"/>
      <c r="BK353" s="127"/>
      <c r="BL353" s="127"/>
      <c r="BM353" s="127"/>
      <c r="BN353" s="127"/>
      <c r="BO353" s="127"/>
      <c r="BP353" s="127"/>
      <c r="BQ353" s="127"/>
      <c r="BR353" s="127"/>
      <c r="BS353" s="127"/>
      <c r="BT353" s="127"/>
      <c r="BU353" s="127"/>
      <c r="BV353" s="127"/>
      <c r="BW353" s="127"/>
      <c r="BX353" s="127"/>
      <c r="BY353" s="127"/>
      <c r="BZ353" s="127"/>
      <c r="CA353" s="127"/>
      <c r="CB353" s="187"/>
      <c r="CC353" s="189"/>
      <c r="CD353" s="188"/>
      <c r="CE353" s="127"/>
      <c r="CF353" s="190"/>
      <c r="CG353" s="190"/>
      <c r="CH353" s="187"/>
      <c r="CI353" s="187"/>
      <c r="CJ353" s="187"/>
      <c r="CK353" s="187"/>
      <c r="CL353" s="187"/>
      <c r="CM353" s="187"/>
      <c r="CN353" s="187"/>
      <c r="CO353" s="127"/>
      <c r="CP353" s="127"/>
      <c r="CQ353" s="187"/>
      <c r="CR353" s="187"/>
      <c r="CS353" s="187"/>
      <c r="CT353" s="187"/>
      <c r="CU353" s="187"/>
      <c r="CV353" s="187"/>
      <c r="CW353" s="187"/>
      <c r="CX353" s="187"/>
    </row>
    <row r="354" spans="1:102" ht="12.75" customHeight="1" x14ac:dyDescent="0.2">
      <c r="A354" s="187"/>
      <c r="B354" s="127"/>
      <c r="C354" s="187"/>
      <c r="D354" s="127"/>
      <c r="E354" s="187"/>
      <c r="F354" s="187"/>
      <c r="G354" s="187"/>
      <c r="H354" s="187"/>
      <c r="I354" s="187"/>
      <c r="J354" s="187"/>
      <c r="K354" s="187"/>
      <c r="L354" s="187"/>
      <c r="M354" s="187"/>
      <c r="N354" s="187"/>
      <c r="O354" s="187"/>
      <c r="P354" s="187"/>
      <c r="Q354" s="187"/>
      <c r="R354" s="187"/>
      <c r="S354" s="187"/>
      <c r="T354" s="127"/>
      <c r="U354" s="188"/>
      <c r="V354" s="127"/>
      <c r="W354" s="1438"/>
      <c r="X354" s="127"/>
      <c r="Y354" s="127"/>
      <c r="Z354" s="127"/>
      <c r="AA354" s="127"/>
      <c r="AB354" s="127"/>
      <c r="AC354" s="127"/>
      <c r="AD354" s="127"/>
      <c r="AE354" s="127"/>
      <c r="AF354" s="127"/>
      <c r="AG354" s="127"/>
      <c r="AH354" s="127"/>
      <c r="AI354" s="127"/>
      <c r="AJ354" s="127"/>
      <c r="AK354" s="127"/>
      <c r="AL354" s="127"/>
      <c r="AM354" s="127"/>
      <c r="AN354" s="127"/>
      <c r="AO354" s="127"/>
      <c r="AP354" s="127"/>
      <c r="AQ354" s="127"/>
      <c r="AR354" s="127"/>
      <c r="AS354" s="127"/>
      <c r="AT354" s="127"/>
      <c r="AU354" s="127"/>
      <c r="AV354" s="127"/>
      <c r="AW354" s="127"/>
      <c r="AX354" s="127"/>
      <c r="AY354" s="127"/>
      <c r="AZ354" s="127"/>
      <c r="BA354" s="127"/>
      <c r="BB354" s="127"/>
      <c r="BC354" s="127"/>
      <c r="BD354" s="127"/>
      <c r="BE354" s="127"/>
      <c r="BF354" s="127"/>
      <c r="BG354" s="127"/>
      <c r="BH354" s="127"/>
      <c r="BI354" s="127"/>
      <c r="BJ354" s="127"/>
      <c r="BK354" s="127"/>
      <c r="BL354" s="127"/>
      <c r="BM354" s="127"/>
      <c r="BN354" s="127"/>
      <c r="BO354" s="127"/>
      <c r="BP354" s="127"/>
      <c r="BQ354" s="127"/>
      <c r="BR354" s="127"/>
      <c r="BS354" s="127"/>
      <c r="BT354" s="127"/>
      <c r="BU354" s="127"/>
      <c r="BV354" s="127"/>
      <c r="BW354" s="127"/>
      <c r="BX354" s="127"/>
      <c r="BY354" s="127"/>
      <c r="BZ354" s="127"/>
      <c r="CA354" s="127"/>
      <c r="CB354" s="187"/>
      <c r="CC354" s="189"/>
      <c r="CD354" s="188"/>
      <c r="CE354" s="127"/>
      <c r="CF354" s="190"/>
      <c r="CG354" s="190"/>
      <c r="CH354" s="187"/>
      <c r="CI354" s="187"/>
      <c r="CJ354" s="187"/>
      <c r="CK354" s="187"/>
      <c r="CL354" s="187"/>
      <c r="CM354" s="187"/>
      <c r="CN354" s="187"/>
      <c r="CO354" s="127"/>
      <c r="CP354" s="127"/>
      <c r="CQ354" s="187"/>
      <c r="CR354" s="187"/>
      <c r="CS354" s="187"/>
      <c r="CT354" s="187"/>
      <c r="CU354" s="187"/>
      <c r="CV354" s="187"/>
      <c r="CW354" s="187"/>
      <c r="CX354" s="187"/>
    </row>
    <row r="355" spans="1:102" ht="12.75" customHeight="1" x14ac:dyDescent="0.2">
      <c r="A355" s="187"/>
      <c r="B355" s="127"/>
      <c r="C355" s="187"/>
      <c r="D355" s="127"/>
      <c r="E355" s="187"/>
      <c r="F355" s="187"/>
      <c r="G355" s="187"/>
      <c r="H355" s="187"/>
      <c r="I355" s="187"/>
      <c r="J355" s="187"/>
      <c r="K355" s="187"/>
      <c r="L355" s="187"/>
      <c r="M355" s="187"/>
      <c r="N355" s="187"/>
      <c r="O355" s="187"/>
      <c r="P355" s="187"/>
      <c r="Q355" s="187"/>
      <c r="R355" s="187"/>
      <c r="S355" s="187"/>
      <c r="T355" s="127"/>
      <c r="U355" s="188"/>
      <c r="V355" s="127"/>
      <c r="W355" s="1438"/>
      <c r="X355" s="127"/>
      <c r="Y355" s="127"/>
      <c r="Z355" s="127"/>
      <c r="AA355" s="127"/>
      <c r="AB355" s="127"/>
      <c r="AC355" s="127"/>
      <c r="AD355" s="127"/>
      <c r="AE355" s="127"/>
      <c r="AF355" s="127"/>
      <c r="AG355" s="127"/>
      <c r="AH355" s="127"/>
      <c r="AI355" s="127"/>
      <c r="AJ355" s="127"/>
      <c r="AK355" s="127"/>
      <c r="AL355" s="127"/>
      <c r="AM355" s="127"/>
      <c r="AN355" s="127"/>
      <c r="AO355" s="127"/>
      <c r="AP355" s="127"/>
      <c r="AQ355" s="127"/>
      <c r="AR355" s="127"/>
      <c r="AS355" s="127"/>
      <c r="AT355" s="127"/>
      <c r="AU355" s="127"/>
      <c r="AV355" s="127"/>
      <c r="AW355" s="127"/>
      <c r="AX355" s="127"/>
      <c r="AY355" s="127"/>
      <c r="AZ355" s="127"/>
      <c r="BA355" s="127"/>
      <c r="BB355" s="127"/>
      <c r="BC355" s="127"/>
      <c r="BD355" s="127"/>
      <c r="BE355" s="127"/>
      <c r="BF355" s="127"/>
      <c r="BG355" s="127"/>
      <c r="BH355" s="127"/>
      <c r="BI355" s="127"/>
      <c r="BJ355" s="127"/>
      <c r="BK355" s="127"/>
      <c r="BL355" s="127"/>
      <c r="BM355" s="127"/>
      <c r="BN355" s="127"/>
      <c r="BO355" s="127"/>
      <c r="BP355" s="127"/>
      <c r="BQ355" s="127"/>
      <c r="BR355" s="127"/>
      <c r="BS355" s="127"/>
      <c r="BT355" s="127"/>
      <c r="BU355" s="127"/>
      <c r="BV355" s="127"/>
      <c r="BW355" s="127"/>
      <c r="BX355" s="127"/>
      <c r="BY355" s="127"/>
      <c r="BZ355" s="127"/>
      <c r="CA355" s="127"/>
      <c r="CB355" s="187"/>
      <c r="CC355" s="189"/>
      <c r="CD355" s="188"/>
      <c r="CE355" s="127"/>
      <c r="CF355" s="190"/>
      <c r="CG355" s="190"/>
      <c r="CH355" s="187"/>
      <c r="CI355" s="187"/>
      <c r="CJ355" s="187"/>
      <c r="CK355" s="187"/>
      <c r="CL355" s="187"/>
      <c r="CM355" s="187"/>
      <c r="CN355" s="187"/>
      <c r="CO355" s="127"/>
      <c r="CP355" s="127"/>
      <c r="CQ355" s="187"/>
      <c r="CR355" s="187"/>
      <c r="CS355" s="187"/>
      <c r="CT355" s="187"/>
      <c r="CU355" s="187"/>
      <c r="CV355" s="187"/>
      <c r="CW355" s="187"/>
      <c r="CX355" s="187"/>
    </row>
    <row r="356" spans="1:102" ht="12.75" customHeight="1" x14ac:dyDescent="0.2">
      <c r="A356" s="187"/>
      <c r="B356" s="127"/>
      <c r="C356" s="187"/>
      <c r="D356" s="127"/>
      <c r="E356" s="187"/>
      <c r="F356" s="187"/>
      <c r="G356" s="187"/>
      <c r="H356" s="187"/>
      <c r="I356" s="187"/>
      <c r="J356" s="187"/>
      <c r="K356" s="187"/>
      <c r="L356" s="187"/>
      <c r="M356" s="187"/>
      <c r="N356" s="187"/>
      <c r="O356" s="187"/>
      <c r="P356" s="187"/>
      <c r="Q356" s="187"/>
      <c r="R356" s="187"/>
      <c r="S356" s="187"/>
      <c r="T356" s="127"/>
      <c r="U356" s="188"/>
      <c r="V356" s="127"/>
      <c r="W356" s="1438"/>
      <c r="X356" s="127"/>
      <c r="Y356" s="127"/>
      <c r="Z356" s="127"/>
      <c r="AA356" s="127"/>
      <c r="AB356" s="127"/>
      <c r="AC356" s="127"/>
      <c r="AD356" s="127"/>
      <c r="AE356" s="127"/>
      <c r="AF356" s="127"/>
      <c r="AG356" s="127"/>
      <c r="AH356" s="127"/>
      <c r="AI356" s="127"/>
      <c r="AJ356" s="127"/>
      <c r="AK356" s="127"/>
      <c r="AL356" s="127"/>
      <c r="AM356" s="127"/>
      <c r="AN356" s="127"/>
      <c r="AO356" s="127"/>
      <c r="AP356" s="127"/>
      <c r="AQ356" s="127"/>
      <c r="AR356" s="127"/>
      <c r="AS356" s="127"/>
      <c r="AT356" s="127"/>
      <c r="AU356" s="127"/>
      <c r="AV356" s="127"/>
      <c r="AW356" s="127"/>
      <c r="AX356" s="127"/>
      <c r="AY356" s="127"/>
      <c r="AZ356" s="127"/>
      <c r="BA356" s="127"/>
      <c r="BB356" s="127"/>
      <c r="BC356" s="127"/>
      <c r="BD356" s="127"/>
      <c r="BE356" s="127"/>
      <c r="BF356" s="127"/>
      <c r="BG356" s="127"/>
      <c r="BH356" s="127"/>
      <c r="BI356" s="127"/>
      <c r="BJ356" s="127"/>
      <c r="BK356" s="127"/>
      <c r="BL356" s="127"/>
      <c r="BM356" s="127"/>
      <c r="BN356" s="127"/>
      <c r="BO356" s="127"/>
      <c r="BP356" s="127"/>
      <c r="BQ356" s="127"/>
      <c r="BR356" s="127"/>
      <c r="BS356" s="127"/>
      <c r="BT356" s="127"/>
      <c r="BU356" s="127"/>
      <c r="BV356" s="127"/>
      <c r="BW356" s="127"/>
      <c r="BX356" s="127"/>
      <c r="BY356" s="127"/>
      <c r="BZ356" s="127"/>
      <c r="CA356" s="127"/>
      <c r="CB356" s="187"/>
      <c r="CC356" s="189"/>
      <c r="CD356" s="188"/>
      <c r="CE356" s="127"/>
      <c r="CF356" s="190"/>
      <c r="CG356" s="190"/>
      <c r="CH356" s="187"/>
      <c r="CI356" s="187"/>
      <c r="CJ356" s="187"/>
      <c r="CK356" s="187"/>
      <c r="CL356" s="187"/>
      <c r="CM356" s="187"/>
      <c r="CN356" s="187"/>
      <c r="CO356" s="127"/>
      <c r="CP356" s="127"/>
      <c r="CQ356" s="187"/>
      <c r="CR356" s="187"/>
      <c r="CS356" s="187"/>
      <c r="CT356" s="187"/>
      <c r="CU356" s="187"/>
      <c r="CV356" s="187"/>
      <c r="CW356" s="187"/>
      <c r="CX356" s="187"/>
    </row>
    <row r="357" spans="1:102" ht="12.75" customHeight="1" x14ac:dyDescent="0.2">
      <c r="A357" s="187"/>
      <c r="B357" s="127"/>
      <c r="C357" s="187"/>
      <c r="D357" s="127"/>
      <c r="E357" s="187"/>
      <c r="F357" s="187"/>
      <c r="G357" s="187"/>
      <c r="H357" s="187"/>
      <c r="I357" s="187"/>
      <c r="J357" s="187"/>
      <c r="K357" s="187"/>
      <c r="L357" s="187"/>
      <c r="M357" s="187"/>
      <c r="N357" s="187"/>
      <c r="O357" s="187"/>
      <c r="P357" s="187"/>
      <c r="Q357" s="187"/>
      <c r="R357" s="187"/>
      <c r="S357" s="187"/>
      <c r="T357" s="127"/>
      <c r="U357" s="188"/>
      <c r="V357" s="127"/>
      <c r="W357" s="1438"/>
      <c r="X357" s="127"/>
      <c r="Y357" s="127"/>
      <c r="Z357" s="127"/>
      <c r="AA357" s="127"/>
      <c r="AB357" s="127"/>
      <c r="AC357" s="127"/>
      <c r="AD357" s="127"/>
      <c r="AE357" s="127"/>
      <c r="AF357" s="127"/>
      <c r="AG357" s="127"/>
      <c r="AH357" s="127"/>
      <c r="AI357" s="127"/>
      <c r="AJ357" s="127"/>
      <c r="AK357" s="127"/>
      <c r="AL357" s="127"/>
      <c r="AM357" s="127"/>
      <c r="AN357" s="127"/>
      <c r="AO357" s="127"/>
      <c r="AP357" s="127"/>
      <c r="AQ357" s="127"/>
      <c r="AR357" s="127"/>
      <c r="AS357" s="127"/>
      <c r="AT357" s="127"/>
      <c r="AU357" s="127"/>
      <c r="AV357" s="127"/>
      <c r="AW357" s="127"/>
      <c r="AX357" s="127"/>
      <c r="AY357" s="127"/>
      <c r="AZ357" s="127"/>
      <c r="BA357" s="127"/>
      <c r="BB357" s="127"/>
      <c r="BC357" s="127"/>
      <c r="BD357" s="127"/>
      <c r="BE357" s="127"/>
      <c r="BF357" s="127"/>
      <c r="BG357" s="127"/>
      <c r="BH357" s="127"/>
      <c r="BI357" s="127"/>
      <c r="BJ357" s="127"/>
      <c r="BK357" s="127"/>
      <c r="BL357" s="127"/>
      <c r="BM357" s="127"/>
      <c r="BN357" s="127"/>
      <c r="BO357" s="127"/>
      <c r="BP357" s="127"/>
      <c r="BQ357" s="127"/>
      <c r="BR357" s="127"/>
      <c r="BS357" s="127"/>
      <c r="BT357" s="127"/>
      <c r="BU357" s="127"/>
      <c r="BV357" s="127"/>
      <c r="BW357" s="127"/>
      <c r="BX357" s="127"/>
      <c r="BY357" s="127"/>
      <c r="BZ357" s="127"/>
      <c r="CA357" s="127"/>
      <c r="CB357" s="187"/>
      <c r="CC357" s="189"/>
      <c r="CD357" s="188"/>
      <c r="CE357" s="127"/>
      <c r="CF357" s="190"/>
      <c r="CG357" s="190"/>
      <c r="CH357" s="187"/>
      <c r="CI357" s="187"/>
      <c r="CJ357" s="187"/>
      <c r="CK357" s="187"/>
      <c r="CL357" s="187"/>
      <c r="CM357" s="187"/>
      <c r="CN357" s="187"/>
      <c r="CO357" s="127"/>
      <c r="CP357" s="127"/>
      <c r="CQ357" s="187"/>
      <c r="CR357" s="187"/>
      <c r="CS357" s="187"/>
      <c r="CT357" s="187"/>
      <c r="CU357" s="187"/>
      <c r="CV357" s="187"/>
      <c r="CW357" s="187"/>
      <c r="CX357" s="187"/>
    </row>
    <row r="358" spans="1:102" ht="12.75" customHeight="1" x14ac:dyDescent="0.2">
      <c r="A358" s="187"/>
      <c r="B358" s="127"/>
      <c r="C358" s="187"/>
      <c r="D358" s="127"/>
      <c r="E358" s="187"/>
      <c r="F358" s="187"/>
      <c r="G358" s="187"/>
      <c r="H358" s="187"/>
      <c r="I358" s="187"/>
      <c r="J358" s="187"/>
      <c r="K358" s="187"/>
      <c r="L358" s="187"/>
      <c r="M358" s="187"/>
      <c r="N358" s="187"/>
      <c r="O358" s="187"/>
      <c r="P358" s="187"/>
      <c r="Q358" s="187"/>
      <c r="R358" s="187"/>
      <c r="S358" s="187"/>
      <c r="T358" s="127"/>
      <c r="U358" s="188"/>
      <c r="V358" s="127"/>
      <c r="W358" s="1438"/>
      <c r="X358" s="127"/>
      <c r="Y358" s="127"/>
      <c r="Z358" s="127"/>
      <c r="AA358" s="127"/>
      <c r="AB358" s="127"/>
      <c r="AC358" s="127"/>
      <c r="AD358" s="127"/>
      <c r="AE358" s="127"/>
      <c r="AF358" s="127"/>
      <c r="AG358" s="127"/>
      <c r="AH358" s="127"/>
      <c r="AI358" s="127"/>
      <c r="AJ358" s="127"/>
      <c r="AK358" s="127"/>
      <c r="AL358" s="127"/>
      <c r="AM358" s="127"/>
      <c r="AN358" s="127"/>
      <c r="AO358" s="127"/>
      <c r="AP358" s="127"/>
      <c r="AQ358" s="127"/>
      <c r="AR358" s="127"/>
      <c r="AS358" s="127"/>
      <c r="AT358" s="127"/>
      <c r="AU358" s="127"/>
      <c r="AV358" s="127"/>
      <c r="AW358" s="127"/>
      <c r="AX358" s="127"/>
      <c r="AY358" s="127"/>
      <c r="AZ358" s="127"/>
      <c r="BA358" s="127"/>
      <c r="BB358" s="127"/>
      <c r="BC358" s="127"/>
      <c r="BD358" s="127"/>
      <c r="BE358" s="127"/>
      <c r="BF358" s="127"/>
      <c r="BG358" s="127"/>
      <c r="BH358" s="127"/>
      <c r="BI358" s="127"/>
      <c r="BJ358" s="127"/>
      <c r="BK358" s="127"/>
      <c r="BL358" s="127"/>
      <c r="BM358" s="127"/>
      <c r="BN358" s="127"/>
      <c r="BO358" s="127"/>
      <c r="BP358" s="127"/>
      <c r="BQ358" s="127"/>
      <c r="BR358" s="127"/>
      <c r="BS358" s="127"/>
      <c r="BT358" s="127"/>
      <c r="BU358" s="127"/>
      <c r="BV358" s="127"/>
      <c r="BW358" s="127"/>
      <c r="BX358" s="127"/>
      <c r="BY358" s="127"/>
      <c r="BZ358" s="127"/>
      <c r="CA358" s="127"/>
      <c r="CB358" s="187"/>
      <c r="CC358" s="189"/>
      <c r="CD358" s="188"/>
      <c r="CE358" s="127"/>
      <c r="CF358" s="190"/>
      <c r="CG358" s="190"/>
      <c r="CH358" s="187"/>
      <c r="CI358" s="187"/>
      <c r="CJ358" s="187"/>
      <c r="CK358" s="187"/>
      <c r="CL358" s="187"/>
      <c r="CM358" s="187"/>
      <c r="CN358" s="187"/>
      <c r="CO358" s="127"/>
      <c r="CP358" s="127"/>
      <c r="CQ358" s="187"/>
      <c r="CR358" s="187"/>
      <c r="CS358" s="187"/>
      <c r="CT358" s="187"/>
      <c r="CU358" s="187"/>
      <c r="CV358" s="187"/>
      <c r="CW358" s="187"/>
      <c r="CX358" s="187"/>
    </row>
    <row r="359" spans="1:102" ht="12.75" customHeight="1" x14ac:dyDescent="0.2">
      <c r="A359" s="187"/>
      <c r="B359" s="127"/>
      <c r="C359" s="187"/>
      <c r="D359" s="127"/>
      <c r="E359" s="187"/>
      <c r="F359" s="187"/>
      <c r="G359" s="187"/>
      <c r="H359" s="187"/>
      <c r="I359" s="187"/>
      <c r="J359" s="187"/>
      <c r="K359" s="187"/>
      <c r="L359" s="187"/>
      <c r="M359" s="187"/>
      <c r="N359" s="187"/>
      <c r="O359" s="187"/>
      <c r="P359" s="187"/>
      <c r="Q359" s="187"/>
      <c r="R359" s="187"/>
      <c r="S359" s="187"/>
      <c r="T359" s="127"/>
      <c r="U359" s="188"/>
      <c r="V359" s="127"/>
      <c r="W359" s="1438"/>
      <c r="X359" s="127"/>
      <c r="Y359" s="127"/>
      <c r="Z359" s="127"/>
      <c r="AA359" s="127"/>
      <c r="AB359" s="127"/>
      <c r="AC359" s="127"/>
      <c r="AD359" s="127"/>
      <c r="AE359" s="127"/>
      <c r="AF359" s="127"/>
      <c r="AG359" s="127"/>
      <c r="AH359" s="127"/>
      <c r="AI359" s="127"/>
      <c r="AJ359" s="127"/>
      <c r="AK359" s="127"/>
      <c r="AL359" s="127"/>
      <c r="AM359" s="127"/>
      <c r="AN359" s="127"/>
      <c r="AO359" s="127"/>
      <c r="AP359" s="127"/>
      <c r="AQ359" s="127"/>
      <c r="AR359" s="127"/>
      <c r="AS359" s="127"/>
      <c r="AT359" s="127"/>
      <c r="AU359" s="127"/>
      <c r="AV359" s="127"/>
      <c r="AW359" s="127"/>
      <c r="AX359" s="127"/>
      <c r="AY359" s="127"/>
      <c r="AZ359" s="127"/>
      <c r="BA359" s="127"/>
      <c r="BB359" s="127"/>
      <c r="BC359" s="127"/>
      <c r="BD359" s="127"/>
      <c r="BE359" s="127"/>
      <c r="BF359" s="127"/>
      <c r="BG359" s="127"/>
      <c r="BH359" s="127"/>
      <c r="BI359" s="127"/>
      <c r="BJ359" s="127"/>
      <c r="BK359" s="127"/>
      <c r="BL359" s="127"/>
      <c r="BM359" s="127"/>
      <c r="BN359" s="127"/>
      <c r="BO359" s="127"/>
      <c r="BP359" s="127"/>
      <c r="BQ359" s="127"/>
      <c r="BR359" s="127"/>
      <c r="BS359" s="127"/>
      <c r="BT359" s="127"/>
      <c r="BU359" s="127"/>
      <c r="BV359" s="127"/>
      <c r="BW359" s="127"/>
      <c r="BX359" s="127"/>
      <c r="BY359" s="127"/>
      <c r="BZ359" s="127"/>
      <c r="CA359" s="127"/>
      <c r="CB359" s="187"/>
      <c r="CC359" s="189"/>
      <c r="CD359" s="188"/>
      <c r="CE359" s="127"/>
      <c r="CF359" s="190"/>
      <c r="CG359" s="190"/>
      <c r="CH359" s="187"/>
      <c r="CI359" s="187"/>
      <c r="CJ359" s="187"/>
      <c r="CK359" s="187"/>
      <c r="CL359" s="187"/>
      <c r="CM359" s="187"/>
      <c r="CN359" s="187"/>
      <c r="CO359" s="127"/>
      <c r="CP359" s="127"/>
      <c r="CQ359" s="187"/>
      <c r="CR359" s="187"/>
      <c r="CS359" s="187"/>
      <c r="CT359" s="187"/>
      <c r="CU359" s="187"/>
      <c r="CV359" s="187"/>
      <c r="CW359" s="187"/>
      <c r="CX359" s="187"/>
    </row>
    <row r="360" spans="1:102" ht="12.75" customHeight="1" x14ac:dyDescent="0.2">
      <c r="A360" s="187"/>
      <c r="B360" s="127"/>
      <c r="C360" s="187"/>
      <c r="D360" s="127"/>
      <c r="E360" s="187"/>
      <c r="F360" s="187"/>
      <c r="G360" s="187"/>
      <c r="H360" s="187"/>
      <c r="I360" s="187"/>
      <c r="J360" s="187"/>
      <c r="K360" s="187"/>
      <c r="L360" s="187"/>
      <c r="M360" s="187"/>
      <c r="N360" s="187"/>
      <c r="O360" s="187"/>
      <c r="P360" s="187"/>
      <c r="Q360" s="187"/>
      <c r="R360" s="187"/>
      <c r="S360" s="187"/>
      <c r="T360" s="127"/>
      <c r="U360" s="188"/>
      <c r="V360" s="127"/>
      <c r="W360" s="1438"/>
      <c r="X360" s="127"/>
      <c r="Y360" s="127"/>
      <c r="Z360" s="127"/>
      <c r="AA360" s="127"/>
      <c r="AB360" s="127"/>
      <c r="AC360" s="127"/>
      <c r="AD360" s="127"/>
      <c r="AE360" s="127"/>
      <c r="AF360" s="127"/>
      <c r="AG360" s="127"/>
      <c r="AH360" s="127"/>
      <c r="AI360" s="127"/>
      <c r="AJ360" s="127"/>
      <c r="AK360" s="127"/>
      <c r="AL360" s="127"/>
      <c r="AM360" s="127"/>
      <c r="AN360" s="127"/>
      <c r="AO360" s="127"/>
      <c r="AP360" s="127"/>
      <c r="AQ360" s="127"/>
      <c r="AR360" s="127"/>
      <c r="AS360" s="127"/>
      <c r="AT360" s="127"/>
      <c r="AU360" s="127"/>
      <c r="AV360" s="127"/>
      <c r="AW360" s="127"/>
      <c r="AX360" s="127"/>
      <c r="AY360" s="127"/>
      <c r="AZ360" s="127"/>
      <c r="BA360" s="127"/>
      <c r="BB360" s="127"/>
      <c r="BC360" s="127"/>
      <c r="BD360" s="127"/>
      <c r="BE360" s="127"/>
      <c r="BF360" s="127"/>
      <c r="BG360" s="127"/>
      <c r="BH360" s="127"/>
      <c r="BI360" s="127"/>
      <c r="BJ360" s="127"/>
      <c r="BK360" s="127"/>
      <c r="BL360" s="127"/>
      <c r="BM360" s="127"/>
      <c r="BN360" s="127"/>
      <c r="BO360" s="127"/>
      <c r="BP360" s="127"/>
      <c r="BQ360" s="127"/>
      <c r="BR360" s="127"/>
      <c r="BS360" s="127"/>
      <c r="BT360" s="127"/>
      <c r="BU360" s="127"/>
      <c r="BV360" s="127"/>
      <c r="BW360" s="127"/>
      <c r="BX360" s="127"/>
      <c r="BY360" s="127"/>
      <c r="BZ360" s="127"/>
      <c r="CA360" s="127"/>
      <c r="CB360" s="187"/>
      <c r="CC360" s="189"/>
      <c r="CD360" s="188"/>
      <c r="CE360" s="127"/>
      <c r="CF360" s="190"/>
      <c r="CG360" s="190"/>
      <c r="CH360" s="187"/>
      <c r="CI360" s="187"/>
      <c r="CJ360" s="187"/>
      <c r="CK360" s="187"/>
      <c r="CL360" s="187"/>
      <c r="CM360" s="187"/>
      <c r="CN360" s="187"/>
      <c r="CO360" s="127"/>
      <c r="CP360" s="127"/>
      <c r="CQ360" s="187"/>
      <c r="CR360" s="187"/>
      <c r="CS360" s="187"/>
      <c r="CT360" s="187"/>
      <c r="CU360" s="187"/>
      <c r="CV360" s="187"/>
      <c r="CW360" s="187"/>
      <c r="CX360" s="187"/>
    </row>
    <row r="361" spans="1:102" ht="12.75" customHeight="1" x14ac:dyDescent="0.2">
      <c r="A361" s="187"/>
      <c r="B361" s="127"/>
      <c r="C361" s="187"/>
      <c r="D361" s="127"/>
      <c r="E361" s="187"/>
      <c r="F361" s="187"/>
      <c r="G361" s="187"/>
      <c r="H361" s="187"/>
      <c r="I361" s="187"/>
      <c r="J361" s="187"/>
      <c r="K361" s="187"/>
      <c r="L361" s="187"/>
      <c r="M361" s="187"/>
      <c r="N361" s="187"/>
      <c r="O361" s="187"/>
      <c r="P361" s="187"/>
      <c r="Q361" s="187"/>
      <c r="R361" s="187"/>
      <c r="S361" s="187"/>
      <c r="T361" s="127"/>
      <c r="U361" s="188"/>
      <c r="V361" s="127"/>
      <c r="W361" s="1438"/>
      <c r="X361" s="127"/>
      <c r="Y361" s="127"/>
      <c r="Z361" s="127"/>
      <c r="AA361" s="127"/>
      <c r="AB361" s="127"/>
      <c r="AC361" s="127"/>
      <c r="AD361" s="127"/>
      <c r="AE361" s="127"/>
      <c r="AF361" s="127"/>
      <c r="AG361" s="127"/>
      <c r="AH361" s="127"/>
      <c r="AI361" s="127"/>
      <c r="AJ361" s="127"/>
      <c r="AK361" s="127"/>
      <c r="AL361" s="127"/>
      <c r="AM361" s="127"/>
      <c r="AN361" s="127"/>
      <c r="AO361" s="127"/>
      <c r="AP361" s="127"/>
      <c r="AQ361" s="127"/>
      <c r="AR361" s="127"/>
      <c r="AS361" s="127"/>
      <c r="AT361" s="127"/>
      <c r="AU361" s="127"/>
      <c r="AV361" s="127"/>
      <c r="AW361" s="127"/>
      <c r="AX361" s="127"/>
      <c r="AY361" s="127"/>
      <c r="AZ361" s="127"/>
      <c r="BA361" s="127"/>
      <c r="BB361" s="127"/>
      <c r="BC361" s="127"/>
      <c r="BD361" s="127"/>
      <c r="BE361" s="127"/>
      <c r="BF361" s="127"/>
      <c r="BG361" s="127"/>
      <c r="BH361" s="127"/>
      <c r="BI361" s="127"/>
      <c r="BJ361" s="127"/>
      <c r="BK361" s="127"/>
      <c r="BL361" s="127"/>
      <c r="BM361" s="127"/>
      <c r="BN361" s="127"/>
      <c r="BO361" s="127"/>
      <c r="BP361" s="127"/>
      <c r="BQ361" s="127"/>
      <c r="BR361" s="127"/>
      <c r="BS361" s="127"/>
      <c r="BT361" s="127"/>
      <c r="BU361" s="127"/>
      <c r="BV361" s="127"/>
      <c r="BW361" s="127"/>
      <c r="BX361" s="127"/>
      <c r="BY361" s="127"/>
      <c r="BZ361" s="127"/>
      <c r="CA361" s="127"/>
      <c r="CB361" s="187"/>
      <c r="CC361" s="189"/>
      <c r="CD361" s="188"/>
      <c r="CE361" s="127"/>
      <c r="CF361" s="190"/>
      <c r="CG361" s="190"/>
      <c r="CH361" s="187"/>
      <c r="CI361" s="187"/>
      <c r="CJ361" s="187"/>
      <c r="CK361" s="187"/>
      <c r="CL361" s="187"/>
      <c r="CM361" s="187"/>
      <c r="CN361" s="187"/>
      <c r="CO361" s="127"/>
      <c r="CP361" s="127"/>
      <c r="CQ361" s="187"/>
      <c r="CR361" s="187"/>
      <c r="CS361" s="187"/>
      <c r="CT361" s="187"/>
      <c r="CU361" s="187"/>
      <c r="CV361" s="187"/>
      <c r="CW361" s="187"/>
      <c r="CX361" s="187"/>
    </row>
    <row r="362" spans="1:102" ht="12.75" customHeight="1" x14ac:dyDescent="0.2">
      <c r="A362" s="187"/>
      <c r="B362" s="127"/>
      <c r="C362" s="187"/>
      <c r="D362" s="127"/>
      <c r="E362" s="187"/>
      <c r="F362" s="187"/>
      <c r="G362" s="187"/>
      <c r="H362" s="187"/>
      <c r="I362" s="187"/>
      <c r="J362" s="187"/>
      <c r="K362" s="187"/>
      <c r="L362" s="187"/>
      <c r="M362" s="187"/>
      <c r="N362" s="187"/>
      <c r="O362" s="187"/>
      <c r="P362" s="187"/>
      <c r="Q362" s="187"/>
      <c r="R362" s="187"/>
      <c r="S362" s="187"/>
      <c r="T362" s="127"/>
      <c r="U362" s="188"/>
      <c r="V362" s="127"/>
      <c r="W362" s="1438"/>
      <c r="X362" s="127"/>
      <c r="Y362" s="127"/>
      <c r="Z362" s="127"/>
      <c r="AA362" s="127"/>
      <c r="AB362" s="127"/>
      <c r="AC362" s="127"/>
      <c r="AD362" s="127"/>
      <c r="AE362" s="127"/>
      <c r="AF362" s="127"/>
      <c r="AG362" s="127"/>
      <c r="AH362" s="127"/>
      <c r="AI362" s="127"/>
      <c r="AJ362" s="127"/>
      <c r="AK362" s="127"/>
      <c r="AL362" s="127"/>
      <c r="AM362" s="127"/>
      <c r="AN362" s="127"/>
      <c r="AO362" s="127"/>
      <c r="AP362" s="127"/>
      <c r="AQ362" s="127"/>
      <c r="AR362" s="127"/>
      <c r="AS362" s="127"/>
      <c r="AT362" s="127"/>
      <c r="AU362" s="127"/>
      <c r="AV362" s="127"/>
      <c r="AW362" s="127"/>
      <c r="AX362" s="127"/>
      <c r="AY362" s="127"/>
      <c r="AZ362" s="127"/>
      <c r="BA362" s="127"/>
      <c r="BB362" s="127"/>
      <c r="BC362" s="127"/>
      <c r="BD362" s="127"/>
      <c r="BE362" s="127"/>
      <c r="BF362" s="127"/>
      <c r="BG362" s="127"/>
      <c r="BH362" s="127"/>
      <c r="BI362" s="127"/>
      <c r="BJ362" s="127"/>
      <c r="BK362" s="127"/>
      <c r="BL362" s="127"/>
      <c r="BM362" s="127"/>
      <c r="BN362" s="127"/>
      <c r="BO362" s="127"/>
      <c r="BP362" s="127"/>
      <c r="BQ362" s="127"/>
      <c r="BR362" s="127"/>
      <c r="BS362" s="127"/>
      <c r="BT362" s="127"/>
      <c r="BU362" s="127"/>
      <c r="BV362" s="127"/>
      <c r="BW362" s="127"/>
      <c r="BX362" s="127"/>
      <c r="BY362" s="127"/>
      <c r="BZ362" s="127"/>
      <c r="CA362" s="127"/>
      <c r="CB362" s="187"/>
      <c r="CC362" s="189"/>
      <c r="CD362" s="188"/>
      <c r="CE362" s="127"/>
      <c r="CF362" s="190"/>
      <c r="CG362" s="190"/>
      <c r="CH362" s="187"/>
      <c r="CI362" s="187"/>
      <c r="CJ362" s="187"/>
      <c r="CK362" s="187"/>
      <c r="CL362" s="187"/>
      <c r="CM362" s="187"/>
      <c r="CN362" s="187"/>
      <c r="CO362" s="127"/>
      <c r="CP362" s="127"/>
      <c r="CQ362" s="187"/>
      <c r="CR362" s="187"/>
      <c r="CS362" s="187"/>
      <c r="CT362" s="187"/>
      <c r="CU362" s="187"/>
      <c r="CV362" s="187"/>
      <c r="CW362" s="187"/>
      <c r="CX362" s="187"/>
    </row>
    <row r="363" spans="1:102" ht="12.75" customHeight="1" x14ac:dyDescent="0.2">
      <c r="A363" s="187"/>
      <c r="B363" s="127"/>
      <c r="C363" s="187"/>
      <c r="D363" s="127"/>
      <c r="E363" s="187"/>
      <c r="F363" s="187"/>
      <c r="G363" s="187"/>
      <c r="H363" s="187"/>
      <c r="I363" s="187"/>
      <c r="J363" s="187"/>
      <c r="K363" s="187"/>
      <c r="L363" s="187"/>
      <c r="M363" s="187"/>
      <c r="N363" s="187"/>
      <c r="O363" s="187"/>
      <c r="P363" s="187"/>
      <c r="Q363" s="187"/>
      <c r="R363" s="187"/>
      <c r="S363" s="187"/>
      <c r="T363" s="127"/>
      <c r="U363" s="188"/>
      <c r="V363" s="127"/>
      <c r="W363" s="1438"/>
      <c r="X363" s="127"/>
      <c r="Y363" s="127"/>
      <c r="Z363" s="127"/>
      <c r="AA363" s="127"/>
      <c r="AB363" s="127"/>
      <c r="AC363" s="127"/>
      <c r="AD363" s="127"/>
      <c r="AE363" s="127"/>
      <c r="AF363" s="127"/>
      <c r="AG363" s="127"/>
      <c r="AH363" s="127"/>
      <c r="AI363" s="127"/>
      <c r="AJ363" s="127"/>
      <c r="AK363" s="127"/>
      <c r="AL363" s="127"/>
      <c r="AM363" s="127"/>
      <c r="AN363" s="127"/>
      <c r="AO363" s="127"/>
      <c r="AP363" s="127"/>
      <c r="AQ363" s="127"/>
      <c r="AR363" s="127"/>
      <c r="AS363" s="127"/>
      <c r="AT363" s="127"/>
      <c r="AU363" s="127"/>
      <c r="AV363" s="127"/>
      <c r="AW363" s="127"/>
      <c r="AX363" s="127"/>
      <c r="AY363" s="127"/>
      <c r="AZ363" s="127"/>
      <c r="BA363" s="127"/>
      <c r="BB363" s="127"/>
      <c r="BC363" s="127"/>
      <c r="BD363" s="127"/>
      <c r="BE363" s="127"/>
      <c r="BF363" s="127"/>
      <c r="BG363" s="127"/>
      <c r="BH363" s="127"/>
      <c r="BI363" s="127"/>
      <c r="BJ363" s="127"/>
      <c r="BK363" s="127"/>
      <c r="BL363" s="127"/>
      <c r="BM363" s="127"/>
      <c r="BN363" s="127"/>
      <c r="BO363" s="127"/>
      <c r="BP363" s="127"/>
      <c r="BQ363" s="127"/>
      <c r="BR363" s="127"/>
      <c r="BS363" s="127"/>
      <c r="BT363" s="127"/>
      <c r="BU363" s="127"/>
      <c r="BV363" s="127"/>
      <c r="BW363" s="127"/>
      <c r="BX363" s="127"/>
      <c r="BY363" s="127"/>
      <c r="BZ363" s="127"/>
      <c r="CA363" s="127"/>
      <c r="CB363" s="187"/>
      <c r="CC363" s="189"/>
      <c r="CD363" s="188"/>
      <c r="CE363" s="127"/>
      <c r="CF363" s="190"/>
      <c r="CG363" s="190"/>
      <c r="CH363" s="187"/>
      <c r="CI363" s="187"/>
      <c r="CJ363" s="187"/>
      <c r="CK363" s="187"/>
      <c r="CL363" s="187"/>
      <c r="CM363" s="187"/>
      <c r="CN363" s="187"/>
      <c r="CO363" s="127"/>
      <c r="CP363" s="127"/>
      <c r="CQ363" s="187"/>
      <c r="CR363" s="187"/>
      <c r="CS363" s="187"/>
      <c r="CT363" s="187"/>
      <c r="CU363" s="187"/>
      <c r="CV363" s="187"/>
      <c r="CW363" s="187"/>
      <c r="CX363" s="187"/>
    </row>
    <row r="364" spans="1:102" ht="12.75" customHeight="1" x14ac:dyDescent="0.2">
      <c r="A364" s="187"/>
      <c r="B364" s="127"/>
      <c r="C364" s="187"/>
      <c r="D364" s="127"/>
      <c r="E364" s="187"/>
      <c r="F364" s="187"/>
      <c r="G364" s="187"/>
      <c r="H364" s="187"/>
      <c r="I364" s="187"/>
      <c r="J364" s="187"/>
      <c r="K364" s="187"/>
      <c r="L364" s="187"/>
      <c r="M364" s="187"/>
      <c r="N364" s="187"/>
      <c r="O364" s="187"/>
      <c r="P364" s="187"/>
      <c r="Q364" s="187"/>
      <c r="R364" s="187"/>
      <c r="S364" s="187"/>
      <c r="T364" s="127"/>
      <c r="U364" s="188"/>
      <c r="V364" s="127"/>
      <c r="W364" s="1438"/>
      <c r="X364" s="127"/>
      <c r="Y364" s="127"/>
      <c r="Z364" s="127"/>
      <c r="AA364" s="127"/>
      <c r="AB364" s="127"/>
      <c r="AC364" s="127"/>
      <c r="AD364" s="127"/>
      <c r="AE364" s="127"/>
      <c r="AF364" s="127"/>
      <c r="AG364" s="127"/>
      <c r="AH364" s="127"/>
      <c r="AI364" s="127"/>
      <c r="AJ364" s="127"/>
      <c r="AK364" s="127"/>
      <c r="AL364" s="127"/>
      <c r="AM364" s="127"/>
      <c r="AN364" s="127"/>
      <c r="AO364" s="127"/>
      <c r="AP364" s="127"/>
      <c r="AQ364" s="127"/>
      <c r="AR364" s="127"/>
      <c r="AS364" s="127"/>
      <c r="AT364" s="127"/>
      <c r="AU364" s="127"/>
      <c r="AV364" s="127"/>
      <c r="AW364" s="127"/>
      <c r="AX364" s="127"/>
      <c r="AY364" s="127"/>
      <c r="AZ364" s="127"/>
      <c r="BA364" s="127"/>
      <c r="BB364" s="127"/>
      <c r="BC364" s="127"/>
      <c r="BD364" s="127"/>
      <c r="BE364" s="127"/>
      <c r="BF364" s="127"/>
      <c r="BG364" s="127"/>
      <c r="BH364" s="127"/>
      <c r="BI364" s="127"/>
      <c r="BJ364" s="127"/>
      <c r="BK364" s="127"/>
      <c r="BL364" s="127"/>
      <c r="BM364" s="127"/>
      <c r="BN364" s="127"/>
      <c r="BO364" s="127"/>
      <c r="BP364" s="127"/>
      <c r="BQ364" s="127"/>
      <c r="BR364" s="127"/>
      <c r="BS364" s="127"/>
      <c r="BT364" s="127"/>
      <c r="BU364" s="127"/>
      <c r="BV364" s="127"/>
      <c r="BW364" s="127"/>
      <c r="BX364" s="127"/>
      <c r="BY364" s="127"/>
      <c r="BZ364" s="127"/>
      <c r="CA364" s="127"/>
      <c r="CB364" s="187"/>
      <c r="CC364" s="189"/>
      <c r="CD364" s="188"/>
      <c r="CE364" s="127"/>
      <c r="CF364" s="190"/>
      <c r="CG364" s="190"/>
      <c r="CH364" s="187"/>
      <c r="CI364" s="187"/>
      <c r="CJ364" s="187"/>
      <c r="CK364" s="187"/>
      <c r="CL364" s="187"/>
      <c r="CM364" s="187"/>
      <c r="CN364" s="187"/>
      <c r="CO364" s="127"/>
      <c r="CP364" s="127"/>
      <c r="CQ364" s="187"/>
      <c r="CR364" s="187"/>
      <c r="CS364" s="187"/>
      <c r="CT364" s="187"/>
      <c r="CU364" s="187"/>
      <c r="CV364" s="187"/>
      <c r="CW364" s="187"/>
      <c r="CX364" s="187"/>
    </row>
    <row r="365" spans="1:102" ht="12.75" customHeight="1" x14ac:dyDescent="0.2">
      <c r="A365" s="187"/>
      <c r="B365" s="127"/>
      <c r="C365" s="187"/>
      <c r="D365" s="127"/>
      <c r="E365" s="187"/>
      <c r="F365" s="187"/>
      <c r="G365" s="187"/>
      <c r="H365" s="187"/>
      <c r="I365" s="187"/>
      <c r="J365" s="187"/>
      <c r="K365" s="187"/>
      <c r="L365" s="187"/>
      <c r="M365" s="187"/>
      <c r="N365" s="187"/>
      <c r="O365" s="187"/>
      <c r="P365" s="187"/>
      <c r="Q365" s="187"/>
      <c r="R365" s="187"/>
      <c r="S365" s="187"/>
      <c r="T365" s="127"/>
      <c r="U365" s="188"/>
      <c r="V365" s="127"/>
      <c r="W365" s="1438"/>
      <c r="X365" s="127"/>
      <c r="Y365" s="127"/>
      <c r="Z365" s="127"/>
      <c r="AA365" s="127"/>
      <c r="AB365" s="127"/>
      <c r="AC365" s="127"/>
      <c r="AD365" s="127"/>
      <c r="AE365" s="127"/>
      <c r="AF365" s="127"/>
      <c r="AG365" s="127"/>
      <c r="AH365" s="127"/>
      <c r="AI365" s="127"/>
      <c r="AJ365" s="127"/>
      <c r="AK365" s="127"/>
      <c r="AL365" s="127"/>
      <c r="AM365" s="127"/>
      <c r="AN365" s="127"/>
      <c r="AO365" s="127"/>
      <c r="AP365" s="127"/>
      <c r="AQ365" s="127"/>
      <c r="AR365" s="127"/>
      <c r="AS365" s="127"/>
      <c r="AT365" s="127"/>
      <c r="AU365" s="127"/>
      <c r="AV365" s="127"/>
      <c r="AW365" s="127"/>
      <c r="AX365" s="127"/>
      <c r="AY365" s="127"/>
      <c r="AZ365" s="127"/>
      <c r="BA365" s="127"/>
      <c r="BB365" s="127"/>
      <c r="BC365" s="127"/>
      <c r="BD365" s="127"/>
      <c r="BE365" s="127"/>
      <c r="BF365" s="127"/>
      <c r="BG365" s="127"/>
      <c r="BH365" s="127"/>
      <c r="BI365" s="127"/>
      <c r="BJ365" s="127"/>
      <c r="BK365" s="127"/>
      <c r="BL365" s="127"/>
      <c r="BM365" s="127"/>
      <c r="BN365" s="127"/>
      <c r="BO365" s="127"/>
      <c r="BP365" s="127"/>
      <c r="BQ365" s="127"/>
      <c r="BR365" s="127"/>
      <c r="BS365" s="127"/>
      <c r="BT365" s="127"/>
      <c r="BU365" s="127"/>
      <c r="BV365" s="127"/>
      <c r="BW365" s="127"/>
      <c r="BX365" s="127"/>
      <c r="BY365" s="127"/>
      <c r="BZ365" s="127"/>
      <c r="CA365" s="127"/>
      <c r="CB365" s="187"/>
      <c r="CC365" s="189"/>
      <c r="CD365" s="188"/>
      <c r="CE365" s="127"/>
      <c r="CF365" s="190"/>
      <c r="CG365" s="190"/>
      <c r="CH365" s="187"/>
      <c r="CI365" s="187"/>
      <c r="CJ365" s="187"/>
      <c r="CK365" s="187"/>
      <c r="CL365" s="187"/>
      <c r="CM365" s="187"/>
      <c r="CN365" s="187"/>
      <c r="CO365" s="127"/>
      <c r="CP365" s="127"/>
      <c r="CQ365" s="187"/>
      <c r="CR365" s="187"/>
      <c r="CS365" s="187"/>
      <c r="CT365" s="187"/>
      <c r="CU365" s="187"/>
      <c r="CV365" s="187"/>
      <c r="CW365" s="187"/>
      <c r="CX365" s="187"/>
    </row>
    <row r="366" spans="1:102" ht="12.75" customHeight="1" x14ac:dyDescent="0.2">
      <c r="A366" s="187"/>
      <c r="B366" s="127"/>
      <c r="C366" s="187"/>
      <c r="D366" s="127"/>
      <c r="E366" s="187"/>
      <c r="F366" s="187"/>
      <c r="G366" s="187"/>
      <c r="H366" s="187"/>
      <c r="I366" s="187"/>
      <c r="J366" s="187"/>
      <c r="K366" s="187"/>
      <c r="L366" s="187"/>
      <c r="M366" s="187"/>
      <c r="N366" s="187"/>
      <c r="O366" s="187"/>
      <c r="P366" s="187"/>
      <c r="Q366" s="187"/>
      <c r="R366" s="187"/>
      <c r="S366" s="187"/>
      <c r="T366" s="127"/>
      <c r="U366" s="188"/>
      <c r="V366" s="127"/>
      <c r="W366" s="1438"/>
      <c r="X366" s="127"/>
      <c r="Y366" s="127"/>
      <c r="Z366" s="127"/>
      <c r="AA366" s="127"/>
      <c r="AB366" s="127"/>
      <c r="AC366" s="127"/>
      <c r="AD366" s="127"/>
      <c r="AE366" s="127"/>
      <c r="AF366" s="127"/>
      <c r="AG366" s="127"/>
      <c r="AH366" s="127"/>
      <c r="AI366" s="127"/>
      <c r="AJ366" s="127"/>
      <c r="AK366" s="127"/>
      <c r="AL366" s="127"/>
      <c r="AM366" s="127"/>
      <c r="AN366" s="127"/>
      <c r="AO366" s="127"/>
      <c r="AP366" s="127"/>
      <c r="AQ366" s="127"/>
      <c r="AR366" s="127"/>
      <c r="AS366" s="127"/>
      <c r="AT366" s="127"/>
      <c r="AU366" s="127"/>
      <c r="AV366" s="127"/>
      <c r="AW366" s="127"/>
      <c r="AX366" s="127"/>
      <c r="AY366" s="127"/>
      <c r="AZ366" s="127"/>
      <c r="BA366" s="127"/>
      <c r="BB366" s="127"/>
      <c r="BC366" s="127"/>
      <c r="BD366" s="127"/>
      <c r="BE366" s="127"/>
      <c r="BF366" s="127"/>
      <c r="BG366" s="127"/>
      <c r="BH366" s="127"/>
      <c r="BI366" s="127"/>
      <c r="BJ366" s="127"/>
      <c r="BK366" s="127"/>
      <c r="BL366" s="127"/>
      <c r="BM366" s="127"/>
      <c r="BN366" s="127"/>
      <c r="BO366" s="127"/>
      <c r="BP366" s="127"/>
      <c r="BQ366" s="127"/>
      <c r="BR366" s="127"/>
      <c r="BS366" s="127"/>
      <c r="BT366" s="127"/>
      <c r="BU366" s="127"/>
      <c r="BV366" s="127"/>
      <c r="BW366" s="127"/>
      <c r="BX366" s="127"/>
      <c r="BY366" s="127"/>
      <c r="BZ366" s="127"/>
      <c r="CA366" s="127"/>
      <c r="CB366" s="187"/>
      <c r="CC366" s="189"/>
      <c r="CD366" s="188"/>
      <c r="CE366" s="127"/>
      <c r="CF366" s="190"/>
      <c r="CG366" s="190"/>
      <c r="CH366" s="187"/>
      <c r="CI366" s="187"/>
      <c r="CJ366" s="187"/>
      <c r="CK366" s="187"/>
      <c r="CL366" s="187"/>
      <c r="CM366" s="187"/>
      <c r="CN366" s="187"/>
      <c r="CO366" s="127"/>
      <c r="CP366" s="127"/>
      <c r="CQ366" s="187"/>
      <c r="CR366" s="187"/>
      <c r="CS366" s="187"/>
      <c r="CT366" s="187"/>
      <c r="CU366" s="187"/>
      <c r="CV366" s="187"/>
      <c r="CW366" s="187"/>
      <c r="CX366" s="187"/>
    </row>
    <row r="367" spans="1:102" ht="12.75" customHeight="1" x14ac:dyDescent="0.2">
      <c r="A367" s="187"/>
      <c r="B367" s="127"/>
      <c r="C367" s="187"/>
      <c r="D367" s="127"/>
      <c r="E367" s="187"/>
      <c r="F367" s="187"/>
      <c r="G367" s="187"/>
      <c r="H367" s="187"/>
      <c r="I367" s="187"/>
      <c r="J367" s="187"/>
      <c r="K367" s="187"/>
      <c r="L367" s="187"/>
      <c r="M367" s="187"/>
      <c r="N367" s="187"/>
      <c r="O367" s="187"/>
      <c r="P367" s="187"/>
      <c r="Q367" s="187"/>
      <c r="R367" s="187"/>
      <c r="S367" s="187"/>
      <c r="T367" s="127"/>
      <c r="U367" s="188"/>
      <c r="V367" s="127"/>
      <c r="W367" s="1438"/>
      <c r="X367" s="127"/>
      <c r="Y367" s="127"/>
      <c r="Z367" s="127"/>
      <c r="AA367" s="127"/>
      <c r="AB367" s="127"/>
      <c r="AC367" s="127"/>
      <c r="AD367" s="127"/>
      <c r="AE367" s="127"/>
      <c r="AF367" s="127"/>
      <c r="AG367" s="127"/>
      <c r="AH367" s="127"/>
      <c r="AI367" s="127"/>
      <c r="AJ367" s="127"/>
      <c r="AK367" s="127"/>
      <c r="AL367" s="127"/>
      <c r="AM367" s="127"/>
      <c r="AN367" s="127"/>
      <c r="AO367" s="127"/>
      <c r="AP367" s="127"/>
      <c r="AQ367" s="127"/>
      <c r="AR367" s="127"/>
      <c r="AS367" s="127"/>
      <c r="AT367" s="127"/>
      <c r="AU367" s="127"/>
      <c r="AV367" s="127"/>
      <c r="AW367" s="127"/>
      <c r="AX367" s="127"/>
      <c r="AY367" s="127"/>
      <c r="AZ367" s="127"/>
      <c r="BA367" s="127"/>
      <c r="BB367" s="127"/>
      <c r="BC367" s="127"/>
      <c r="BD367" s="127"/>
      <c r="BE367" s="127"/>
      <c r="BF367" s="127"/>
      <c r="BG367" s="127"/>
      <c r="BH367" s="127"/>
      <c r="BI367" s="127"/>
      <c r="BJ367" s="127"/>
      <c r="BK367" s="127"/>
      <c r="BL367" s="127"/>
      <c r="BM367" s="127"/>
      <c r="BN367" s="127"/>
      <c r="BO367" s="127"/>
      <c r="BP367" s="127"/>
      <c r="BQ367" s="127"/>
      <c r="BR367" s="127"/>
      <c r="BS367" s="127"/>
      <c r="BT367" s="127"/>
      <c r="BU367" s="127"/>
      <c r="BV367" s="127"/>
      <c r="BW367" s="127"/>
      <c r="BX367" s="127"/>
      <c r="BY367" s="127"/>
      <c r="BZ367" s="127"/>
      <c r="CA367" s="127"/>
      <c r="CB367" s="187"/>
      <c r="CC367" s="189"/>
      <c r="CD367" s="188"/>
      <c r="CE367" s="127"/>
      <c r="CF367" s="190"/>
      <c r="CG367" s="190"/>
      <c r="CH367" s="187"/>
      <c r="CI367" s="187"/>
      <c r="CJ367" s="187"/>
      <c r="CK367" s="187"/>
      <c r="CL367" s="187"/>
      <c r="CM367" s="187"/>
      <c r="CN367" s="187"/>
      <c r="CO367" s="127"/>
      <c r="CP367" s="127"/>
      <c r="CQ367" s="187"/>
      <c r="CR367" s="187"/>
      <c r="CS367" s="187"/>
      <c r="CT367" s="187"/>
      <c r="CU367" s="187"/>
      <c r="CV367" s="187"/>
      <c r="CW367" s="187"/>
      <c r="CX367" s="187"/>
    </row>
    <row r="368" spans="1:102" ht="12.75" customHeight="1" x14ac:dyDescent="0.2">
      <c r="A368" s="187"/>
      <c r="B368" s="127"/>
      <c r="C368" s="187"/>
      <c r="D368" s="127"/>
      <c r="E368" s="187"/>
      <c r="F368" s="187"/>
      <c r="G368" s="187"/>
      <c r="H368" s="187"/>
      <c r="I368" s="187"/>
      <c r="J368" s="187"/>
      <c r="K368" s="187"/>
      <c r="L368" s="187"/>
      <c r="M368" s="187"/>
      <c r="N368" s="187"/>
      <c r="O368" s="187"/>
      <c r="P368" s="187"/>
      <c r="Q368" s="187"/>
      <c r="R368" s="187"/>
      <c r="S368" s="187"/>
      <c r="T368" s="127"/>
      <c r="U368" s="188"/>
      <c r="V368" s="127"/>
      <c r="W368" s="1438"/>
      <c r="X368" s="127"/>
      <c r="Y368" s="127"/>
      <c r="Z368" s="127"/>
      <c r="AA368" s="127"/>
      <c r="AB368" s="127"/>
      <c r="AC368" s="127"/>
      <c r="AD368" s="127"/>
      <c r="AE368" s="127"/>
      <c r="AF368" s="127"/>
      <c r="AG368" s="127"/>
      <c r="AH368" s="127"/>
      <c r="AI368" s="127"/>
      <c r="AJ368" s="127"/>
      <c r="AK368" s="127"/>
      <c r="AL368" s="127"/>
      <c r="AM368" s="127"/>
      <c r="AN368" s="127"/>
      <c r="AO368" s="127"/>
      <c r="AP368" s="127"/>
      <c r="AQ368" s="127"/>
      <c r="AR368" s="127"/>
      <c r="AS368" s="127"/>
      <c r="AT368" s="127"/>
      <c r="AU368" s="127"/>
      <c r="AV368" s="127"/>
      <c r="AW368" s="127"/>
      <c r="AX368" s="127"/>
      <c r="AY368" s="127"/>
      <c r="AZ368" s="127"/>
      <c r="BA368" s="127"/>
      <c r="BB368" s="127"/>
      <c r="BC368" s="127"/>
      <c r="BD368" s="127"/>
      <c r="BE368" s="127"/>
      <c r="BF368" s="127"/>
      <c r="BG368" s="127"/>
      <c r="BH368" s="127"/>
      <c r="BI368" s="127"/>
      <c r="BJ368" s="127"/>
      <c r="BK368" s="127"/>
      <c r="BL368" s="127"/>
      <c r="BM368" s="127"/>
      <c r="BN368" s="127"/>
      <c r="BO368" s="127"/>
      <c r="BP368" s="127"/>
      <c r="BQ368" s="127"/>
      <c r="BR368" s="127"/>
      <c r="BS368" s="127"/>
      <c r="BT368" s="127"/>
      <c r="BU368" s="127"/>
      <c r="BV368" s="127"/>
      <c r="BW368" s="127"/>
      <c r="BX368" s="127"/>
      <c r="BY368" s="127"/>
      <c r="BZ368" s="127"/>
      <c r="CA368" s="127"/>
      <c r="CB368" s="187"/>
      <c r="CC368" s="189"/>
      <c r="CD368" s="188"/>
      <c r="CE368" s="127"/>
      <c r="CF368" s="190"/>
      <c r="CG368" s="190"/>
      <c r="CH368" s="187"/>
      <c r="CI368" s="187"/>
      <c r="CJ368" s="187"/>
      <c r="CK368" s="187"/>
      <c r="CL368" s="187"/>
      <c r="CM368" s="187"/>
      <c r="CN368" s="187"/>
      <c r="CO368" s="127"/>
      <c r="CP368" s="127"/>
      <c r="CQ368" s="187"/>
      <c r="CR368" s="187"/>
      <c r="CS368" s="187"/>
      <c r="CT368" s="187"/>
      <c r="CU368" s="187"/>
      <c r="CV368" s="187"/>
      <c r="CW368" s="187"/>
      <c r="CX368" s="187"/>
    </row>
    <row r="369" spans="1:102" ht="12.75" customHeight="1" x14ac:dyDescent="0.2">
      <c r="A369" s="187"/>
      <c r="B369" s="127"/>
      <c r="C369" s="187"/>
      <c r="D369" s="127"/>
      <c r="E369" s="187"/>
      <c r="F369" s="187"/>
      <c r="G369" s="187"/>
      <c r="H369" s="187"/>
      <c r="I369" s="187"/>
      <c r="J369" s="187"/>
      <c r="K369" s="187"/>
      <c r="L369" s="187"/>
      <c r="M369" s="187"/>
      <c r="N369" s="187"/>
      <c r="O369" s="187"/>
      <c r="P369" s="187"/>
      <c r="Q369" s="187"/>
      <c r="R369" s="187"/>
      <c r="S369" s="187"/>
      <c r="T369" s="127"/>
      <c r="U369" s="188"/>
      <c r="V369" s="127"/>
      <c r="W369" s="1438"/>
      <c r="X369" s="127"/>
      <c r="Y369" s="127"/>
      <c r="Z369" s="127"/>
      <c r="AA369" s="127"/>
      <c r="AB369" s="127"/>
      <c r="AC369" s="127"/>
      <c r="AD369" s="127"/>
      <c r="AE369" s="127"/>
      <c r="AF369" s="127"/>
      <c r="AG369" s="127"/>
      <c r="AH369" s="127"/>
      <c r="AI369" s="127"/>
      <c r="AJ369" s="127"/>
      <c r="AK369" s="127"/>
      <c r="AL369" s="127"/>
      <c r="AM369" s="127"/>
      <c r="AN369" s="127"/>
      <c r="AO369" s="127"/>
      <c r="AP369" s="127"/>
      <c r="AQ369" s="127"/>
      <c r="AR369" s="127"/>
      <c r="AS369" s="127"/>
      <c r="AT369" s="127"/>
      <c r="AU369" s="127"/>
      <c r="AV369" s="127"/>
      <c r="AW369" s="127"/>
      <c r="AX369" s="127"/>
      <c r="AY369" s="127"/>
      <c r="AZ369" s="127"/>
      <c r="BA369" s="127"/>
      <c r="BB369" s="127"/>
      <c r="BC369" s="127"/>
      <c r="BD369" s="127"/>
      <c r="BE369" s="127"/>
      <c r="BF369" s="127"/>
      <c r="BG369" s="127"/>
      <c r="BH369" s="127"/>
      <c r="BI369" s="127"/>
      <c r="BJ369" s="127"/>
      <c r="BK369" s="127"/>
      <c r="BL369" s="127"/>
      <c r="BM369" s="127"/>
      <c r="BN369" s="127"/>
      <c r="BO369" s="127"/>
      <c r="BP369" s="127"/>
      <c r="BQ369" s="127"/>
      <c r="BR369" s="127"/>
      <c r="BS369" s="127"/>
      <c r="BT369" s="127"/>
      <c r="BU369" s="127"/>
      <c r="BV369" s="127"/>
      <c r="BW369" s="127"/>
      <c r="BX369" s="127"/>
      <c r="BY369" s="127"/>
      <c r="BZ369" s="127"/>
      <c r="CA369" s="127"/>
      <c r="CB369" s="187"/>
      <c r="CC369" s="189"/>
      <c r="CD369" s="188"/>
      <c r="CE369" s="127"/>
      <c r="CF369" s="190"/>
      <c r="CG369" s="190"/>
      <c r="CH369" s="187"/>
      <c r="CI369" s="187"/>
      <c r="CJ369" s="187"/>
      <c r="CK369" s="187"/>
      <c r="CL369" s="187"/>
      <c r="CM369" s="187"/>
      <c r="CN369" s="187"/>
      <c r="CO369" s="127"/>
      <c r="CP369" s="127"/>
      <c r="CQ369" s="187"/>
      <c r="CR369" s="187"/>
      <c r="CS369" s="187"/>
      <c r="CT369" s="187"/>
      <c r="CU369" s="187"/>
      <c r="CV369" s="187"/>
      <c r="CW369" s="187"/>
      <c r="CX369" s="187"/>
    </row>
    <row r="370" spans="1:102" ht="12.75" customHeight="1" x14ac:dyDescent="0.2">
      <c r="A370" s="187"/>
      <c r="B370" s="127"/>
      <c r="C370" s="187"/>
      <c r="D370" s="127"/>
      <c r="E370" s="187"/>
      <c r="F370" s="187"/>
      <c r="G370" s="187"/>
      <c r="H370" s="187"/>
      <c r="I370" s="187"/>
      <c r="J370" s="187"/>
      <c r="K370" s="187"/>
      <c r="L370" s="187"/>
      <c r="M370" s="187"/>
      <c r="N370" s="187"/>
      <c r="O370" s="187"/>
      <c r="P370" s="187"/>
      <c r="Q370" s="187"/>
      <c r="R370" s="187"/>
      <c r="S370" s="187"/>
      <c r="T370" s="127"/>
      <c r="U370" s="188"/>
      <c r="V370" s="127"/>
      <c r="W370" s="1438"/>
      <c r="X370" s="127"/>
      <c r="Y370" s="127"/>
      <c r="Z370" s="127"/>
      <c r="AA370" s="127"/>
      <c r="AB370" s="127"/>
      <c r="AC370" s="127"/>
      <c r="AD370" s="127"/>
      <c r="AE370" s="127"/>
      <c r="AF370" s="127"/>
      <c r="AG370" s="127"/>
      <c r="AH370" s="127"/>
      <c r="AI370" s="127"/>
      <c r="AJ370" s="127"/>
      <c r="AK370" s="127"/>
      <c r="AL370" s="127"/>
      <c r="AM370" s="127"/>
      <c r="AN370" s="127"/>
      <c r="AO370" s="127"/>
      <c r="AP370" s="127"/>
      <c r="AQ370" s="127"/>
      <c r="AR370" s="127"/>
      <c r="AS370" s="127"/>
      <c r="AT370" s="127"/>
      <c r="AU370" s="127"/>
      <c r="AV370" s="127"/>
      <c r="AW370" s="127"/>
      <c r="AX370" s="127"/>
      <c r="AY370" s="127"/>
      <c r="AZ370" s="127"/>
      <c r="BA370" s="127"/>
      <c r="BB370" s="127"/>
      <c r="BC370" s="127"/>
      <c r="BD370" s="127"/>
      <c r="BE370" s="127"/>
      <c r="BF370" s="127"/>
      <c r="BG370" s="127"/>
      <c r="BH370" s="127"/>
      <c r="BI370" s="127"/>
      <c r="BJ370" s="127"/>
      <c r="BK370" s="127"/>
      <c r="BL370" s="127"/>
      <c r="BM370" s="127"/>
      <c r="BN370" s="127"/>
      <c r="BO370" s="127"/>
      <c r="BP370" s="127"/>
      <c r="BQ370" s="127"/>
      <c r="BR370" s="127"/>
      <c r="BS370" s="127"/>
      <c r="BT370" s="127"/>
      <c r="BU370" s="127"/>
      <c r="BV370" s="127"/>
      <c r="BW370" s="127"/>
      <c r="BX370" s="127"/>
      <c r="BY370" s="127"/>
      <c r="BZ370" s="127"/>
      <c r="CA370" s="127"/>
      <c r="CB370" s="187"/>
      <c r="CC370" s="189"/>
      <c r="CD370" s="188"/>
      <c r="CE370" s="127"/>
      <c r="CF370" s="190"/>
      <c r="CG370" s="190"/>
      <c r="CH370" s="187"/>
      <c r="CI370" s="187"/>
      <c r="CJ370" s="187"/>
      <c r="CK370" s="187"/>
      <c r="CL370" s="187"/>
      <c r="CM370" s="187"/>
      <c r="CN370" s="187"/>
      <c r="CO370" s="127"/>
      <c r="CP370" s="127"/>
      <c r="CQ370" s="187"/>
      <c r="CR370" s="187"/>
      <c r="CS370" s="187"/>
      <c r="CT370" s="187"/>
      <c r="CU370" s="187"/>
      <c r="CV370" s="187"/>
      <c r="CW370" s="187"/>
      <c r="CX370" s="187"/>
    </row>
    <row r="371" spans="1:102" ht="12.75" customHeight="1" x14ac:dyDescent="0.2">
      <c r="A371" s="187"/>
      <c r="B371" s="127"/>
      <c r="C371" s="187"/>
      <c r="D371" s="127"/>
      <c r="E371" s="187"/>
      <c r="F371" s="187"/>
      <c r="G371" s="187"/>
      <c r="H371" s="187"/>
      <c r="I371" s="187"/>
      <c r="J371" s="187"/>
      <c r="K371" s="187"/>
      <c r="L371" s="187"/>
      <c r="M371" s="187"/>
      <c r="N371" s="187"/>
      <c r="O371" s="187"/>
      <c r="P371" s="187"/>
      <c r="Q371" s="187"/>
      <c r="R371" s="187"/>
      <c r="S371" s="187"/>
      <c r="T371" s="127"/>
      <c r="U371" s="188"/>
      <c r="V371" s="127"/>
      <c r="W371" s="1438"/>
      <c r="X371" s="127"/>
      <c r="Y371" s="127"/>
      <c r="Z371" s="127"/>
      <c r="AA371" s="127"/>
      <c r="AB371" s="127"/>
      <c r="AC371" s="127"/>
      <c r="AD371" s="127"/>
      <c r="AE371" s="127"/>
      <c r="AF371" s="127"/>
      <c r="AG371" s="127"/>
      <c r="AH371" s="127"/>
      <c r="AI371" s="127"/>
      <c r="AJ371" s="127"/>
      <c r="AK371" s="127"/>
      <c r="AL371" s="127"/>
      <c r="AM371" s="127"/>
      <c r="AN371" s="127"/>
      <c r="AO371" s="127"/>
      <c r="AP371" s="127"/>
      <c r="AQ371" s="127"/>
      <c r="AR371" s="127"/>
      <c r="AS371" s="127"/>
      <c r="AT371" s="127"/>
      <c r="AU371" s="127"/>
      <c r="AV371" s="127"/>
      <c r="AW371" s="127"/>
      <c r="AX371" s="127"/>
      <c r="AY371" s="127"/>
      <c r="AZ371" s="127"/>
      <c r="BA371" s="127"/>
      <c r="BB371" s="127"/>
      <c r="BC371" s="127"/>
      <c r="BD371" s="127"/>
      <c r="BE371" s="127"/>
      <c r="BF371" s="127"/>
      <c r="BG371" s="127"/>
      <c r="BH371" s="127"/>
      <c r="BI371" s="127"/>
      <c r="BJ371" s="127"/>
      <c r="BK371" s="127"/>
      <c r="BL371" s="127"/>
      <c r="BM371" s="127"/>
      <c r="BN371" s="127"/>
      <c r="BO371" s="127"/>
      <c r="BP371" s="127"/>
      <c r="BQ371" s="127"/>
      <c r="BR371" s="127"/>
      <c r="BS371" s="127"/>
      <c r="BT371" s="127"/>
      <c r="BU371" s="127"/>
      <c r="BV371" s="127"/>
      <c r="BW371" s="127"/>
      <c r="BX371" s="127"/>
      <c r="BY371" s="127"/>
      <c r="BZ371" s="127"/>
      <c r="CA371" s="127"/>
      <c r="CB371" s="187"/>
      <c r="CC371" s="189"/>
      <c r="CD371" s="188"/>
      <c r="CE371" s="127"/>
      <c r="CF371" s="190"/>
      <c r="CG371" s="190"/>
      <c r="CH371" s="187"/>
      <c r="CI371" s="187"/>
      <c r="CJ371" s="187"/>
      <c r="CK371" s="187"/>
      <c r="CL371" s="187"/>
      <c r="CM371" s="187"/>
      <c r="CN371" s="187"/>
      <c r="CO371" s="127"/>
      <c r="CP371" s="127"/>
      <c r="CQ371" s="187"/>
      <c r="CR371" s="187"/>
      <c r="CS371" s="187"/>
      <c r="CT371" s="187"/>
      <c r="CU371" s="187"/>
      <c r="CV371" s="187"/>
      <c r="CW371" s="187"/>
      <c r="CX371" s="187"/>
    </row>
    <row r="372" spans="1:102" ht="12.75" customHeight="1" x14ac:dyDescent="0.2">
      <c r="A372" s="187"/>
      <c r="B372" s="127"/>
      <c r="C372" s="187"/>
      <c r="D372" s="127"/>
      <c r="E372" s="187"/>
      <c r="F372" s="187"/>
      <c r="G372" s="187"/>
      <c r="H372" s="187"/>
      <c r="I372" s="187"/>
      <c r="J372" s="187"/>
      <c r="K372" s="187"/>
      <c r="L372" s="187"/>
      <c r="M372" s="187"/>
      <c r="N372" s="187"/>
      <c r="O372" s="187"/>
      <c r="P372" s="187"/>
      <c r="Q372" s="187"/>
      <c r="R372" s="187"/>
      <c r="S372" s="187"/>
      <c r="T372" s="127"/>
      <c r="U372" s="188"/>
      <c r="V372" s="127"/>
      <c r="W372" s="1438"/>
      <c r="X372" s="127"/>
      <c r="Y372" s="127"/>
      <c r="Z372" s="127"/>
      <c r="AA372" s="127"/>
      <c r="AB372" s="127"/>
      <c r="AC372" s="127"/>
      <c r="AD372" s="127"/>
      <c r="AE372" s="127"/>
      <c r="AF372" s="127"/>
      <c r="AG372" s="127"/>
      <c r="AH372" s="127"/>
      <c r="AI372" s="127"/>
      <c r="AJ372" s="127"/>
      <c r="AK372" s="127"/>
      <c r="AL372" s="127"/>
      <c r="AM372" s="127"/>
      <c r="AN372" s="127"/>
      <c r="AO372" s="127"/>
      <c r="AP372" s="127"/>
      <c r="AQ372" s="127"/>
      <c r="AR372" s="127"/>
      <c r="AS372" s="127"/>
      <c r="AT372" s="127"/>
      <c r="AU372" s="127"/>
      <c r="AV372" s="127"/>
      <c r="AW372" s="127"/>
      <c r="AX372" s="127"/>
      <c r="AY372" s="127"/>
      <c r="AZ372" s="127"/>
      <c r="BA372" s="127"/>
      <c r="BB372" s="127"/>
      <c r="BC372" s="127"/>
      <c r="BD372" s="127"/>
      <c r="BE372" s="127"/>
      <c r="BF372" s="127"/>
      <c r="BG372" s="127"/>
      <c r="BH372" s="127"/>
      <c r="BI372" s="127"/>
      <c r="BJ372" s="127"/>
      <c r="BK372" s="127"/>
      <c r="BL372" s="127"/>
      <c r="BM372" s="127"/>
      <c r="BN372" s="127"/>
      <c r="BO372" s="127"/>
      <c r="BP372" s="127"/>
      <c r="BQ372" s="127"/>
      <c r="BR372" s="127"/>
      <c r="BS372" s="127"/>
      <c r="BT372" s="127"/>
      <c r="BU372" s="127"/>
      <c r="BV372" s="127"/>
      <c r="BW372" s="127"/>
      <c r="BX372" s="127"/>
      <c r="BY372" s="127"/>
      <c r="BZ372" s="127"/>
      <c r="CA372" s="127"/>
      <c r="CB372" s="187"/>
      <c r="CC372" s="189"/>
      <c r="CD372" s="188"/>
      <c r="CE372" s="127"/>
      <c r="CF372" s="190"/>
      <c r="CG372" s="190"/>
      <c r="CH372" s="187"/>
      <c r="CI372" s="187"/>
      <c r="CJ372" s="187"/>
      <c r="CK372" s="187"/>
      <c r="CL372" s="187"/>
      <c r="CM372" s="187"/>
      <c r="CN372" s="187"/>
      <c r="CO372" s="127"/>
      <c r="CP372" s="127"/>
      <c r="CQ372" s="187"/>
      <c r="CR372" s="187"/>
      <c r="CS372" s="187"/>
      <c r="CT372" s="187"/>
      <c r="CU372" s="187"/>
      <c r="CV372" s="187"/>
      <c r="CW372" s="187"/>
      <c r="CX372" s="187"/>
    </row>
    <row r="373" spans="1:102" ht="12.75" customHeight="1" x14ac:dyDescent="0.2">
      <c r="A373" s="187"/>
      <c r="B373" s="127"/>
      <c r="C373" s="187"/>
      <c r="D373" s="127"/>
      <c r="E373" s="187"/>
      <c r="F373" s="187"/>
      <c r="G373" s="187"/>
      <c r="H373" s="187"/>
      <c r="I373" s="187"/>
      <c r="J373" s="187"/>
      <c r="K373" s="187"/>
      <c r="L373" s="187"/>
      <c r="M373" s="187"/>
      <c r="N373" s="187"/>
      <c r="O373" s="187"/>
      <c r="P373" s="187"/>
      <c r="Q373" s="187"/>
      <c r="R373" s="187"/>
      <c r="S373" s="187"/>
      <c r="T373" s="127"/>
      <c r="U373" s="188"/>
      <c r="V373" s="127"/>
      <c r="W373" s="1438"/>
      <c r="X373" s="127"/>
      <c r="Y373" s="127"/>
      <c r="Z373" s="127"/>
      <c r="AA373" s="127"/>
      <c r="AB373" s="127"/>
      <c r="AC373" s="127"/>
      <c r="AD373" s="127"/>
      <c r="AE373" s="127"/>
      <c r="AF373" s="127"/>
      <c r="AG373" s="127"/>
      <c r="AH373" s="127"/>
      <c r="AI373" s="127"/>
      <c r="AJ373" s="127"/>
      <c r="AK373" s="127"/>
      <c r="AL373" s="127"/>
      <c r="AM373" s="127"/>
      <c r="AN373" s="127"/>
      <c r="AO373" s="127"/>
      <c r="AP373" s="127"/>
      <c r="AQ373" s="127"/>
      <c r="AR373" s="127"/>
      <c r="AS373" s="127"/>
      <c r="AT373" s="127"/>
      <c r="AU373" s="127"/>
      <c r="AV373" s="127"/>
      <c r="AW373" s="127"/>
      <c r="AX373" s="127"/>
      <c r="AY373" s="127"/>
      <c r="AZ373" s="127"/>
      <c r="BA373" s="127"/>
      <c r="BB373" s="127"/>
      <c r="BC373" s="127"/>
      <c r="BD373" s="127"/>
      <c r="BE373" s="127"/>
      <c r="BF373" s="127"/>
      <c r="BG373" s="127"/>
      <c r="BH373" s="127"/>
      <c r="BI373" s="127"/>
      <c r="BJ373" s="127"/>
      <c r="BK373" s="127"/>
      <c r="BL373" s="127"/>
      <c r="BM373" s="127"/>
      <c r="BN373" s="127"/>
      <c r="BO373" s="127"/>
      <c r="BP373" s="127"/>
      <c r="BQ373" s="127"/>
      <c r="BR373" s="127"/>
      <c r="BS373" s="127"/>
      <c r="BT373" s="127"/>
      <c r="BU373" s="127"/>
      <c r="BV373" s="127"/>
      <c r="BW373" s="127"/>
      <c r="BX373" s="127"/>
      <c r="BY373" s="127"/>
      <c r="BZ373" s="127"/>
      <c r="CA373" s="127"/>
      <c r="CB373" s="187"/>
      <c r="CC373" s="189"/>
      <c r="CD373" s="188"/>
      <c r="CE373" s="127"/>
      <c r="CF373" s="190"/>
      <c r="CG373" s="190"/>
      <c r="CH373" s="187"/>
      <c r="CI373" s="187"/>
      <c r="CJ373" s="187"/>
      <c r="CK373" s="187"/>
      <c r="CL373" s="187"/>
      <c r="CM373" s="187"/>
      <c r="CN373" s="187"/>
      <c r="CO373" s="127"/>
      <c r="CP373" s="127"/>
      <c r="CQ373" s="187"/>
      <c r="CR373" s="187"/>
      <c r="CS373" s="187"/>
      <c r="CT373" s="187"/>
      <c r="CU373" s="187"/>
      <c r="CV373" s="187"/>
      <c r="CW373" s="187"/>
      <c r="CX373" s="187"/>
    </row>
    <row r="374" spans="1:102" ht="12.75" customHeight="1" x14ac:dyDescent="0.2">
      <c r="A374" s="187"/>
      <c r="B374" s="127"/>
      <c r="C374" s="187"/>
      <c r="D374" s="127"/>
      <c r="E374" s="187"/>
      <c r="F374" s="187"/>
      <c r="G374" s="187"/>
      <c r="H374" s="187"/>
      <c r="I374" s="187"/>
      <c r="J374" s="187"/>
      <c r="K374" s="187"/>
      <c r="L374" s="187"/>
      <c r="M374" s="187"/>
      <c r="N374" s="187"/>
      <c r="O374" s="187"/>
      <c r="P374" s="187"/>
      <c r="Q374" s="187"/>
      <c r="R374" s="187"/>
      <c r="S374" s="187"/>
      <c r="T374" s="127"/>
      <c r="U374" s="188"/>
      <c r="V374" s="127"/>
      <c r="W374" s="1438"/>
      <c r="X374" s="127"/>
      <c r="Y374" s="127"/>
      <c r="Z374" s="127"/>
      <c r="AA374" s="127"/>
      <c r="AB374" s="127"/>
      <c r="AC374" s="127"/>
      <c r="AD374" s="127"/>
      <c r="AE374" s="127"/>
      <c r="AF374" s="127"/>
      <c r="AG374" s="127"/>
      <c r="AH374" s="127"/>
      <c r="AI374" s="127"/>
      <c r="AJ374" s="127"/>
      <c r="AK374" s="127"/>
      <c r="AL374" s="127"/>
      <c r="AM374" s="127"/>
      <c r="AN374" s="127"/>
      <c r="AO374" s="127"/>
      <c r="AP374" s="127"/>
      <c r="AQ374" s="127"/>
      <c r="AR374" s="127"/>
      <c r="AS374" s="127"/>
      <c r="AT374" s="127"/>
      <c r="AU374" s="127"/>
      <c r="AV374" s="127"/>
      <c r="AW374" s="127"/>
      <c r="AX374" s="127"/>
      <c r="AY374" s="127"/>
      <c r="AZ374" s="127"/>
      <c r="BA374" s="127"/>
      <c r="BB374" s="127"/>
      <c r="BC374" s="127"/>
      <c r="BD374" s="127"/>
      <c r="BE374" s="127"/>
      <c r="BF374" s="127"/>
      <c r="BG374" s="127"/>
      <c r="BH374" s="127"/>
      <c r="BI374" s="127"/>
      <c r="BJ374" s="127"/>
      <c r="BK374" s="127"/>
      <c r="BL374" s="127"/>
      <c r="BM374" s="127"/>
      <c r="BN374" s="127"/>
      <c r="BO374" s="127"/>
      <c r="BP374" s="127"/>
      <c r="BQ374" s="127"/>
      <c r="BR374" s="127"/>
      <c r="BS374" s="127"/>
      <c r="BT374" s="127"/>
      <c r="BU374" s="127"/>
      <c r="BV374" s="127"/>
      <c r="BW374" s="127"/>
      <c r="BX374" s="127"/>
      <c r="BY374" s="127"/>
      <c r="BZ374" s="127"/>
      <c r="CA374" s="127"/>
      <c r="CB374" s="187"/>
      <c r="CC374" s="189"/>
      <c r="CD374" s="188"/>
      <c r="CE374" s="127"/>
      <c r="CF374" s="190"/>
      <c r="CG374" s="190"/>
      <c r="CH374" s="187"/>
      <c r="CI374" s="187"/>
      <c r="CJ374" s="187"/>
      <c r="CK374" s="187"/>
      <c r="CL374" s="187"/>
      <c r="CM374" s="187"/>
      <c r="CN374" s="187"/>
      <c r="CO374" s="127"/>
      <c r="CP374" s="127"/>
      <c r="CQ374" s="187"/>
      <c r="CR374" s="187"/>
      <c r="CS374" s="187"/>
      <c r="CT374" s="187"/>
      <c r="CU374" s="187"/>
      <c r="CV374" s="187"/>
      <c r="CW374" s="187"/>
      <c r="CX374" s="187"/>
    </row>
    <row r="375" spans="1:102" ht="12.75" customHeight="1" x14ac:dyDescent="0.2">
      <c r="A375" s="187"/>
      <c r="B375" s="127"/>
      <c r="C375" s="187"/>
      <c r="D375" s="127"/>
      <c r="E375" s="187"/>
      <c r="F375" s="187"/>
      <c r="G375" s="187"/>
      <c r="H375" s="187"/>
      <c r="I375" s="187"/>
      <c r="J375" s="187"/>
      <c r="K375" s="187"/>
      <c r="L375" s="187"/>
      <c r="M375" s="187"/>
      <c r="N375" s="187"/>
      <c r="O375" s="187"/>
      <c r="P375" s="187"/>
      <c r="Q375" s="187"/>
      <c r="R375" s="187"/>
      <c r="S375" s="187"/>
      <c r="T375" s="127"/>
      <c r="U375" s="188"/>
      <c r="V375" s="127"/>
      <c r="W375" s="1438"/>
      <c r="X375" s="127"/>
      <c r="Y375" s="127"/>
      <c r="Z375" s="127"/>
      <c r="AA375" s="127"/>
      <c r="AB375" s="127"/>
      <c r="AC375" s="127"/>
      <c r="AD375" s="127"/>
      <c r="AE375" s="127"/>
      <c r="AF375" s="127"/>
      <c r="AG375" s="127"/>
      <c r="AH375" s="127"/>
      <c r="AI375" s="127"/>
      <c r="AJ375" s="127"/>
      <c r="AK375" s="127"/>
      <c r="AL375" s="127"/>
      <c r="AM375" s="127"/>
      <c r="AN375" s="127"/>
      <c r="AO375" s="127"/>
      <c r="AP375" s="127"/>
      <c r="AQ375" s="127"/>
      <c r="AR375" s="127"/>
      <c r="AS375" s="127"/>
      <c r="AT375" s="127"/>
      <c r="AU375" s="127"/>
      <c r="AV375" s="127"/>
      <c r="AW375" s="127"/>
      <c r="AX375" s="127"/>
      <c r="AY375" s="127"/>
      <c r="AZ375" s="127"/>
      <c r="BA375" s="127"/>
      <c r="BB375" s="127"/>
      <c r="BC375" s="127"/>
      <c r="BD375" s="127"/>
      <c r="BE375" s="127"/>
      <c r="BF375" s="127"/>
      <c r="BG375" s="127"/>
      <c r="BH375" s="127"/>
      <c r="BI375" s="127"/>
      <c r="BJ375" s="127"/>
      <c r="BK375" s="127"/>
      <c r="BL375" s="127"/>
      <c r="BM375" s="127"/>
      <c r="BN375" s="127"/>
      <c r="BO375" s="127"/>
      <c r="BP375" s="127"/>
      <c r="BQ375" s="127"/>
      <c r="BR375" s="127"/>
      <c r="BS375" s="127"/>
      <c r="BT375" s="127"/>
      <c r="BU375" s="127"/>
      <c r="BV375" s="127"/>
      <c r="BW375" s="127"/>
      <c r="BX375" s="127"/>
      <c r="BY375" s="127"/>
      <c r="BZ375" s="127"/>
      <c r="CA375" s="127"/>
      <c r="CB375" s="187"/>
      <c r="CC375" s="189"/>
      <c r="CD375" s="188"/>
      <c r="CE375" s="127"/>
      <c r="CF375" s="190"/>
      <c r="CG375" s="190"/>
      <c r="CH375" s="187"/>
      <c r="CI375" s="187"/>
      <c r="CJ375" s="187"/>
      <c r="CK375" s="187"/>
      <c r="CL375" s="187"/>
      <c r="CM375" s="187"/>
      <c r="CN375" s="187"/>
      <c r="CO375" s="127"/>
      <c r="CP375" s="127"/>
      <c r="CQ375" s="187"/>
      <c r="CR375" s="187"/>
      <c r="CS375" s="187"/>
      <c r="CT375" s="187"/>
      <c r="CU375" s="187"/>
      <c r="CV375" s="187"/>
      <c r="CW375" s="187"/>
      <c r="CX375" s="187"/>
    </row>
    <row r="376" spans="1:102" ht="12.75" customHeight="1" x14ac:dyDescent="0.2">
      <c r="A376" s="187"/>
      <c r="B376" s="127"/>
      <c r="C376" s="187"/>
      <c r="D376" s="127"/>
      <c r="E376" s="187"/>
      <c r="F376" s="187"/>
      <c r="G376" s="187"/>
      <c r="H376" s="187"/>
      <c r="I376" s="187"/>
      <c r="J376" s="187"/>
      <c r="K376" s="187"/>
      <c r="L376" s="187"/>
      <c r="M376" s="187"/>
      <c r="N376" s="187"/>
      <c r="O376" s="187"/>
      <c r="P376" s="187"/>
      <c r="Q376" s="187"/>
      <c r="R376" s="187"/>
      <c r="S376" s="187"/>
      <c r="T376" s="127"/>
      <c r="U376" s="188"/>
      <c r="V376" s="127"/>
      <c r="W376" s="1438"/>
      <c r="X376" s="127"/>
      <c r="Y376" s="127"/>
      <c r="Z376" s="127"/>
      <c r="AA376" s="127"/>
      <c r="AB376" s="127"/>
      <c r="AC376" s="127"/>
      <c r="AD376" s="127"/>
      <c r="AE376" s="127"/>
      <c r="AF376" s="127"/>
      <c r="AG376" s="127"/>
      <c r="AH376" s="127"/>
      <c r="AI376" s="127"/>
      <c r="AJ376" s="127"/>
      <c r="AK376" s="127"/>
      <c r="AL376" s="127"/>
      <c r="AM376" s="127"/>
      <c r="AN376" s="127"/>
      <c r="AO376" s="127"/>
      <c r="AP376" s="127"/>
      <c r="AQ376" s="127"/>
      <c r="AR376" s="127"/>
      <c r="AS376" s="127"/>
      <c r="AT376" s="127"/>
      <c r="AU376" s="127"/>
      <c r="AV376" s="127"/>
      <c r="AW376" s="127"/>
      <c r="AX376" s="127"/>
      <c r="AY376" s="127"/>
      <c r="AZ376" s="127"/>
      <c r="BA376" s="127"/>
      <c r="BB376" s="127"/>
      <c r="BC376" s="127"/>
      <c r="BD376" s="127"/>
      <c r="BE376" s="127"/>
      <c r="BF376" s="127"/>
      <c r="BG376" s="127"/>
      <c r="BH376" s="127"/>
      <c r="BI376" s="127"/>
      <c r="BJ376" s="127"/>
      <c r="BK376" s="127"/>
      <c r="BL376" s="127"/>
      <c r="BM376" s="127"/>
      <c r="BN376" s="127"/>
      <c r="BO376" s="127"/>
      <c r="BP376" s="127"/>
      <c r="BQ376" s="127"/>
      <c r="BR376" s="127"/>
      <c r="BS376" s="127"/>
      <c r="BT376" s="127"/>
      <c r="BU376" s="127"/>
      <c r="BV376" s="127"/>
      <c r="BW376" s="127"/>
      <c r="BX376" s="127"/>
      <c r="BY376" s="127"/>
      <c r="BZ376" s="127"/>
      <c r="CA376" s="127"/>
      <c r="CB376" s="187"/>
      <c r="CC376" s="189"/>
      <c r="CD376" s="188"/>
      <c r="CE376" s="127"/>
      <c r="CF376" s="190"/>
      <c r="CG376" s="190"/>
      <c r="CH376" s="187"/>
      <c r="CI376" s="187"/>
      <c r="CJ376" s="187"/>
      <c r="CK376" s="187"/>
      <c r="CL376" s="187"/>
      <c r="CM376" s="187"/>
      <c r="CN376" s="187"/>
      <c r="CO376" s="127"/>
      <c r="CP376" s="127"/>
      <c r="CQ376" s="187"/>
      <c r="CR376" s="187"/>
      <c r="CS376" s="187"/>
      <c r="CT376" s="187"/>
      <c r="CU376" s="187"/>
      <c r="CV376" s="187"/>
      <c r="CW376" s="187"/>
      <c r="CX376" s="187"/>
    </row>
    <row r="377" spans="1:102" ht="12.75" customHeight="1" x14ac:dyDescent="0.2">
      <c r="A377" s="187"/>
      <c r="B377" s="127"/>
      <c r="C377" s="187"/>
      <c r="D377" s="127"/>
      <c r="E377" s="187"/>
      <c r="F377" s="187"/>
      <c r="G377" s="187"/>
      <c r="H377" s="187"/>
      <c r="I377" s="187"/>
      <c r="J377" s="187"/>
      <c r="K377" s="187"/>
      <c r="L377" s="187"/>
      <c r="M377" s="187"/>
      <c r="N377" s="187"/>
      <c r="O377" s="187"/>
      <c r="P377" s="187"/>
      <c r="Q377" s="187"/>
      <c r="R377" s="187"/>
      <c r="S377" s="187"/>
      <c r="T377" s="127"/>
      <c r="U377" s="188"/>
      <c r="V377" s="127"/>
      <c r="W377" s="1438"/>
      <c r="X377" s="127"/>
      <c r="Y377" s="127"/>
      <c r="Z377" s="127"/>
      <c r="AA377" s="127"/>
      <c r="AB377" s="127"/>
      <c r="AC377" s="127"/>
      <c r="AD377" s="127"/>
      <c r="AE377" s="127"/>
      <c r="AF377" s="127"/>
      <c r="AG377" s="127"/>
      <c r="AH377" s="127"/>
      <c r="AI377" s="127"/>
      <c r="AJ377" s="127"/>
      <c r="AK377" s="127"/>
      <c r="AL377" s="127"/>
      <c r="AM377" s="127"/>
      <c r="AN377" s="127"/>
      <c r="AO377" s="127"/>
      <c r="AP377" s="127"/>
      <c r="AQ377" s="127"/>
      <c r="AR377" s="127"/>
      <c r="AS377" s="127"/>
      <c r="AT377" s="127"/>
      <c r="AU377" s="127"/>
      <c r="AV377" s="127"/>
      <c r="AW377" s="127"/>
      <c r="AX377" s="127"/>
      <c r="AY377" s="127"/>
      <c r="AZ377" s="127"/>
      <c r="BA377" s="127"/>
      <c r="BB377" s="127"/>
      <c r="BC377" s="127"/>
      <c r="BD377" s="127"/>
      <c r="BE377" s="127"/>
      <c r="BF377" s="127"/>
      <c r="BG377" s="127"/>
      <c r="BH377" s="127"/>
      <c r="BI377" s="127"/>
      <c r="BJ377" s="127"/>
      <c r="BK377" s="127"/>
      <c r="BL377" s="127"/>
      <c r="BM377" s="127"/>
      <c r="BN377" s="127"/>
      <c r="BO377" s="127"/>
      <c r="BP377" s="127"/>
      <c r="BQ377" s="127"/>
      <c r="BR377" s="127"/>
      <c r="BS377" s="127"/>
      <c r="BT377" s="127"/>
      <c r="BU377" s="127"/>
      <c r="BV377" s="127"/>
      <c r="BW377" s="127"/>
      <c r="BX377" s="127"/>
      <c r="BY377" s="127"/>
      <c r="BZ377" s="127"/>
      <c r="CA377" s="127"/>
      <c r="CB377" s="187"/>
      <c r="CC377" s="189"/>
      <c r="CD377" s="188"/>
      <c r="CE377" s="127"/>
      <c r="CF377" s="190"/>
      <c r="CG377" s="190"/>
      <c r="CH377" s="187"/>
      <c r="CI377" s="187"/>
      <c r="CJ377" s="187"/>
      <c r="CK377" s="187"/>
      <c r="CL377" s="187"/>
      <c r="CM377" s="187"/>
      <c r="CN377" s="187"/>
      <c r="CO377" s="127"/>
      <c r="CP377" s="127"/>
      <c r="CQ377" s="187"/>
      <c r="CR377" s="187"/>
      <c r="CS377" s="187"/>
      <c r="CT377" s="187"/>
      <c r="CU377" s="187"/>
      <c r="CV377" s="187"/>
      <c r="CW377" s="187"/>
      <c r="CX377" s="187"/>
    </row>
    <row r="378" spans="1:102" ht="12.75" customHeight="1" x14ac:dyDescent="0.2">
      <c r="A378" s="187"/>
      <c r="B378" s="127"/>
      <c r="C378" s="187"/>
      <c r="D378" s="127"/>
      <c r="E378" s="187"/>
      <c r="F378" s="187"/>
      <c r="G378" s="187"/>
      <c r="H378" s="187"/>
      <c r="I378" s="187"/>
      <c r="J378" s="187"/>
      <c r="K378" s="187"/>
      <c r="L378" s="187"/>
      <c r="M378" s="187"/>
      <c r="N378" s="187"/>
      <c r="O378" s="187"/>
      <c r="P378" s="187"/>
      <c r="Q378" s="187"/>
      <c r="R378" s="187"/>
      <c r="S378" s="187"/>
      <c r="T378" s="127"/>
      <c r="U378" s="188"/>
      <c r="V378" s="127"/>
      <c r="W378" s="1438"/>
      <c r="X378" s="127"/>
      <c r="Y378" s="127"/>
      <c r="Z378" s="127"/>
      <c r="AA378" s="127"/>
      <c r="AB378" s="127"/>
      <c r="AC378" s="127"/>
      <c r="AD378" s="127"/>
      <c r="AE378" s="127"/>
      <c r="AF378" s="127"/>
      <c r="AG378" s="127"/>
      <c r="AH378" s="127"/>
      <c r="AI378" s="127"/>
      <c r="AJ378" s="127"/>
      <c r="AK378" s="127"/>
      <c r="AL378" s="127"/>
      <c r="AM378" s="127"/>
      <c r="AN378" s="127"/>
      <c r="AO378" s="127"/>
      <c r="AP378" s="127"/>
      <c r="AQ378" s="127"/>
      <c r="AR378" s="127"/>
      <c r="AS378" s="127"/>
      <c r="AT378" s="127"/>
      <c r="AU378" s="127"/>
      <c r="AV378" s="127"/>
      <c r="AW378" s="127"/>
      <c r="AX378" s="127"/>
      <c r="AY378" s="127"/>
      <c r="AZ378" s="127"/>
      <c r="BA378" s="127"/>
      <c r="BB378" s="127"/>
      <c r="BC378" s="127"/>
      <c r="BD378" s="127"/>
      <c r="BE378" s="127"/>
      <c r="BF378" s="127"/>
      <c r="BG378" s="127"/>
      <c r="BH378" s="127"/>
      <c r="BI378" s="127"/>
      <c r="BJ378" s="127"/>
      <c r="BK378" s="127"/>
      <c r="BL378" s="127"/>
      <c r="BM378" s="127"/>
      <c r="BN378" s="127"/>
      <c r="BO378" s="127"/>
      <c r="BP378" s="127"/>
      <c r="BQ378" s="127"/>
      <c r="BR378" s="127"/>
      <c r="BS378" s="127"/>
      <c r="BT378" s="127"/>
      <c r="BU378" s="127"/>
      <c r="BV378" s="127"/>
      <c r="BW378" s="127"/>
      <c r="BX378" s="127"/>
      <c r="BY378" s="127"/>
      <c r="BZ378" s="127"/>
      <c r="CA378" s="127"/>
      <c r="CB378" s="187"/>
      <c r="CC378" s="189"/>
      <c r="CD378" s="188"/>
      <c r="CE378" s="127"/>
      <c r="CF378" s="190"/>
      <c r="CG378" s="190"/>
      <c r="CH378" s="187"/>
      <c r="CI378" s="187"/>
      <c r="CJ378" s="187"/>
      <c r="CK378" s="187"/>
      <c r="CL378" s="187"/>
      <c r="CM378" s="187"/>
      <c r="CN378" s="187"/>
      <c r="CO378" s="127"/>
      <c r="CP378" s="127"/>
      <c r="CQ378" s="187"/>
      <c r="CR378" s="187"/>
      <c r="CS378" s="187"/>
      <c r="CT378" s="187"/>
      <c r="CU378" s="187"/>
      <c r="CV378" s="187"/>
      <c r="CW378" s="187"/>
      <c r="CX378" s="187"/>
    </row>
    <row r="379" spans="1:102" ht="12.75" customHeight="1" x14ac:dyDescent="0.2">
      <c r="A379" s="187"/>
      <c r="B379" s="127"/>
      <c r="C379" s="187"/>
      <c r="D379" s="127"/>
      <c r="E379" s="187"/>
      <c r="F379" s="187"/>
      <c r="G379" s="187"/>
      <c r="H379" s="187"/>
      <c r="I379" s="187"/>
      <c r="J379" s="187"/>
      <c r="K379" s="187"/>
      <c r="L379" s="187"/>
      <c r="M379" s="187"/>
      <c r="N379" s="187"/>
      <c r="O379" s="187"/>
      <c r="P379" s="187"/>
      <c r="Q379" s="187"/>
      <c r="R379" s="187"/>
      <c r="S379" s="187"/>
      <c r="T379" s="127"/>
      <c r="U379" s="188"/>
      <c r="V379" s="127"/>
      <c r="W379" s="1438"/>
      <c r="X379" s="127"/>
      <c r="Y379" s="127"/>
      <c r="Z379" s="127"/>
      <c r="AA379" s="127"/>
      <c r="AB379" s="127"/>
      <c r="AC379" s="127"/>
      <c r="AD379" s="127"/>
      <c r="AE379" s="127"/>
      <c r="AF379" s="127"/>
      <c r="AG379" s="127"/>
      <c r="AH379" s="127"/>
      <c r="AI379" s="127"/>
      <c r="AJ379" s="127"/>
      <c r="AK379" s="127"/>
      <c r="AL379" s="127"/>
      <c r="AM379" s="127"/>
      <c r="AN379" s="127"/>
      <c r="AO379" s="127"/>
      <c r="AP379" s="127"/>
      <c r="AQ379" s="127"/>
      <c r="AR379" s="127"/>
      <c r="AS379" s="127"/>
      <c r="AT379" s="127"/>
      <c r="AU379" s="127"/>
      <c r="AV379" s="127"/>
      <c r="AW379" s="127"/>
      <c r="AX379" s="127"/>
      <c r="AY379" s="127"/>
      <c r="AZ379" s="127"/>
      <c r="BA379" s="127"/>
      <c r="BB379" s="127"/>
      <c r="BC379" s="127"/>
      <c r="BD379" s="127"/>
      <c r="BE379" s="127"/>
      <c r="BF379" s="127"/>
      <c r="BG379" s="127"/>
      <c r="BH379" s="127"/>
      <c r="BI379" s="127"/>
      <c r="BJ379" s="127"/>
      <c r="BK379" s="127"/>
      <c r="BL379" s="127"/>
      <c r="BM379" s="127"/>
      <c r="BN379" s="127"/>
      <c r="BO379" s="127"/>
      <c r="BP379" s="127"/>
      <c r="BQ379" s="127"/>
      <c r="BR379" s="127"/>
      <c r="BS379" s="127"/>
      <c r="BT379" s="127"/>
      <c r="BU379" s="127"/>
      <c r="BV379" s="127"/>
      <c r="BW379" s="127"/>
      <c r="BX379" s="127"/>
      <c r="BY379" s="127"/>
      <c r="BZ379" s="127"/>
      <c r="CA379" s="127"/>
      <c r="CB379" s="187"/>
      <c r="CC379" s="189"/>
      <c r="CD379" s="188"/>
      <c r="CE379" s="127"/>
      <c r="CF379" s="190"/>
      <c r="CG379" s="190"/>
      <c r="CH379" s="187"/>
      <c r="CI379" s="187"/>
      <c r="CJ379" s="187"/>
      <c r="CK379" s="187"/>
      <c r="CL379" s="187"/>
      <c r="CM379" s="187"/>
      <c r="CN379" s="187"/>
      <c r="CO379" s="127"/>
      <c r="CP379" s="127"/>
      <c r="CQ379" s="187"/>
      <c r="CR379" s="187"/>
      <c r="CS379" s="187"/>
      <c r="CT379" s="187"/>
      <c r="CU379" s="187"/>
      <c r="CV379" s="187"/>
      <c r="CW379" s="187"/>
      <c r="CX379" s="187"/>
    </row>
    <row r="380" spans="1:102" ht="12.75" customHeight="1" x14ac:dyDescent="0.2">
      <c r="A380" s="187"/>
      <c r="B380" s="127"/>
      <c r="C380" s="187"/>
      <c r="D380" s="127"/>
      <c r="E380" s="187"/>
      <c r="F380" s="187"/>
      <c r="G380" s="187"/>
      <c r="H380" s="187"/>
      <c r="I380" s="187"/>
      <c r="J380" s="187"/>
      <c r="K380" s="187"/>
      <c r="L380" s="187"/>
      <c r="M380" s="187"/>
      <c r="N380" s="187"/>
      <c r="O380" s="187"/>
      <c r="P380" s="187"/>
      <c r="Q380" s="187"/>
      <c r="R380" s="187"/>
      <c r="S380" s="187"/>
      <c r="T380" s="127"/>
      <c r="U380" s="188"/>
      <c r="V380" s="127"/>
      <c r="W380" s="1438"/>
      <c r="X380" s="127"/>
      <c r="Y380" s="127"/>
      <c r="Z380" s="127"/>
      <c r="AA380" s="127"/>
      <c r="AB380" s="127"/>
      <c r="AC380" s="127"/>
      <c r="AD380" s="127"/>
      <c r="AE380" s="127"/>
      <c r="AF380" s="127"/>
      <c r="AG380" s="127"/>
      <c r="AH380" s="127"/>
      <c r="AI380" s="127"/>
      <c r="AJ380" s="127"/>
      <c r="AK380" s="127"/>
      <c r="AL380" s="127"/>
      <c r="AM380" s="127"/>
      <c r="AN380" s="127"/>
      <c r="AO380" s="127"/>
      <c r="AP380" s="127"/>
      <c r="AQ380" s="127"/>
      <c r="AR380" s="127"/>
      <c r="AS380" s="127"/>
      <c r="AT380" s="127"/>
      <c r="AU380" s="127"/>
      <c r="AV380" s="127"/>
      <c r="AW380" s="127"/>
      <c r="AX380" s="127"/>
      <c r="AY380" s="127"/>
      <c r="AZ380" s="127"/>
      <c r="BA380" s="127"/>
      <c r="BB380" s="127"/>
      <c r="BC380" s="127"/>
      <c r="BD380" s="127"/>
      <c r="BE380" s="127"/>
      <c r="BF380" s="127"/>
      <c r="BG380" s="127"/>
      <c r="BH380" s="127"/>
      <c r="BI380" s="127"/>
      <c r="BJ380" s="127"/>
      <c r="BK380" s="127"/>
      <c r="BL380" s="127"/>
      <c r="BM380" s="127"/>
      <c r="BN380" s="127"/>
      <c r="BO380" s="127"/>
      <c r="BP380" s="127"/>
      <c r="BQ380" s="127"/>
      <c r="BR380" s="127"/>
      <c r="BS380" s="127"/>
      <c r="BT380" s="127"/>
      <c r="BU380" s="127"/>
      <c r="BV380" s="127"/>
      <c r="BW380" s="127"/>
      <c r="BX380" s="127"/>
      <c r="BY380" s="127"/>
      <c r="BZ380" s="127"/>
      <c r="CA380" s="127"/>
      <c r="CB380" s="187"/>
      <c r="CC380" s="189"/>
      <c r="CD380" s="188"/>
      <c r="CE380" s="127"/>
      <c r="CF380" s="190"/>
      <c r="CG380" s="190"/>
      <c r="CH380" s="187"/>
      <c r="CI380" s="187"/>
      <c r="CJ380" s="187"/>
      <c r="CK380" s="187"/>
      <c r="CL380" s="187"/>
      <c r="CM380" s="187"/>
      <c r="CN380" s="187"/>
      <c r="CO380" s="127"/>
      <c r="CP380" s="127"/>
      <c r="CQ380" s="187"/>
      <c r="CR380" s="187"/>
      <c r="CS380" s="187"/>
      <c r="CT380" s="187"/>
      <c r="CU380" s="187"/>
      <c r="CV380" s="187"/>
      <c r="CW380" s="187"/>
      <c r="CX380" s="187"/>
    </row>
    <row r="381" spans="1:102" ht="12.75" customHeight="1" x14ac:dyDescent="0.2">
      <c r="A381" s="187"/>
      <c r="B381" s="127"/>
      <c r="C381" s="187"/>
      <c r="D381" s="127"/>
      <c r="E381" s="187"/>
      <c r="F381" s="187"/>
      <c r="G381" s="187"/>
      <c r="H381" s="187"/>
      <c r="I381" s="187"/>
      <c r="J381" s="187"/>
      <c r="K381" s="187"/>
      <c r="L381" s="187"/>
      <c r="M381" s="187"/>
      <c r="N381" s="187"/>
      <c r="O381" s="187"/>
      <c r="P381" s="187"/>
      <c r="Q381" s="187"/>
      <c r="R381" s="187"/>
      <c r="S381" s="187"/>
      <c r="T381" s="127"/>
      <c r="U381" s="188"/>
      <c r="V381" s="127"/>
      <c r="W381" s="1438"/>
      <c r="X381" s="127"/>
      <c r="Y381" s="127"/>
      <c r="Z381" s="127"/>
      <c r="AA381" s="127"/>
      <c r="AB381" s="127"/>
      <c r="AC381" s="127"/>
      <c r="AD381" s="127"/>
      <c r="AE381" s="127"/>
      <c r="AF381" s="127"/>
      <c r="AG381" s="127"/>
      <c r="AH381" s="127"/>
      <c r="AI381" s="127"/>
      <c r="AJ381" s="127"/>
      <c r="AK381" s="127"/>
      <c r="AL381" s="127"/>
      <c r="AM381" s="127"/>
      <c r="AN381" s="127"/>
      <c r="AO381" s="127"/>
      <c r="AP381" s="127"/>
      <c r="AQ381" s="127"/>
      <c r="AR381" s="127"/>
      <c r="AS381" s="127"/>
      <c r="AT381" s="127"/>
      <c r="AU381" s="127"/>
      <c r="AV381" s="127"/>
      <c r="AW381" s="127"/>
      <c r="AX381" s="127"/>
      <c r="AY381" s="127"/>
      <c r="AZ381" s="127"/>
      <c r="BA381" s="127"/>
      <c r="BB381" s="127"/>
      <c r="BC381" s="127"/>
      <c r="BD381" s="127"/>
      <c r="BE381" s="127"/>
      <c r="BF381" s="127"/>
      <c r="BG381" s="127"/>
      <c r="BH381" s="127"/>
      <c r="BI381" s="127"/>
      <c r="BJ381" s="127"/>
      <c r="BK381" s="127"/>
      <c r="BL381" s="127"/>
      <c r="BM381" s="127"/>
      <c r="BN381" s="127"/>
      <c r="BO381" s="127"/>
      <c r="BP381" s="127"/>
      <c r="BQ381" s="127"/>
      <c r="BR381" s="127"/>
      <c r="BS381" s="127"/>
      <c r="BT381" s="127"/>
      <c r="BU381" s="127"/>
      <c r="BV381" s="127"/>
      <c r="BW381" s="127"/>
      <c r="BX381" s="127"/>
      <c r="BY381" s="127"/>
      <c r="BZ381" s="127"/>
      <c r="CA381" s="127"/>
      <c r="CB381" s="187"/>
      <c r="CC381" s="189"/>
      <c r="CD381" s="188"/>
      <c r="CE381" s="127"/>
      <c r="CF381" s="190"/>
      <c r="CG381" s="190"/>
      <c r="CH381" s="187"/>
      <c r="CI381" s="187"/>
      <c r="CJ381" s="187"/>
      <c r="CK381" s="187"/>
      <c r="CL381" s="187"/>
      <c r="CM381" s="187"/>
      <c r="CN381" s="187"/>
      <c r="CO381" s="127"/>
      <c r="CP381" s="127"/>
      <c r="CQ381" s="187"/>
      <c r="CR381" s="187"/>
      <c r="CS381" s="187"/>
      <c r="CT381" s="187"/>
      <c r="CU381" s="187"/>
      <c r="CV381" s="187"/>
      <c r="CW381" s="187"/>
      <c r="CX381" s="187"/>
    </row>
    <row r="382" spans="1:102" ht="12.75" customHeight="1" x14ac:dyDescent="0.2">
      <c r="A382" s="187"/>
      <c r="B382" s="127"/>
      <c r="C382" s="187"/>
      <c r="D382" s="127"/>
      <c r="E382" s="187"/>
      <c r="F382" s="187"/>
      <c r="G382" s="187"/>
      <c r="H382" s="187"/>
      <c r="I382" s="187"/>
      <c r="J382" s="187"/>
      <c r="K382" s="187"/>
      <c r="L382" s="187"/>
      <c r="M382" s="187"/>
      <c r="N382" s="187"/>
      <c r="O382" s="187"/>
      <c r="P382" s="187"/>
      <c r="Q382" s="187"/>
      <c r="R382" s="187"/>
      <c r="S382" s="187"/>
      <c r="T382" s="127"/>
      <c r="U382" s="188"/>
      <c r="V382" s="127"/>
      <c r="W382" s="1438"/>
      <c r="X382" s="127"/>
      <c r="Y382" s="127"/>
      <c r="Z382" s="127"/>
      <c r="AA382" s="127"/>
      <c r="AB382" s="127"/>
      <c r="AC382" s="127"/>
      <c r="AD382" s="127"/>
      <c r="AE382" s="127"/>
      <c r="AF382" s="127"/>
      <c r="AG382" s="127"/>
      <c r="AH382" s="127"/>
      <c r="AI382" s="127"/>
      <c r="AJ382" s="127"/>
      <c r="AK382" s="127"/>
      <c r="AL382" s="127"/>
      <c r="AM382" s="127"/>
      <c r="AN382" s="127"/>
      <c r="AO382" s="127"/>
      <c r="AP382" s="127"/>
      <c r="AQ382" s="127"/>
      <c r="AR382" s="127"/>
      <c r="AS382" s="127"/>
      <c r="AT382" s="127"/>
      <c r="AU382" s="127"/>
      <c r="AV382" s="127"/>
      <c r="AW382" s="127"/>
      <c r="AX382" s="127"/>
      <c r="AY382" s="127"/>
      <c r="AZ382" s="127"/>
      <c r="BA382" s="127"/>
      <c r="BB382" s="127"/>
      <c r="BC382" s="127"/>
      <c r="BD382" s="127"/>
      <c r="BE382" s="127"/>
      <c r="BF382" s="127"/>
      <c r="BG382" s="127"/>
      <c r="BH382" s="127"/>
      <c r="BI382" s="127"/>
      <c r="BJ382" s="127"/>
      <c r="BK382" s="127"/>
      <c r="BL382" s="127"/>
      <c r="BM382" s="127"/>
      <c r="BN382" s="127"/>
      <c r="BO382" s="127"/>
      <c r="BP382" s="127"/>
      <c r="BQ382" s="127"/>
      <c r="BR382" s="127"/>
      <c r="BS382" s="127"/>
      <c r="BT382" s="127"/>
      <c r="BU382" s="127"/>
      <c r="BV382" s="127"/>
      <c r="BW382" s="127"/>
      <c r="BX382" s="127"/>
      <c r="BY382" s="127"/>
      <c r="BZ382" s="127"/>
      <c r="CA382" s="127"/>
      <c r="CB382" s="187"/>
      <c r="CC382" s="189"/>
      <c r="CD382" s="188"/>
      <c r="CE382" s="127"/>
      <c r="CF382" s="190"/>
      <c r="CG382" s="190"/>
      <c r="CH382" s="187"/>
      <c r="CI382" s="187"/>
      <c r="CJ382" s="187"/>
      <c r="CK382" s="187"/>
      <c r="CL382" s="187"/>
      <c r="CM382" s="187"/>
      <c r="CN382" s="187"/>
      <c r="CO382" s="127"/>
      <c r="CP382" s="127"/>
      <c r="CQ382" s="187"/>
      <c r="CR382" s="187"/>
      <c r="CS382" s="187"/>
      <c r="CT382" s="187"/>
      <c r="CU382" s="187"/>
      <c r="CV382" s="187"/>
      <c r="CW382" s="187"/>
      <c r="CX382" s="187"/>
    </row>
    <row r="383" spans="1:102" ht="12.75" customHeight="1" x14ac:dyDescent="0.2">
      <c r="A383" s="187"/>
      <c r="B383" s="127"/>
      <c r="C383" s="187"/>
      <c r="D383" s="127"/>
      <c r="E383" s="187"/>
      <c r="F383" s="187"/>
      <c r="G383" s="187"/>
      <c r="H383" s="187"/>
      <c r="I383" s="187"/>
      <c r="J383" s="187"/>
      <c r="K383" s="187"/>
      <c r="L383" s="187"/>
      <c r="M383" s="187"/>
      <c r="N383" s="187"/>
      <c r="O383" s="187"/>
      <c r="P383" s="187"/>
      <c r="Q383" s="187"/>
      <c r="R383" s="187"/>
      <c r="S383" s="187"/>
      <c r="T383" s="127"/>
      <c r="U383" s="188"/>
      <c r="V383" s="127"/>
      <c r="W383" s="1438"/>
      <c r="X383" s="127"/>
      <c r="Y383" s="127"/>
      <c r="Z383" s="127"/>
      <c r="AA383" s="127"/>
      <c r="AB383" s="127"/>
      <c r="AC383" s="127"/>
      <c r="AD383" s="127"/>
      <c r="AE383" s="127"/>
      <c r="AF383" s="127"/>
      <c r="AG383" s="127"/>
      <c r="AH383" s="127"/>
      <c r="AI383" s="127"/>
      <c r="AJ383" s="127"/>
      <c r="AK383" s="127"/>
      <c r="AL383" s="127"/>
      <c r="AM383" s="127"/>
      <c r="AN383" s="127"/>
      <c r="AO383" s="127"/>
      <c r="AP383" s="127"/>
      <c r="AQ383" s="127"/>
      <c r="AR383" s="127"/>
      <c r="AS383" s="127"/>
      <c r="AT383" s="127"/>
      <c r="AU383" s="127"/>
      <c r="AV383" s="127"/>
      <c r="AW383" s="127"/>
      <c r="AX383" s="127"/>
      <c r="AY383" s="127"/>
      <c r="AZ383" s="127"/>
      <c r="BA383" s="127"/>
      <c r="BB383" s="127"/>
      <c r="BC383" s="127"/>
      <c r="BD383" s="127"/>
      <c r="BE383" s="127"/>
      <c r="BF383" s="127"/>
      <c r="BG383" s="127"/>
      <c r="BH383" s="127"/>
      <c r="BI383" s="127"/>
      <c r="BJ383" s="127"/>
      <c r="BK383" s="127"/>
      <c r="BL383" s="127"/>
      <c r="BM383" s="127"/>
      <c r="BN383" s="127"/>
      <c r="BO383" s="127"/>
      <c r="BP383" s="127"/>
      <c r="BQ383" s="127"/>
      <c r="BR383" s="127"/>
      <c r="BS383" s="127"/>
      <c r="BT383" s="127"/>
      <c r="BU383" s="127"/>
      <c r="BV383" s="127"/>
      <c r="BW383" s="127"/>
      <c r="BX383" s="127"/>
      <c r="BY383" s="127"/>
      <c r="BZ383" s="127"/>
      <c r="CA383" s="127"/>
      <c r="CB383" s="187"/>
      <c r="CC383" s="189"/>
      <c r="CD383" s="188"/>
      <c r="CE383" s="127"/>
      <c r="CF383" s="190"/>
      <c r="CG383" s="190"/>
      <c r="CH383" s="187"/>
      <c r="CI383" s="187"/>
      <c r="CJ383" s="187"/>
      <c r="CK383" s="187"/>
      <c r="CL383" s="187"/>
      <c r="CM383" s="187"/>
      <c r="CN383" s="187"/>
      <c r="CO383" s="127"/>
      <c r="CP383" s="127"/>
      <c r="CQ383" s="187"/>
      <c r="CR383" s="187"/>
      <c r="CS383" s="187"/>
      <c r="CT383" s="187"/>
      <c r="CU383" s="187"/>
      <c r="CV383" s="187"/>
      <c r="CW383" s="187"/>
      <c r="CX383" s="187"/>
    </row>
    <row r="384" spans="1:102" ht="12.75" customHeight="1" x14ac:dyDescent="0.2">
      <c r="A384" s="187"/>
      <c r="B384" s="127"/>
      <c r="C384" s="187"/>
      <c r="D384" s="127"/>
      <c r="E384" s="187"/>
      <c r="F384" s="187"/>
      <c r="G384" s="187"/>
      <c r="H384" s="187"/>
      <c r="I384" s="187"/>
      <c r="J384" s="187"/>
      <c r="K384" s="187"/>
      <c r="L384" s="187"/>
      <c r="M384" s="187"/>
      <c r="N384" s="187"/>
      <c r="O384" s="187"/>
      <c r="P384" s="187"/>
      <c r="Q384" s="187"/>
      <c r="R384" s="187"/>
      <c r="S384" s="187"/>
      <c r="T384" s="127"/>
      <c r="U384" s="188"/>
      <c r="V384" s="127"/>
      <c r="W384" s="1438"/>
      <c r="X384" s="127"/>
      <c r="Y384" s="127"/>
      <c r="Z384" s="127"/>
      <c r="AA384" s="127"/>
      <c r="AB384" s="127"/>
      <c r="AC384" s="127"/>
      <c r="AD384" s="127"/>
      <c r="AE384" s="127"/>
      <c r="AF384" s="127"/>
      <c r="AG384" s="127"/>
      <c r="AH384" s="127"/>
      <c r="AI384" s="127"/>
      <c r="AJ384" s="127"/>
      <c r="AK384" s="127"/>
      <c r="AL384" s="127"/>
      <c r="AM384" s="127"/>
      <c r="AN384" s="127"/>
      <c r="AO384" s="127"/>
      <c r="AP384" s="127"/>
      <c r="AQ384" s="127"/>
      <c r="AR384" s="127"/>
      <c r="AS384" s="127"/>
      <c r="AT384" s="127"/>
      <c r="AU384" s="127"/>
      <c r="AV384" s="127"/>
      <c r="AW384" s="127"/>
      <c r="AX384" s="127"/>
      <c r="AY384" s="127"/>
      <c r="AZ384" s="127"/>
      <c r="BA384" s="127"/>
      <c r="BB384" s="127"/>
      <c r="BC384" s="127"/>
      <c r="BD384" s="127"/>
      <c r="BE384" s="127"/>
      <c r="BF384" s="127"/>
      <c r="BG384" s="127"/>
      <c r="BH384" s="127"/>
      <c r="BI384" s="127"/>
      <c r="BJ384" s="127"/>
      <c r="BK384" s="127"/>
      <c r="BL384" s="127"/>
      <c r="BM384" s="127"/>
      <c r="BN384" s="127"/>
      <c r="BO384" s="127"/>
      <c r="BP384" s="127"/>
      <c r="BQ384" s="127"/>
      <c r="BR384" s="127"/>
      <c r="BS384" s="127"/>
      <c r="BT384" s="127"/>
      <c r="BU384" s="127"/>
      <c r="BV384" s="127"/>
      <c r="BW384" s="127"/>
      <c r="BX384" s="127"/>
      <c r="BY384" s="127"/>
      <c r="BZ384" s="127"/>
      <c r="CA384" s="127"/>
      <c r="CB384" s="187"/>
      <c r="CC384" s="189"/>
      <c r="CD384" s="188"/>
      <c r="CE384" s="127"/>
      <c r="CF384" s="190"/>
      <c r="CG384" s="190"/>
      <c r="CH384" s="187"/>
      <c r="CI384" s="187"/>
      <c r="CJ384" s="187"/>
      <c r="CK384" s="187"/>
      <c r="CL384" s="187"/>
      <c r="CM384" s="187"/>
      <c r="CN384" s="187"/>
      <c r="CO384" s="127"/>
      <c r="CP384" s="127"/>
      <c r="CQ384" s="187"/>
      <c r="CR384" s="187"/>
      <c r="CS384" s="187"/>
      <c r="CT384" s="187"/>
      <c r="CU384" s="187"/>
      <c r="CV384" s="187"/>
      <c r="CW384" s="187"/>
      <c r="CX384" s="187"/>
    </row>
    <row r="385" spans="1:102" ht="12.75" customHeight="1" x14ac:dyDescent="0.2">
      <c r="A385" s="187"/>
      <c r="B385" s="127"/>
      <c r="C385" s="187"/>
      <c r="D385" s="127"/>
      <c r="E385" s="187"/>
      <c r="F385" s="187"/>
      <c r="G385" s="187"/>
      <c r="H385" s="187"/>
      <c r="I385" s="187"/>
      <c r="J385" s="187"/>
      <c r="K385" s="187"/>
      <c r="L385" s="187"/>
      <c r="M385" s="187"/>
      <c r="N385" s="187"/>
      <c r="O385" s="187"/>
      <c r="P385" s="187"/>
      <c r="Q385" s="187"/>
      <c r="R385" s="187"/>
      <c r="S385" s="187"/>
      <c r="T385" s="127"/>
      <c r="U385" s="188"/>
      <c r="V385" s="127"/>
      <c r="W385" s="1438"/>
      <c r="X385" s="127"/>
      <c r="Y385" s="127"/>
      <c r="Z385" s="127"/>
      <c r="AA385" s="127"/>
      <c r="AB385" s="127"/>
      <c r="AC385" s="127"/>
      <c r="AD385" s="127"/>
      <c r="AE385" s="127"/>
      <c r="AF385" s="127"/>
      <c r="AG385" s="127"/>
      <c r="AH385" s="127"/>
      <c r="AI385" s="127"/>
      <c r="AJ385" s="127"/>
      <c r="AK385" s="127"/>
      <c r="AL385" s="127"/>
      <c r="AM385" s="127"/>
      <c r="AN385" s="127"/>
      <c r="AO385" s="127"/>
      <c r="AP385" s="127"/>
      <c r="AQ385" s="127"/>
      <c r="AR385" s="127"/>
      <c r="AS385" s="127"/>
      <c r="AT385" s="127"/>
      <c r="AU385" s="127"/>
      <c r="AV385" s="127"/>
      <c r="AW385" s="127"/>
      <c r="AX385" s="127"/>
      <c r="AY385" s="127"/>
      <c r="AZ385" s="127"/>
      <c r="BA385" s="127"/>
      <c r="BB385" s="127"/>
      <c r="BC385" s="127"/>
      <c r="BD385" s="127"/>
      <c r="BE385" s="127"/>
      <c r="BF385" s="127"/>
      <c r="BG385" s="127"/>
      <c r="BH385" s="127"/>
      <c r="BI385" s="127"/>
      <c r="BJ385" s="127"/>
      <c r="BK385" s="127"/>
      <c r="BL385" s="127"/>
      <c r="BM385" s="127"/>
      <c r="BN385" s="127"/>
      <c r="BO385" s="127"/>
      <c r="BP385" s="127"/>
      <c r="BQ385" s="127"/>
      <c r="BR385" s="127"/>
      <c r="BS385" s="127"/>
      <c r="BT385" s="127"/>
      <c r="BU385" s="127"/>
      <c r="BV385" s="127"/>
      <c r="BW385" s="127"/>
      <c r="BX385" s="127"/>
      <c r="BY385" s="127"/>
      <c r="BZ385" s="127"/>
      <c r="CA385" s="127"/>
      <c r="CB385" s="187"/>
      <c r="CC385" s="189"/>
      <c r="CD385" s="188"/>
      <c r="CE385" s="127"/>
      <c r="CF385" s="190"/>
      <c r="CG385" s="190"/>
      <c r="CH385" s="187"/>
      <c r="CI385" s="187"/>
      <c r="CJ385" s="187"/>
      <c r="CK385" s="187"/>
      <c r="CL385" s="187"/>
      <c r="CM385" s="187"/>
      <c r="CN385" s="187"/>
      <c r="CO385" s="127"/>
      <c r="CP385" s="127"/>
      <c r="CQ385" s="187"/>
      <c r="CR385" s="187"/>
      <c r="CS385" s="187"/>
      <c r="CT385" s="187"/>
      <c r="CU385" s="187"/>
      <c r="CV385" s="187"/>
      <c r="CW385" s="187"/>
      <c r="CX385" s="187"/>
    </row>
    <row r="386" spans="1:102" ht="12.75" customHeight="1" x14ac:dyDescent="0.2">
      <c r="A386" s="187"/>
      <c r="B386" s="127"/>
      <c r="C386" s="187"/>
      <c r="D386" s="127"/>
      <c r="E386" s="187"/>
      <c r="F386" s="187"/>
      <c r="G386" s="187"/>
      <c r="H386" s="187"/>
      <c r="I386" s="187"/>
      <c r="J386" s="187"/>
      <c r="K386" s="187"/>
      <c r="L386" s="187"/>
      <c r="M386" s="187"/>
      <c r="N386" s="187"/>
      <c r="O386" s="187"/>
      <c r="P386" s="187"/>
      <c r="Q386" s="187"/>
      <c r="R386" s="187"/>
      <c r="S386" s="187"/>
      <c r="T386" s="127"/>
      <c r="U386" s="188"/>
      <c r="V386" s="127"/>
      <c r="W386" s="1438"/>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Q386" s="127"/>
      <c r="BR386" s="127"/>
      <c r="BS386" s="127"/>
      <c r="BT386" s="127"/>
      <c r="BU386" s="127"/>
      <c r="BV386" s="127"/>
      <c r="BW386" s="127"/>
      <c r="BX386" s="127"/>
      <c r="BY386" s="127"/>
      <c r="BZ386" s="127"/>
      <c r="CA386" s="127"/>
      <c r="CB386" s="187"/>
      <c r="CC386" s="189"/>
      <c r="CD386" s="188"/>
      <c r="CE386" s="127"/>
      <c r="CF386" s="190"/>
      <c r="CG386" s="190"/>
      <c r="CH386" s="187"/>
      <c r="CI386" s="187"/>
      <c r="CJ386" s="187"/>
      <c r="CK386" s="187"/>
      <c r="CL386" s="187"/>
      <c r="CM386" s="187"/>
      <c r="CN386" s="187"/>
      <c r="CO386" s="127"/>
      <c r="CP386" s="127"/>
      <c r="CQ386" s="187"/>
      <c r="CR386" s="187"/>
      <c r="CS386" s="187"/>
      <c r="CT386" s="187"/>
      <c r="CU386" s="187"/>
      <c r="CV386" s="187"/>
      <c r="CW386" s="187"/>
      <c r="CX386" s="187"/>
    </row>
    <row r="387" spans="1:102" ht="12.75" customHeight="1" x14ac:dyDescent="0.2">
      <c r="A387" s="187"/>
      <c r="B387" s="127"/>
      <c r="C387" s="187"/>
      <c r="D387" s="127"/>
      <c r="E387" s="187"/>
      <c r="F387" s="187"/>
      <c r="G387" s="187"/>
      <c r="H387" s="187"/>
      <c r="I387" s="187"/>
      <c r="J387" s="187"/>
      <c r="K387" s="187"/>
      <c r="L387" s="187"/>
      <c r="M387" s="187"/>
      <c r="N387" s="187"/>
      <c r="O387" s="187"/>
      <c r="P387" s="187"/>
      <c r="Q387" s="187"/>
      <c r="R387" s="187"/>
      <c r="S387" s="187"/>
      <c r="T387" s="127"/>
      <c r="U387" s="188"/>
      <c r="V387" s="127"/>
      <c r="W387" s="1438"/>
      <c r="X387" s="127"/>
      <c r="Y387" s="127"/>
      <c r="Z387" s="127"/>
      <c r="AA387" s="127"/>
      <c r="AB387" s="127"/>
      <c r="AC387" s="127"/>
      <c r="AD387" s="127"/>
      <c r="AE387" s="127"/>
      <c r="AF387" s="127"/>
      <c r="AG387" s="127"/>
      <c r="AH387" s="127"/>
      <c r="AI387" s="127"/>
      <c r="AJ387" s="127"/>
      <c r="AK387" s="127"/>
      <c r="AL387" s="127"/>
      <c r="AM387" s="127"/>
      <c r="AN387" s="127"/>
      <c r="AO387" s="127"/>
      <c r="AP387" s="127"/>
      <c r="AQ387" s="127"/>
      <c r="AR387" s="127"/>
      <c r="AS387" s="127"/>
      <c r="AT387" s="127"/>
      <c r="AU387" s="127"/>
      <c r="AV387" s="127"/>
      <c r="AW387" s="127"/>
      <c r="AX387" s="127"/>
      <c r="AY387" s="127"/>
      <c r="AZ387" s="127"/>
      <c r="BA387" s="127"/>
      <c r="BB387" s="127"/>
      <c r="BC387" s="127"/>
      <c r="BD387" s="127"/>
      <c r="BE387" s="127"/>
      <c r="BF387" s="127"/>
      <c r="BG387" s="127"/>
      <c r="BH387" s="127"/>
      <c r="BI387" s="127"/>
      <c r="BJ387" s="127"/>
      <c r="BK387" s="127"/>
      <c r="BL387" s="127"/>
      <c r="BM387" s="127"/>
      <c r="BN387" s="127"/>
      <c r="BO387" s="127"/>
      <c r="BP387" s="127"/>
      <c r="BQ387" s="127"/>
      <c r="BR387" s="127"/>
      <c r="BS387" s="127"/>
      <c r="BT387" s="127"/>
      <c r="BU387" s="127"/>
      <c r="BV387" s="127"/>
      <c r="BW387" s="127"/>
      <c r="BX387" s="127"/>
      <c r="BY387" s="127"/>
      <c r="BZ387" s="127"/>
      <c r="CA387" s="127"/>
      <c r="CB387" s="187"/>
      <c r="CC387" s="189"/>
      <c r="CD387" s="188"/>
      <c r="CE387" s="127"/>
      <c r="CF387" s="190"/>
      <c r="CG387" s="190"/>
      <c r="CH387" s="187"/>
      <c r="CI387" s="187"/>
      <c r="CJ387" s="187"/>
      <c r="CK387" s="187"/>
      <c r="CL387" s="187"/>
      <c r="CM387" s="187"/>
      <c r="CN387" s="187"/>
      <c r="CO387" s="127"/>
      <c r="CP387" s="127"/>
      <c r="CQ387" s="187"/>
      <c r="CR387" s="187"/>
      <c r="CS387" s="187"/>
      <c r="CT387" s="187"/>
      <c r="CU387" s="187"/>
      <c r="CV387" s="187"/>
      <c r="CW387" s="187"/>
      <c r="CX387" s="187"/>
    </row>
    <row r="388" spans="1:102" ht="12.75" customHeight="1" x14ac:dyDescent="0.2">
      <c r="A388" s="187"/>
      <c r="B388" s="127"/>
      <c r="C388" s="187"/>
      <c r="D388" s="127"/>
      <c r="E388" s="187"/>
      <c r="F388" s="187"/>
      <c r="G388" s="187"/>
      <c r="H388" s="187"/>
      <c r="I388" s="187"/>
      <c r="J388" s="187"/>
      <c r="K388" s="187"/>
      <c r="L388" s="187"/>
      <c r="M388" s="187"/>
      <c r="N388" s="187"/>
      <c r="O388" s="187"/>
      <c r="P388" s="187"/>
      <c r="Q388" s="187"/>
      <c r="R388" s="187"/>
      <c r="S388" s="187"/>
      <c r="T388" s="127"/>
      <c r="U388" s="188"/>
      <c r="V388" s="127"/>
      <c r="W388" s="1438"/>
      <c r="X388" s="127"/>
      <c r="Y388" s="127"/>
      <c r="Z388" s="127"/>
      <c r="AA388" s="127"/>
      <c r="AB388" s="127"/>
      <c r="AC388" s="127"/>
      <c r="AD388" s="127"/>
      <c r="AE388" s="127"/>
      <c r="AF388" s="127"/>
      <c r="AG388" s="127"/>
      <c r="AH388" s="127"/>
      <c r="AI388" s="127"/>
      <c r="AJ388" s="127"/>
      <c r="AK388" s="127"/>
      <c r="AL388" s="127"/>
      <c r="AM388" s="127"/>
      <c r="AN388" s="127"/>
      <c r="AO388" s="127"/>
      <c r="AP388" s="127"/>
      <c r="AQ388" s="127"/>
      <c r="AR388" s="127"/>
      <c r="AS388" s="127"/>
      <c r="AT388" s="127"/>
      <c r="AU388" s="127"/>
      <c r="AV388" s="127"/>
      <c r="AW388" s="127"/>
      <c r="AX388" s="127"/>
      <c r="AY388" s="127"/>
      <c r="AZ388" s="127"/>
      <c r="BA388" s="127"/>
      <c r="BB388" s="127"/>
      <c r="BC388" s="127"/>
      <c r="BD388" s="127"/>
      <c r="BE388" s="127"/>
      <c r="BF388" s="127"/>
      <c r="BG388" s="127"/>
      <c r="BH388" s="127"/>
      <c r="BI388" s="127"/>
      <c r="BJ388" s="127"/>
      <c r="BK388" s="127"/>
      <c r="BL388" s="127"/>
      <c r="BM388" s="127"/>
      <c r="BN388" s="127"/>
      <c r="BO388" s="127"/>
      <c r="BP388" s="127"/>
      <c r="BQ388" s="127"/>
      <c r="BR388" s="127"/>
      <c r="BS388" s="127"/>
      <c r="BT388" s="127"/>
      <c r="BU388" s="127"/>
      <c r="BV388" s="127"/>
      <c r="BW388" s="127"/>
      <c r="BX388" s="127"/>
      <c r="BY388" s="127"/>
      <c r="BZ388" s="127"/>
      <c r="CA388" s="127"/>
      <c r="CB388" s="187"/>
      <c r="CC388" s="189"/>
      <c r="CD388" s="188"/>
      <c r="CE388" s="127"/>
      <c r="CF388" s="190"/>
      <c r="CG388" s="190"/>
      <c r="CH388" s="187"/>
      <c r="CI388" s="187"/>
      <c r="CJ388" s="187"/>
      <c r="CK388" s="187"/>
      <c r="CL388" s="187"/>
      <c r="CM388" s="187"/>
      <c r="CN388" s="187"/>
      <c r="CO388" s="127"/>
      <c r="CP388" s="127"/>
      <c r="CQ388" s="187"/>
      <c r="CR388" s="187"/>
      <c r="CS388" s="187"/>
      <c r="CT388" s="187"/>
      <c r="CU388" s="187"/>
      <c r="CV388" s="187"/>
      <c r="CW388" s="187"/>
      <c r="CX388" s="187"/>
    </row>
    <row r="389" spans="1:102" ht="12.75" customHeight="1" x14ac:dyDescent="0.2">
      <c r="A389" s="187"/>
      <c r="B389" s="127"/>
      <c r="C389" s="187"/>
      <c r="D389" s="127"/>
      <c r="E389" s="187"/>
      <c r="F389" s="187"/>
      <c r="G389" s="187"/>
      <c r="H389" s="187"/>
      <c r="I389" s="187"/>
      <c r="J389" s="187"/>
      <c r="K389" s="187"/>
      <c r="L389" s="187"/>
      <c r="M389" s="187"/>
      <c r="N389" s="187"/>
      <c r="O389" s="187"/>
      <c r="P389" s="187"/>
      <c r="Q389" s="187"/>
      <c r="R389" s="187"/>
      <c r="S389" s="187"/>
      <c r="T389" s="127"/>
      <c r="U389" s="188"/>
      <c r="V389" s="127"/>
      <c r="W389" s="1438"/>
      <c r="X389" s="127"/>
      <c r="Y389" s="127"/>
      <c r="Z389" s="127"/>
      <c r="AA389" s="127"/>
      <c r="AB389" s="127"/>
      <c r="AC389" s="127"/>
      <c r="AD389" s="127"/>
      <c r="AE389" s="127"/>
      <c r="AF389" s="127"/>
      <c r="AG389" s="127"/>
      <c r="AH389" s="127"/>
      <c r="AI389" s="127"/>
      <c r="AJ389" s="127"/>
      <c r="AK389" s="127"/>
      <c r="AL389" s="127"/>
      <c r="AM389" s="127"/>
      <c r="AN389" s="127"/>
      <c r="AO389" s="127"/>
      <c r="AP389" s="127"/>
      <c r="AQ389" s="127"/>
      <c r="AR389" s="127"/>
      <c r="AS389" s="127"/>
      <c r="AT389" s="127"/>
      <c r="AU389" s="127"/>
      <c r="AV389" s="127"/>
      <c r="AW389" s="127"/>
      <c r="AX389" s="127"/>
      <c r="AY389" s="127"/>
      <c r="AZ389" s="127"/>
      <c r="BA389" s="127"/>
      <c r="BB389" s="127"/>
      <c r="BC389" s="127"/>
      <c r="BD389" s="127"/>
      <c r="BE389" s="127"/>
      <c r="BF389" s="127"/>
      <c r="BG389" s="127"/>
      <c r="BH389" s="127"/>
      <c r="BI389" s="127"/>
      <c r="BJ389" s="127"/>
      <c r="BK389" s="127"/>
      <c r="BL389" s="127"/>
      <c r="BM389" s="127"/>
      <c r="BN389" s="127"/>
      <c r="BO389" s="127"/>
      <c r="BP389" s="127"/>
      <c r="BQ389" s="127"/>
      <c r="BR389" s="127"/>
      <c r="BS389" s="127"/>
      <c r="BT389" s="127"/>
      <c r="BU389" s="127"/>
      <c r="BV389" s="127"/>
      <c r="BW389" s="127"/>
      <c r="BX389" s="127"/>
      <c r="BY389" s="127"/>
      <c r="BZ389" s="127"/>
      <c r="CA389" s="127"/>
      <c r="CB389" s="187"/>
      <c r="CC389" s="189"/>
      <c r="CD389" s="188"/>
      <c r="CE389" s="127"/>
      <c r="CF389" s="190"/>
      <c r="CG389" s="190"/>
      <c r="CH389" s="187"/>
      <c r="CI389" s="187"/>
      <c r="CJ389" s="187"/>
      <c r="CK389" s="187"/>
      <c r="CL389" s="187"/>
      <c r="CM389" s="187"/>
      <c r="CN389" s="187"/>
      <c r="CO389" s="127"/>
      <c r="CP389" s="127"/>
      <c r="CQ389" s="187"/>
      <c r="CR389" s="187"/>
      <c r="CS389" s="187"/>
      <c r="CT389" s="187"/>
      <c r="CU389" s="187"/>
      <c r="CV389" s="187"/>
      <c r="CW389" s="187"/>
      <c r="CX389" s="187"/>
    </row>
    <row r="390" spans="1:102" ht="12.75" customHeight="1" x14ac:dyDescent="0.2">
      <c r="A390" s="187"/>
      <c r="B390" s="127"/>
      <c r="C390" s="187"/>
      <c r="D390" s="127"/>
      <c r="E390" s="187"/>
      <c r="F390" s="187"/>
      <c r="G390" s="187"/>
      <c r="H390" s="187"/>
      <c r="I390" s="187"/>
      <c r="J390" s="187"/>
      <c r="K390" s="187"/>
      <c r="L390" s="187"/>
      <c r="M390" s="187"/>
      <c r="N390" s="187"/>
      <c r="O390" s="187"/>
      <c r="P390" s="187"/>
      <c r="Q390" s="187"/>
      <c r="R390" s="187"/>
      <c r="S390" s="187"/>
      <c r="T390" s="127"/>
      <c r="U390" s="188"/>
      <c r="V390" s="127"/>
      <c r="W390" s="1438"/>
      <c r="X390" s="127"/>
      <c r="Y390" s="127"/>
      <c r="Z390" s="127"/>
      <c r="AA390" s="127"/>
      <c r="AB390" s="127"/>
      <c r="AC390" s="127"/>
      <c r="AD390" s="127"/>
      <c r="AE390" s="127"/>
      <c r="AF390" s="127"/>
      <c r="AG390" s="127"/>
      <c r="AH390" s="127"/>
      <c r="AI390" s="127"/>
      <c r="AJ390" s="127"/>
      <c r="AK390" s="127"/>
      <c r="AL390" s="127"/>
      <c r="AM390" s="127"/>
      <c r="AN390" s="127"/>
      <c r="AO390" s="127"/>
      <c r="AP390" s="127"/>
      <c r="AQ390" s="127"/>
      <c r="AR390" s="127"/>
      <c r="AS390" s="127"/>
      <c r="AT390" s="127"/>
      <c r="AU390" s="127"/>
      <c r="AV390" s="127"/>
      <c r="AW390" s="127"/>
      <c r="AX390" s="127"/>
      <c r="AY390" s="127"/>
      <c r="AZ390" s="127"/>
      <c r="BA390" s="127"/>
      <c r="BB390" s="127"/>
      <c r="BC390" s="127"/>
      <c r="BD390" s="127"/>
      <c r="BE390" s="127"/>
      <c r="BF390" s="127"/>
      <c r="BG390" s="127"/>
      <c r="BH390" s="127"/>
      <c r="BI390" s="127"/>
      <c r="BJ390" s="127"/>
      <c r="BK390" s="127"/>
      <c r="BL390" s="127"/>
      <c r="BM390" s="127"/>
      <c r="BN390" s="127"/>
      <c r="BO390" s="127"/>
      <c r="BP390" s="127"/>
      <c r="BQ390" s="127"/>
      <c r="BR390" s="127"/>
      <c r="BS390" s="127"/>
      <c r="BT390" s="127"/>
      <c r="BU390" s="127"/>
      <c r="BV390" s="127"/>
      <c r="BW390" s="127"/>
      <c r="BX390" s="127"/>
      <c r="BY390" s="127"/>
      <c r="BZ390" s="127"/>
      <c r="CA390" s="127"/>
      <c r="CB390" s="187"/>
      <c r="CC390" s="189"/>
      <c r="CD390" s="188"/>
      <c r="CE390" s="127"/>
      <c r="CF390" s="190"/>
      <c r="CG390" s="190"/>
      <c r="CH390" s="187"/>
      <c r="CI390" s="187"/>
      <c r="CJ390" s="187"/>
      <c r="CK390" s="187"/>
      <c r="CL390" s="187"/>
      <c r="CM390" s="187"/>
      <c r="CN390" s="187"/>
      <c r="CO390" s="127"/>
      <c r="CP390" s="127"/>
      <c r="CQ390" s="187"/>
      <c r="CR390" s="187"/>
      <c r="CS390" s="187"/>
      <c r="CT390" s="187"/>
      <c r="CU390" s="187"/>
      <c r="CV390" s="187"/>
      <c r="CW390" s="187"/>
      <c r="CX390" s="187"/>
    </row>
    <row r="391" spans="1:102" ht="12.75" customHeight="1" x14ac:dyDescent="0.2">
      <c r="A391" s="187"/>
      <c r="B391" s="127"/>
      <c r="C391" s="187"/>
      <c r="D391" s="127"/>
      <c r="E391" s="187"/>
      <c r="F391" s="187"/>
      <c r="G391" s="187"/>
      <c r="H391" s="187"/>
      <c r="I391" s="187"/>
      <c r="J391" s="187"/>
      <c r="K391" s="187"/>
      <c r="L391" s="187"/>
      <c r="M391" s="187"/>
      <c r="N391" s="187"/>
      <c r="O391" s="187"/>
      <c r="P391" s="187"/>
      <c r="Q391" s="187"/>
      <c r="R391" s="187"/>
      <c r="S391" s="187"/>
      <c r="T391" s="127"/>
      <c r="U391" s="188"/>
      <c r="V391" s="127"/>
      <c r="W391" s="1438"/>
      <c r="X391" s="127"/>
      <c r="Y391" s="127"/>
      <c r="Z391" s="127"/>
      <c r="AA391" s="127"/>
      <c r="AB391" s="127"/>
      <c r="AC391" s="127"/>
      <c r="AD391" s="127"/>
      <c r="AE391" s="127"/>
      <c r="AF391" s="127"/>
      <c r="AG391" s="127"/>
      <c r="AH391" s="127"/>
      <c r="AI391" s="127"/>
      <c r="AJ391" s="127"/>
      <c r="AK391" s="127"/>
      <c r="AL391" s="127"/>
      <c r="AM391" s="127"/>
      <c r="AN391" s="127"/>
      <c r="AO391" s="127"/>
      <c r="AP391" s="127"/>
      <c r="AQ391" s="127"/>
      <c r="AR391" s="127"/>
      <c r="AS391" s="127"/>
      <c r="AT391" s="127"/>
      <c r="AU391" s="127"/>
      <c r="AV391" s="127"/>
      <c r="AW391" s="127"/>
      <c r="AX391" s="127"/>
      <c r="AY391" s="127"/>
      <c r="AZ391" s="127"/>
      <c r="BA391" s="127"/>
      <c r="BB391" s="127"/>
      <c r="BC391" s="127"/>
      <c r="BD391" s="127"/>
      <c r="BE391" s="127"/>
      <c r="BF391" s="127"/>
      <c r="BG391" s="127"/>
      <c r="BH391" s="127"/>
      <c r="BI391" s="127"/>
      <c r="BJ391" s="127"/>
      <c r="BK391" s="127"/>
      <c r="BL391" s="127"/>
      <c r="BM391" s="127"/>
      <c r="BN391" s="127"/>
      <c r="BO391" s="127"/>
      <c r="BP391" s="127"/>
      <c r="BQ391" s="127"/>
      <c r="BR391" s="127"/>
      <c r="BS391" s="127"/>
      <c r="BT391" s="127"/>
      <c r="BU391" s="127"/>
      <c r="BV391" s="127"/>
      <c r="BW391" s="127"/>
      <c r="BX391" s="127"/>
      <c r="BY391" s="127"/>
      <c r="BZ391" s="127"/>
      <c r="CA391" s="127"/>
      <c r="CB391" s="187"/>
      <c r="CC391" s="189"/>
      <c r="CD391" s="188"/>
      <c r="CE391" s="127"/>
      <c r="CF391" s="190"/>
      <c r="CG391" s="190"/>
      <c r="CH391" s="187"/>
      <c r="CI391" s="187"/>
      <c r="CJ391" s="187"/>
      <c r="CK391" s="187"/>
      <c r="CL391" s="187"/>
      <c r="CM391" s="187"/>
      <c r="CN391" s="187"/>
      <c r="CO391" s="127"/>
      <c r="CP391" s="127"/>
      <c r="CQ391" s="187"/>
      <c r="CR391" s="187"/>
      <c r="CS391" s="187"/>
      <c r="CT391" s="187"/>
      <c r="CU391" s="187"/>
      <c r="CV391" s="187"/>
      <c r="CW391" s="187"/>
      <c r="CX391" s="187"/>
    </row>
    <row r="392" spans="1:102" ht="12.75" customHeight="1" x14ac:dyDescent="0.2">
      <c r="A392" s="187"/>
      <c r="B392" s="127"/>
      <c r="C392" s="187"/>
      <c r="D392" s="127"/>
      <c r="E392" s="187"/>
      <c r="F392" s="187"/>
      <c r="G392" s="187"/>
      <c r="H392" s="187"/>
      <c r="I392" s="187"/>
      <c r="J392" s="187"/>
      <c r="K392" s="187"/>
      <c r="L392" s="187"/>
      <c r="M392" s="187"/>
      <c r="N392" s="187"/>
      <c r="O392" s="187"/>
      <c r="P392" s="187"/>
      <c r="Q392" s="187"/>
      <c r="R392" s="187"/>
      <c r="S392" s="187"/>
      <c r="T392" s="127"/>
      <c r="U392" s="188"/>
      <c r="V392" s="127"/>
      <c r="W392" s="1438"/>
      <c r="X392" s="127"/>
      <c r="Y392" s="127"/>
      <c r="Z392" s="127"/>
      <c r="AA392" s="127"/>
      <c r="AB392" s="127"/>
      <c r="AC392" s="127"/>
      <c r="AD392" s="127"/>
      <c r="AE392" s="127"/>
      <c r="AF392" s="127"/>
      <c r="AG392" s="127"/>
      <c r="AH392" s="127"/>
      <c r="AI392" s="127"/>
      <c r="AJ392" s="127"/>
      <c r="AK392" s="127"/>
      <c r="AL392" s="127"/>
      <c r="AM392" s="127"/>
      <c r="AN392" s="127"/>
      <c r="AO392" s="127"/>
      <c r="AP392" s="127"/>
      <c r="AQ392" s="127"/>
      <c r="AR392" s="127"/>
      <c r="AS392" s="127"/>
      <c r="AT392" s="127"/>
      <c r="AU392" s="127"/>
      <c r="AV392" s="127"/>
      <c r="AW392" s="127"/>
      <c r="AX392" s="127"/>
      <c r="AY392" s="127"/>
      <c r="AZ392" s="127"/>
      <c r="BA392" s="127"/>
      <c r="BB392" s="127"/>
      <c r="BC392" s="127"/>
      <c r="BD392" s="127"/>
      <c r="BE392" s="127"/>
      <c r="BF392" s="127"/>
      <c r="BG392" s="127"/>
      <c r="BH392" s="127"/>
      <c r="BI392" s="127"/>
      <c r="BJ392" s="127"/>
      <c r="BK392" s="127"/>
      <c r="BL392" s="127"/>
      <c r="BM392" s="127"/>
      <c r="BN392" s="127"/>
      <c r="BO392" s="127"/>
      <c r="BP392" s="127"/>
      <c r="BQ392" s="127"/>
      <c r="BR392" s="127"/>
      <c r="BS392" s="127"/>
      <c r="BT392" s="127"/>
      <c r="BU392" s="127"/>
      <c r="BV392" s="127"/>
      <c r="BW392" s="127"/>
      <c r="BX392" s="127"/>
      <c r="BY392" s="127"/>
      <c r="BZ392" s="127"/>
      <c r="CA392" s="127"/>
      <c r="CB392" s="187"/>
      <c r="CC392" s="189"/>
      <c r="CD392" s="188"/>
      <c r="CE392" s="127"/>
      <c r="CF392" s="190"/>
      <c r="CG392" s="190"/>
      <c r="CH392" s="187"/>
      <c r="CI392" s="187"/>
      <c r="CJ392" s="187"/>
      <c r="CK392" s="187"/>
      <c r="CL392" s="187"/>
      <c r="CM392" s="187"/>
      <c r="CN392" s="187"/>
      <c r="CO392" s="127"/>
      <c r="CP392" s="127"/>
      <c r="CQ392" s="187"/>
      <c r="CR392" s="187"/>
      <c r="CS392" s="187"/>
      <c r="CT392" s="187"/>
      <c r="CU392" s="187"/>
      <c r="CV392" s="187"/>
      <c r="CW392" s="187"/>
      <c r="CX392" s="187"/>
    </row>
    <row r="393" spans="1:102" ht="12.75" customHeight="1" x14ac:dyDescent="0.2">
      <c r="A393" s="187"/>
      <c r="B393" s="127"/>
      <c r="C393" s="187"/>
      <c r="D393" s="127"/>
      <c r="E393" s="187"/>
      <c r="F393" s="187"/>
      <c r="G393" s="187"/>
      <c r="H393" s="187"/>
      <c r="I393" s="187"/>
      <c r="J393" s="187"/>
      <c r="K393" s="187"/>
      <c r="L393" s="187"/>
      <c r="M393" s="187"/>
      <c r="N393" s="187"/>
      <c r="O393" s="187"/>
      <c r="P393" s="187"/>
      <c r="Q393" s="187"/>
      <c r="R393" s="187"/>
      <c r="S393" s="187"/>
      <c r="T393" s="127"/>
      <c r="U393" s="188"/>
      <c r="V393" s="127"/>
      <c r="W393" s="1438"/>
      <c r="X393" s="127"/>
      <c r="Y393" s="127"/>
      <c r="Z393" s="127"/>
      <c r="AA393" s="127"/>
      <c r="AB393" s="127"/>
      <c r="AC393" s="127"/>
      <c r="AD393" s="127"/>
      <c r="AE393" s="127"/>
      <c r="AF393" s="127"/>
      <c r="AG393" s="127"/>
      <c r="AH393" s="127"/>
      <c r="AI393" s="127"/>
      <c r="AJ393" s="127"/>
      <c r="AK393" s="127"/>
      <c r="AL393" s="127"/>
      <c r="AM393" s="127"/>
      <c r="AN393" s="127"/>
      <c r="AO393" s="127"/>
      <c r="AP393" s="127"/>
      <c r="AQ393" s="127"/>
      <c r="AR393" s="127"/>
      <c r="AS393" s="127"/>
      <c r="AT393" s="127"/>
      <c r="AU393" s="127"/>
      <c r="AV393" s="127"/>
      <c r="AW393" s="127"/>
      <c r="AX393" s="127"/>
      <c r="AY393" s="127"/>
      <c r="AZ393" s="127"/>
      <c r="BA393" s="127"/>
      <c r="BB393" s="127"/>
      <c r="BC393" s="127"/>
      <c r="BD393" s="127"/>
      <c r="BE393" s="127"/>
      <c r="BF393" s="127"/>
      <c r="BG393" s="127"/>
      <c r="BH393" s="127"/>
      <c r="BI393" s="127"/>
      <c r="BJ393" s="127"/>
      <c r="BK393" s="127"/>
      <c r="BL393" s="127"/>
      <c r="BM393" s="127"/>
      <c r="BN393" s="127"/>
      <c r="BO393" s="127"/>
      <c r="BP393" s="127"/>
      <c r="BQ393" s="127"/>
      <c r="BR393" s="127"/>
      <c r="BS393" s="127"/>
      <c r="BT393" s="127"/>
      <c r="BU393" s="127"/>
      <c r="BV393" s="127"/>
      <c r="BW393" s="127"/>
      <c r="BX393" s="127"/>
      <c r="BY393" s="127"/>
      <c r="BZ393" s="127"/>
      <c r="CA393" s="127"/>
      <c r="CB393" s="187"/>
      <c r="CC393" s="189"/>
      <c r="CD393" s="188"/>
      <c r="CE393" s="127"/>
      <c r="CF393" s="190"/>
      <c r="CG393" s="190"/>
      <c r="CH393" s="187"/>
      <c r="CI393" s="187"/>
      <c r="CJ393" s="187"/>
      <c r="CK393" s="187"/>
      <c r="CL393" s="187"/>
      <c r="CM393" s="187"/>
      <c r="CN393" s="187"/>
      <c r="CO393" s="127"/>
      <c r="CP393" s="127"/>
      <c r="CQ393" s="187"/>
      <c r="CR393" s="187"/>
      <c r="CS393" s="187"/>
      <c r="CT393" s="187"/>
      <c r="CU393" s="187"/>
      <c r="CV393" s="187"/>
      <c r="CW393" s="187"/>
      <c r="CX393" s="187"/>
    </row>
    <row r="394" spans="1:102" ht="12.75" customHeight="1" x14ac:dyDescent="0.2">
      <c r="A394" s="187"/>
      <c r="B394" s="127"/>
      <c r="C394" s="187"/>
      <c r="D394" s="127"/>
      <c r="E394" s="187"/>
      <c r="F394" s="187"/>
      <c r="G394" s="187"/>
      <c r="H394" s="187"/>
      <c r="I394" s="187"/>
      <c r="J394" s="187"/>
      <c r="K394" s="187"/>
      <c r="L394" s="187"/>
      <c r="M394" s="187"/>
      <c r="N394" s="187"/>
      <c r="O394" s="187"/>
      <c r="P394" s="187"/>
      <c r="Q394" s="187"/>
      <c r="R394" s="187"/>
      <c r="S394" s="187"/>
      <c r="T394" s="127"/>
      <c r="U394" s="188"/>
      <c r="V394" s="127"/>
      <c r="W394" s="1438"/>
      <c r="X394" s="127"/>
      <c r="Y394" s="127"/>
      <c r="Z394" s="127"/>
      <c r="AA394" s="127"/>
      <c r="AB394" s="127"/>
      <c r="AC394" s="127"/>
      <c r="AD394" s="127"/>
      <c r="AE394" s="127"/>
      <c r="AF394" s="127"/>
      <c r="AG394" s="127"/>
      <c r="AH394" s="127"/>
      <c r="AI394" s="127"/>
      <c r="AJ394" s="127"/>
      <c r="AK394" s="127"/>
      <c r="AL394" s="127"/>
      <c r="AM394" s="127"/>
      <c r="AN394" s="127"/>
      <c r="AO394" s="127"/>
      <c r="AP394" s="127"/>
      <c r="AQ394" s="127"/>
      <c r="AR394" s="127"/>
      <c r="AS394" s="127"/>
      <c r="AT394" s="127"/>
      <c r="AU394" s="127"/>
      <c r="AV394" s="127"/>
      <c r="AW394" s="127"/>
      <c r="AX394" s="127"/>
      <c r="AY394" s="127"/>
      <c r="AZ394" s="127"/>
      <c r="BA394" s="127"/>
      <c r="BB394" s="127"/>
      <c r="BC394" s="127"/>
      <c r="BD394" s="127"/>
      <c r="BE394" s="127"/>
      <c r="BF394" s="127"/>
      <c r="BG394" s="127"/>
      <c r="BH394" s="127"/>
      <c r="BI394" s="127"/>
      <c r="BJ394" s="127"/>
      <c r="BK394" s="127"/>
      <c r="BL394" s="127"/>
      <c r="BM394" s="127"/>
      <c r="BN394" s="127"/>
      <c r="BO394" s="127"/>
      <c r="BP394" s="127"/>
      <c r="BQ394" s="127"/>
      <c r="BR394" s="127"/>
      <c r="BS394" s="127"/>
      <c r="BT394" s="127"/>
      <c r="BU394" s="127"/>
      <c r="BV394" s="127"/>
      <c r="BW394" s="127"/>
      <c r="BX394" s="127"/>
      <c r="BY394" s="127"/>
      <c r="BZ394" s="127"/>
      <c r="CA394" s="127"/>
      <c r="CB394" s="187"/>
      <c r="CC394" s="189"/>
      <c r="CD394" s="188"/>
      <c r="CE394" s="127"/>
      <c r="CF394" s="190"/>
      <c r="CG394" s="190"/>
      <c r="CH394" s="187"/>
      <c r="CI394" s="187"/>
      <c r="CJ394" s="187"/>
      <c r="CK394" s="187"/>
      <c r="CL394" s="187"/>
      <c r="CM394" s="187"/>
      <c r="CN394" s="187"/>
      <c r="CO394" s="127"/>
      <c r="CP394" s="127"/>
      <c r="CQ394" s="187"/>
      <c r="CR394" s="187"/>
      <c r="CS394" s="187"/>
      <c r="CT394" s="187"/>
      <c r="CU394" s="187"/>
      <c r="CV394" s="187"/>
      <c r="CW394" s="187"/>
      <c r="CX394" s="187"/>
    </row>
    <row r="395" spans="1:102" ht="12.75" customHeight="1" x14ac:dyDescent="0.2">
      <c r="A395" s="187"/>
      <c r="B395" s="127"/>
      <c r="C395" s="187"/>
      <c r="D395" s="127"/>
      <c r="E395" s="187"/>
      <c r="F395" s="187"/>
      <c r="G395" s="187"/>
      <c r="H395" s="187"/>
      <c r="I395" s="187"/>
      <c r="J395" s="187"/>
      <c r="K395" s="187"/>
      <c r="L395" s="187"/>
      <c r="M395" s="187"/>
      <c r="N395" s="187"/>
      <c r="O395" s="187"/>
      <c r="P395" s="187"/>
      <c r="Q395" s="187"/>
      <c r="R395" s="187"/>
      <c r="S395" s="187"/>
      <c r="T395" s="127"/>
      <c r="U395" s="188"/>
      <c r="V395" s="127"/>
      <c r="W395" s="1438"/>
      <c r="X395" s="127"/>
      <c r="Y395" s="127"/>
      <c r="Z395" s="127"/>
      <c r="AA395" s="127"/>
      <c r="AB395" s="127"/>
      <c r="AC395" s="127"/>
      <c r="AD395" s="127"/>
      <c r="AE395" s="127"/>
      <c r="AF395" s="127"/>
      <c r="AG395" s="127"/>
      <c r="AH395" s="127"/>
      <c r="AI395" s="127"/>
      <c r="AJ395" s="127"/>
      <c r="AK395" s="127"/>
      <c r="AL395" s="127"/>
      <c r="AM395" s="127"/>
      <c r="AN395" s="127"/>
      <c r="AO395" s="127"/>
      <c r="AP395" s="127"/>
      <c r="AQ395" s="127"/>
      <c r="AR395" s="127"/>
      <c r="AS395" s="127"/>
      <c r="AT395" s="127"/>
      <c r="AU395" s="127"/>
      <c r="AV395" s="127"/>
      <c r="AW395" s="127"/>
      <c r="AX395" s="127"/>
      <c r="AY395" s="127"/>
      <c r="AZ395" s="127"/>
      <c r="BA395" s="127"/>
      <c r="BB395" s="127"/>
      <c r="BC395" s="127"/>
      <c r="BD395" s="127"/>
      <c r="BE395" s="127"/>
      <c r="BF395" s="127"/>
      <c r="BG395" s="127"/>
      <c r="BH395" s="127"/>
      <c r="BI395" s="127"/>
      <c r="BJ395" s="127"/>
      <c r="BK395" s="127"/>
      <c r="BL395" s="127"/>
      <c r="BM395" s="127"/>
      <c r="BN395" s="127"/>
      <c r="BO395" s="127"/>
      <c r="BP395" s="127"/>
      <c r="BQ395" s="127"/>
      <c r="BR395" s="127"/>
      <c r="BS395" s="127"/>
      <c r="BT395" s="127"/>
      <c r="BU395" s="127"/>
      <c r="BV395" s="127"/>
      <c r="BW395" s="127"/>
      <c r="BX395" s="127"/>
      <c r="BY395" s="127"/>
      <c r="BZ395" s="127"/>
      <c r="CA395" s="127"/>
      <c r="CB395" s="187"/>
      <c r="CC395" s="189"/>
      <c r="CD395" s="188"/>
      <c r="CE395" s="127"/>
      <c r="CF395" s="190"/>
      <c r="CG395" s="190"/>
      <c r="CH395" s="187"/>
      <c r="CI395" s="187"/>
      <c r="CJ395" s="187"/>
      <c r="CK395" s="187"/>
      <c r="CL395" s="187"/>
      <c r="CM395" s="187"/>
      <c r="CN395" s="187"/>
      <c r="CO395" s="127"/>
      <c r="CP395" s="127"/>
      <c r="CQ395" s="187"/>
      <c r="CR395" s="187"/>
      <c r="CS395" s="187"/>
      <c r="CT395" s="187"/>
      <c r="CU395" s="187"/>
      <c r="CV395" s="187"/>
      <c r="CW395" s="187"/>
      <c r="CX395" s="187"/>
    </row>
    <row r="396" spans="1:102" ht="12.75" customHeight="1" x14ac:dyDescent="0.2">
      <c r="A396" s="187"/>
      <c r="B396" s="127"/>
      <c r="C396" s="187"/>
      <c r="D396" s="127"/>
      <c r="E396" s="187"/>
      <c r="F396" s="187"/>
      <c r="G396" s="187"/>
      <c r="H396" s="187"/>
      <c r="I396" s="187"/>
      <c r="J396" s="187"/>
      <c r="K396" s="187"/>
      <c r="L396" s="187"/>
      <c r="M396" s="187"/>
      <c r="N396" s="187"/>
      <c r="O396" s="187"/>
      <c r="P396" s="187"/>
      <c r="Q396" s="187"/>
      <c r="R396" s="187"/>
      <c r="S396" s="187"/>
      <c r="T396" s="127"/>
      <c r="U396" s="188"/>
      <c r="V396" s="127"/>
      <c r="W396" s="1438"/>
      <c r="X396" s="127"/>
      <c r="Y396" s="127"/>
      <c r="Z396" s="127"/>
      <c r="AA396" s="127"/>
      <c r="AB396" s="127"/>
      <c r="AC396" s="127"/>
      <c r="AD396" s="127"/>
      <c r="AE396" s="127"/>
      <c r="AF396" s="127"/>
      <c r="AG396" s="127"/>
      <c r="AH396" s="127"/>
      <c r="AI396" s="127"/>
      <c r="AJ396" s="127"/>
      <c r="AK396" s="127"/>
      <c r="AL396" s="127"/>
      <c r="AM396" s="127"/>
      <c r="AN396" s="127"/>
      <c r="AO396" s="127"/>
      <c r="AP396" s="127"/>
      <c r="AQ396" s="127"/>
      <c r="AR396" s="127"/>
      <c r="AS396" s="127"/>
      <c r="AT396" s="127"/>
      <c r="AU396" s="127"/>
      <c r="AV396" s="127"/>
      <c r="AW396" s="127"/>
      <c r="AX396" s="127"/>
      <c r="AY396" s="127"/>
      <c r="AZ396" s="127"/>
      <c r="BA396" s="127"/>
      <c r="BB396" s="127"/>
      <c r="BC396" s="127"/>
      <c r="BD396" s="127"/>
      <c r="BE396" s="127"/>
      <c r="BF396" s="127"/>
      <c r="BG396" s="127"/>
      <c r="BH396" s="127"/>
      <c r="BI396" s="127"/>
      <c r="BJ396" s="127"/>
      <c r="BK396" s="127"/>
      <c r="BL396" s="127"/>
      <c r="BM396" s="127"/>
      <c r="BN396" s="127"/>
      <c r="BO396" s="127"/>
      <c r="BP396" s="127"/>
      <c r="BQ396" s="127"/>
      <c r="BR396" s="127"/>
      <c r="BS396" s="127"/>
      <c r="BT396" s="127"/>
      <c r="BU396" s="127"/>
      <c r="BV396" s="127"/>
      <c r="BW396" s="127"/>
      <c r="BX396" s="127"/>
      <c r="BY396" s="127"/>
      <c r="BZ396" s="127"/>
      <c r="CA396" s="127"/>
      <c r="CB396" s="187"/>
      <c r="CC396" s="189"/>
      <c r="CD396" s="188"/>
      <c r="CE396" s="127"/>
      <c r="CF396" s="190"/>
      <c r="CG396" s="190"/>
      <c r="CH396" s="187"/>
      <c r="CI396" s="187"/>
      <c r="CJ396" s="187"/>
      <c r="CK396" s="187"/>
      <c r="CL396" s="187"/>
      <c r="CM396" s="187"/>
      <c r="CN396" s="187"/>
      <c r="CO396" s="127"/>
      <c r="CP396" s="127"/>
      <c r="CQ396" s="187"/>
      <c r="CR396" s="187"/>
      <c r="CS396" s="187"/>
      <c r="CT396" s="187"/>
      <c r="CU396" s="187"/>
      <c r="CV396" s="187"/>
      <c r="CW396" s="187"/>
      <c r="CX396" s="187"/>
    </row>
    <row r="397" spans="1:102" ht="12.75" customHeight="1" x14ac:dyDescent="0.2">
      <c r="A397" s="187"/>
      <c r="B397" s="127"/>
      <c r="C397" s="187"/>
      <c r="D397" s="127"/>
      <c r="E397" s="187"/>
      <c r="F397" s="187"/>
      <c r="G397" s="187"/>
      <c r="H397" s="187"/>
      <c r="I397" s="187"/>
      <c r="J397" s="187"/>
      <c r="K397" s="187"/>
      <c r="L397" s="187"/>
      <c r="M397" s="187"/>
      <c r="N397" s="187"/>
      <c r="O397" s="187"/>
      <c r="P397" s="187"/>
      <c r="Q397" s="187"/>
      <c r="R397" s="187"/>
      <c r="S397" s="187"/>
      <c r="T397" s="127"/>
      <c r="U397" s="188"/>
      <c r="V397" s="127"/>
      <c r="W397" s="1438"/>
      <c r="X397" s="127"/>
      <c r="Y397" s="127"/>
      <c r="Z397" s="127"/>
      <c r="AA397" s="127"/>
      <c r="AB397" s="127"/>
      <c r="AC397" s="127"/>
      <c r="AD397" s="127"/>
      <c r="AE397" s="127"/>
      <c r="AF397" s="127"/>
      <c r="AG397" s="127"/>
      <c r="AH397" s="127"/>
      <c r="AI397" s="127"/>
      <c r="AJ397" s="127"/>
      <c r="AK397" s="127"/>
      <c r="AL397" s="127"/>
      <c r="AM397" s="127"/>
      <c r="AN397" s="127"/>
      <c r="AO397" s="127"/>
      <c r="AP397" s="127"/>
      <c r="AQ397" s="127"/>
      <c r="AR397" s="127"/>
      <c r="AS397" s="127"/>
      <c r="AT397" s="127"/>
      <c r="AU397" s="127"/>
      <c r="AV397" s="127"/>
      <c r="AW397" s="127"/>
      <c r="AX397" s="127"/>
      <c r="AY397" s="127"/>
      <c r="AZ397" s="127"/>
      <c r="BA397" s="127"/>
      <c r="BB397" s="127"/>
      <c r="BC397" s="127"/>
      <c r="BD397" s="127"/>
      <c r="BE397" s="127"/>
      <c r="BF397" s="127"/>
      <c r="BG397" s="127"/>
      <c r="BH397" s="127"/>
      <c r="BI397" s="127"/>
      <c r="BJ397" s="127"/>
      <c r="BK397" s="127"/>
      <c r="BL397" s="127"/>
      <c r="BM397" s="127"/>
      <c r="BN397" s="127"/>
      <c r="BO397" s="127"/>
      <c r="BP397" s="127"/>
      <c r="BQ397" s="127"/>
      <c r="BR397" s="127"/>
      <c r="BS397" s="127"/>
      <c r="BT397" s="127"/>
      <c r="BU397" s="127"/>
      <c r="BV397" s="127"/>
      <c r="BW397" s="127"/>
      <c r="BX397" s="127"/>
      <c r="BY397" s="127"/>
      <c r="BZ397" s="127"/>
      <c r="CA397" s="127"/>
      <c r="CB397" s="187"/>
      <c r="CC397" s="189"/>
      <c r="CD397" s="188"/>
      <c r="CE397" s="127"/>
      <c r="CF397" s="190"/>
      <c r="CG397" s="190"/>
      <c r="CH397" s="187"/>
      <c r="CI397" s="187"/>
      <c r="CJ397" s="187"/>
      <c r="CK397" s="187"/>
      <c r="CL397" s="187"/>
      <c r="CM397" s="187"/>
      <c r="CN397" s="187"/>
      <c r="CO397" s="127"/>
      <c r="CP397" s="127"/>
      <c r="CQ397" s="187"/>
      <c r="CR397" s="187"/>
      <c r="CS397" s="187"/>
      <c r="CT397" s="187"/>
      <c r="CU397" s="187"/>
      <c r="CV397" s="187"/>
      <c r="CW397" s="187"/>
      <c r="CX397" s="187"/>
    </row>
    <row r="398" spans="1:102" ht="12.75" customHeight="1" x14ac:dyDescent="0.2">
      <c r="A398" s="187"/>
      <c r="B398" s="127"/>
      <c r="C398" s="187"/>
      <c r="D398" s="127"/>
      <c r="E398" s="187"/>
      <c r="F398" s="187"/>
      <c r="G398" s="187"/>
      <c r="H398" s="187"/>
      <c r="I398" s="187"/>
      <c r="J398" s="187"/>
      <c r="K398" s="187"/>
      <c r="L398" s="187"/>
      <c r="M398" s="187"/>
      <c r="N398" s="187"/>
      <c r="O398" s="187"/>
      <c r="P398" s="187"/>
      <c r="Q398" s="187"/>
      <c r="R398" s="187"/>
      <c r="S398" s="187"/>
      <c r="T398" s="127"/>
      <c r="U398" s="188"/>
      <c r="V398" s="127"/>
      <c r="W398" s="1438"/>
      <c r="X398" s="127"/>
      <c r="Y398" s="127"/>
      <c r="Z398" s="127"/>
      <c r="AA398" s="127"/>
      <c r="AB398" s="127"/>
      <c r="AC398" s="127"/>
      <c r="AD398" s="127"/>
      <c r="AE398" s="127"/>
      <c r="AF398" s="127"/>
      <c r="AG398" s="127"/>
      <c r="AH398" s="127"/>
      <c r="AI398" s="127"/>
      <c r="AJ398" s="127"/>
      <c r="AK398" s="127"/>
      <c r="AL398" s="127"/>
      <c r="AM398" s="127"/>
      <c r="AN398" s="127"/>
      <c r="AO398" s="127"/>
      <c r="AP398" s="127"/>
      <c r="AQ398" s="127"/>
      <c r="AR398" s="127"/>
      <c r="AS398" s="127"/>
      <c r="AT398" s="127"/>
      <c r="AU398" s="127"/>
      <c r="AV398" s="127"/>
      <c r="AW398" s="127"/>
      <c r="AX398" s="127"/>
      <c r="AY398" s="127"/>
      <c r="AZ398" s="127"/>
      <c r="BA398" s="127"/>
      <c r="BB398" s="127"/>
      <c r="BC398" s="127"/>
      <c r="BD398" s="127"/>
      <c r="BE398" s="127"/>
      <c r="BF398" s="127"/>
      <c r="BG398" s="127"/>
      <c r="BH398" s="127"/>
      <c r="BI398" s="127"/>
      <c r="BJ398" s="127"/>
      <c r="BK398" s="127"/>
      <c r="BL398" s="127"/>
      <c r="BM398" s="127"/>
      <c r="BN398" s="127"/>
      <c r="BO398" s="127"/>
      <c r="BP398" s="127"/>
      <c r="BQ398" s="127"/>
      <c r="BR398" s="127"/>
      <c r="BS398" s="127"/>
      <c r="BT398" s="127"/>
      <c r="BU398" s="127"/>
      <c r="BV398" s="127"/>
      <c r="BW398" s="127"/>
      <c r="BX398" s="127"/>
      <c r="BY398" s="127"/>
      <c r="BZ398" s="127"/>
      <c r="CA398" s="127"/>
      <c r="CB398" s="187"/>
      <c r="CC398" s="189"/>
      <c r="CD398" s="188"/>
      <c r="CE398" s="127"/>
      <c r="CF398" s="190"/>
      <c r="CG398" s="190"/>
      <c r="CH398" s="187"/>
      <c r="CI398" s="187"/>
      <c r="CJ398" s="187"/>
      <c r="CK398" s="187"/>
      <c r="CL398" s="187"/>
      <c r="CM398" s="187"/>
      <c r="CN398" s="187"/>
      <c r="CO398" s="127"/>
      <c r="CP398" s="127"/>
      <c r="CQ398" s="187"/>
      <c r="CR398" s="187"/>
      <c r="CS398" s="187"/>
      <c r="CT398" s="187"/>
      <c r="CU398" s="187"/>
      <c r="CV398" s="187"/>
      <c r="CW398" s="187"/>
      <c r="CX398" s="187"/>
    </row>
    <row r="399" spans="1:102" ht="12.75" customHeight="1" x14ac:dyDescent="0.2">
      <c r="A399" s="187"/>
      <c r="B399" s="127"/>
      <c r="C399" s="187"/>
      <c r="D399" s="127"/>
      <c r="E399" s="187"/>
      <c r="F399" s="187"/>
      <c r="G399" s="187"/>
      <c r="H399" s="187"/>
      <c r="I399" s="187"/>
      <c r="J399" s="187"/>
      <c r="K399" s="187"/>
      <c r="L399" s="187"/>
      <c r="M399" s="187"/>
      <c r="N399" s="187"/>
      <c r="O399" s="187"/>
      <c r="P399" s="187"/>
      <c r="Q399" s="187"/>
      <c r="R399" s="187"/>
      <c r="S399" s="187"/>
      <c r="T399" s="127"/>
      <c r="U399" s="188"/>
      <c r="V399" s="127"/>
      <c r="W399" s="1438"/>
      <c r="X399" s="127"/>
      <c r="Y399" s="127"/>
      <c r="Z399" s="127"/>
      <c r="AA399" s="127"/>
      <c r="AB399" s="127"/>
      <c r="AC399" s="127"/>
      <c r="AD399" s="127"/>
      <c r="AE399" s="127"/>
      <c r="AF399" s="127"/>
      <c r="AG399" s="127"/>
      <c r="AH399" s="127"/>
      <c r="AI399" s="127"/>
      <c r="AJ399" s="127"/>
      <c r="AK399" s="127"/>
      <c r="AL399" s="127"/>
      <c r="AM399" s="127"/>
      <c r="AN399" s="127"/>
      <c r="AO399" s="127"/>
      <c r="AP399" s="127"/>
      <c r="AQ399" s="127"/>
      <c r="AR399" s="127"/>
      <c r="AS399" s="127"/>
      <c r="AT399" s="127"/>
      <c r="AU399" s="127"/>
      <c r="AV399" s="127"/>
      <c r="AW399" s="127"/>
      <c r="AX399" s="127"/>
      <c r="AY399" s="127"/>
      <c r="AZ399" s="127"/>
      <c r="BA399" s="127"/>
      <c r="BB399" s="127"/>
      <c r="BC399" s="127"/>
      <c r="BD399" s="127"/>
      <c r="BE399" s="127"/>
      <c r="BF399" s="127"/>
      <c r="BG399" s="127"/>
      <c r="BH399" s="127"/>
      <c r="BI399" s="127"/>
      <c r="BJ399" s="127"/>
      <c r="BK399" s="127"/>
      <c r="BL399" s="127"/>
      <c r="BM399" s="127"/>
      <c r="BN399" s="127"/>
      <c r="BO399" s="127"/>
      <c r="BP399" s="127"/>
      <c r="BQ399" s="127"/>
      <c r="BR399" s="127"/>
      <c r="BS399" s="127"/>
      <c r="BT399" s="127"/>
      <c r="BU399" s="127"/>
      <c r="BV399" s="127"/>
      <c r="BW399" s="127"/>
      <c r="BX399" s="127"/>
      <c r="BY399" s="127"/>
      <c r="BZ399" s="127"/>
      <c r="CA399" s="127"/>
      <c r="CB399" s="187"/>
      <c r="CC399" s="189"/>
      <c r="CD399" s="188"/>
      <c r="CE399" s="127"/>
      <c r="CF399" s="190"/>
      <c r="CG399" s="190"/>
      <c r="CH399" s="187"/>
      <c r="CI399" s="187"/>
      <c r="CJ399" s="187"/>
      <c r="CK399" s="187"/>
      <c r="CL399" s="187"/>
      <c r="CM399" s="187"/>
      <c r="CN399" s="187"/>
      <c r="CO399" s="127"/>
      <c r="CP399" s="127"/>
      <c r="CQ399" s="187"/>
      <c r="CR399" s="187"/>
      <c r="CS399" s="187"/>
      <c r="CT399" s="187"/>
      <c r="CU399" s="187"/>
      <c r="CV399" s="187"/>
      <c r="CW399" s="187"/>
      <c r="CX399" s="187"/>
    </row>
    <row r="400" spans="1:102" ht="12.75" customHeight="1" x14ac:dyDescent="0.2">
      <c r="A400" s="187"/>
      <c r="B400" s="127"/>
      <c r="C400" s="187"/>
      <c r="D400" s="127"/>
      <c r="E400" s="187"/>
      <c r="F400" s="187"/>
      <c r="G400" s="187"/>
      <c r="H400" s="187"/>
      <c r="I400" s="187"/>
      <c r="J400" s="187"/>
      <c r="K400" s="187"/>
      <c r="L400" s="187"/>
      <c r="M400" s="187"/>
      <c r="N400" s="187"/>
      <c r="O400" s="187"/>
      <c r="P400" s="187"/>
      <c r="Q400" s="187"/>
      <c r="R400" s="187"/>
      <c r="S400" s="187"/>
      <c r="T400" s="127"/>
      <c r="U400" s="188"/>
      <c r="V400" s="127"/>
      <c r="W400" s="1438"/>
      <c r="X400" s="127"/>
      <c r="Y400" s="127"/>
      <c r="Z400" s="127"/>
      <c r="AA400" s="127"/>
      <c r="AB400" s="127"/>
      <c r="AC400" s="127"/>
      <c r="AD400" s="127"/>
      <c r="AE400" s="127"/>
      <c r="AF400" s="127"/>
      <c r="AG400" s="127"/>
      <c r="AH400" s="127"/>
      <c r="AI400" s="127"/>
      <c r="AJ400" s="127"/>
      <c r="AK400" s="127"/>
      <c r="AL400" s="127"/>
      <c r="AM400" s="127"/>
      <c r="AN400" s="127"/>
      <c r="AO400" s="127"/>
      <c r="AP400" s="127"/>
      <c r="AQ400" s="127"/>
      <c r="AR400" s="127"/>
      <c r="AS400" s="127"/>
      <c r="AT400" s="127"/>
      <c r="AU400" s="127"/>
      <c r="AV400" s="127"/>
      <c r="AW400" s="127"/>
      <c r="AX400" s="127"/>
      <c r="AY400" s="127"/>
      <c r="AZ400" s="127"/>
      <c r="BA400" s="127"/>
      <c r="BB400" s="127"/>
      <c r="BC400" s="127"/>
      <c r="BD400" s="127"/>
      <c r="BE400" s="127"/>
      <c r="BF400" s="127"/>
      <c r="BG400" s="127"/>
      <c r="BH400" s="127"/>
      <c r="BI400" s="127"/>
      <c r="BJ400" s="127"/>
      <c r="BK400" s="127"/>
      <c r="BL400" s="127"/>
      <c r="BM400" s="127"/>
      <c r="BN400" s="127"/>
      <c r="BO400" s="127"/>
      <c r="BP400" s="127"/>
      <c r="BQ400" s="127"/>
      <c r="BR400" s="127"/>
      <c r="BS400" s="127"/>
      <c r="BT400" s="127"/>
      <c r="BU400" s="127"/>
      <c r="BV400" s="127"/>
      <c r="BW400" s="127"/>
      <c r="BX400" s="127"/>
      <c r="BY400" s="127"/>
      <c r="BZ400" s="127"/>
      <c r="CA400" s="127"/>
      <c r="CB400" s="187"/>
      <c r="CC400" s="189"/>
      <c r="CD400" s="188"/>
      <c r="CE400" s="127"/>
      <c r="CF400" s="190"/>
      <c r="CG400" s="190"/>
      <c r="CH400" s="187"/>
      <c r="CI400" s="187"/>
      <c r="CJ400" s="187"/>
      <c r="CK400" s="187"/>
      <c r="CL400" s="187"/>
      <c r="CM400" s="187"/>
      <c r="CN400" s="187"/>
      <c r="CO400" s="127"/>
      <c r="CP400" s="127"/>
      <c r="CQ400" s="187"/>
      <c r="CR400" s="187"/>
      <c r="CS400" s="187"/>
      <c r="CT400" s="187"/>
      <c r="CU400" s="187"/>
      <c r="CV400" s="187"/>
      <c r="CW400" s="187"/>
      <c r="CX400" s="187"/>
    </row>
    <row r="401" spans="1:102" ht="12.75" customHeight="1" x14ac:dyDescent="0.2">
      <c r="A401" s="187"/>
      <c r="B401" s="127"/>
      <c r="C401" s="187"/>
      <c r="D401" s="127"/>
      <c r="E401" s="187"/>
      <c r="F401" s="187"/>
      <c r="G401" s="187"/>
      <c r="H401" s="187"/>
      <c r="I401" s="187"/>
      <c r="J401" s="187"/>
      <c r="K401" s="187"/>
      <c r="L401" s="187"/>
      <c r="M401" s="187"/>
      <c r="N401" s="187"/>
      <c r="O401" s="187"/>
      <c r="P401" s="187"/>
      <c r="Q401" s="187"/>
      <c r="R401" s="187"/>
      <c r="S401" s="187"/>
      <c r="T401" s="127"/>
      <c r="U401" s="188"/>
      <c r="V401" s="127"/>
      <c r="W401" s="1438"/>
      <c r="X401" s="127"/>
      <c r="Y401" s="127"/>
      <c r="Z401" s="127"/>
      <c r="AA401" s="127"/>
      <c r="AB401" s="127"/>
      <c r="AC401" s="127"/>
      <c r="AD401" s="127"/>
      <c r="AE401" s="127"/>
      <c r="AF401" s="127"/>
      <c r="AG401" s="127"/>
      <c r="AH401" s="127"/>
      <c r="AI401" s="127"/>
      <c r="AJ401" s="127"/>
      <c r="AK401" s="127"/>
      <c r="AL401" s="127"/>
      <c r="AM401" s="127"/>
      <c r="AN401" s="127"/>
      <c r="AO401" s="127"/>
      <c r="AP401" s="127"/>
      <c r="AQ401" s="127"/>
      <c r="AR401" s="127"/>
      <c r="AS401" s="127"/>
      <c r="AT401" s="127"/>
      <c r="AU401" s="127"/>
      <c r="AV401" s="127"/>
      <c r="AW401" s="127"/>
      <c r="AX401" s="127"/>
      <c r="AY401" s="127"/>
      <c r="AZ401" s="127"/>
      <c r="BA401" s="127"/>
      <c r="BB401" s="127"/>
      <c r="BC401" s="127"/>
      <c r="BD401" s="127"/>
      <c r="BE401" s="127"/>
      <c r="BF401" s="127"/>
      <c r="BG401" s="127"/>
      <c r="BH401" s="127"/>
      <c r="BI401" s="127"/>
      <c r="BJ401" s="127"/>
      <c r="BK401" s="127"/>
      <c r="BL401" s="127"/>
      <c r="BM401" s="127"/>
      <c r="BN401" s="127"/>
      <c r="BO401" s="127"/>
      <c r="BP401" s="127"/>
      <c r="BQ401" s="127"/>
      <c r="BR401" s="127"/>
      <c r="BS401" s="127"/>
      <c r="BT401" s="127"/>
      <c r="BU401" s="127"/>
      <c r="BV401" s="127"/>
      <c r="BW401" s="127"/>
      <c r="BX401" s="127"/>
      <c r="BY401" s="127"/>
      <c r="BZ401" s="127"/>
      <c r="CA401" s="127"/>
      <c r="CB401" s="187"/>
      <c r="CC401" s="189"/>
      <c r="CD401" s="188"/>
      <c r="CE401" s="127"/>
      <c r="CF401" s="190"/>
      <c r="CG401" s="190"/>
      <c r="CH401" s="187"/>
      <c r="CI401" s="187"/>
      <c r="CJ401" s="187"/>
      <c r="CK401" s="187"/>
      <c r="CL401" s="187"/>
      <c r="CM401" s="187"/>
      <c r="CN401" s="187"/>
      <c r="CO401" s="127"/>
      <c r="CP401" s="127"/>
      <c r="CQ401" s="187"/>
      <c r="CR401" s="187"/>
      <c r="CS401" s="187"/>
      <c r="CT401" s="187"/>
      <c r="CU401" s="187"/>
      <c r="CV401" s="187"/>
      <c r="CW401" s="187"/>
      <c r="CX401" s="187"/>
    </row>
    <row r="402" spans="1:102" ht="12.75" customHeight="1" x14ac:dyDescent="0.2">
      <c r="A402" s="187"/>
      <c r="B402" s="127"/>
      <c r="C402" s="187"/>
      <c r="D402" s="127"/>
      <c r="E402" s="187"/>
      <c r="F402" s="187"/>
      <c r="G402" s="187"/>
      <c r="H402" s="187"/>
      <c r="I402" s="187"/>
      <c r="J402" s="187"/>
      <c r="K402" s="187"/>
      <c r="L402" s="187"/>
      <c r="M402" s="187"/>
      <c r="N402" s="187"/>
      <c r="O402" s="187"/>
      <c r="P402" s="187"/>
      <c r="Q402" s="187"/>
      <c r="R402" s="187"/>
      <c r="S402" s="187"/>
      <c r="T402" s="127"/>
      <c r="U402" s="188"/>
      <c r="V402" s="127"/>
      <c r="W402" s="1438"/>
      <c r="X402" s="127"/>
      <c r="Y402" s="127"/>
      <c r="Z402" s="127"/>
      <c r="AA402" s="127"/>
      <c r="AB402" s="127"/>
      <c r="AC402" s="127"/>
      <c r="AD402" s="127"/>
      <c r="AE402" s="127"/>
      <c r="AF402" s="127"/>
      <c r="AG402" s="127"/>
      <c r="AH402" s="127"/>
      <c r="AI402" s="127"/>
      <c r="AJ402" s="127"/>
      <c r="AK402" s="127"/>
      <c r="AL402" s="127"/>
      <c r="AM402" s="127"/>
      <c r="AN402" s="127"/>
      <c r="AO402" s="127"/>
      <c r="AP402" s="127"/>
      <c r="AQ402" s="127"/>
      <c r="AR402" s="127"/>
      <c r="AS402" s="127"/>
      <c r="AT402" s="127"/>
      <c r="AU402" s="127"/>
      <c r="AV402" s="127"/>
      <c r="AW402" s="127"/>
      <c r="AX402" s="127"/>
      <c r="AY402" s="127"/>
      <c r="AZ402" s="127"/>
      <c r="BA402" s="127"/>
      <c r="BB402" s="127"/>
      <c r="BC402" s="127"/>
      <c r="BD402" s="127"/>
      <c r="BE402" s="127"/>
      <c r="BF402" s="127"/>
      <c r="BG402" s="127"/>
      <c r="BH402" s="127"/>
      <c r="BI402" s="127"/>
      <c r="BJ402" s="127"/>
      <c r="BK402" s="127"/>
      <c r="BL402" s="127"/>
      <c r="BM402" s="127"/>
      <c r="BN402" s="127"/>
      <c r="BO402" s="127"/>
      <c r="BP402" s="127"/>
      <c r="BQ402" s="127"/>
      <c r="BR402" s="127"/>
      <c r="BS402" s="127"/>
      <c r="BT402" s="127"/>
      <c r="BU402" s="127"/>
      <c r="BV402" s="127"/>
      <c r="BW402" s="127"/>
      <c r="BX402" s="127"/>
      <c r="BY402" s="127"/>
      <c r="BZ402" s="127"/>
      <c r="CA402" s="127"/>
      <c r="CB402" s="187"/>
      <c r="CC402" s="189"/>
      <c r="CD402" s="188"/>
      <c r="CE402" s="127"/>
      <c r="CF402" s="190"/>
      <c r="CG402" s="190"/>
      <c r="CH402" s="187"/>
      <c r="CI402" s="187"/>
      <c r="CJ402" s="187"/>
      <c r="CK402" s="187"/>
      <c r="CL402" s="187"/>
      <c r="CM402" s="187"/>
      <c r="CN402" s="187"/>
      <c r="CO402" s="127"/>
      <c r="CP402" s="127"/>
      <c r="CQ402" s="187"/>
      <c r="CR402" s="187"/>
      <c r="CS402" s="187"/>
      <c r="CT402" s="187"/>
      <c r="CU402" s="187"/>
      <c r="CV402" s="187"/>
      <c r="CW402" s="187"/>
      <c r="CX402" s="187"/>
    </row>
    <row r="403" spans="1:102" ht="12.75" customHeight="1" x14ac:dyDescent="0.2">
      <c r="A403" s="187"/>
      <c r="B403" s="127"/>
      <c r="C403" s="187"/>
      <c r="D403" s="127"/>
      <c r="E403" s="187"/>
      <c r="F403" s="187"/>
      <c r="G403" s="187"/>
      <c r="H403" s="187"/>
      <c r="I403" s="187"/>
      <c r="J403" s="187"/>
      <c r="K403" s="187"/>
      <c r="L403" s="187"/>
      <c r="M403" s="187"/>
      <c r="N403" s="187"/>
      <c r="O403" s="187"/>
      <c r="P403" s="187"/>
      <c r="Q403" s="187"/>
      <c r="R403" s="187"/>
      <c r="S403" s="187"/>
      <c r="T403" s="127"/>
      <c r="U403" s="188"/>
      <c r="V403" s="127"/>
      <c r="W403" s="1438"/>
      <c r="X403" s="127"/>
      <c r="Y403" s="127"/>
      <c r="Z403" s="127"/>
      <c r="AA403" s="127"/>
      <c r="AB403" s="127"/>
      <c r="AC403" s="127"/>
      <c r="AD403" s="127"/>
      <c r="AE403" s="127"/>
      <c r="AF403" s="127"/>
      <c r="AG403" s="127"/>
      <c r="AH403" s="127"/>
      <c r="AI403" s="127"/>
      <c r="AJ403" s="127"/>
      <c r="AK403" s="127"/>
      <c r="AL403" s="127"/>
      <c r="AM403" s="127"/>
      <c r="AN403" s="127"/>
      <c r="AO403" s="127"/>
      <c r="AP403" s="127"/>
      <c r="AQ403" s="127"/>
      <c r="AR403" s="127"/>
      <c r="AS403" s="127"/>
      <c r="AT403" s="127"/>
      <c r="AU403" s="127"/>
      <c r="AV403" s="127"/>
      <c r="AW403" s="127"/>
      <c r="AX403" s="127"/>
      <c r="AY403" s="127"/>
      <c r="AZ403" s="127"/>
      <c r="BA403" s="127"/>
      <c r="BB403" s="127"/>
      <c r="BC403" s="127"/>
      <c r="BD403" s="127"/>
      <c r="BE403" s="127"/>
      <c r="BF403" s="127"/>
      <c r="BG403" s="127"/>
      <c r="BH403" s="127"/>
      <c r="BI403" s="127"/>
      <c r="BJ403" s="127"/>
      <c r="BK403" s="127"/>
      <c r="BL403" s="127"/>
      <c r="BM403" s="127"/>
      <c r="BN403" s="127"/>
      <c r="BO403" s="127"/>
      <c r="BP403" s="127"/>
      <c r="BQ403" s="127"/>
      <c r="BR403" s="127"/>
      <c r="BS403" s="127"/>
      <c r="BT403" s="127"/>
      <c r="BU403" s="127"/>
      <c r="BV403" s="127"/>
      <c r="BW403" s="127"/>
      <c r="BX403" s="127"/>
      <c r="BY403" s="127"/>
      <c r="BZ403" s="127"/>
      <c r="CA403" s="127"/>
      <c r="CB403" s="187"/>
      <c r="CC403" s="189"/>
      <c r="CD403" s="188"/>
      <c r="CE403" s="127"/>
      <c r="CF403" s="190"/>
      <c r="CG403" s="190"/>
      <c r="CH403" s="187"/>
      <c r="CI403" s="187"/>
      <c r="CJ403" s="187"/>
      <c r="CK403" s="187"/>
      <c r="CL403" s="187"/>
      <c r="CM403" s="187"/>
      <c r="CN403" s="187"/>
      <c r="CO403" s="127"/>
      <c r="CP403" s="127"/>
      <c r="CQ403" s="187"/>
      <c r="CR403" s="187"/>
      <c r="CS403" s="187"/>
      <c r="CT403" s="187"/>
      <c r="CU403" s="187"/>
      <c r="CV403" s="187"/>
      <c r="CW403" s="187"/>
      <c r="CX403" s="187"/>
    </row>
    <row r="404" spans="1:102" ht="12.75" customHeight="1" x14ac:dyDescent="0.2">
      <c r="A404" s="187"/>
      <c r="B404" s="127"/>
      <c r="C404" s="187"/>
      <c r="D404" s="127"/>
      <c r="E404" s="187"/>
      <c r="F404" s="187"/>
      <c r="G404" s="187"/>
      <c r="H404" s="187"/>
      <c r="I404" s="187"/>
      <c r="J404" s="187"/>
      <c r="K404" s="187"/>
      <c r="L404" s="187"/>
      <c r="M404" s="187"/>
      <c r="N404" s="187"/>
      <c r="O404" s="187"/>
      <c r="P404" s="187"/>
      <c r="Q404" s="187"/>
      <c r="R404" s="187"/>
      <c r="S404" s="187"/>
      <c r="T404" s="127"/>
      <c r="U404" s="188"/>
      <c r="V404" s="127"/>
      <c r="W404" s="1438"/>
      <c r="X404" s="127"/>
      <c r="Y404" s="127"/>
      <c r="Z404" s="127"/>
      <c r="AA404" s="127"/>
      <c r="AB404" s="127"/>
      <c r="AC404" s="127"/>
      <c r="AD404" s="127"/>
      <c r="AE404" s="127"/>
      <c r="AF404" s="127"/>
      <c r="AG404" s="127"/>
      <c r="AH404" s="127"/>
      <c r="AI404" s="127"/>
      <c r="AJ404" s="127"/>
      <c r="AK404" s="127"/>
      <c r="AL404" s="127"/>
      <c r="AM404" s="127"/>
      <c r="AN404" s="127"/>
      <c r="AO404" s="127"/>
      <c r="AP404" s="127"/>
      <c r="AQ404" s="127"/>
      <c r="AR404" s="127"/>
      <c r="AS404" s="127"/>
      <c r="AT404" s="127"/>
      <c r="AU404" s="127"/>
      <c r="AV404" s="127"/>
      <c r="AW404" s="127"/>
      <c r="AX404" s="127"/>
      <c r="AY404" s="127"/>
      <c r="AZ404" s="127"/>
      <c r="BA404" s="127"/>
      <c r="BB404" s="127"/>
      <c r="BC404" s="127"/>
      <c r="BD404" s="127"/>
      <c r="BE404" s="127"/>
      <c r="BF404" s="127"/>
      <c r="BG404" s="127"/>
      <c r="BH404" s="127"/>
      <c r="BI404" s="127"/>
      <c r="BJ404" s="127"/>
      <c r="BK404" s="127"/>
      <c r="BL404" s="127"/>
      <c r="BM404" s="127"/>
      <c r="BN404" s="127"/>
      <c r="BO404" s="127"/>
      <c r="BP404" s="127"/>
      <c r="BQ404" s="127"/>
      <c r="BR404" s="127"/>
      <c r="BS404" s="127"/>
      <c r="BT404" s="127"/>
      <c r="BU404" s="127"/>
      <c r="BV404" s="127"/>
      <c r="BW404" s="127"/>
      <c r="BX404" s="127"/>
      <c r="BY404" s="127"/>
      <c r="BZ404" s="127"/>
      <c r="CA404" s="127"/>
      <c r="CB404" s="187"/>
      <c r="CC404" s="189"/>
      <c r="CD404" s="188"/>
      <c r="CE404" s="127"/>
      <c r="CF404" s="190"/>
      <c r="CG404" s="190"/>
      <c r="CH404" s="187"/>
      <c r="CI404" s="187"/>
      <c r="CJ404" s="187"/>
      <c r="CK404" s="187"/>
      <c r="CL404" s="187"/>
      <c r="CM404" s="187"/>
      <c r="CN404" s="187"/>
      <c r="CO404" s="127"/>
      <c r="CP404" s="127"/>
      <c r="CQ404" s="187"/>
      <c r="CR404" s="187"/>
      <c r="CS404" s="187"/>
      <c r="CT404" s="187"/>
      <c r="CU404" s="187"/>
      <c r="CV404" s="187"/>
      <c r="CW404" s="187"/>
      <c r="CX404" s="187"/>
    </row>
    <row r="405" spans="1:102" ht="12.75" customHeight="1" x14ac:dyDescent="0.2">
      <c r="A405" s="187"/>
      <c r="B405" s="127"/>
      <c r="C405" s="187"/>
      <c r="D405" s="127"/>
      <c r="E405" s="187"/>
      <c r="F405" s="187"/>
      <c r="G405" s="187"/>
      <c r="H405" s="187"/>
      <c r="I405" s="187"/>
      <c r="J405" s="187"/>
      <c r="K405" s="187"/>
      <c r="L405" s="187"/>
      <c r="M405" s="187"/>
      <c r="N405" s="187"/>
      <c r="O405" s="187"/>
      <c r="P405" s="187"/>
      <c r="Q405" s="187"/>
      <c r="R405" s="187"/>
      <c r="S405" s="187"/>
      <c r="T405" s="127"/>
      <c r="U405" s="188"/>
      <c r="V405" s="127"/>
      <c r="W405" s="1438"/>
      <c r="X405" s="127"/>
      <c r="Y405" s="127"/>
      <c r="Z405" s="127"/>
      <c r="AA405" s="127"/>
      <c r="AB405" s="127"/>
      <c r="AC405" s="127"/>
      <c r="AD405" s="127"/>
      <c r="AE405" s="127"/>
      <c r="AF405" s="127"/>
      <c r="AG405" s="127"/>
      <c r="AH405" s="127"/>
      <c r="AI405" s="127"/>
      <c r="AJ405" s="127"/>
      <c r="AK405" s="127"/>
      <c r="AL405" s="127"/>
      <c r="AM405" s="127"/>
      <c r="AN405" s="127"/>
      <c r="AO405" s="127"/>
      <c r="AP405" s="127"/>
      <c r="AQ405" s="127"/>
      <c r="AR405" s="127"/>
      <c r="AS405" s="127"/>
      <c r="AT405" s="127"/>
      <c r="AU405" s="127"/>
      <c r="AV405" s="127"/>
      <c r="AW405" s="127"/>
      <c r="AX405" s="127"/>
      <c r="AY405" s="127"/>
      <c r="AZ405" s="127"/>
      <c r="BA405" s="127"/>
      <c r="BB405" s="127"/>
      <c r="BC405" s="127"/>
      <c r="BD405" s="127"/>
      <c r="BE405" s="127"/>
      <c r="BF405" s="127"/>
      <c r="BG405" s="127"/>
      <c r="BH405" s="127"/>
      <c r="BI405" s="127"/>
      <c r="BJ405" s="127"/>
      <c r="BK405" s="127"/>
      <c r="BL405" s="127"/>
      <c r="BM405" s="127"/>
      <c r="BN405" s="127"/>
      <c r="BO405" s="127"/>
      <c r="BP405" s="127"/>
      <c r="BQ405" s="127"/>
      <c r="BR405" s="127"/>
      <c r="BS405" s="127"/>
      <c r="BT405" s="127"/>
      <c r="BU405" s="127"/>
      <c r="BV405" s="127"/>
      <c r="BW405" s="127"/>
      <c r="BX405" s="127"/>
      <c r="BY405" s="127"/>
      <c r="BZ405" s="127"/>
      <c r="CA405" s="127"/>
      <c r="CB405" s="187"/>
      <c r="CC405" s="189"/>
      <c r="CD405" s="188"/>
      <c r="CE405" s="127"/>
      <c r="CF405" s="190"/>
      <c r="CG405" s="190"/>
      <c r="CH405" s="187"/>
      <c r="CI405" s="187"/>
      <c r="CJ405" s="187"/>
      <c r="CK405" s="187"/>
      <c r="CL405" s="187"/>
      <c r="CM405" s="187"/>
      <c r="CN405" s="187"/>
      <c r="CO405" s="127"/>
      <c r="CP405" s="127"/>
      <c r="CQ405" s="187"/>
      <c r="CR405" s="187"/>
      <c r="CS405" s="187"/>
      <c r="CT405" s="187"/>
      <c r="CU405" s="187"/>
      <c r="CV405" s="187"/>
      <c r="CW405" s="187"/>
      <c r="CX405" s="187"/>
    </row>
    <row r="406" spans="1:102" ht="12.75" customHeight="1" x14ac:dyDescent="0.2">
      <c r="A406" s="187"/>
      <c r="B406" s="127"/>
      <c r="C406" s="187"/>
      <c r="D406" s="127"/>
      <c r="E406" s="187"/>
      <c r="F406" s="187"/>
      <c r="G406" s="187"/>
      <c r="H406" s="187"/>
      <c r="I406" s="187"/>
      <c r="J406" s="187"/>
      <c r="K406" s="187"/>
      <c r="L406" s="187"/>
      <c r="M406" s="187"/>
      <c r="N406" s="187"/>
      <c r="O406" s="187"/>
      <c r="P406" s="187"/>
      <c r="Q406" s="187"/>
      <c r="R406" s="187"/>
      <c r="S406" s="187"/>
      <c r="T406" s="127"/>
      <c r="U406" s="188"/>
      <c r="V406" s="127"/>
      <c r="W406" s="1438"/>
      <c r="X406" s="127"/>
      <c r="Y406" s="127"/>
      <c r="Z406" s="127"/>
      <c r="AA406" s="127"/>
      <c r="AB406" s="127"/>
      <c r="AC406" s="127"/>
      <c r="AD406" s="127"/>
      <c r="AE406" s="127"/>
      <c r="AF406" s="127"/>
      <c r="AG406" s="127"/>
      <c r="AH406" s="127"/>
      <c r="AI406" s="127"/>
      <c r="AJ406" s="127"/>
      <c r="AK406" s="127"/>
      <c r="AL406" s="127"/>
      <c r="AM406" s="127"/>
      <c r="AN406" s="127"/>
      <c r="AO406" s="127"/>
      <c r="AP406" s="127"/>
      <c r="AQ406" s="127"/>
      <c r="AR406" s="127"/>
      <c r="AS406" s="127"/>
      <c r="AT406" s="127"/>
      <c r="AU406" s="127"/>
      <c r="AV406" s="127"/>
      <c r="AW406" s="127"/>
      <c r="AX406" s="127"/>
      <c r="AY406" s="127"/>
      <c r="AZ406" s="127"/>
      <c r="BA406" s="127"/>
      <c r="BB406" s="127"/>
      <c r="BC406" s="127"/>
      <c r="BD406" s="127"/>
      <c r="BE406" s="127"/>
      <c r="BF406" s="127"/>
      <c r="BG406" s="127"/>
      <c r="BH406" s="127"/>
      <c r="BI406" s="127"/>
      <c r="BJ406" s="127"/>
      <c r="BK406" s="127"/>
      <c r="BL406" s="127"/>
      <c r="BM406" s="127"/>
      <c r="BN406" s="127"/>
      <c r="BO406" s="127"/>
      <c r="BP406" s="127"/>
      <c r="BQ406" s="127"/>
      <c r="BR406" s="127"/>
      <c r="BS406" s="127"/>
      <c r="BT406" s="127"/>
      <c r="BU406" s="127"/>
      <c r="BV406" s="127"/>
      <c r="BW406" s="127"/>
      <c r="BX406" s="127"/>
      <c r="BY406" s="127"/>
      <c r="BZ406" s="127"/>
      <c r="CA406" s="127"/>
      <c r="CB406" s="187"/>
      <c r="CC406" s="189"/>
      <c r="CD406" s="188"/>
      <c r="CE406" s="127"/>
      <c r="CF406" s="190"/>
      <c r="CG406" s="190"/>
      <c r="CH406" s="187"/>
      <c r="CI406" s="187"/>
      <c r="CJ406" s="187"/>
      <c r="CK406" s="187"/>
      <c r="CL406" s="187"/>
      <c r="CM406" s="187"/>
      <c r="CN406" s="187"/>
      <c r="CO406" s="127"/>
      <c r="CP406" s="127"/>
      <c r="CQ406" s="187"/>
      <c r="CR406" s="187"/>
      <c r="CS406" s="187"/>
      <c r="CT406" s="187"/>
      <c r="CU406" s="187"/>
      <c r="CV406" s="187"/>
      <c r="CW406" s="187"/>
      <c r="CX406" s="187"/>
    </row>
    <row r="407" spans="1:102" ht="12.75" customHeight="1" x14ac:dyDescent="0.2">
      <c r="A407" s="187"/>
      <c r="B407" s="127"/>
      <c r="C407" s="187"/>
      <c r="D407" s="127"/>
      <c r="E407" s="187"/>
      <c r="F407" s="187"/>
      <c r="G407" s="187"/>
      <c r="H407" s="187"/>
      <c r="I407" s="187"/>
      <c r="J407" s="187"/>
      <c r="K407" s="187"/>
      <c r="L407" s="187"/>
      <c r="M407" s="187"/>
      <c r="N407" s="187"/>
      <c r="O407" s="187"/>
      <c r="P407" s="187"/>
      <c r="Q407" s="187"/>
      <c r="R407" s="187"/>
      <c r="S407" s="187"/>
      <c r="T407" s="127"/>
      <c r="U407" s="188"/>
      <c r="V407" s="127"/>
      <c r="W407" s="1438"/>
      <c r="X407" s="127"/>
      <c r="Y407" s="127"/>
      <c r="Z407" s="127"/>
      <c r="AA407" s="127"/>
      <c r="AB407" s="127"/>
      <c r="AC407" s="127"/>
      <c r="AD407" s="127"/>
      <c r="AE407" s="127"/>
      <c r="AF407" s="127"/>
      <c r="AG407" s="127"/>
      <c r="AH407" s="127"/>
      <c r="AI407" s="127"/>
      <c r="AJ407" s="127"/>
      <c r="AK407" s="127"/>
      <c r="AL407" s="127"/>
      <c r="AM407" s="127"/>
      <c r="AN407" s="127"/>
      <c r="AO407" s="127"/>
      <c r="AP407" s="127"/>
      <c r="AQ407" s="127"/>
      <c r="AR407" s="127"/>
      <c r="AS407" s="127"/>
      <c r="AT407" s="127"/>
      <c r="AU407" s="127"/>
      <c r="AV407" s="127"/>
      <c r="AW407" s="127"/>
      <c r="AX407" s="127"/>
      <c r="AY407" s="127"/>
      <c r="AZ407" s="127"/>
      <c r="BA407" s="127"/>
      <c r="BB407" s="127"/>
      <c r="BC407" s="127"/>
      <c r="BD407" s="127"/>
      <c r="BE407" s="127"/>
      <c r="BF407" s="127"/>
      <c r="BG407" s="127"/>
      <c r="BH407" s="127"/>
      <c r="BI407" s="127"/>
      <c r="BJ407" s="127"/>
      <c r="BK407" s="127"/>
      <c r="BL407" s="127"/>
      <c r="BM407" s="127"/>
      <c r="BN407" s="127"/>
      <c r="BO407" s="127"/>
      <c r="BP407" s="127"/>
      <c r="BQ407" s="127"/>
      <c r="BR407" s="127"/>
      <c r="BS407" s="127"/>
      <c r="BT407" s="127"/>
      <c r="BU407" s="127"/>
      <c r="BV407" s="127"/>
      <c r="BW407" s="127"/>
      <c r="BX407" s="127"/>
      <c r="BY407" s="127"/>
      <c r="BZ407" s="127"/>
      <c r="CA407" s="127"/>
      <c r="CB407" s="187"/>
      <c r="CC407" s="189"/>
      <c r="CD407" s="188"/>
      <c r="CE407" s="127"/>
      <c r="CF407" s="190"/>
      <c r="CG407" s="190"/>
      <c r="CH407" s="187"/>
      <c r="CI407" s="187"/>
      <c r="CJ407" s="187"/>
      <c r="CK407" s="187"/>
      <c r="CL407" s="187"/>
      <c r="CM407" s="187"/>
      <c r="CN407" s="187"/>
      <c r="CO407" s="127"/>
      <c r="CP407" s="127"/>
      <c r="CQ407" s="187"/>
      <c r="CR407" s="187"/>
      <c r="CS407" s="187"/>
      <c r="CT407" s="187"/>
      <c r="CU407" s="187"/>
      <c r="CV407" s="187"/>
      <c r="CW407" s="187"/>
      <c r="CX407" s="187"/>
    </row>
    <row r="408" spans="1:102" ht="12.75" customHeight="1" x14ac:dyDescent="0.2">
      <c r="A408" s="187"/>
      <c r="B408" s="127"/>
      <c r="C408" s="187"/>
      <c r="D408" s="127"/>
      <c r="E408" s="187"/>
      <c r="F408" s="187"/>
      <c r="G408" s="187"/>
      <c r="H408" s="187"/>
      <c r="I408" s="187"/>
      <c r="J408" s="187"/>
      <c r="K408" s="187"/>
      <c r="L408" s="187"/>
      <c r="M408" s="187"/>
      <c r="N408" s="187"/>
      <c r="O408" s="187"/>
      <c r="P408" s="187"/>
      <c r="Q408" s="187"/>
      <c r="R408" s="187"/>
      <c r="S408" s="187"/>
      <c r="T408" s="127"/>
      <c r="U408" s="188"/>
      <c r="V408" s="127"/>
      <c r="W408" s="1438"/>
      <c r="X408" s="127"/>
      <c r="Y408" s="127"/>
      <c r="Z408" s="127"/>
      <c r="AA408" s="127"/>
      <c r="AB408" s="127"/>
      <c r="AC408" s="127"/>
      <c r="AD408" s="127"/>
      <c r="AE408" s="127"/>
      <c r="AF408" s="127"/>
      <c r="AG408" s="127"/>
      <c r="AH408" s="127"/>
      <c r="AI408" s="127"/>
      <c r="AJ408" s="127"/>
      <c r="AK408" s="127"/>
      <c r="AL408" s="127"/>
      <c r="AM408" s="127"/>
      <c r="AN408" s="127"/>
      <c r="AO408" s="127"/>
      <c r="AP408" s="127"/>
      <c r="AQ408" s="127"/>
      <c r="AR408" s="127"/>
      <c r="AS408" s="127"/>
      <c r="AT408" s="127"/>
      <c r="AU408" s="127"/>
      <c r="AV408" s="127"/>
      <c r="AW408" s="127"/>
      <c r="AX408" s="127"/>
      <c r="AY408" s="127"/>
      <c r="AZ408" s="127"/>
      <c r="BA408" s="127"/>
      <c r="BB408" s="127"/>
      <c r="BC408" s="127"/>
      <c r="BD408" s="127"/>
      <c r="BE408" s="127"/>
      <c r="BF408" s="127"/>
      <c r="BG408" s="127"/>
      <c r="BH408" s="127"/>
      <c r="BI408" s="127"/>
      <c r="BJ408" s="127"/>
      <c r="BK408" s="127"/>
      <c r="BL408" s="127"/>
      <c r="BM408" s="127"/>
      <c r="BN408" s="127"/>
      <c r="BO408" s="127"/>
      <c r="BP408" s="127"/>
      <c r="BQ408" s="127"/>
      <c r="BR408" s="127"/>
      <c r="BS408" s="127"/>
      <c r="BT408" s="127"/>
      <c r="BU408" s="127"/>
      <c r="BV408" s="127"/>
      <c r="BW408" s="127"/>
      <c r="BX408" s="127"/>
      <c r="BY408" s="127"/>
      <c r="BZ408" s="127"/>
      <c r="CA408" s="127"/>
      <c r="CB408" s="187"/>
      <c r="CC408" s="189"/>
      <c r="CD408" s="188"/>
      <c r="CE408" s="127"/>
      <c r="CF408" s="190"/>
      <c r="CG408" s="190"/>
      <c r="CH408" s="187"/>
      <c r="CI408" s="187"/>
      <c r="CJ408" s="187"/>
      <c r="CK408" s="187"/>
      <c r="CL408" s="187"/>
      <c r="CM408" s="187"/>
      <c r="CN408" s="187"/>
      <c r="CO408" s="127"/>
      <c r="CP408" s="127"/>
      <c r="CQ408" s="187"/>
      <c r="CR408" s="187"/>
      <c r="CS408" s="187"/>
      <c r="CT408" s="187"/>
      <c r="CU408" s="187"/>
      <c r="CV408" s="187"/>
      <c r="CW408" s="187"/>
      <c r="CX408" s="187"/>
    </row>
    <row r="409" spans="1:102" ht="12.75" customHeight="1" x14ac:dyDescent="0.2">
      <c r="A409" s="187"/>
      <c r="B409" s="127"/>
      <c r="C409" s="187"/>
      <c r="D409" s="127"/>
      <c r="E409" s="187"/>
      <c r="F409" s="187"/>
      <c r="G409" s="187"/>
      <c r="H409" s="187"/>
      <c r="I409" s="187"/>
      <c r="J409" s="187"/>
      <c r="K409" s="187"/>
      <c r="L409" s="187"/>
      <c r="M409" s="187"/>
      <c r="N409" s="187"/>
      <c r="O409" s="187"/>
      <c r="P409" s="187"/>
      <c r="Q409" s="187"/>
      <c r="R409" s="187"/>
      <c r="S409" s="187"/>
      <c r="T409" s="127"/>
      <c r="U409" s="188"/>
      <c r="V409" s="127"/>
      <c r="W409" s="1438"/>
      <c r="X409" s="127"/>
      <c r="Y409" s="127"/>
      <c r="Z409" s="127"/>
      <c r="AA409" s="127"/>
      <c r="AB409" s="127"/>
      <c r="AC409" s="127"/>
      <c r="AD409" s="127"/>
      <c r="AE409" s="127"/>
      <c r="AF409" s="127"/>
      <c r="AG409" s="127"/>
      <c r="AH409" s="127"/>
      <c r="AI409" s="127"/>
      <c r="AJ409" s="127"/>
      <c r="AK409" s="127"/>
      <c r="AL409" s="127"/>
      <c r="AM409" s="127"/>
      <c r="AN409" s="127"/>
      <c r="AO409" s="127"/>
      <c r="AP409" s="127"/>
      <c r="AQ409" s="127"/>
      <c r="AR409" s="127"/>
      <c r="AS409" s="127"/>
      <c r="AT409" s="127"/>
      <c r="AU409" s="127"/>
      <c r="AV409" s="127"/>
      <c r="AW409" s="127"/>
      <c r="AX409" s="127"/>
      <c r="AY409" s="127"/>
      <c r="AZ409" s="127"/>
      <c r="BA409" s="127"/>
      <c r="BB409" s="127"/>
      <c r="BC409" s="127"/>
      <c r="BD409" s="127"/>
      <c r="BE409" s="127"/>
      <c r="BF409" s="127"/>
      <c r="BG409" s="127"/>
      <c r="BH409" s="127"/>
      <c r="BI409" s="127"/>
      <c r="BJ409" s="127"/>
      <c r="BK409" s="127"/>
      <c r="BL409" s="127"/>
      <c r="BM409" s="127"/>
      <c r="BN409" s="127"/>
      <c r="BO409" s="127"/>
      <c r="BP409" s="127"/>
      <c r="BQ409" s="127"/>
      <c r="BR409" s="127"/>
      <c r="BS409" s="127"/>
      <c r="BT409" s="127"/>
      <c r="BU409" s="127"/>
      <c r="BV409" s="127"/>
      <c r="BW409" s="127"/>
      <c r="BX409" s="127"/>
      <c r="BY409" s="127"/>
      <c r="BZ409" s="127"/>
      <c r="CA409" s="127"/>
      <c r="CB409" s="187"/>
      <c r="CC409" s="189"/>
      <c r="CD409" s="188"/>
      <c r="CE409" s="127"/>
      <c r="CF409" s="190"/>
      <c r="CG409" s="190"/>
      <c r="CH409" s="187"/>
      <c r="CI409" s="187"/>
      <c r="CJ409" s="187"/>
      <c r="CK409" s="187"/>
      <c r="CL409" s="187"/>
      <c r="CM409" s="187"/>
      <c r="CN409" s="187"/>
      <c r="CO409" s="127"/>
      <c r="CP409" s="127"/>
      <c r="CQ409" s="187"/>
      <c r="CR409" s="187"/>
      <c r="CS409" s="187"/>
      <c r="CT409" s="187"/>
      <c r="CU409" s="187"/>
      <c r="CV409" s="187"/>
      <c r="CW409" s="187"/>
      <c r="CX409" s="187"/>
    </row>
    <row r="410" spans="1:102" ht="12.75" customHeight="1" x14ac:dyDescent="0.2">
      <c r="A410" s="187"/>
      <c r="B410" s="127"/>
      <c r="C410" s="187"/>
      <c r="D410" s="127"/>
      <c r="E410" s="187"/>
      <c r="F410" s="187"/>
      <c r="G410" s="187"/>
      <c r="H410" s="187"/>
      <c r="I410" s="187"/>
      <c r="J410" s="187"/>
      <c r="K410" s="187"/>
      <c r="L410" s="187"/>
      <c r="M410" s="187"/>
      <c r="N410" s="187"/>
      <c r="O410" s="187"/>
      <c r="P410" s="187"/>
      <c r="Q410" s="187"/>
      <c r="R410" s="187"/>
      <c r="S410" s="187"/>
      <c r="T410" s="127"/>
      <c r="U410" s="188"/>
      <c r="V410" s="127"/>
      <c r="W410" s="1438"/>
      <c r="X410" s="127"/>
      <c r="Y410" s="127"/>
      <c r="Z410" s="127"/>
      <c r="AA410" s="127"/>
      <c r="AB410" s="127"/>
      <c r="AC410" s="127"/>
      <c r="AD410" s="127"/>
      <c r="AE410" s="127"/>
      <c r="AF410" s="127"/>
      <c r="AG410" s="127"/>
      <c r="AH410" s="127"/>
      <c r="AI410" s="127"/>
      <c r="AJ410" s="127"/>
      <c r="AK410" s="127"/>
      <c r="AL410" s="127"/>
      <c r="AM410" s="127"/>
      <c r="AN410" s="127"/>
      <c r="AO410" s="127"/>
      <c r="AP410" s="127"/>
      <c r="AQ410" s="127"/>
      <c r="AR410" s="127"/>
      <c r="AS410" s="127"/>
      <c r="AT410" s="127"/>
      <c r="AU410" s="127"/>
      <c r="AV410" s="127"/>
      <c r="AW410" s="127"/>
      <c r="AX410" s="127"/>
      <c r="AY410" s="127"/>
      <c r="AZ410" s="127"/>
      <c r="BA410" s="127"/>
      <c r="BB410" s="127"/>
      <c r="BC410" s="127"/>
      <c r="BD410" s="127"/>
      <c r="BE410" s="127"/>
      <c r="BF410" s="127"/>
      <c r="BG410" s="127"/>
      <c r="BH410" s="127"/>
      <c r="BI410" s="127"/>
      <c r="BJ410" s="127"/>
      <c r="BK410" s="127"/>
      <c r="BL410" s="127"/>
      <c r="BM410" s="127"/>
      <c r="BN410" s="127"/>
      <c r="BO410" s="127"/>
      <c r="BP410" s="127"/>
      <c r="BQ410" s="127"/>
      <c r="BR410" s="127"/>
      <c r="BS410" s="127"/>
      <c r="BT410" s="127"/>
      <c r="BU410" s="127"/>
      <c r="BV410" s="127"/>
      <c r="BW410" s="127"/>
      <c r="BX410" s="127"/>
      <c r="BY410" s="127"/>
      <c r="BZ410" s="127"/>
      <c r="CA410" s="127"/>
      <c r="CB410" s="187"/>
      <c r="CC410" s="189"/>
      <c r="CD410" s="188"/>
      <c r="CE410" s="127"/>
      <c r="CF410" s="190"/>
      <c r="CG410" s="190"/>
      <c r="CH410" s="187"/>
      <c r="CI410" s="187"/>
      <c r="CJ410" s="187"/>
      <c r="CK410" s="187"/>
      <c r="CL410" s="187"/>
      <c r="CM410" s="187"/>
      <c r="CN410" s="187"/>
      <c r="CO410" s="127"/>
      <c r="CP410" s="127"/>
      <c r="CQ410" s="187"/>
      <c r="CR410" s="187"/>
      <c r="CS410" s="187"/>
      <c r="CT410" s="187"/>
      <c r="CU410" s="187"/>
      <c r="CV410" s="187"/>
      <c r="CW410" s="187"/>
      <c r="CX410" s="187"/>
    </row>
    <row r="411" spans="1:102" ht="12.75" customHeight="1" x14ac:dyDescent="0.2">
      <c r="A411" s="187"/>
      <c r="B411" s="127"/>
      <c r="C411" s="187"/>
      <c r="D411" s="127"/>
      <c r="E411" s="187"/>
      <c r="F411" s="187"/>
      <c r="G411" s="187"/>
      <c r="H411" s="187"/>
      <c r="I411" s="187"/>
      <c r="J411" s="187"/>
      <c r="K411" s="187"/>
      <c r="L411" s="187"/>
      <c r="M411" s="187"/>
      <c r="N411" s="187"/>
      <c r="O411" s="187"/>
      <c r="P411" s="187"/>
      <c r="Q411" s="187"/>
      <c r="R411" s="187"/>
      <c r="S411" s="187"/>
      <c r="T411" s="127"/>
      <c r="U411" s="188"/>
      <c r="V411" s="127"/>
      <c r="W411" s="1438"/>
      <c r="X411" s="127"/>
      <c r="Y411" s="127"/>
      <c r="Z411" s="127"/>
      <c r="AA411" s="127"/>
      <c r="AB411" s="127"/>
      <c r="AC411" s="127"/>
      <c r="AD411" s="127"/>
      <c r="AE411" s="127"/>
      <c r="AF411" s="127"/>
      <c r="AG411" s="127"/>
      <c r="AH411" s="127"/>
      <c r="AI411" s="127"/>
      <c r="AJ411" s="127"/>
      <c r="AK411" s="127"/>
      <c r="AL411" s="127"/>
      <c r="AM411" s="127"/>
      <c r="AN411" s="127"/>
      <c r="AO411" s="127"/>
      <c r="AP411" s="127"/>
      <c r="AQ411" s="127"/>
      <c r="AR411" s="127"/>
      <c r="AS411" s="127"/>
      <c r="AT411" s="127"/>
      <c r="AU411" s="127"/>
      <c r="AV411" s="127"/>
      <c r="AW411" s="127"/>
      <c r="AX411" s="127"/>
      <c r="AY411" s="127"/>
      <c r="AZ411" s="127"/>
      <c r="BA411" s="127"/>
      <c r="BB411" s="127"/>
      <c r="BC411" s="127"/>
      <c r="BD411" s="127"/>
      <c r="BE411" s="127"/>
      <c r="BF411" s="127"/>
      <c r="BG411" s="127"/>
      <c r="BH411" s="127"/>
      <c r="BI411" s="127"/>
      <c r="BJ411" s="127"/>
      <c r="BK411" s="127"/>
      <c r="BL411" s="127"/>
      <c r="BM411" s="127"/>
      <c r="BN411" s="127"/>
      <c r="BO411" s="127"/>
      <c r="BP411" s="127"/>
      <c r="BQ411" s="127"/>
      <c r="BR411" s="127"/>
      <c r="BS411" s="127"/>
      <c r="BT411" s="127"/>
      <c r="BU411" s="127"/>
      <c r="BV411" s="127"/>
      <c r="BW411" s="127"/>
      <c r="BX411" s="127"/>
      <c r="BY411" s="127"/>
      <c r="BZ411" s="127"/>
      <c r="CA411" s="127"/>
      <c r="CB411" s="187"/>
      <c r="CC411" s="189"/>
      <c r="CD411" s="188"/>
      <c r="CE411" s="127"/>
      <c r="CF411" s="190"/>
      <c r="CG411" s="190"/>
      <c r="CH411" s="187"/>
      <c r="CI411" s="187"/>
      <c r="CJ411" s="187"/>
      <c r="CK411" s="187"/>
      <c r="CL411" s="187"/>
      <c r="CM411" s="187"/>
      <c r="CN411" s="187"/>
      <c r="CO411" s="127"/>
      <c r="CP411" s="127"/>
      <c r="CQ411" s="187"/>
      <c r="CR411" s="187"/>
      <c r="CS411" s="187"/>
      <c r="CT411" s="187"/>
      <c r="CU411" s="187"/>
      <c r="CV411" s="187"/>
      <c r="CW411" s="187"/>
      <c r="CX411" s="187"/>
    </row>
    <row r="412" spans="1:102" ht="12.75" customHeight="1" x14ac:dyDescent="0.2">
      <c r="A412" s="187"/>
      <c r="B412" s="127"/>
      <c r="C412" s="187"/>
      <c r="D412" s="127"/>
      <c r="E412" s="187"/>
      <c r="F412" s="187"/>
      <c r="G412" s="187"/>
      <c r="H412" s="187"/>
      <c r="I412" s="187"/>
      <c r="J412" s="187"/>
      <c r="K412" s="187"/>
      <c r="L412" s="187"/>
      <c r="M412" s="187"/>
      <c r="N412" s="187"/>
      <c r="O412" s="187"/>
      <c r="P412" s="187"/>
      <c r="Q412" s="187"/>
      <c r="R412" s="187"/>
      <c r="S412" s="187"/>
      <c r="T412" s="127"/>
      <c r="U412" s="188"/>
      <c r="V412" s="127"/>
      <c r="W412" s="1438"/>
      <c r="X412" s="127"/>
      <c r="Y412" s="127"/>
      <c r="Z412" s="127"/>
      <c r="AA412" s="127"/>
      <c r="AB412" s="127"/>
      <c r="AC412" s="127"/>
      <c r="AD412" s="127"/>
      <c r="AE412" s="127"/>
      <c r="AF412" s="127"/>
      <c r="AG412" s="127"/>
      <c r="AH412" s="127"/>
      <c r="AI412" s="127"/>
      <c r="AJ412" s="127"/>
      <c r="AK412" s="127"/>
      <c r="AL412" s="127"/>
      <c r="AM412" s="127"/>
      <c r="AN412" s="127"/>
      <c r="AO412" s="127"/>
      <c r="AP412" s="127"/>
      <c r="AQ412" s="127"/>
      <c r="AR412" s="127"/>
      <c r="AS412" s="127"/>
      <c r="AT412" s="127"/>
      <c r="AU412" s="127"/>
      <c r="AV412" s="127"/>
      <c r="AW412" s="127"/>
      <c r="AX412" s="127"/>
      <c r="AY412" s="127"/>
      <c r="AZ412" s="127"/>
      <c r="BA412" s="127"/>
      <c r="BB412" s="127"/>
      <c r="BC412" s="127"/>
      <c r="BD412" s="127"/>
      <c r="BE412" s="127"/>
      <c r="BF412" s="127"/>
      <c r="BG412" s="127"/>
      <c r="BH412" s="127"/>
      <c r="BI412" s="127"/>
      <c r="BJ412" s="127"/>
      <c r="BK412" s="127"/>
      <c r="BL412" s="127"/>
      <c r="BM412" s="127"/>
      <c r="BN412" s="127"/>
      <c r="BO412" s="127"/>
      <c r="BP412" s="127"/>
      <c r="BQ412" s="127"/>
      <c r="BR412" s="127"/>
      <c r="BS412" s="127"/>
      <c r="BT412" s="127"/>
      <c r="BU412" s="127"/>
      <c r="BV412" s="127"/>
      <c r="BW412" s="127"/>
      <c r="BX412" s="127"/>
      <c r="BY412" s="127"/>
      <c r="BZ412" s="127"/>
      <c r="CA412" s="127"/>
      <c r="CB412" s="187"/>
      <c r="CC412" s="189"/>
      <c r="CD412" s="188"/>
      <c r="CE412" s="127"/>
      <c r="CF412" s="190"/>
      <c r="CG412" s="190"/>
      <c r="CH412" s="187"/>
      <c r="CI412" s="187"/>
      <c r="CJ412" s="187"/>
      <c r="CK412" s="187"/>
      <c r="CL412" s="187"/>
      <c r="CM412" s="187"/>
      <c r="CN412" s="187"/>
      <c r="CO412" s="127"/>
      <c r="CP412" s="127"/>
      <c r="CQ412" s="187"/>
      <c r="CR412" s="187"/>
      <c r="CS412" s="187"/>
      <c r="CT412" s="187"/>
      <c r="CU412" s="187"/>
      <c r="CV412" s="187"/>
      <c r="CW412" s="187"/>
      <c r="CX412" s="187"/>
    </row>
    <row r="413" spans="1:102" ht="12.75" customHeight="1" x14ac:dyDescent="0.2">
      <c r="A413" s="187"/>
      <c r="B413" s="127"/>
      <c r="C413" s="187"/>
      <c r="D413" s="127"/>
      <c r="E413" s="187"/>
      <c r="F413" s="187"/>
      <c r="G413" s="187"/>
      <c r="H413" s="187"/>
      <c r="I413" s="187"/>
      <c r="J413" s="187"/>
      <c r="K413" s="187"/>
      <c r="L413" s="187"/>
      <c r="M413" s="187"/>
      <c r="N413" s="187"/>
      <c r="O413" s="187"/>
      <c r="P413" s="187"/>
      <c r="Q413" s="187"/>
      <c r="R413" s="187"/>
      <c r="S413" s="187"/>
      <c r="T413" s="127"/>
      <c r="U413" s="188"/>
      <c r="V413" s="127"/>
      <c r="W413" s="1438"/>
      <c r="X413" s="127"/>
      <c r="Y413" s="127"/>
      <c r="Z413" s="127"/>
      <c r="AA413" s="127"/>
      <c r="AB413" s="127"/>
      <c r="AC413" s="127"/>
      <c r="AD413" s="127"/>
      <c r="AE413" s="127"/>
      <c r="AF413" s="127"/>
      <c r="AG413" s="127"/>
      <c r="AH413" s="127"/>
      <c r="AI413" s="127"/>
      <c r="AJ413" s="127"/>
      <c r="AK413" s="127"/>
      <c r="AL413" s="127"/>
      <c r="AM413" s="127"/>
      <c r="AN413" s="127"/>
      <c r="AO413" s="127"/>
      <c r="AP413" s="127"/>
      <c r="AQ413" s="127"/>
      <c r="AR413" s="127"/>
      <c r="AS413" s="127"/>
      <c r="AT413" s="127"/>
      <c r="AU413" s="127"/>
      <c r="AV413" s="127"/>
      <c r="AW413" s="127"/>
      <c r="AX413" s="127"/>
      <c r="AY413" s="127"/>
      <c r="AZ413" s="127"/>
      <c r="BA413" s="127"/>
      <c r="BB413" s="127"/>
      <c r="BC413" s="127"/>
      <c r="BD413" s="127"/>
      <c r="BE413" s="127"/>
      <c r="BF413" s="127"/>
      <c r="BG413" s="127"/>
      <c r="BH413" s="127"/>
      <c r="BI413" s="127"/>
      <c r="BJ413" s="127"/>
      <c r="BK413" s="127"/>
      <c r="BL413" s="127"/>
      <c r="BM413" s="127"/>
      <c r="BN413" s="127"/>
      <c r="BO413" s="127"/>
      <c r="BP413" s="127"/>
      <c r="BQ413" s="127"/>
      <c r="BR413" s="127"/>
      <c r="BS413" s="127"/>
      <c r="BT413" s="127"/>
      <c r="BU413" s="127"/>
      <c r="BV413" s="127"/>
      <c r="BW413" s="127"/>
      <c r="BX413" s="127"/>
      <c r="BY413" s="127"/>
      <c r="BZ413" s="127"/>
      <c r="CA413" s="127"/>
      <c r="CB413" s="187"/>
      <c r="CC413" s="189"/>
      <c r="CD413" s="188"/>
      <c r="CE413" s="127"/>
      <c r="CF413" s="190"/>
      <c r="CG413" s="190"/>
      <c r="CH413" s="187"/>
      <c r="CI413" s="187"/>
      <c r="CJ413" s="187"/>
      <c r="CK413" s="187"/>
      <c r="CL413" s="187"/>
      <c r="CM413" s="187"/>
      <c r="CN413" s="187"/>
      <c r="CO413" s="127"/>
      <c r="CP413" s="127"/>
      <c r="CQ413" s="187"/>
      <c r="CR413" s="187"/>
      <c r="CS413" s="187"/>
      <c r="CT413" s="187"/>
      <c r="CU413" s="187"/>
      <c r="CV413" s="187"/>
      <c r="CW413" s="187"/>
      <c r="CX413" s="187"/>
    </row>
    <row r="414" spans="1:102" ht="12.75" customHeight="1" x14ac:dyDescent="0.2">
      <c r="A414" s="187"/>
      <c r="B414" s="127"/>
      <c r="C414" s="187"/>
      <c r="D414" s="127"/>
      <c r="E414" s="187"/>
      <c r="F414" s="187"/>
      <c r="G414" s="187"/>
      <c r="H414" s="187"/>
      <c r="I414" s="187"/>
      <c r="J414" s="187"/>
      <c r="K414" s="187"/>
      <c r="L414" s="187"/>
      <c r="M414" s="187"/>
      <c r="N414" s="187"/>
      <c r="O414" s="187"/>
      <c r="P414" s="187"/>
      <c r="Q414" s="187"/>
      <c r="R414" s="187"/>
      <c r="S414" s="187"/>
      <c r="T414" s="127"/>
      <c r="U414" s="188"/>
      <c r="V414" s="127"/>
      <c r="W414" s="1438"/>
      <c r="X414" s="127"/>
      <c r="Y414" s="127"/>
      <c r="Z414" s="127"/>
      <c r="AA414" s="127"/>
      <c r="AB414" s="127"/>
      <c r="AC414" s="127"/>
      <c r="AD414" s="127"/>
      <c r="AE414" s="127"/>
      <c r="AF414" s="127"/>
      <c r="AG414" s="127"/>
      <c r="AH414" s="127"/>
      <c r="AI414" s="127"/>
      <c r="AJ414" s="127"/>
      <c r="AK414" s="127"/>
      <c r="AL414" s="127"/>
      <c r="AM414" s="127"/>
      <c r="AN414" s="127"/>
      <c r="AO414" s="127"/>
      <c r="AP414" s="127"/>
      <c r="AQ414" s="127"/>
      <c r="AR414" s="127"/>
      <c r="AS414" s="127"/>
      <c r="AT414" s="127"/>
      <c r="AU414" s="127"/>
      <c r="AV414" s="127"/>
      <c r="AW414" s="127"/>
      <c r="AX414" s="127"/>
      <c r="AY414" s="127"/>
      <c r="AZ414" s="127"/>
      <c r="BA414" s="127"/>
      <c r="BB414" s="127"/>
      <c r="BC414" s="127"/>
      <c r="BD414" s="127"/>
      <c r="BE414" s="127"/>
      <c r="BF414" s="127"/>
      <c r="BG414" s="127"/>
      <c r="BH414" s="127"/>
      <c r="BI414" s="127"/>
      <c r="BJ414" s="127"/>
      <c r="BK414" s="127"/>
      <c r="BL414" s="127"/>
      <c r="BM414" s="127"/>
      <c r="BN414" s="127"/>
      <c r="BO414" s="127"/>
      <c r="BP414" s="127"/>
      <c r="BQ414" s="127"/>
      <c r="BR414" s="127"/>
      <c r="BS414" s="127"/>
      <c r="BT414" s="127"/>
      <c r="BU414" s="127"/>
      <c r="BV414" s="127"/>
      <c r="BW414" s="127"/>
      <c r="BX414" s="127"/>
      <c r="BY414" s="127"/>
      <c r="BZ414" s="127"/>
      <c r="CA414" s="127"/>
      <c r="CB414" s="187"/>
      <c r="CC414" s="189"/>
      <c r="CD414" s="188"/>
      <c r="CE414" s="127"/>
      <c r="CF414" s="190"/>
      <c r="CG414" s="190"/>
      <c r="CH414" s="187"/>
      <c r="CI414" s="187"/>
      <c r="CJ414" s="187"/>
      <c r="CK414" s="187"/>
      <c r="CL414" s="187"/>
      <c r="CM414" s="187"/>
      <c r="CN414" s="187"/>
      <c r="CO414" s="127"/>
      <c r="CP414" s="127"/>
      <c r="CQ414" s="187"/>
      <c r="CR414" s="187"/>
      <c r="CS414" s="187"/>
      <c r="CT414" s="187"/>
      <c r="CU414" s="187"/>
      <c r="CV414" s="187"/>
      <c r="CW414" s="187"/>
      <c r="CX414" s="187"/>
    </row>
    <row r="415" spans="1:102" ht="12.75" customHeight="1" x14ac:dyDescent="0.2">
      <c r="A415" s="187"/>
      <c r="B415" s="127"/>
      <c r="C415" s="187"/>
      <c r="D415" s="127"/>
      <c r="E415" s="187"/>
      <c r="F415" s="187"/>
      <c r="G415" s="187"/>
      <c r="H415" s="187"/>
      <c r="I415" s="187"/>
      <c r="J415" s="187"/>
      <c r="K415" s="187"/>
      <c r="L415" s="187"/>
      <c r="M415" s="187"/>
      <c r="N415" s="187"/>
      <c r="O415" s="187"/>
      <c r="P415" s="187"/>
      <c r="Q415" s="187"/>
      <c r="R415" s="187"/>
      <c r="S415" s="187"/>
      <c r="T415" s="127"/>
      <c r="U415" s="188"/>
      <c r="V415" s="127"/>
      <c r="W415" s="1438"/>
      <c r="X415" s="127"/>
      <c r="Y415" s="127"/>
      <c r="Z415" s="127"/>
      <c r="AA415" s="127"/>
      <c r="AB415" s="127"/>
      <c r="AC415" s="127"/>
      <c r="AD415" s="127"/>
      <c r="AE415" s="127"/>
      <c r="AF415" s="127"/>
      <c r="AG415" s="127"/>
      <c r="AH415" s="127"/>
      <c r="AI415" s="127"/>
      <c r="AJ415" s="127"/>
      <c r="AK415" s="127"/>
      <c r="AL415" s="127"/>
      <c r="AM415" s="127"/>
      <c r="AN415" s="127"/>
      <c r="AO415" s="127"/>
      <c r="AP415" s="127"/>
      <c r="AQ415" s="127"/>
      <c r="AR415" s="127"/>
      <c r="AS415" s="127"/>
      <c r="AT415" s="127"/>
      <c r="AU415" s="127"/>
      <c r="AV415" s="127"/>
      <c r="AW415" s="127"/>
      <c r="AX415" s="127"/>
      <c r="AY415" s="127"/>
      <c r="AZ415" s="127"/>
      <c r="BA415" s="127"/>
      <c r="BB415" s="127"/>
      <c r="BC415" s="127"/>
      <c r="BD415" s="127"/>
      <c r="BE415" s="127"/>
      <c r="BF415" s="127"/>
      <c r="BG415" s="127"/>
      <c r="BH415" s="127"/>
      <c r="BI415" s="127"/>
      <c r="BJ415" s="127"/>
      <c r="BK415" s="127"/>
      <c r="BL415" s="127"/>
      <c r="BM415" s="127"/>
      <c r="BN415" s="127"/>
      <c r="BO415" s="127"/>
      <c r="BP415" s="127"/>
      <c r="BQ415" s="127"/>
      <c r="BR415" s="127"/>
      <c r="BS415" s="127"/>
      <c r="BT415" s="127"/>
      <c r="BU415" s="127"/>
      <c r="BV415" s="127"/>
      <c r="BW415" s="127"/>
      <c r="BX415" s="127"/>
      <c r="BY415" s="127"/>
      <c r="BZ415" s="127"/>
      <c r="CA415" s="127"/>
      <c r="CB415" s="187"/>
      <c r="CC415" s="189"/>
      <c r="CD415" s="188"/>
      <c r="CE415" s="127"/>
      <c r="CF415" s="190"/>
      <c r="CG415" s="190"/>
      <c r="CH415" s="187"/>
      <c r="CI415" s="187"/>
      <c r="CJ415" s="187"/>
      <c r="CK415" s="187"/>
      <c r="CL415" s="187"/>
      <c r="CM415" s="187"/>
      <c r="CN415" s="187"/>
      <c r="CO415" s="127"/>
      <c r="CP415" s="127"/>
      <c r="CQ415" s="187"/>
      <c r="CR415" s="187"/>
      <c r="CS415" s="187"/>
      <c r="CT415" s="187"/>
      <c r="CU415" s="187"/>
      <c r="CV415" s="187"/>
      <c r="CW415" s="187"/>
      <c r="CX415" s="187"/>
    </row>
    <row r="416" spans="1:102" ht="12.75" customHeight="1" x14ac:dyDescent="0.2">
      <c r="A416" s="187"/>
      <c r="B416" s="127"/>
      <c r="C416" s="187"/>
      <c r="D416" s="127"/>
      <c r="E416" s="187"/>
      <c r="F416" s="187"/>
      <c r="G416" s="187"/>
      <c r="H416" s="187"/>
      <c r="I416" s="187"/>
      <c r="J416" s="187"/>
      <c r="K416" s="187"/>
      <c r="L416" s="187"/>
      <c r="M416" s="187"/>
      <c r="N416" s="187"/>
      <c r="O416" s="187"/>
      <c r="P416" s="187"/>
      <c r="Q416" s="187"/>
      <c r="R416" s="187"/>
      <c r="S416" s="187"/>
      <c r="T416" s="127"/>
      <c r="U416" s="188"/>
      <c r="V416" s="127"/>
      <c r="W416" s="1438"/>
      <c r="X416" s="127"/>
      <c r="Y416" s="127"/>
      <c r="Z416" s="127"/>
      <c r="AA416" s="127"/>
      <c r="AB416" s="127"/>
      <c r="AC416" s="127"/>
      <c r="AD416" s="127"/>
      <c r="AE416" s="127"/>
      <c r="AF416" s="127"/>
      <c r="AG416" s="127"/>
      <c r="AH416" s="127"/>
      <c r="AI416" s="127"/>
      <c r="AJ416" s="127"/>
      <c r="AK416" s="127"/>
      <c r="AL416" s="127"/>
      <c r="AM416" s="127"/>
      <c r="AN416" s="127"/>
      <c r="AO416" s="127"/>
      <c r="AP416" s="127"/>
      <c r="AQ416" s="127"/>
      <c r="AR416" s="127"/>
      <c r="AS416" s="127"/>
      <c r="AT416" s="127"/>
      <c r="AU416" s="127"/>
      <c r="AV416" s="127"/>
      <c r="AW416" s="127"/>
      <c r="AX416" s="127"/>
      <c r="AY416" s="127"/>
      <c r="AZ416" s="127"/>
      <c r="BA416" s="127"/>
      <c r="BB416" s="127"/>
      <c r="BC416" s="127"/>
      <c r="BD416" s="127"/>
      <c r="BE416" s="127"/>
      <c r="BF416" s="127"/>
      <c r="BG416" s="127"/>
      <c r="BH416" s="127"/>
      <c r="BI416" s="127"/>
      <c r="BJ416" s="127"/>
      <c r="BK416" s="127"/>
      <c r="BL416" s="127"/>
      <c r="BM416" s="127"/>
      <c r="BN416" s="127"/>
      <c r="BO416" s="127"/>
      <c r="BP416" s="127"/>
      <c r="BQ416" s="127"/>
      <c r="BR416" s="127"/>
      <c r="BS416" s="127"/>
      <c r="BT416" s="127"/>
      <c r="BU416" s="127"/>
      <c r="BV416" s="127"/>
      <c r="BW416" s="127"/>
      <c r="BX416" s="127"/>
      <c r="BY416" s="127"/>
      <c r="BZ416" s="127"/>
      <c r="CA416" s="127"/>
      <c r="CB416" s="187"/>
      <c r="CC416" s="189"/>
      <c r="CD416" s="188"/>
      <c r="CE416" s="127"/>
      <c r="CF416" s="190"/>
      <c r="CG416" s="190"/>
      <c r="CH416" s="187"/>
      <c r="CI416" s="187"/>
      <c r="CJ416" s="187"/>
      <c r="CK416" s="187"/>
      <c r="CL416" s="187"/>
      <c r="CM416" s="187"/>
      <c r="CN416" s="187"/>
      <c r="CO416" s="127"/>
      <c r="CP416" s="127"/>
      <c r="CQ416" s="187"/>
      <c r="CR416" s="187"/>
      <c r="CS416" s="187"/>
      <c r="CT416" s="187"/>
      <c r="CU416" s="187"/>
      <c r="CV416" s="187"/>
      <c r="CW416" s="187"/>
      <c r="CX416" s="187"/>
    </row>
    <row r="417" spans="1:102" ht="12.75" customHeight="1" x14ac:dyDescent="0.2">
      <c r="A417" s="187"/>
      <c r="B417" s="127"/>
      <c r="C417" s="187"/>
      <c r="D417" s="127"/>
      <c r="E417" s="187"/>
      <c r="F417" s="187"/>
      <c r="G417" s="187"/>
      <c r="H417" s="187"/>
      <c r="I417" s="187"/>
      <c r="J417" s="187"/>
      <c r="K417" s="187"/>
      <c r="L417" s="187"/>
      <c r="M417" s="187"/>
      <c r="N417" s="187"/>
      <c r="O417" s="187"/>
      <c r="P417" s="187"/>
      <c r="Q417" s="187"/>
      <c r="R417" s="187"/>
      <c r="S417" s="187"/>
      <c r="T417" s="127"/>
      <c r="U417" s="188"/>
      <c r="V417" s="127"/>
      <c r="W417" s="1438"/>
      <c r="X417" s="127"/>
      <c r="Y417" s="127"/>
      <c r="Z417" s="127"/>
      <c r="AA417" s="127"/>
      <c r="AB417" s="127"/>
      <c r="AC417" s="127"/>
      <c r="AD417" s="127"/>
      <c r="AE417" s="127"/>
      <c r="AF417" s="127"/>
      <c r="AG417" s="127"/>
      <c r="AH417" s="127"/>
      <c r="AI417" s="127"/>
      <c r="AJ417" s="127"/>
      <c r="AK417" s="127"/>
      <c r="AL417" s="127"/>
      <c r="AM417" s="127"/>
      <c r="AN417" s="127"/>
      <c r="AO417" s="127"/>
      <c r="AP417" s="127"/>
      <c r="AQ417" s="127"/>
      <c r="AR417" s="127"/>
      <c r="AS417" s="127"/>
      <c r="AT417" s="127"/>
      <c r="AU417" s="127"/>
      <c r="AV417" s="127"/>
      <c r="AW417" s="127"/>
      <c r="AX417" s="127"/>
      <c r="AY417" s="127"/>
      <c r="AZ417" s="127"/>
      <c r="BA417" s="127"/>
      <c r="BB417" s="127"/>
      <c r="BC417" s="127"/>
      <c r="BD417" s="127"/>
      <c r="BE417" s="127"/>
      <c r="BF417" s="127"/>
      <c r="BG417" s="127"/>
      <c r="BH417" s="127"/>
      <c r="BI417" s="127"/>
      <c r="BJ417" s="127"/>
      <c r="BK417" s="127"/>
      <c r="BL417" s="127"/>
      <c r="BM417" s="127"/>
      <c r="BN417" s="127"/>
      <c r="BO417" s="127"/>
      <c r="BP417" s="127"/>
      <c r="BQ417" s="127"/>
      <c r="BR417" s="127"/>
      <c r="BS417" s="127"/>
      <c r="BT417" s="127"/>
      <c r="BU417" s="127"/>
      <c r="BV417" s="127"/>
      <c r="BW417" s="127"/>
      <c r="BX417" s="127"/>
      <c r="BY417" s="127"/>
      <c r="BZ417" s="127"/>
      <c r="CA417" s="127"/>
      <c r="CB417" s="187"/>
      <c r="CC417" s="189"/>
      <c r="CD417" s="188"/>
      <c r="CE417" s="127"/>
      <c r="CF417" s="190"/>
      <c r="CG417" s="190"/>
      <c r="CH417" s="187"/>
      <c r="CI417" s="187"/>
      <c r="CJ417" s="187"/>
      <c r="CK417" s="187"/>
      <c r="CL417" s="187"/>
      <c r="CM417" s="187"/>
      <c r="CN417" s="187"/>
      <c r="CO417" s="127"/>
      <c r="CP417" s="127"/>
      <c r="CQ417" s="187"/>
      <c r="CR417" s="187"/>
      <c r="CS417" s="187"/>
      <c r="CT417" s="187"/>
      <c r="CU417" s="187"/>
      <c r="CV417" s="187"/>
      <c r="CW417" s="187"/>
      <c r="CX417" s="187"/>
    </row>
  </sheetData>
  <sheetProtection algorithmName="SHA-512" hashValue="QrwTCNxELTs7BKB4O/W9G1CL0xAR+31hofAB2HM4Ss4AIorwtVIrR60BGY+Z1J4hpRABVGO92rQNrtliTkui2g==" saltValue="AJBHWom6i9xEr0LowoWAPQ==" spinCount="100000" sheet="1" objects="1" scenarios="1"/>
  <autoFilter ref="A1:CX218"/>
  <mergeCells count="46">
    <mergeCell ref="T160:T162"/>
    <mergeCell ref="T169:T180"/>
    <mergeCell ref="T181:T184"/>
    <mergeCell ref="T185:T193"/>
    <mergeCell ref="T194:T195"/>
    <mergeCell ref="T196:T200"/>
    <mergeCell ref="B152:B168"/>
    <mergeCell ref="B169:B201"/>
    <mergeCell ref="B202:B217"/>
    <mergeCell ref="B2:B58"/>
    <mergeCell ref="T2:T8"/>
    <mergeCell ref="T9:T18"/>
    <mergeCell ref="T19:T24"/>
    <mergeCell ref="T25:T36"/>
    <mergeCell ref="T37:T40"/>
    <mergeCell ref="T202:T208"/>
    <mergeCell ref="T209:T210"/>
    <mergeCell ref="T211:T216"/>
    <mergeCell ref="T83:T91"/>
    <mergeCell ref="T92:T98"/>
    <mergeCell ref="T111:T114"/>
    <mergeCell ref="T115:T118"/>
    <mergeCell ref="T77:T82"/>
    <mergeCell ref="B59:B110"/>
    <mergeCell ref="B111:B129"/>
    <mergeCell ref="T99:T109"/>
    <mergeCell ref="T59:T63"/>
    <mergeCell ref="T64:T67"/>
    <mergeCell ref="T68:T72"/>
    <mergeCell ref="T73:T76"/>
    <mergeCell ref="B130:B151"/>
    <mergeCell ref="T119:T120"/>
    <mergeCell ref="T121:T125"/>
    <mergeCell ref="T126:T128"/>
    <mergeCell ref="A2:A218"/>
    <mergeCell ref="T163:T167"/>
    <mergeCell ref="T130:T134"/>
    <mergeCell ref="T135:T139"/>
    <mergeCell ref="T140:T146"/>
    <mergeCell ref="T147:T150"/>
    <mergeCell ref="T152:T154"/>
    <mergeCell ref="T155:T157"/>
    <mergeCell ref="T158:T159"/>
    <mergeCell ref="T46:T50"/>
    <mergeCell ref="T51:T57"/>
    <mergeCell ref="T41:T45"/>
  </mergeCells>
  <hyperlinks>
    <hyperlink ref="U10" location="Google_Sheet_Link_982374181" display="_ftn1"/>
    <hyperlink ref="U13" location="Google_Sheet_Link_1446329970" display="_ftn2"/>
  </hyperlinks>
  <pageMargins left="0.70866141732283472" right="0.70866141732283472" top="0.74803149606299213" bottom="0.74803149606299213" header="0" footer="0"/>
  <pageSetup paperSize="5" scale="55"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Y334"/>
  <sheetViews>
    <sheetView zoomScale="90" zoomScaleNormal="90" workbookViewId="0">
      <pane xSplit="21" ySplit="1" topLeftCell="X259" activePane="bottomRight" state="frozen"/>
      <selection pane="topRight" activeCell="V1" sqref="V1"/>
      <selection pane="bottomLeft" activeCell="A2" sqref="A2"/>
      <selection pane="bottomRight" activeCell="BB263" sqref="BB263"/>
    </sheetView>
  </sheetViews>
  <sheetFormatPr baseColWidth="10" defaultColWidth="12.625" defaultRowHeight="15" customHeight="1" x14ac:dyDescent="0.2"/>
  <cols>
    <col min="1" max="1" width="2.75" customWidth="1"/>
    <col min="2" max="2" width="6" customWidth="1"/>
    <col min="3" max="3" width="10.375" hidden="1" customWidth="1"/>
    <col min="4" max="4" width="0.125" hidden="1" customWidth="1"/>
    <col min="5" max="19" width="10.375" hidden="1" customWidth="1"/>
    <col min="20" max="20" width="7.125" hidden="1" customWidth="1"/>
    <col min="21" max="21" width="8.5" customWidth="1"/>
    <col min="22" max="22" width="0.25" customWidth="1"/>
    <col min="23" max="23" width="7.75" customWidth="1"/>
    <col min="24" max="24" width="17.125" style="1470" customWidth="1"/>
    <col min="25" max="25" width="10.5" customWidth="1"/>
    <col min="26" max="26" width="5.25" hidden="1" customWidth="1"/>
    <col min="27" max="27" width="4.5" hidden="1" customWidth="1"/>
    <col min="28" max="28" width="9.5" hidden="1" customWidth="1"/>
    <col min="29" max="29" width="9.25" hidden="1" customWidth="1"/>
    <col min="30" max="30" width="7.125" hidden="1" customWidth="1"/>
    <col min="31" max="31" width="10.75" hidden="1" customWidth="1"/>
    <col min="32" max="32" width="13" hidden="1" customWidth="1"/>
    <col min="33" max="33" width="13.375" hidden="1" customWidth="1"/>
    <col min="34" max="34" width="0.125" hidden="1" customWidth="1"/>
    <col min="35" max="35" width="13.125" hidden="1" customWidth="1"/>
    <col min="36" max="36" width="28.375" hidden="1" customWidth="1"/>
    <col min="37" max="37" width="14.5" hidden="1" customWidth="1"/>
    <col min="38" max="38" width="12.125" hidden="1" customWidth="1"/>
    <col min="39" max="39" width="12.875" hidden="1" customWidth="1"/>
    <col min="40" max="40" width="8.625" hidden="1" customWidth="1"/>
    <col min="41" max="41" width="0.125" hidden="1" customWidth="1"/>
    <col min="42" max="42" width="12.125" hidden="1" customWidth="1"/>
    <col min="43" max="43" width="26.875" hidden="1" customWidth="1"/>
    <col min="44" max="44" width="13" hidden="1" customWidth="1"/>
    <col min="45" max="45" width="22.125" hidden="1" customWidth="1"/>
    <col min="46" max="46" width="0.375" hidden="1" customWidth="1"/>
    <col min="47" max="49" width="0.125" hidden="1" customWidth="1"/>
    <col min="50" max="50" width="0.125" customWidth="1"/>
    <col min="51" max="51" width="4.125" hidden="1" customWidth="1"/>
    <col min="52" max="52" width="11" customWidth="1"/>
    <col min="53" max="53" width="11.875" customWidth="1"/>
    <col min="54" max="54" width="9.25" customWidth="1"/>
    <col min="55" max="55" width="8.5" customWidth="1"/>
    <col min="56" max="56" width="10.75" hidden="1" customWidth="1"/>
    <col min="57" max="57" width="7.75" customWidth="1"/>
    <col min="58" max="58" width="9.5" hidden="1" customWidth="1"/>
    <col min="59" max="59" width="12.875" customWidth="1"/>
    <col min="60" max="60" width="9.375" customWidth="1"/>
    <col min="61" max="61" width="12.125" customWidth="1"/>
    <col min="62" max="62" width="9.75" customWidth="1"/>
    <col min="63" max="63" width="10.875" customWidth="1"/>
    <col min="64" max="64" width="9.75" customWidth="1"/>
    <col min="65" max="65" width="11.375" customWidth="1"/>
    <col min="66" max="66" width="12.625" customWidth="1"/>
    <col min="67" max="67" width="16.125" hidden="1" customWidth="1"/>
    <col min="68" max="101" width="10" hidden="1" customWidth="1"/>
    <col min="102" max="102" width="23.5" hidden="1" customWidth="1"/>
    <col min="103" max="103" width="18.25" hidden="1" customWidth="1"/>
  </cols>
  <sheetData>
    <row r="1" spans="1:103" s="1331" customFormat="1" ht="71.25" customHeight="1" x14ac:dyDescent="0.15">
      <c r="A1" s="1319" t="s">
        <v>92</v>
      </c>
      <c r="B1" s="1319" t="s">
        <v>114</v>
      </c>
      <c r="C1" s="1319" t="s">
        <v>115</v>
      </c>
      <c r="D1" s="1319" t="s">
        <v>116</v>
      </c>
      <c r="E1" s="1319" t="s">
        <v>117</v>
      </c>
      <c r="F1" s="1319" t="s">
        <v>118</v>
      </c>
      <c r="G1" s="1319" t="s">
        <v>119</v>
      </c>
      <c r="H1" s="1319" t="s">
        <v>120</v>
      </c>
      <c r="I1" s="1319" t="s">
        <v>121</v>
      </c>
      <c r="J1" s="1319" t="s">
        <v>122</v>
      </c>
      <c r="K1" s="1319" t="s">
        <v>123</v>
      </c>
      <c r="L1" s="1319" t="s">
        <v>124</v>
      </c>
      <c r="M1" s="1319" t="s">
        <v>12</v>
      </c>
      <c r="N1" s="1319" t="s">
        <v>13</v>
      </c>
      <c r="O1" s="1319" t="s">
        <v>14</v>
      </c>
      <c r="P1" s="1319" t="s">
        <v>15</v>
      </c>
      <c r="Q1" s="1319" t="s">
        <v>16</v>
      </c>
      <c r="R1" s="1319" t="s">
        <v>17</v>
      </c>
      <c r="S1" s="1319" t="s">
        <v>18</v>
      </c>
      <c r="T1" s="1320"/>
      <c r="U1" s="1321" t="s">
        <v>125</v>
      </c>
      <c r="V1" s="1321" t="s">
        <v>126</v>
      </c>
      <c r="W1" s="1321" t="s">
        <v>116</v>
      </c>
      <c r="X1" s="1450" t="s">
        <v>127</v>
      </c>
      <c r="Y1" s="1319" t="s">
        <v>128</v>
      </c>
      <c r="Z1" s="1319" t="s">
        <v>129</v>
      </c>
      <c r="AA1" s="1319" t="s">
        <v>130</v>
      </c>
      <c r="AB1" s="1322" t="s">
        <v>131</v>
      </c>
      <c r="AC1" s="1319" t="s">
        <v>132</v>
      </c>
      <c r="AD1" s="1319" t="s">
        <v>133</v>
      </c>
      <c r="AE1" s="1322" t="s">
        <v>134</v>
      </c>
      <c r="AF1" s="1319" t="s">
        <v>135</v>
      </c>
      <c r="AG1" s="1319" t="s">
        <v>136</v>
      </c>
      <c r="AH1" s="1319" t="s">
        <v>26</v>
      </c>
      <c r="AI1" s="1323" t="s">
        <v>137</v>
      </c>
      <c r="AJ1" s="1319" t="s">
        <v>28</v>
      </c>
      <c r="AK1" s="1319" t="s">
        <v>29</v>
      </c>
      <c r="AL1" s="1319" t="s">
        <v>30</v>
      </c>
      <c r="AM1" s="1324" t="s">
        <v>31</v>
      </c>
      <c r="AN1" s="1319" t="s">
        <v>32</v>
      </c>
      <c r="AO1" s="1325" t="s">
        <v>130</v>
      </c>
      <c r="AP1" s="1326" t="s">
        <v>138</v>
      </c>
      <c r="AQ1" s="1327" t="s">
        <v>26</v>
      </c>
      <c r="AR1" s="1326" t="s">
        <v>139</v>
      </c>
      <c r="AS1" s="1327" t="s">
        <v>26</v>
      </c>
      <c r="AT1" s="1326" t="s">
        <v>604</v>
      </c>
      <c r="AU1" s="1327" t="s">
        <v>26</v>
      </c>
      <c r="AV1" s="1328" t="s">
        <v>605</v>
      </c>
      <c r="AW1" s="1327" t="s">
        <v>26</v>
      </c>
      <c r="AX1" s="1329" t="s">
        <v>38</v>
      </c>
      <c r="AY1" s="1329" t="s">
        <v>39</v>
      </c>
      <c r="AZ1" s="1329" t="s">
        <v>40</v>
      </c>
      <c r="BA1" s="1329" t="s">
        <v>41</v>
      </c>
      <c r="BB1" s="1326" t="s">
        <v>131</v>
      </c>
      <c r="BC1" s="1326" t="s">
        <v>142</v>
      </c>
      <c r="BD1" s="1327" t="s">
        <v>26</v>
      </c>
      <c r="BE1" s="1327" t="s">
        <v>143</v>
      </c>
      <c r="BF1" s="1327" t="s">
        <v>26</v>
      </c>
      <c r="BG1" s="1327" t="s">
        <v>144</v>
      </c>
      <c r="BH1" s="1653" t="s">
        <v>26</v>
      </c>
      <c r="BI1" s="1654" t="s">
        <v>145</v>
      </c>
      <c r="BJ1" s="1654" t="s">
        <v>26</v>
      </c>
      <c r="BK1" s="1326" t="s">
        <v>47</v>
      </c>
      <c r="BL1" s="1326" t="s">
        <v>48</v>
      </c>
      <c r="BM1" s="1326" t="s">
        <v>49</v>
      </c>
      <c r="BN1" s="1326" t="s">
        <v>50</v>
      </c>
      <c r="BO1" s="1327" t="s">
        <v>146</v>
      </c>
      <c r="BP1" s="1327" t="s">
        <v>147</v>
      </c>
      <c r="BQ1" s="1327" t="s">
        <v>26</v>
      </c>
      <c r="BR1" s="1327" t="s">
        <v>148</v>
      </c>
      <c r="BS1" s="1327" t="s">
        <v>26</v>
      </c>
      <c r="BT1" s="1327" t="s">
        <v>149</v>
      </c>
      <c r="BU1" s="1327" t="s">
        <v>26</v>
      </c>
      <c r="BV1" s="1327" t="s">
        <v>150</v>
      </c>
      <c r="BW1" s="1327" t="s">
        <v>26</v>
      </c>
      <c r="BX1" s="1327" t="s">
        <v>56</v>
      </c>
      <c r="BY1" s="1327" t="s">
        <v>57</v>
      </c>
      <c r="BZ1" s="1327" t="s">
        <v>58</v>
      </c>
      <c r="CA1" s="1327" t="s">
        <v>59</v>
      </c>
      <c r="CB1" s="1327" t="s">
        <v>151</v>
      </c>
      <c r="CC1" s="1327" t="s">
        <v>152</v>
      </c>
      <c r="CD1" s="1327" t="s">
        <v>153</v>
      </c>
      <c r="CE1" s="1327" t="s">
        <v>154</v>
      </c>
      <c r="CF1" s="1327" t="s">
        <v>155</v>
      </c>
      <c r="CG1" s="1330" t="s">
        <v>156</v>
      </c>
      <c r="CH1" s="1330" t="s">
        <v>157</v>
      </c>
      <c r="CI1" s="1327" t="s">
        <v>158</v>
      </c>
      <c r="CJ1" s="1327" t="s">
        <v>68</v>
      </c>
      <c r="CK1" s="1327" t="s">
        <v>159</v>
      </c>
      <c r="CL1" s="1327" t="s">
        <v>70</v>
      </c>
      <c r="CM1" s="1327" t="s">
        <v>71</v>
      </c>
      <c r="CN1" s="1327" t="s">
        <v>72</v>
      </c>
      <c r="CO1" s="1327" t="s">
        <v>73</v>
      </c>
      <c r="CP1" s="1327" t="s">
        <v>160</v>
      </c>
      <c r="CQ1" s="1327" t="s">
        <v>161</v>
      </c>
      <c r="CR1" s="1327" t="s">
        <v>76</v>
      </c>
      <c r="CS1" s="1327" t="s">
        <v>77</v>
      </c>
      <c r="CT1" s="1327" t="s">
        <v>78</v>
      </c>
      <c r="CU1" s="1327" t="s">
        <v>79</v>
      </c>
      <c r="CV1" s="1327" t="s">
        <v>80</v>
      </c>
      <c r="CW1" s="1327" t="s">
        <v>81</v>
      </c>
      <c r="CX1" s="1327" t="s">
        <v>82</v>
      </c>
      <c r="CY1" s="1327" t="s">
        <v>83</v>
      </c>
    </row>
    <row r="2" spans="1:103" s="1299" customFormat="1" ht="67.5" customHeight="1" x14ac:dyDescent="0.2">
      <c r="A2" s="1819" t="s">
        <v>606</v>
      </c>
      <c r="B2" s="1822" t="s">
        <v>607</v>
      </c>
      <c r="C2" s="1309" t="s">
        <v>608</v>
      </c>
      <c r="D2" s="1309" t="s">
        <v>609</v>
      </c>
      <c r="E2" s="1310"/>
      <c r="F2" s="1310"/>
      <c r="G2" s="1310"/>
      <c r="H2" s="1310"/>
      <c r="I2" s="1310"/>
      <c r="J2" s="1310"/>
      <c r="K2" s="1310"/>
      <c r="L2" s="1310"/>
      <c r="M2" s="1310"/>
      <c r="N2" s="1310"/>
      <c r="O2" s="1310"/>
      <c r="P2" s="1310"/>
      <c r="Q2" s="1310"/>
      <c r="R2" s="1310"/>
      <c r="S2" s="1310"/>
      <c r="T2" s="1309" t="s">
        <v>610</v>
      </c>
      <c r="U2" s="1829" t="s">
        <v>611</v>
      </c>
      <c r="V2" s="1309" t="s">
        <v>612</v>
      </c>
      <c r="W2" s="1309" t="s">
        <v>613</v>
      </c>
      <c r="X2" s="1451" t="s">
        <v>614</v>
      </c>
      <c r="Y2" s="1311">
        <v>24366</v>
      </c>
      <c r="Z2" s="1311">
        <v>1000</v>
      </c>
      <c r="AA2" s="1311">
        <v>6500</v>
      </c>
      <c r="AB2" s="1311">
        <v>10435</v>
      </c>
      <c r="AC2" s="1312">
        <f>+Z2/Y2</f>
        <v>4.1040794549782482E-2</v>
      </c>
      <c r="AD2" s="1312">
        <f>+AA2/Y2</f>
        <v>0.26676516457358612</v>
      </c>
      <c r="AE2" s="1312">
        <f>+AB2/Y2</f>
        <v>0.42826069112698023</v>
      </c>
      <c r="AF2" s="1311">
        <v>102</v>
      </c>
      <c r="AG2" s="198">
        <f>787+AF2</f>
        <v>889</v>
      </c>
      <c r="AH2" s="1313"/>
      <c r="AI2" s="1311">
        <v>2017</v>
      </c>
      <c r="AJ2" s="1313"/>
      <c r="AK2" s="1311">
        <f>+AI2</f>
        <v>2017</v>
      </c>
      <c r="AL2" s="1312">
        <v>1</v>
      </c>
      <c r="AM2" s="1311">
        <f>+AK2</f>
        <v>2017</v>
      </c>
      <c r="AN2" s="1295">
        <f>+AM2/Y2</f>
        <v>8.2779282606911267E-2</v>
      </c>
      <c r="AO2" s="1311">
        <v>6500</v>
      </c>
      <c r="AP2" s="1313">
        <v>380</v>
      </c>
      <c r="AQ2" s="1314"/>
      <c r="AR2" s="1314">
        <v>2668</v>
      </c>
      <c r="AS2" s="1314"/>
      <c r="AT2" s="1313">
        <v>0</v>
      </c>
      <c r="AU2" s="1314"/>
      <c r="AV2" s="1313">
        <v>0</v>
      </c>
      <c r="AW2" s="1314"/>
      <c r="AX2" s="1314">
        <f>+AP2+AR2</f>
        <v>3048</v>
      </c>
      <c r="AY2" s="1315">
        <f>+AX2/AO2</f>
        <v>0.46892307692307694</v>
      </c>
      <c r="AZ2" s="1316">
        <f>+AX2+AM2</f>
        <v>5065</v>
      </c>
      <c r="BA2" s="1317">
        <f>+AZ2/Y2</f>
        <v>0.20787162439464829</v>
      </c>
      <c r="BB2" s="1311">
        <v>10435</v>
      </c>
      <c r="BC2" s="1313">
        <v>257</v>
      </c>
      <c r="BD2" s="1313"/>
      <c r="BE2" s="1313">
        <v>205</v>
      </c>
      <c r="BF2" s="1313"/>
      <c r="BG2" s="1313">
        <v>12</v>
      </c>
      <c r="BH2" s="1313"/>
      <c r="BI2" s="1313">
        <v>212</v>
      </c>
      <c r="BJ2" s="1313"/>
      <c r="BK2" s="1313">
        <f>+BC2+BE2+BG2+BI2</f>
        <v>686</v>
      </c>
      <c r="BL2" s="1295">
        <f>+BK2/BB2</f>
        <v>6.5740297077144225E-2</v>
      </c>
      <c r="BM2" s="1311">
        <f>+BK2+AZ2</f>
        <v>5751</v>
      </c>
      <c r="BN2" s="1295">
        <f>+BM2/Y2</f>
        <v>0.23602560945579906</v>
      </c>
      <c r="BO2" s="1318"/>
      <c r="BP2" s="1318"/>
      <c r="BQ2" s="1318"/>
      <c r="BR2" s="1318"/>
      <c r="BS2" s="1318"/>
      <c r="BT2" s="1318"/>
      <c r="BU2" s="1318"/>
      <c r="BV2" s="1318"/>
      <c r="BW2" s="1318"/>
      <c r="BX2" s="1318"/>
      <c r="BY2" s="1318"/>
      <c r="BZ2" s="1318"/>
      <c r="CA2" s="1318"/>
      <c r="CB2" s="1318"/>
      <c r="CC2" s="1318"/>
      <c r="CD2" s="1318"/>
      <c r="CE2" s="1318"/>
      <c r="CF2" s="1318"/>
      <c r="CG2" s="1318"/>
      <c r="CH2" s="1318"/>
      <c r="CI2" s="1318"/>
      <c r="CJ2" s="1318"/>
      <c r="CK2" s="1318"/>
      <c r="CL2" s="1318"/>
      <c r="CM2" s="1318"/>
      <c r="CN2" s="1318"/>
      <c r="CO2" s="1318"/>
      <c r="CP2" s="1318"/>
      <c r="CQ2" s="1318"/>
      <c r="CR2" s="1318"/>
      <c r="CS2" s="1318"/>
      <c r="CT2" s="1318"/>
      <c r="CU2" s="1318"/>
      <c r="CV2" s="1318"/>
      <c r="CW2" s="1318"/>
      <c r="CX2" s="1318"/>
      <c r="CY2" s="1318"/>
    </row>
    <row r="3" spans="1:103" ht="42.75" customHeight="1" x14ac:dyDescent="0.2">
      <c r="A3" s="1820"/>
      <c r="B3" s="1823"/>
      <c r="C3" s="194"/>
      <c r="D3" s="194"/>
      <c r="E3" s="195"/>
      <c r="F3" s="195"/>
      <c r="G3" s="195"/>
      <c r="H3" s="195"/>
      <c r="I3" s="195"/>
      <c r="J3" s="195"/>
      <c r="K3" s="195"/>
      <c r="L3" s="195"/>
      <c r="M3" s="195"/>
      <c r="N3" s="195"/>
      <c r="O3" s="195"/>
      <c r="P3" s="195"/>
      <c r="Q3" s="195"/>
      <c r="R3" s="195"/>
      <c r="S3" s="195"/>
      <c r="T3" s="194"/>
      <c r="U3" s="1830"/>
      <c r="V3" s="194" t="s">
        <v>615</v>
      </c>
      <c r="W3" s="194" t="s">
        <v>616</v>
      </c>
      <c r="X3" s="1241" t="s">
        <v>617</v>
      </c>
      <c r="Y3" s="196">
        <v>5000</v>
      </c>
      <c r="Z3" s="196">
        <v>50</v>
      </c>
      <c r="AA3" s="196">
        <v>1500</v>
      </c>
      <c r="AB3" s="196">
        <v>3000</v>
      </c>
      <c r="AC3" s="197">
        <f>+Z3/Y3</f>
        <v>0.01</v>
      </c>
      <c r="AD3" s="197">
        <f>+AA3/Y3</f>
        <v>0.3</v>
      </c>
      <c r="AE3" s="197">
        <f>+AB3/Y3</f>
        <v>0.6</v>
      </c>
      <c r="AF3" s="196">
        <v>0</v>
      </c>
      <c r="AG3" s="205">
        <v>102</v>
      </c>
      <c r="AH3" s="199"/>
      <c r="AI3" s="196">
        <v>102</v>
      </c>
      <c r="AJ3" s="199"/>
      <c r="AK3" s="196">
        <f>+AI3</f>
        <v>102</v>
      </c>
      <c r="AL3" s="197">
        <v>1</v>
      </c>
      <c r="AM3" s="196">
        <f>+AK3</f>
        <v>102</v>
      </c>
      <c r="AN3" s="58">
        <f>+AM3/Y3</f>
        <v>2.0400000000000001E-2</v>
      </c>
      <c r="AO3" s="196">
        <v>1500</v>
      </c>
      <c r="AP3" s="199">
        <v>118</v>
      </c>
      <c r="AQ3" s="195"/>
      <c r="AR3" s="199">
        <v>155</v>
      </c>
      <c r="AS3" s="195"/>
      <c r="AT3" s="199">
        <v>0</v>
      </c>
      <c r="AU3" s="195"/>
      <c r="AV3" s="199">
        <v>78</v>
      </c>
      <c r="AW3" s="195"/>
      <c r="AX3" s="200">
        <f>+AP3+AR3+AV3</f>
        <v>351</v>
      </c>
      <c r="AY3" s="201">
        <f>+AX3/AO3</f>
        <v>0.23400000000000001</v>
      </c>
      <c r="AZ3" s="202">
        <f>+AX3+AM3</f>
        <v>453</v>
      </c>
      <c r="BA3" s="203">
        <f>+AZ3/Y3</f>
        <v>9.06E-2</v>
      </c>
      <c r="BB3" s="199">
        <v>3047</v>
      </c>
      <c r="BC3" s="199">
        <v>224</v>
      </c>
      <c r="BD3" s="195"/>
      <c r="BE3" s="199">
        <v>216</v>
      </c>
      <c r="BF3" s="195"/>
      <c r="BG3" s="199">
        <v>1204</v>
      </c>
      <c r="BH3" s="195"/>
      <c r="BI3" s="199">
        <v>427</v>
      </c>
      <c r="BJ3" s="195"/>
      <c r="BK3" s="1313">
        <f>+BC3+BE3+BG3+BI3</f>
        <v>2071</v>
      </c>
      <c r="BL3" s="58">
        <f>+BK3/BB3</f>
        <v>0.67968493600262558</v>
      </c>
      <c r="BM3" s="196">
        <f>+BK3+AZ3</f>
        <v>2524</v>
      </c>
      <c r="BN3" s="58">
        <f>BM3/Y3</f>
        <v>0.50480000000000003</v>
      </c>
      <c r="BO3" s="204"/>
      <c r="BP3" s="204"/>
      <c r="BQ3" s="204"/>
      <c r="BR3" s="204"/>
      <c r="BS3" s="204"/>
      <c r="BT3" s="204"/>
      <c r="BU3" s="204"/>
      <c r="BV3" s="204"/>
      <c r="BW3" s="204"/>
      <c r="BX3" s="204"/>
      <c r="BY3" s="204"/>
      <c r="BZ3" s="204"/>
      <c r="CA3" s="204"/>
      <c r="CB3" s="204"/>
      <c r="CC3" s="204"/>
      <c r="CD3" s="204"/>
      <c r="CE3" s="204"/>
      <c r="CF3" s="204"/>
      <c r="CG3" s="204"/>
      <c r="CH3" s="204"/>
      <c r="CI3" s="204"/>
      <c r="CJ3" s="204"/>
      <c r="CK3" s="204"/>
      <c r="CL3" s="204"/>
      <c r="CM3" s="204"/>
      <c r="CN3" s="204"/>
      <c r="CO3" s="204"/>
      <c r="CP3" s="204"/>
      <c r="CQ3" s="204"/>
      <c r="CR3" s="204"/>
      <c r="CS3" s="204"/>
      <c r="CT3" s="204"/>
      <c r="CU3" s="204"/>
      <c r="CV3" s="204"/>
      <c r="CW3" s="204"/>
      <c r="CX3" s="204"/>
      <c r="CY3" s="204"/>
    </row>
    <row r="4" spans="1:103" ht="45" customHeight="1" x14ac:dyDescent="0.2">
      <c r="A4" s="1820"/>
      <c r="B4" s="1823"/>
      <c r="C4" s="194"/>
      <c r="D4" s="194"/>
      <c r="E4" s="195"/>
      <c r="F4" s="195"/>
      <c r="G4" s="195"/>
      <c r="H4" s="195"/>
      <c r="I4" s="195"/>
      <c r="J4" s="195"/>
      <c r="K4" s="195"/>
      <c r="L4" s="195"/>
      <c r="M4" s="195"/>
      <c r="N4" s="195"/>
      <c r="O4" s="195"/>
      <c r="P4" s="195"/>
      <c r="Q4" s="195"/>
      <c r="R4" s="195"/>
      <c r="S4" s="195"/>
      <c r="T4" s="194"/>
      <c r="U4" s="1830"/>
      <c r="V4" s="194" t="s">
        <v>618</v>
      </c>
      <c r="W4" s="194" t="s">
        <v>619</v>
      </c>
      <c r="X4" s="1241" t="s">
        <v>620</v>
      </c>
      <c r="Y4" s="196">
        <v>10000</v>
      </c>
      <c r="Z4" s="196">
        <v>1000</v>
      </c>
      <c r="AA4" s="196">
        <v>3000</v>
      </c>
      <c r="AB4" s="196">
        <v>4000</v>
      </c>
      <c r="AC4" s="197">
        <f>+Z4/Y4</f>
        <v>0.1</v>
      </c>
      <c r="AD4" s="197">
        <f>+AA4/Y4</f>
        <v>0.3</v>
      </c>
      <c r="AE4" s="197">
        <f>+AB4/Y4</f>
        <v>0.4</v>
      </c>
      <c r="AF4" s="196">
        <v>209</v>
      </c>
      <c r="AG4" s="196">
        <f>940+AF4</f>
        <v>1149</v>
      </c>
      <c r="AH4" s="199"/>
      <c r="AI4" s="196">
        <v>1358</v>
      </c>
      <c r="AJ4" s="199"/>
      <c r="AK4" s="196">
        <f>+AI4</f>
        <v>1358</v>
      </c>
      <c r="AL4" s="197">
        <v>1</v>
      </c>
      <c r="AM4" s="196">
        <f>+AK4</f>
        <v>1358</v>
      </c>
      <c r="AN4" s="58">
        <f>+AM4/Y4</f>
        <v>0.1358</v>
      </c>
      <c r="AO4" s="196">
        <v>3000</v>
      </c>
      <c r="AP4" s="199">
        <v>100</v>
      </c>
      <c r="AQ4" s="195"/>
      <c r="AR4" s="199">
        <v>647</v>
      </c>
      <c r="AS4" s="195"/>
      <c r="AT4" s="199">
        <v>1245</v>
      </c>
      <c r="AU4" s="195"/>
      <c r="AV4" s="199">
        <v>665</v>
      </c>
      <c r="AW4" s="195"/>
      <c r="AX4" s="200">
        <f>+AP4+AR4+AT4+AV4</f>
        <v>2657</v>
      </c>
      <c r="AY4" s="201">
        <f>+AX4/AO4</f>
        <v>0.88566666666666671</v>
      </c>
      <c r="AZ4" s="202">
        <f>+AX4+AM4</f>
        <v>4015</v>
      </c>
      <c r="BA4" s="206">
        <f>+AZ4/Y4</f>
        <v>0.40150000000000002</v>
      </c>
      <c r="BB4" s="199">
        <v>3000</v>
      </c>
      <c r="BC4" s="199">
        <v>2779</v>
      </c>
      <c r="BD4" s="195"/>
      <c r="BE4" s="199">
        <v>3940</v>
      </c>
      <c r="BF4" s="195"/>
      <c r="BG4" s="199">
        <v>174</v>
      </c>
      <c r="BH4" s="195"/>
      <c r="BI4" s="199">
        <v>7016</v>
      </c>
      <c r="BJ4" s="195"/>
      <c r="BK4" s="1313">
        <f t="shared" ref="BK4" si="0">+BC4+BE4+BG4+BI4</f>
        <v>13909</v>
      </c>
      <c r="BL4" s="58">
        <v>1</v>
      </c>
      <c r="BM4" s="196">
        <f>+BK4+AZ4</f>
        <v>17924</v>
      </c>
      <c r="BN4" s="58">
        <v>1</v>
      </c>
      <c r="BO4" s="204"/>
      <c r="BP4" s="204"/>
      <c r="BQ4" s="204"/>
      <c r="BR4" s="204"/>
      <c r="BS4" s="204"/>
      <c r="BT4" s="204"/>
      <c r="BU4" s="204"/>
      <c r="BV4" s="204"/>
      <c r="BW4" s="204"/>
      <c r="BX4" s="204"/>
      <c r="BY4" s="204"/>
      <c r="BZ4" s="204"/>
      <c r="CA4" s="204"/>
      <c r="CB4" s="204"/>
      <c r="CC4" s="204"/>
      <c r="CD4" s="204"/>
      <c r="CE4" s="204"/>
      <c r="CF4" s="204"/>
      <c r="CG4" s="204"/>
      <c r="CH4" s="204"/>
      <c r="CI4" s="204"/>
      <c r="CJ4" s="204"/>
      <c r="CK4" s="204"/>
      <c r="CL4" s="204"/>
      <c r="CM4" s="204"/>
      <c r="CN4" s="204"/>
      <c r="CO4" s="204"/>
      <c r="CP4" s="204"/>
      <c r="CQ4" s="204"/>
      <c r="CR4" s="204"/>
      <c r="CS4" s="204"/>
      <c r="CT4" s="204"/>
      <c r="CU4" s="204"/>
      <c r="CV4" s="204"/>
      <c r="CW4" s="204"/>
      <c r="CX4" s="204"/>
      <c r="CY4" s="204"/>
    </row>
    <row r="5" spans="1:103" ht="15.75" customHeight="1" x14ac:dyDescent="0.2">
      <c r="A5" s="1820"/>
      <c r="B5" s="1823"/>
      <c r="C5" s="194"/>
      <c r="D5" s="194"/>
      <c r="E5" s="195"/>
      <c r="F5" s="195"/>
      <c r="G5" s="195"/>
      <c r="H5" s="195"/>
      <c r="I5" s="195"/>
      <c r="J5" s="195"/>
      <c r="K5" s="195"/>
      <c r="L5" s="195"/>
      <c r="M5" s="195"/>
      <c r="N5" s="195"/>
      <c r="O5" s="195"/>
      <c r="P5" s="195"/>
      <c r="Q5" s="195"/>
      <c r="R5" s="195"/>
      <c r="S5" s="195"/>
      <c r="T5" s="194"/>
      <c r="U5" s="1831"/>
      <c r="V5" s="207"/>
      <c r="W5" s="207"/>
      <c r="X5" s="1452"/>
      <c r="Y5" s="207"/>
      <c r="Z5" s="208"/>
      <c r="AA5" s="208"/>
      <c r="AB5" s="208"/>
      <c r="AC5" s="209">
        <f>AVERAGE(AC2:AC4)</f>
        <v>5.0346931516594161E-2</v>
      </c>
      <c r="AD5" s="209">
        <f>AVERAGE(AD2:AD4)</f>
        <v>0.28892172152452872</v>
      </c>
      <c r="AE5" s="210">
        <f>AVERAGE(AE2:AE4)</f>
        <v>0.47608689704232682</v>
      </c>
      <c r="AF5" s="208"/>
      <c r="AG5" s="208"/>
      <c r="AH5" s="208"/>
      <c r="AI5" s="211"/>
      <c r="AJ5" s="208"/>
      <c r="AK5" s="208"/>
      <c r="AL5" s="209">
        <f>AVERAGE(AL2:AL4)</f>
        <v>1</v>
      </c>
      <c r="AM5" s="208"/>
      <c r="AN5" s="212">
        <f>AVERAGE(AN2:AN4)</f>
        <v>7.965976086897042E-2</v>
      </c>
      <c r="AO5" s="208"/>
      <c r="AP5" s="208"/>
      <c r="AQ5" s="208"/>
      <c r="AR5" s="208"/>
      <c r="AS5" s="208"/>
      <c r="AT5" s="208"/>
      <c r="AU5" s="208"/>
      <c r="AV5" s="208"/>
      <c r="AW5" s="208"/>
      <c r="AX5" s="208"/>
      <c r="AY5" s="212">
        <f>AVERAGE(AY2:AY4)</f>
        <v>0.5295299145299146</v>
      </c>
      <c r="AZ5" s="208"/>
      <c r="BA5" s="210">
        <f>AVERAGE(BA2:BA4)</f>
        <v>0.23332387479821612</v>
      </c>
      <c r="BB5" s="213"/>
      <c r="BC5" s="213"/>
      <c r="BD5" s="213"/>
      <c r="BE5" s="213"/>
      <c r="BF5" s="213"/>
      <c r="BG5" s="213"/>
      <c r="BH5" s="213"/>
      <c r="BI5" s="213"/>
      <c r="BJ5" s="213"/>
      <c r="BK5" s="213"/>
      <c r="BL5" s="214">
        <f>AVERAGE(BL2:BL4)</f>
        <v>0.58180841102658987</v>
      </c>
      <c r="BM5" s="213"/>
      <c r="BN5" s="214">
        <f>AVERAGE(BN2:BN4)</f>
        <v>0.58027520315193304</v>
      </c>
      <c r="BO5" s="204"/>
      <c r="BP5" s="204"/>
      <c r="BQ5" s="204"/>
      <c r="BR5" s="204"/>
      <c r="BS5" s="204"/>
      <c r="BT5" s="204"/>
      <c r="BU5" s="204"/>
      <c r="BV5" s="204"/>
      <c r="BW5" s="204"/>
      <c r="BX5" s="204"/>
      <c r="BY5" s="204"/>
      <c r="BZ5" s="204"/>
      <c r="CA5" s="204"/>
      <c r="CB5" s="204"/>
      <c r="CC5" s="204"/>
      <c r="CD5" s="204"/>
      <c r="CE5" s="204"/>
      <c r="CF5" s="204"/>
      <c r="CG5" s="204"/>
      <c r="CH5" s="204"/>
      <c r="CI5" s="204"/>
      <c r="CJ5" s="204"/>
      <c r="CK5" s="204"/>
      <c r="CL5" s="204"/>
      <c r="CM5" s="204"/>
      <c r="CN5" s="204"/>
      <c r="CO5" s="204"/>
      <c r="CP5" s="204"/>
      <c r="CQ5" s="204"/>
      <c r="CR5" s="204"/>
      <c r="CS5" s="204"/>
      <c r="CT5" s="204"/>
      <c r="CU5" s="204"/>
      <c r="CV5" s="204"/>
      <c r="CW5" s="204"/>
      <c r="CX5" s="204"/>
      <c r="CY5" s="204"/>
    </row>
    <row r="6" spans="1:103" ht="58.5" customHeight="1" x14ac:dyDescent="0.2">
      <c r="A6" s="1820"/>
      <c r="B6" s="1823"/>
      <c r="C6" s="194"/>
      <c r="D6" s="194"/>
      <c r="E6" s="195"/>
      <c r="F6" s="195"/>
      <c r="G6" s="195"/>
      <c r="H6" s="195"/>
      <c r="I6" s="195"/>
      <c r="J6" s="195"/>
      <c r="K6" s="195"/>
      <c r="L6" s="195"/>
      <c r="M6" s="195"/>
      <c r="N6" s="195"/>
      <c r="O6" s="195"/>
      <c r="P6" s="195"/>
      <c r="Q6" s="195"/>
      <c r="R6" s="195"/>
      <c r="S6" s="195"/>
      <c r="T6" s="194"/>
      <c r="U6" s="1829" t="s">
        <v>621</v>
      </c>
      <c r="V6" s="194" t="s">
        <v>622</v>
      </c>
      <c r="W6" s="194" t="s">
        <v>623</v>
      </c>
      <c r="X6" s="1241" t="s">
        <v>624</v>
      </c>
      <c r="Y6" s="215">
        <v>13136</v>
      </c>
      <c r="Z6" s="216">
        <v>500</v>
      </c>
      <c r="AA6" s="216">
        <v>4000</v>
      </c>
      <c r="AB6" s="199">
        <v>5000</v>
      </c>
      <c r="AC6" s="217">
        <f>+Z6/Y6</f>
        <v>3.8063337393422658E-2</v>
      </c>
      <c r="AD6" s="217">
        <f>+AA6/Y6</f>
        <v>0.30450669914738127</v>
      </c>
      <c r="AE6" s="217">
        <f>+AB6/Y6</f>
        <v>0.38063337393422653</v>
      </c>
      <c r="AF6" s="216">
        <v>0</v>
      </c>
      <c r="AG6" s="216">
        <v>513</v>
      </c>
      <c r="AH6" s="199"/>
      <c r="AI6" s="196">
        <v>748</v>
      </c>
      <c r="AJ6" s="199"/>
      <c r="AK6" s="196">
        <f>+AI6</f>
        <v>748</v>
      </c>
      <c r="AL6" s="197">
        <v>1</v>
      </c>
      <c r="AM6" s="196">
        <f>+AK6</f>
        <v>748</v>
      </c>
      <c r="AN6" s="197">
        <f>+AM6/Y6</f>
        <v>5.6942752740560293E-2</v>
      </c>
      <c r="AO6" s="216">
        <v>4000</v>
      </c>
      <c r="AP6" s="199">
        <v>305</v>
      </c>
      <c r="AQ6" s="199"/>
      <c r="AR6" s="199">
        <v>1180</v>
      </c>
      <c r="AS6" s="199"/>
      <c r="AT6" s="199">
        <v>622</v>
      </c>
      <c r="AU6" s="199"/>
      <c r="AV6" s="199">
        <v>331</v>
      </c>
      <c r="AW6" s="199"/>
      <c r="AX6" s="199">
        <f>AP6+AR6+AT6+AV6</f>
        <v>2438</v>
      </c>
      <c r="AY6" s="58">
        <f>AX6/AO6</f>
        <v>0.60950000000000004</v>
      </c>
      <c r="AZ6" s="196">
        <f>AX6+AM6</f>
        <v>3186</v>
      </c>
      <c r="BA6" s="218">
        <f>AZ6/Y6</f>
        <v>0.24253958587088917</v>
      </c>
      <c r="BB6" s="199">
        <v>6306</v>
      </c>
      <c r="BC6" s="199">
        <v>7045</v>
      </c>
      <c r="BD6" s="199"/>
      <c r="BE6" s="199">
        <v>1263</v>
      </c>
      <c r="BF6" s="199"/>
      <c r="BG6" s="199">
        <v>36</v>
      </c>
      <c r="BH6" s="199"/>
      <c r="BI6" s="199">
        <v>0</v>
      </c>
      <c r="BJ6" s="199"/>
      <c r="BK6" s="199">
        <f>+BC6+BE6+BG6</f>
        <v>8344</v>
      </c>
      <c r="BL6" s="58">
        <v>1</v>
      </c>
      <c r="BM6" s="196">
        <f>+BK6+AZ6</f>
        <v>11530</v>
      </c>
      <c r="BN6" s="58">
        <f>+BM6/Y6</f>
        <v>0.87774056029232639</v>
      </c>
      <c r="BO6" s="204"/>
      <c r="BP6" s="204"/>
      <c r="BQ6" s="204"/>
      <c r="BR6" s="204"/>
      <c r="BS6" s="204"/>
      <c r="BT6" s="204"/>
      <c r="BU6" s="204"/>
      <c r="BV6" s="204"/>
      <c r="BW6" s="204"/>
      <c r="BX6" s="204"/>
      <c r="BY6" s="204"/>
      <c r="BZ6" s="204"/>
      <c r="CA6" s="204"/>
      <c r="CB6" s="204"/>
      <c r="CC6" s="204"/>
      <c r="CD6" s="204"/>
      <c r="CE6" s="204"/>
      <c r="CF6" s="204"/>
      <c r="CG6" s="204"/>
      <c r="CH6" s="204"/>
      <c r="CI6" s="204"/>
      <c r="CJ6" s="204"/>
      <c r="CK6" s="204"/>
      <c r="CL6" s="204"/>
      <c r="CM6" s="204"/>
      <c r="CN6" s="204"/>
      <c r="CO6" s="204"/>
      <c r="CP6" s="204"/>
      <c r="CQ6" s="204"/>
      <c r="CR6" s="204"/>
      <c r="CS6" s="204"/>
      <c r="CT6" s="204"/>
      <c r="CU6" s="204"/>
      <c r="CV6" s="204"/>
      <c r="CW6" s="204"/>
      <c r="CX6" s="204"/>
      <c r="CY6" s="204"/>
    </row>
    <row r="7" spans="1:103" ht="48.75" customHeight="1" x14ac:dyDescent="0.2">
      <c r="A7" s="1820"/>
      <c r="B7" s="1823"/>
      <c r="C7" s="194"/>
      <c r="D7" s="194"/>
      <c r="E7" s="195"/>
      <c r="F7" s="195"/>
      <c r="G7" s="195"/>
      <c r="H7" s="195"/>
      <c r="I7" s="195"/>
      <c r="J7" s="195"/>
      <c r="K7" s="195"/>
      <c r="L7" s="195"/>
      <c r="M7" s="195"/>
      <c r="N7" s="195"/>
      <c r="O7" s="195"/>
      <c r="P7" s="195"/>
      <c r="Q7" s="195"/>
      <c r="R7" s="195"/>
      <c r="S7" s="195"/>
      <c r="T7" s="194"/>
      <c r="U7" s="1830"/>
      <c r="V7" s="194" t="s">
        <v>625</v>
      </c>
      <c r="W7" s="194">
        <v>0</v>
      </c>
      <c r="X7" s="1241" t="s">
        <v>2247</v>
      </c>
      <c r="Y7" s="220">
        <v>10000</v>
      </c>
      <c r="Z7" s="196">
        <v>1000</v>
      </c>
      <c r="AA7" s="196">
        <v>3500</v>
      </c>
      <c r="AB7" s="199">
        <v>3500</v>
      </c>
      <c r="AC7" s="217">
        <f>+Z7/Y7</f>
        <v>0.1</v>
      </c>
      <c r="AD7" s="217">
        <f>+AA7/Y7</f>
        <v>0.35</v>
      </c>
      <c r="AE7" s="217">
        <f>+AB7/Y7</f>
        <v>0.35</v>
      </c>
      <c r="AF7" s="196">
        <v>0</v>
      </c>
      <c r="AG7" s="196">
        <v>1634</v>
      </c>
      <c r="AH7" s="199"/>
      <c r="AI7" s="196">
        <v>2491</v>
      </c>
      <c r="AJ7" s="199"/>
      <c r="AK7" s="196">
        <f>+AI7</f>
        <v>2491</v>
      </c>
      <c r="AL7" s="197">
        <v>1</v>
      </c>
      <c r="AM7" s="196">
        <f>+AK7</f>
        <v>2491</v>
      </c>
      <c r="AN7" s="197">
        <f>+AM7/Y7</f>
        <v>0.24909999999999999</v>
      </c>
      <c r="AO7" s="196">
        <v>3500</v>
      </c>
      <c r="AP7" s="199">
        <v>607</v>
      </c>
      <c r="AQ7" s="199"/>
      <c r="AR7" s="199">
        <v>1257</v>
      </c>
      <c r="AS7" s="199"/>
      <c r="AT7" s="199">
        <v>975</v>
      </c>
      <c r="AU7" s="199"/>
      <c r="AV7" s="199">
        <v>371</v>
      </c>
      <c r="AW7" s="199"/>
      <c r="AX7" s="199">
        <f>AP7+AR7+AT7+AV7</f>
        <v>3210</v>
      </c>
      <c r="AY7" s="58">
        <f>AX7/AO7</f>
        <v>0.91714285714285715</v>
      </c>
      <c r="AZ7" s="196">
        <f>AX7+AM7</f>
        <v>5701</v>
      </c>
      <c r="BA7" s="218">
        <f>AZ7/Y7</f>
        <v>0.57010000000000005</v>
      </c>
      <c r="BB7" s="199">
        <v>3500</v>
      </c>
      <c r="BC7" s="199">
        <v>144</v>
      </c>
      <c r="BD7" s="199"/>
      <c r="BE7" s="199">
        <v>831</v>
      </c>
      <c r="BF7" s="199"/>
      <c r="BG7" s="199">
        <v>412</v>
      </c>
      <c r="BH7" s="199"/>
      <c r="BI7" s="199">
        <v>677</v>
      </c>
      <c r="BJ7" s="199"/>
      <c r="BK7" s="199">
        <f>+BC7+BE7+BG7+BI7</f>
        <v>2064</v>
      </c>
      <c r="BL7" s="58">
        <f>+BK7/BB7</f>
        <v>0.58971428571428575</v>
      </c>
      <c r="BM7" s="196">
        <f>+BK7+AZ7</f>
        <v>7765</v>
      </c>
      <c r="BN7" s="58">
        <f>+BM7/Y7</f>
        <v>0.77649999999999997</v>
      </c>
      <c r="BO7" s="204"/>
      <c r="BP7" s="204"/>
      <c r="BQ7" s="204"/>
      <c r="BR7" s="204"/>
      <c r="BS7" s="204"/>
      <c r="BT7" s="204"/>
      <c r="BU7" s="204"/>
      <c r="BV7" s="204"/>
      <c r="BW7" s="204"/>
      <c r="BX7" s="204"/>
      <c r="BY7" s="204"/>
      <c r="BZ7" s="204"/>
      <c r="CA7" s="204"/>
      <c r="CB7" s="204"/>
      <c r="CC7" s="204"/>
      <c r="CD7" s="204"/>
      <c r="CE7" s="204"/>
      <c r="CF7" s="204"/>
      <c r="CG7" s="204"/>
      <c r="CH7" s="204"/>
      <c r="CI7" s="204"/>
      <c r="CJ7" s="204"/>
      <c r="CK7" s="204"/>
      <c r="CL7" s="204"/>
      <c r="CM7" s="204"/>
      <c r="CN7" s="204"/>
      <c r="CO7" s="204"/>
      <c r="CP7" s="204"/>
      <c r="CQ7" s="204"/>
      <c r="CR7" s="204"/>
      <c r="CS7" s="204"/>
      <c r="CT7" s="204"/>
      <c r="CU7" s="204"/>
      <c r="CV7" s="204"/>
      <c r="CW7" s="204"/>
      <c r="CX7" s="204"/>
      <c r="CY7" s="204"/>
    </row>
    <row r="8" spans="1:103" ht="70.5" customHeight="1" x14ac:dyDescent="0.2">
      <c r="A8" s="1820"/>
      <c r="B8" s="1823"/>
      <c r="C8" s="194"/>
      <c r="D8" s="194"/>
      <c r="E8" s="195"/>
      <c r="F8" s="195"/>
      <c r="G8" s="195"/>
      <c r="H8" s="195"/>
      <c r="I8" s="195"/>
      <c r="J8" s="195"/>
      <c r="K8" s="195"/>
      <c r="L8" s="195"/>
      <c r="M8" s="195"/>
      <c r="N8" s="195"/>
      <c r="O8" s="195"/>
      <c r="P8" s="195"/>
      <c r="Q8" s="195"/>
      <c r="R8" s="195"/>
      <c r="S8" s="195"/>
      <c r="T8" s="194"/>
      <c r="U8" s="1830"/>
      <c r="V8" s="194" t="s">
        <v>626</v>
      </c>
      <c r="W8" s="194">
        <v>0</v>
      </c>
      <c r="X8" s="1241" t="s">
        <v>627</v>
      </c>
      <c r="Y8" s="220">
        <v>7000</v>
      </c>
      <c r="Z8" s="196">
        <v>300</v>
      </c>
      <c r="AA8" s="196">
        <v>2500</v>
      </c>
      <c r="AB8" s="199">
        <v>5025</v>
      </c>
      <c r="AC8" s="217">
        <f>+Z8/Y8</f>
        <v>4.2857142857142858E-2</v>
      </c>
      <c r="AD8" s="217">
        <f>+AA8/Y8</f>
        <v>0.35714285714285715</v>
      </c>
      <c r="AE8" s="217">
        <f>+AB8/Y8</f>
        <v>0.71785714285714286</v>
      </c>
      <c r="AF8" s="196">
        <v>0</v>
      </c>
      <c r="AG8" s="196">
        <v>25</v>
      </c>
      <c r="AH8" s="199"/>
      <c r="AI8" s="196">
        <v>565</v>
      </c>
      <c r="AJ8" s="199"/>
      <c r="AK8" s="196">
        <f>+AI8</f>
        <v>565</v>
      </c>
      <c r="AL8" s="197">
        <v>1</v>
      </c>
      <c r="AM8" s="196">
        <f>+AK8</f>
        <v>565</v>
      </c>
      <c r="AN8" s="197">
        <f>+AM8/Y8</f>
        <v>8.0714285714285711E-2</v>
      </c>
      <c r="AO8" s="196">
        <v>2500</v>
      </c>
      <c r="AP8" s="199">
        <v>210</v>
      </c>
      <c r="AQ8" s="199"/>
      <c r="AR8" s="199">
        <v>0</v>
      </c>
      <c r="AS8" s="199"/>
      <c r="AT8" s="199">
        <v>0</v>
      </c>
      <c r="AU8" s="199"/>
      <c r="AV8" s="199">
        <v>0</v>
      </c>
      <c r="AW8" s="199"/>
      <c r="AX8" s="199">
        <f>AP8</f>
        <v>210</v>
      </c>
      <c r="AY8" s="58">
        <f>AX8/AO8</f>
        <v>8.4000000000000005E-2</v>
      </c>
      <c r="AZ8" s="196">
        <f>AX8+AM8</f>
        <v>775</v>
      </c>
      <c r="BA8" s="218">
        <f>AZ8/Y8</f>
        <v>0.11071428571428571</v>
      </c>
      <c r="BB8" s="199">
        <f>+AB8</f>
        <v>5025</v>
      </c>
      <c r="BC8" s="199">
        <v>0</v>
      </c>
      <c r="BD8" s="199"/>
      <c r="BE8" s="199">
        <v>583</v>
      </c>
      <c r="BF8" s="199"/>
      <c r="BG8" s="199">
        <v>2278</v>
      </c>
      <c r="BH8" s="199"/>
      <c r="BI8" s="199">
        <v>1436</v>
      </c>
      <c r="BJ8" s="199"/>
      <c r="BK8" s="199">
        <f>+BC8+BE8+BG8+BI8</f>
        <v>4297</v>
      </c>
      <c r="BL8" s="58">
        <f>+BK8/BB8</f>
        <v>0.85512437810945274</v>
      </c>
      <c r="BM8" s="196">
        <f>+BK8+AZ8</f>
        <v>5072</v>
      </c>
      <c r="BN8" s="58">
        <f>+BM8/Y8</f>
        <v>0.72457142857142853</v>
      </c>
      <c r="BO8" s="204"/>
      <c r="BP8" s="204"/>
      <c r="BQ8" s="204"/>
      <c r="BR8" s="204"/>
      <c r="BS8" s="204"/>
      <c r="BT8" s="204"/>
      <c r="BU8" s="204"/>
      <c r="BV8" s="204"/>
      <c r="BW8" s="204"/>
      <c r="BX8" s="204"/>
      <c r="BY8" s="204"/>
      <c r="BZ8" s="204"/>
      <c r="CA8" s="204"/>
      <c r="CB8" s="204"/>
      <c r="CC8" s="204"/>
      <c r="CD8" s="204"/>
      <c r="CE8" s="204"/>
      <c r="CF8" s="204"/>
      <c r="CG8" s="204"/>
      <c r="CH8" s="204"/>
      <c r="CI8" s="204"/>
      <c r="CJ8" s="204"/>
      <c r="CK8" s="204"/>
      <c r="CL8" s="204"/>
      <c r="CM8" s="204"/>
      <c r="CN8" s="204"/>
      <c r="CO8" s="204"/>
      <c r="CP8" s="204"/>
      <c r="CQ8" s="204"/>
      <c r="CR8" s="204"/>
      <c r="CS8" s="204"/>
      <c r="CT8" s="204"/>
      <c r="CU8" s="204"/>
      <c r="CV8" s="204"/>
      <c r="CW8" s="204"/>
      <c r="CX8" s="204"/>
      <c r="CY8" s="204"/>
    </row>
    <row r="9" spans="1:103" ht="15.75" customHeight="1" x14ac:dyDescent="0.2">
      <c r="A9" s="1820"/>
      <c r="B9" s="1823"/>
      <c r="C9" s="194"/>
      <c r="D9" s="194"/>
      <c r="E9" s="195"/>
      <c r="F9" s="195"/>
      <c r="G9" s="195"/>
      <c r="H9" s="195"/>
      <c r="I9" s="195"/>
      <c r="J9" s="195"/>
      <c r="K9" s="195"/>
      <c r="L9" s="195"/>
      <c r="M9" s="195"/>
      <c r="N9" s="195"/>
      <c r="O9" s="195"/>
      <c r="P9" s="195"/>
      <c r="Q9" s="195"/>
      <c r="R9" s="195"/>
      <c r="S9" s="195"/>
      <c r="T9" s="194"/>
      <c r="U9" s="1831"/>
      <c r="V9" s="207"/>
      <c r="W9" s="207"/>
      <c r="X9" s="1453"/>
      <c r="Y9" s="207"/>
      <c r="Z9" s="208"/>
      <c r="AA9" s="208"/>
      <c r="AB9" s="208"/>
      <c r="AC9" s="209">
        <f>AVERAGE(AC6:AC8)</f>
        <v>6.0306826750188502E-2</v>
      </c>
      <c r="AD9" s="209">
        <f>AVERAGE(AD6:AD8)</f>
        <v>0.3372165187634128</v>
      </c>
      <c r="AE9" s="221">
        <f>AVERAGE(AE6:AE8)</f>
        <v>0.48283017226378977</v>
      </c>
      <c r="AF9" s="208"/>
      <c r="AG9" s="208"/>
      <c r="AH9" s="208"/>
      <c r="AI9" s="211"/>
      <c r="AJ9" s="208"/>
      <c r="AK9" s="208"/>
      <c r="AL9" s="209">
        <f>AVERAGE(AL6:AL8)</f>
        <v>1</v>
      </c>
      <c r="AM9" s="222"/>
      <c r="AN9" s="209">
        <f>AVERAGE(AN6:AN8)</f>
        <v>0.128919012818282</v>
      </c>
      <c r="AO9" s="222"/>
      <c r="AP9" s="223"/>
      <c r="AQ9" s="223"/>
      <c r="AR9" s="223"/>
      <c r="AS9" s="223"/>
      <c r="AT9" s="224"/>
      <c r="AU9" s="223"/>
      <c r="AV9" s="223"/>
      <c r="AW9" s="223"/>
      <c r="AX9" s="223"/>
      <c r="AY9" s="225">
        <f>AVERAGE(AY6:AY8)</f>
        <v>0.53688095238095246</v>
      </c>
      <c r="AZ9" s="222"/>
      <c r="BA9" s="221">
        <f>AVERAGE(BA6:BA8)</f>
        <v>0.307784623861725</v>
      </c>
      <c r="BB9" s="226"/>
      <c r="BC9" s="226"/>
      <c r="BD9" s="226"/>
      <c r="BE9" s="226"/>
      <c r="BF9" s="226"/>
      <c r="BG9" s="226"/>
      <c r="BH9" s="226"/>
      <c r="BI9" s="226"/>
      <c r="BJ9" s="226"/>
      <c r="BK9" s="226"/>
      <c r="BL9" s="227">
        <f>AVERAGE(BL6:BL8)</f>
        <v>0.8149462212745795</v>
      </c>
      <c r="BM9" s="228"/>
      <c r="BN9" s="227">
        <f>AVERAGE(BN6:BN8)</f>
        <v>0.79293732962125174</v>
      </c>
      <c r="BO9" s="229"/>
      <c r="BP9" s="229"/>
      <c r="BQ9" s="229"/>
      <c r="BR9" s="229"/>
      <c r="BS9" s="229"/>
      <c r="BT9" s="229"/>
      <c r="BU9" s="229"/>
      <c r="BV9" s="229"/>
      <c r="BW9" s="229"/>
      <c r="BX9" s="229"/>
      <c r="BY9" s="229"/>
      <c r="BZ9" s="229"/>
      <c r="CA9" s="229"/>
      <c r="CB9" s="229"/>
      <c r="CC9" s="229"/>
      <c r="CD9" s="229"/>
      <c r="CE9" s="229"/>
      <c r="CF9" s="229"/>
      <c r="CG9" s="229"/>
      <c r="CH9" s="229"/>
      <c r="CI9" s="229"/>
      <c r="CJ9" s="229"/>
      <c r="CK9" s="229"/>
      <c r="CL9" s="229"/>
      <c r="CM9" s="229"/>
      <c r="CN9" s="229"/>
      <c r="CO9" s="229"/>
      <c r="CP9" s="229"/>
      <c r="CQ9" s="229"/>
      <c r="CR9" s="229"/>
      <c r="CS9" s="229"/>
      <c r="CT9" s="229"/>
      <c r="CU9" s="229"/>
      <c r="CV9" s="229"/>
      <c r="CW9" s="229"/>
      <c r="CX9" s="229"/>
      <c r="CY9" s="229"/>
    </row>
    <row r="10" spans="1:103" ht="62.25" customHeight="1" x14ac:dyDescent="0.2">
      <c r="A10" s="1820"/>
      <c r="B10" s="1823"/>
      <c r="C10" s="194"/>
      <c r="D10" s="194"/>
      <c r="E10" s="195"/>
      <c r="F10" s="195"/>
      <c r="G10" s="195"/>
      <c r="H10" s="195"/>
      <c r="I10" s="195"/>
      <c r="J10" s="195"/>
      <c r="K10" s="195"/>
      <c r="L10" s="195"/>
      <c r="M10" s="195"/>
      <c r="N10" s="195"/>
      <c r="O10" s="195"/>
      <c r="P10" s="195"/>
      <c r="Q10" s="195"/>
      <c r="R10" s="195"/>
      <c r="S10" s="195"/>
      <c r="T10" s="194"/>
      <c r="U10" s="1829" t="s">
        <v>628</v>
      </c>
      <c r="V10" s="194" t="s">
        <v>629</v>
      </c>
      <c r="W10" s="194" t="s">
        <v>630</v>
      </c>
      <c r="X10" s="1241" t="s">
        <v>631</v>
      </c>
      <c r="Y10" s="220">
        <v>3959</v>
      </c>
      <c r="Z10" s="196">
        <v>100</v>
      </c>
      <c r="AA10" s="196">
        <v>500</v>
      </c>
      <c r="AB10" s="199">
        <v>1600</v>
      </c>
      <c r="AC10" s="230">
        <f>+Z10/Y10</f>
        <v>2.5258903763576659E-2</v>
      </c>
      <c r="AD10" s="230">
        <f>+AA10/Y10</f>
        <v>0.12629451881788331</v>
      </c>
      <c r="AE10" s="230">
        <f>+AB10/Y10</f>
        <v>0.40414246021722655</v>
      </c>
      <c r="AF10" s="196">
        <v>0</v>
      </c>
      <c r="AG10" s="196">
        <v>166</v>
      </c>
      <c r="AH10" s="199"/>
      <c r="AI10" s="196">
        <v>166</v>
      </c>
      <c r="AJ10" s="199"/>
      <c r="AK10" s="196">
        <f>+AI10</f>
        <v>166</v>
      </c>
      <c r="AL10" s="197">
        <v>1</v>
      </c>
      <c r="AM10" s="196">
        <f>+AK10</f>
        <v>166</v>
      </c>
      <c r="AN10" s="197">
        <f>+AM10/Y10</f>
        <v>4.1929780247537254E-2</v>
      </c>
      <c r="AO10" s="196">
        <v>500</v>
      </c>
      <c r="AP10" s="199">
        <v>31</v>
      </c>
      <c r="AQ10" s="199"/>
      <c r="AR10" s="199">
        <v>484</v>
      </c>
      <c r="AS10" s="199"/>
      <c r="AT10" s="199"/>
      <c r="AU10" s="199"/>
      <c r="AV10" s="199">
        <v>0</v>
      </c>
      <c r="AW10" s="199"/>
      <c r="AX10" s="199">
        <f>AP10+AR10</f>
        <v>515</v>
      </c>
      <c r="AY10" s="58">
        <v>1</v>
      </c>
      <c r="AZ10" s="196">
        <f>AX10+AM10</f>
        <v>681</v>
      </c>
      <c r="BA10" s="218">
        <f>AZ10/Y10</f>
        <v>0.17201313462995707</v>
      </c>
      <c r="BB10" s="199">
        <v>1600</v>
      </c>
      <c r="BC10" s="199">
        <v>0</v>
      </c>
      <c r="BD10" s="199"/>
      <c r="BE10" s="199">
        <v>1211</v>
      </c>
      <c r="BF10" s="199"/>
      <c r="BG10" s="199">
        <v>7</v>
      </c>
      <c r="BH10" s="199"/>
      <c r="BI10" s="199">
        <v>1103</v>
      </c>
      <c r="BJ10" s="199"/>
      <c r="BK10" s="199">
        <f>+BE10+BG10+BI10</f>
        <v>2321</v>
      </c>
      <c r="BL10" s="58">
        <v>1</v>
      </c>
      <c r="BM10" s="196">
        <f>+BK10+AZ10</f>
        <v>3002</v>
      </c>
      <c r="BN10" s="58">
        <f>+BM10/Y10</f>
        <v>0.75827229098257132</v>
      </c>
      <c r="BO10" s="204"/>
      <c r="BP10" s="204"/>
      <c r="BQ10" s="204"/>
      <c r="BR10" s="204"/>
      <c r="BS10" s="204"/>
      <c r="BT10" s="204"/>
      <c r="BU10" s="204"/>
      <c r="BV10" s="204"/>
      <c r="BW10" s="204"/>
      <c r="BX10" s="204"/>
      <c r="BY10" s="204"/>
      <c r="BZ10" s="204"/>
      <c r="CA10" s="204"/>
      <c r="CB10" s="204"/>
      <c r="CC10" s="204"/>
      <c r="CD10" s="204"/>
      <c r="CE10" s="204"/>
      <c r="CF10" s="204"/>
      <c r="CG10" s="204"/>
      <c r="CH10" s="204"/>
      <c r="CI10" s="204"/>
      <c r="CJ10" s="204"/>
      <c r="CK10" s="204"/>
      <c r="CL10" s="204"/>
      <c r="CM10" s="204"/>
      <c r="CN10" s="204"/>
      <c r="CO10" s="204"/>
      <c r="CP10" s="204"/>
      <c r="CQ10" s="204"/>
      <c r="CR10" s="204"/>
      <c r="CS10" s="204"/>
      <c r="CT10" s="204"/>
      <c r="CU10" s="204"/>
      <c r="CV10" s="204"/>
      <c r="CW10" s="204"/>
      <c r="CX10" s="204"/>
      <c r="CY10" s="204"/>
    </row>
    <row r="11" spans="1:103" ht="57.75" customHeight="1" x14ac:dyDescent="0.2">
      <c r="A11" s="1820"/>
      <c r="B11" s="1823"/>
      <c r="C11" s="194"/>
      <c r="D11" s="194"/>
      <c r="E11" s="195"/>
      <c r="F11" s="195"/>
      <c r="G11" s="195"/>
      <c r="H11" s="195"/>
      <c r="I11" s="195"/>
      <c r="J11" s="195"/>
      <c r="K11" s="195"/>
      <c r="L11" s="195"/>
      <c r="M11" s="195"/>
      <c r="N11" s="195"/>
      <c r="O11" s="195"/>
      <c r="P11" s="195"/>
      <c r="Q11" s="195"/>
      <c r="R11" s="195"/>
      <c r="S11" s="195"/>
      <c r="T11" s="194"/>
      <c r="U11" s="1830"/>
      <c r="V11" s="194" t="s">
        <v>632</v>
      </c>
      <c r="W11" s="194" t="s">
        <v>633</v>
      </c>
      <c r="X11" s="1241" t="s">
        <v>2248</v>
      </c>
      <c r="Y11" s="220">
        <v>1200</v>
      </c>
      <c r="Z11" s="196">
        <v>50</v>
      </c>
      <c r="AA11" s="196">
        <v>100</v>
      </c>
      <c r="AB11" s="199">
        <v>500</v>
      </c>
      <c r="AC11" s="230">
        <f>+Z11/Y11</f>
        <v>4.1666666666666664E-2</v>
      </c>
      <c r="AD11" s="230">
        <f>+AA11/Y11</f>
        <v>8.3333333333333329E-2</v>
      </c>
      <c r="AE11" s="230">
        <f>+AB11/Y11</f>
        <v>0.41666666666666669</v>
      </c>
      <c r="AF11" s="196">
        <v>0</v>
      </c>
      <c r="AG11" s="196">
        <v>31</v>
      </c>
      <c r="AH11" s="199"/>
      <c r="AI11" s="196">
        <v>31</v>
      </c>
      <c r="AJ11" s="199"/>
      <c r="AK11" s="196">
        <f>+AI11</f>
        <v>31</v>
      </c>
      <c r="AL11" s="197">
        <f>+AK11/Z11</f>
        <v>0.62</v>
      </c>
      <c r="AM11" s="196">
        <f>+AK11</f>
        <v>31</v>
      </c>
      <c r="AN11" s="58">
        <f>+AM11/Y11</f>
        <v>2.5833333333333333E-2</v>
      </c>
      <c r="AO11" s="196">
        <v>100</v>
      </c>
      <c r="AP11" s="199">
        <v>0</v>
      </c>
      <c r="AQ11" s="199"/>
      <c r="AR11" s="199">
        <v>564</v>
      </c>
      <c r="AS11" s="199"/>
      <c r="AT11" s="199"/>
      <c r="AU11" s="199"/>
      <c r="AV11" s="199">
        <v>0</v>
      </c>
      <c r="AW11" s="199"/>
      <c r="AX11" s="199">
        <f>+AR11</f>
        <v>564</v>
      </c>
      <c r="AY11" s="58">
        <v>1</v>
      </c>
      <c r="AZ11" s="196">
        <f>AX11+AM11</f>
        <v>595</v>
      </c>
      <c r="BA11" s="218">
        <f>AZ11/Y11</f>
        <v>0.49583333333333335</v>
      </c>
      <c r="BB11" s="199">
        <f>+AB11</f>
        <v>500</v>
      </c>
      <c r="BC11" s="199">
        <v>0</v>
      </c>
      <c r="BD11" s="199"/>
      <c r="BE11" s="199">
        <v>255</v>
      </c>
      <c r="BF11" s="199"/>
      <c r="BG11" s="199">
        <v>299</v>
      </c>
      <c r="BH11" s="199"/>
      <c r="BI11" s="199">
        <v>0</v>
      </c>
      <c r="BJ11" s="199"/>
      <c r="BK11" s="199">
        <f>+BE11+BG11</f>
        <v>554</v>
      </c>
      <c r="BL11" s="58">
        <v>1</v>
      </c>
      <c r="BM11" s="196">
        <f>+BK11+AZ11</f>
        <v>1149</v>
      </c>
      <c r="BN11" s="58">
        <f>+BM11/Y11</f>
        <v>0.95750000000000002</v>
      </c>
      <c r="BO11" s="204"/>
      <c r="BP11" s="204"/>
      <c r="BQ11" s="204"/>
      <c r="BR11" s="204"/>
      <c r="BS11" s="204"/>
      <c r="BT11" s="204"/>
      <c r="BU11" s="204"/>
      <c r="BV11" s="204"/>
      <c r="BW11" s="204"/>
      <c r="BX11" s="204"/>
      <c r="BY11" s="204"/>
      <c r="BZ11" s="204"/>
      <c r="CA11" s="204"/>
      <c r="CB11" s="204"/>
      <c r="CC11" s="204"/>
      <c r="CD11" s="204"/>
      <c r="CE11" s="204"/>
      <c r="CF11" s="204"/>
      <c r="CG11" s="204"/>
      <c r="CH11" s="204"/>
      <c r="CI11" s="204"/>
      <c r="CJ11" s="204"/>
      <c r="CK11" s="204"/>
      <c r="CL11" s="204"/>
      <c r="CM11" s="204"/>
      <c r="CN11" s="204"/>
      <c r="CO11" s="204"/>
      <c r="CP11" s="204"/>
      <c r="CQ11" s="204"/>
      <c r="CR11" s="204"/>
      <c r="CS11" s="204"/>
      <c r="CT11" s="204"/>
      <c r="CU11" s="204"/>
      <c r="CV11" s="204"/>
      <c r="CW11" s="204"/>
      <c r="CX11" s="204"/>
      <c r="CY11" s="204"/>
    </row>
    <row r="12" spans="1:103" ht="46.5" customHeight="1" x14ac:dyDescent="0.2">
      <c r="A12" s="1820"/>
      <c r="B12" s="1823"/>
      <c r="C12" s="194"/>
      <c r="D12" s="194"/>
      <c r="E12" s="195"/>
      <c r="F12" s="195"/>
      <c r="G12" s="195"/>
      <c r="H12" s="195"/>
      <c r="I12" s="195"/>
      <c r="J12" s="195"/>
      <c r="K12" s="195"/>
      <c r="L12" s="195"/>
      <c r="M12" s="195"/>
      <c r="N12" s="195"/>
      <c r="O12" s="195"/>
      <c r="P12" s="195"/>
      <c r="Q12" s="195"/>
      <c r="R12" s="195"/>
      <c r="S12" s="195"/>
      <c r="T12" s="194"/>
      <c r="U12" s="1830"/>
      <c r="V12" s="194" t="s">
        <v>634</v>
      </c>
      <c r="W12" s="194" t="s">
        <v>635</v>
      </c>
      <c r="X12" s="1241" t="s">
        <v>2249</v>
      </c>
      <c r="Y12" s="220">
        <v>2000</v>
      </c>
      <c r="Z12" s="196">
        <v>10</v>
      </c>
      <c r="AA12" s="196">
        <v>300</v>
      </c>
      <c r="AB12" s="199">
        <f>+BB12</f>
        <v>800</v>
      </c>
      <c r="AC12" s="230">
        <f>+Z12/Y12</f>
        <v>5.0000000000000001E-3</v>
      </c>
      <c r="AD12" s="230">
        <f>+AA12/Y12</f>
        <v>0.15</v>
      </c>
      <c r="AE12" s="230">
        <f>+AB12/Y12</f>
        <v>0.4</v>
      </c>
      <c r="AF12" s="196">
        <v>0</v>
      </c>
      <c r="AG12" s="196">
        <v>0</v>
      </c>
      <c r="AH12" s="199"/>
      <c r="AI12" s="196">
        <v>92</v>
      </c>
      <c r="AJ12" s="199"/>
      <c r="AK12" s="196">
        <f>+AI12</f>
        <v>92</v>
      </c>
      <c r="AL12" s="197">
        <v>1</v>
      </c>
      <c r="AM12" s="196">
        <f>+AF12+AI12</f>
        <v>92</v>
      </c>
      <c r="AN12" s="197">
        <f>+AM12/Y12</f>
        <v>4.5999999999999999E-2</v>
      </c>
      <c r="AO12" s="196">
        <v>300</v>
      </c>
      <c r="AP12" s="199">
        <v>32</v>
      </c>
      <c r="AQ12" s="199"/>
      <c r="AR12" s="199">
        <v>265</v>
      </c>
      <c r="AS12" s="199"/>
      <c r="AT12" s="199"/>
      <c r="AU12" s="199"/>
      <c r="AV12" s="199">
        <v>0</v>
      </c>
      <c r="AW12" s="199"/>
      <c r="AX12" s="199">
        <f>AP12+AR12</f>
        <v>297</v>
      </c>
      <c r="AY12" s="58">
        <f>AX12/AO12</f>
        <v>0.99</v>
      </c>
      <c r="AZ12" s="196">
        <f>AX12+AM12</f>
        <v>389</v>
      </c>
      <c r="BA12" s="218">
        <f>AZ12/Y12</f>
        <v>0.19450000000000001</v>
      </c>
      <c r="BB12" s="199">
        <v>800</v>
      </c>
      <c r="BC12" s="199">
        <v>88</v>
      </c>
      <c r="BD12" s="199"/>
      <c r="BE12" s="199">
        <v>118</v>
      </c>
      <c r="BF12" s="199"/>
      <c r="BG12" s="199">
        <v>618</v>
      </c>
      <c r="BH12" s="199"/>
      <c r="BI12" s="199">
        <v>1580</v>
      </c>
      <c r="BJ12" s="199"/>
      <c r="BK12" s="199">
        <f>+BC12+BE12+BG12+BI12</f>
        <v>2404</v>
      </c>
      <c r="BL12" s="58">
        <v>1</v>
      </c>
      <c r="BM12" s="196">
        <f>+BK12+AZ12</f>
        <v>2793</v>
      </c>
      <c r="BN12" s="58">
        <v>1</v>
      </c>
      <c r="BO12" s="204"/>
      <c r="BP12" s="204"/>
      <c r="BQ12" s="204"/>
      <c r="BR12" s="204"/>
      <c r="BS12" s="204"/>
      <c r="BT12" s="204"/>
      <c r="BU12" s="204"/>
      <c r="BV12" s="204"/>
      <c r="BW12" s="204"/>
      <c r="BX12" s="204"/>
      <c r="BY12" s="204"/>
      <c r="BZ12" s="204"/>
      <c r="CA12" s="204"/>
      <c r="CB12" s="204"/>
      <c r="CC12" s="204"/>
      <c r="CD12" s="204"/>
      <c r="CE12" s="204"/>
      <c r="CF12" s="204"/>
      <c r="CG12" s="204"/>
      <c r="CH12" s="204"/>
      <c r="CI12" s="204"/>
      <c r="CJ12" s="204"/>
      <c r="CK12" s="204"/>
      <c r="CL12" s="204"/>
      <c r="CM12" s="204"/>
      <c r="CN12" s="204"/>
      <c r="CO12" s="204"/>
      <c r="CP12" s="204"/>
      <c r="CQ12" s="204"/>
      <c r="CR12" s="204"/>
      <c r="CS12" s="204"/>
      <c r="CT12" s="204"/>
      <c r="CU12" s="204"/>
      <c r="CV12" s="204"/>
      <c r="CW12" s="204"/>
      <c r="CX12" s="204"/>
      <c r="CY12" s="204"/>
    </row>
    <row r="13" spans="1:103" ht="46.5" customHeight="1" x14ac:dyDescent="0.2">
      <c r="A13" s="1820"/>
      <c r="B13" s="1823"/>
      <c r="C13" s="194"/>
      <c r="D13" s="194"/>
      <c r="E13" s="195"/>
      <c r="F13" s="195"/>
      <c r="G13" s="195"/>
      <c r="H13" s="195"/>
      <c r="I13" s="195"/>
      <c r="J13" s="195"/>
      <c r="K13" s="195"/>
      <c r="L13" s="195"/>
      <c r="M13" s="195"/>
      <c r="N13" s="195"/>
      <c r="O13" s="195"/>
      <c r="P13" s="195"/>
      <c r="Q13" s="195"/>
      <c r="R13" s="195"/>
      <c r="S13" s="195"/>
      <c r="T13" s="194"/>
      <c r="U13" s="1830"/>
      <c r="V13" s="194" t="s">
        <v>636</v>
      </c>
      <c r="W13" s="194">
        <v>0</v>
      </c>
      <c r="X13" s="1241" t="s">
        <v>637</v>
      </c>
      <c r="Y13" s="220">
        <v>12000</v>
      </c>
      <c r="Z13" s="196">
        <v>100</v>
      </c>
      <c r="AA13" s="196">
        <v>3500</v>
      </c>
      <c r="AB13" s="199">
        <v>4786</v>
      </c>
      <c r="AC13" s="230">
        <f>+Z13/Y13</f>
        <v>8.3333333333333332E-3</v>
      </c>
      <c r="AD13" s="230">
        <f>+AA13/Y13</f>
        <v>0.29166666666666669</v>
      </c>
      <c r="AE13" s="230">
        <f>+AB13/Y13</f>
        <v>0.39883333333333332</v>
      </c>
      <c r="AF13" s="196">
        <v>180</v>
      </c>
      <c r="AG13" s="196">
        <v>705</v>
      </c>
      <c r="AH13" s="199"/>
      <c r="AI13" s="196">
        <v>1058</v>
      </c>
      <c r="AJ13" s="199"/>
      <c r="AK13" s="196">
        <f>+AI13</f>
        <v>1058</v>
      </c>
      <c r="AL13" s="197">
        <v>1</v>
      </c>
      <c r="AM13" s="196">
        <f>+AK13</f>
        <v>1058</v>
      </c>
      <c r="AN13" s="230">
        <f>+AM13/Y13</f>
        <v>8.8166666666666671E-2</v>
      </c>
      <c r="AO13" s="196">
        <v>3500</v>
      </c>
      <c r="AP13" s="199">
        <v>0</v>
      </c>
      <c r="AQ13" s="199"/>
      <c r="AR13" s="199">
        <v>623</v>
      </c>
      <c r="AS13" s="199"/>
      <c r="AT13" s="199">
        <v>1355</v>
      </c>
      <c r="AU13" s="199"/>
      <c r="AV13" s="199">
        <v>269</v>
      </c>
      <c r="AW13" s="199"/>
      <c r="AX13" s="199">
        <f>+AR13+AT13+AV13</f>
        <v>2247</v>
      </c>
      <c r="AY13" s="58">
        <f>AX13/AO13</f>
        <v>0.64200000000000002</v>
      </c>
      <c r="AZ13" s="196">
        <f>AX13+AM13</f>
        <v>3305</v>
      </c>
      <c r="BA13" s="218">
        <f>AZ13/Y13</f>
        <v>0.27541666666666664</v>
      </c>
      <c r="BB13" s="199">
        <v>4786</v>
      </c>
      <c r="BC13" s="199">
        <v>1561</v>
      </c>
      <c r="BD13" s="199"/>
      <c r="BE13" s="199">
        <v>2004</v>
      </c>
      <c r="BF13" s="199"/>
      <c r="BG13" s="199">
        <v>1007</v>
      </c>
      <c r="BH13" s="199"/>
      <c r="BI13" s="199">
        <v>669</v>
      </c>
      <c r="BJ13" s="199"/>
      <c r="BK13" s="199">
        <f>+BC13+BE13+BG13+BI13</f>
        <v>5241</v>
      </c>
      <c r="BL13" s="58">
        <v>1</v>
      </c>
      <c r="BM13" s="196">
        <f>+BK13+AZ13+9</f>
        <v>8555</v>
      </c>
      <c r="BN13" s="58">
        <f>+BM13/Y13</f>
        <v>0.71291666666666664</v>
      </c>
      <c r="BO13" s="204"/>
      <c r="BP13" s="204"/>
      <c r="BQ13" s="204"/>
      <c r="BR13" s="204"/>
      <c r="BS13" s="204"/>
      <c r="BT13" s="204"/>
      <c r="BU13" s="204"/>
      <c r="BV13" s="204"/>
      <c r="BW13" s="204"/>
      <c r="BX13" s="204"/>
      <c r="BY13" s="204"/>
      <c r="BZ13" s="204"/>
      <c r="CA13" s="204"/>
      <c r="CB13" s="204"/>
      <c r="CC13" s="204"/>
      <c r="CD13" s="204"/>
      <c r="CE13" s="204"/>
      <c r="CF13" s="204"/>
      <c r="CG13" s="204"/>
      <c r="CH13" s="204"/>
      <c r="CI13" s="204"/>
      <c r="CJ13" s="204"/>
      <c r="CK13" s="204"/>
      <c r="CL13" s="204"/>
      <c r="CM13" s="204"/>
      <c r="CN13" s="204"/>
      <c r="CO13" s="204"/>
      <c r="CP13" s="204"/>
      <c r="CQ13" s="204"/>
      <c r="CR13" s="204"/>
      <c r="CS13" s="204"/>
      <c r="CT13" s="204"/>
      <c r="CU13" s="204"/>
      <c r="CV13" s="204"/>
      <c r="CW13" s="204"/>
      <c r="CX13" s="204"/>
      <c r="CY13" s="204"/>
    </row>
    <row r="14" spans="1:103" ht="15.75" customHeight="1" x14ac:dyDescent="0.2">
      <c r="A14" s="1820"/>
      <c r="B14" s="1823"/>
      <c r="C14" s="194"/>
      <c r="D14" s="194"/>
      <c r="E14" s="195"/>
      <c r="F14" s="195"/>
      <c r="G14" s="195"/>
      <c r="H14" s="195"/>
      <c r="I14" s="195"/>
      <c r="J14" s="195"/>
      <c r="K14" s="195"/>
      <c r="L14" s="195"/>
      <c r="M14" s="195"/>
      <c r="N14" s="195"/>
      <c r="O14" s="195"/>
      <c r="P14" s="195"/>
      <c r="Q14" s="195"/>
      <c r="R14" s="195"/>
      <c r="S14" s="195"/>
      <c r="T14" s="194"/>
      <c r="U14" s="1831"/>
      <c r="V14" s="207"/>
      <c r="W14" s="207"/>
      <c r="X14" s="1453"/>
      <c r="Y14" s="207"/>
      <c r="Z14" s="208"/>
      <c r="AA14" s="208"/>
      <c r="AB14" s="208"/>
      <c r="AC14" s="225">
        <f>AVERAGE(AC10:AC13)</f>
        <v>2.0064725940894167E-2</v>
      </c>
      <c r="AD14" s="225">
        <f>AVERAGE(AD10:AD13)</f>
        <v>0.16282362970447084</v>
      </c>
      <c r="AE14" s="231">
        <f>AVERAGE(AE10:AE13)</f>
        <v>0.40491061505430664</v>
      </c>
      <c r="AF14" s="208"/>
      <c r="AG14" s="208"/>
      <c r="AH14" s="208"/>
      <c r="AI14" s="211"/>
      <c r="AJ14" s="208"/>
      <c r="AK14" s="208"/>
      <c r="AL14" s="209">
        <f>AVERAGE(AL10:AL13)</f>
        <v>0.90500000000000003</v>
      </c>
      <c r="AM14" s="222"/>
      <c r="AN14" s="225">
        <f>AVERAGE(AN10:AN13)</f>
        <v>5.0482445061884318E-2</v>
      </c>
      <c r="AO14" s="208"/>
      <c r="AP14" s="229"/>
      <c r="AQ14" s="229"/>
      <c r="AR14" s="229"/>
      <c r="AS14" s="229"/>
      <c r="AT14" s="232"/>
      <c r="AU14" s="229"/>
      <c r="AV14" s="229"/>
      <c r="AW14" s="229"/>
      <c r="AX14" s="229"/>
      <c r="AY14" s="231">
        <f>AVERAGE(AY10:AY13)</f>
        <v>0.90800000000000003</v>
      </c>
      <c r="AZ14" s="223"/>
      <c r="BA14" s="231">
        <f>AVERAGE(BA10:BA13)</f>
        <v>0.28444078365748926</v>
      </c>
      <c r="BB14" s="226"/>
      <c r="BC14" s="226"/>
      <c r="BD14" s="226"/>
      <c r="BE14" s="226"/>
      <c r="BF14" s="226"/>
      <c r="BG14" s="226"/>
      <c r="BH14" s="226"/>
      <c r="BI14" s="226"/>
      <c r="BJ14" s="226"/>
      <c r="BK14" s="226"/>
      <c r="BL14" s="227">
        <f>AVERAGE(BL10:BL13)</f>
        <v>1</v>
      </c>
      <c r="BM14" s="228"/>
      <c r="BN14" s="1246">
        <f>AVERAGE(BN10:BN13)</f>
        <v>0.85717223941230947</v>
      </c>
      <c r="BO14" s="229"/>
      <c r="BP14" s="229"/>
      <c r="BQ14" s="229"/>
      <c r="BR14" s="229"/>
      <c r="BS14" s="229"/>
      <c r="BT14" s="229"/>
      <c r="BU14" s="229"/>
      <c r="BV14" s="229"/>
      <c r="BW14" s="229"/>
      <c r="BX14" s="229"/>
      <c r="BY14" s="229"/>
      <c r="BZ14" s="229"/>
      <c r="CA14" s="229"/>
      <c r="CB14" s="229"/>
      <c r="CC14" s="229"/>
      <c r="CD14" s="229"/>
      <c r="CE14" s="229"/>
      <c r="CF14" s="229"/>
      <c r="CG14" s="229"/>
      <c r="CH14" s="229"/>
      <c r="CI14" s="229"/>
      <c r="CJ14" s="229"/>
      <c r="CK14" s="229"/>
      <c r="CL14" s="229"/>
      <c r="CM14" s="229"/>
      <c r="CN14" s="229"/>
      <c r="CO14" s="229"/>
      <c r="CP14" s="229"/>
      <c r="CQ14" s="229"/>
      <c r="CR14" s="229"/>
      <c r="CS14" s="229"/>
      <c r="CT14" s="229"/>
      <c r="CU14" s="229"/>
      <c r="CV14" s="229"/>
      <c r="CW14" s="229"/>
      <c r="CX14" s="229"/>
      <c r="CY14" s="229"/>
    </row>
    <row r="15" spans="1:103" ht="46.5" customHeight="1" x14ac:dyDescent="0.2">
      <c r="A15" s="1820"/>
      <c r="B15" s="1823"/>
      <c r="C15" s="194"/>
      <c r="D15" s="194"/>
      <c r="E15" s="195"/>
      <c r="F15" s="195"/>
      <c r="G15" s="195"/>
      <c r="H15" s="195"/>
      <c r="I15" s="195"/>
      <c r="J15" s="195"/>
      <c r="K15" s="195"/>
      <c r="L15" s="195"/>
      <c r="M15" s="195"/>
      <c r="N15" s="195"/>
      <c r="O15" s="195"/>
      <c r="P15" s="195"/>
      <c r="Q15" s="195"/>
      <c r="R15" s="195"/>
      <c r="S15" s="195"/>
      <c r="T15" s="194"/>
      <c r="U15" s="1829" t="s">
        <v>638</v>
      </c>
      <c r="V15" s="194" t="s">
        <v>639</v>
      </c>
      <c r="W15" s="194" t="s">
        <v>640</v>
      </c>
      <c r="X15" s="1241" t="s">
        <v>641</v>
      </c>
      <c r="Y15" s="220">
        <v>3047</v>
      </c>
      <c r="Z15" s="196">
        <v>240</v>
      </c>
      <c r="AA15" s="196">
        <v>260</v>
      </c>
      <c r="AB15" s="196">
        <v>1000</v>
      </c>
      <c r="AC15" s="197">
        <f>+Z15/Y15</f>
        <v>7.8765999343616666E-2</v>
      </c>
      <c r="AD15" s="197">
        <f>+AA15/Y15</f>
        <v>8.5329832622251398E-2</v>
      </c>
      <c r="AE15" s="197">
        <f>AB15/Y15</f>
        <v>0.32819166393173616</v>
      </c>
      <c r="AF15" s="196">
        <v>0</v>
      </c>
      <c r="AG15" s="196">
        <v>0</v>
      </c>
      <c r="AH15" s="199"/>
      <c r="AI15" s="196">
        <v>0</v>
      </c>
      <c r="AJ15" s="199"/>
      <c r="AK15" s="196">
        <f>+AI15</f>
        <v>0</v>
      </c>
      <c r="AL15" s="197">
        <v>0</v>
      </c>
      <c r="AM15" s="196">
        <f>+AF15+AI15</f>
        <v>0</v>
      </c>
      <c r="AN15" s="197">
        <f>+AM15/Y15</f>
        <v>0</v>
      </c>
      <c r="AO15" s="196">
        <v>260</v>
      </c>
      <c r="AP15" s="199">
        <v>0</v>
      </c>
      <c r="AQ15" s="199"/>
      <c r="AR15" s="199">
        <v>0</v>
      </c>
      <c r="AS15" s="199"/>
      <c r="AT15" s="199">
        <v>0</v>
      </c>
      <c r="AU15" s="199"/>
      <c r="AV15" s="199">
        <v>1265</v>
      </c>
      <c r="AW15" s="199"/>
      <c r="AX15" s="199">
        <f>+AV15</f>
        <v>1265</v>
      </c>
      <c r="AY15" s="197">
        <v>1</v>
      </c>
      <c r="AZ15" s="196">
        <f>AX15+AM15</f>
        <v>1265</v>
      </c>
      <c r="BA15" s="233">
        <f>AZ15/Y15</f>
        <v>0.41516245487364623</v>
      </c>
      <c r="BB15" s="199">
        <v>1000</v>
      </c>
      <c r="BC15" s="199">
        <v>595</v>
      </c>
      <c r="BD15" s="199"/>
      <c r="BE15" s="199">
        <v>541</v>
      </c>
      <c r="BF15" s="199"/>
      <c r="BG15" s="199">
        <v>37</v>
      </c>
      <c r="BH15" s="199"/>
      <c r="BI15" s="199">
        <v>42</v>
      </c>
      <c r="BJ15" s="199"/>
      <c r="BK15" s="199">
        <f>+BC15+BE15+BG15+BI15</f>
        <v>1215</v>
      </c>
      <c r="BL15" s="58">
        <v>1</v>
      </c>
      <c r="BM15" s="196">
        <f>+BK15+AZ15</f>
        <v>2480</v>
      </c>
      <c r="BN15" s="58">
        <f>+BM15/Y15</f>
        <v>0.81391532655070564</v>
      </c>
      <c r="BO15" s="204"/>
      <c r="BP15" s="204"/>
      <c r="BQ15" s="204"/>
      <c r="BR15" s="204"/>
      <c r="BS15" s="204"/>
      <c r="BT15" s="204"/>
      <c r="BU15" s="204"/>
      <c r="BV15" s="204"/>
      <c r="BW15" s="204"/>
      <c r="BX15" s="204"/>
      <c r="BY15" s="204"/>
      <c r="BZ15" s="204"/>
      <c r="CA15" s="204"/>
      <c r="CB15" s="204"/>
      <c r="CC15" s="204"/>
      <c r="CD15" s="204"/>
      <c r="CE15" s="204"/>
      <c r="CF15" s="204"/>
      <c r="CG15" s="204"/>
      <c r="CH15" s="204"/>
      <c r="CI15" s="204"/>
      <c r="CJ15" s="204"/>
      <c r="CK15" s="204"/>
      <c r="CL15" s="204"/>
      <c r="CM15" s="204"/>
      <c r="CN15" s="204"/>
      <c r="CO15" s="204"/>
      <c r="CP15" s="204"/>
      <c r="CQ15" s="204"/>
      <c r="CR15" s="204"/>
      <c r="CS15" s="204"/>
      <c r="CT15" s="204"/>
      <c r="CU15" s="204"/>
      <c r="CV15" s="204"/>
      <c r="CW15" s="204"/>
      <c r="CX15" s="204"/>
      <c r="CY15" s="204"/>
    </row>
    <row r="16" spans="1:103" ht="40.5" customHeight="1" x14ac:dyDescent="0.2">
      <c r="A16" s="1820"/>
      <c r="B16" s="1823"/>
      <c r="C16" s="194"/>
      <c r="D16" s="194"/>
      <c r="E16" s="195"/>
      <c r="F16" s="195"/>
      <c r="G16" s="195"/>
      <c r="H16" s="195"/>
      <c r="I16" s="195"/>
      <c r="J16" s="195"/>
      <c r="K16" s="195"/>
      <c r="L16" s="195"/>
      <c r="M16" s="195"/>
      <c r="N16" s="195"/>
      <c r="O16" s="195"/>
      <c r="P16" s="195"/>
      <c r="Q16" s="195"/>
      <c r="R16" s="195"/>
      <c r="S16" s="195"/>
      <c r="T16" s="194"/>
      <c r="U16" s="1830"/>
      <c r="V16" s="194" t="s">
        <v>642</v>
      </c>
      <c r="W16" s="194" t="s">
        <v>643</v>
      </c>
      <c r="X16" s="1241" t="s">
        <v>644</v>
      </c>
      <c r="Y16" s="220">
        <v>3657</v>
      </c>
      <c r="Z16" s="196">
        <v>240</v>
      </c>
      <c r="AA16" s="196">
        <v>85</v>
      </c>
      <c r="AB16" s="196">
        <v>1000</v>
      </c>
      <c r="AC16" s="197">
        <f>+Z16/Y16</f>
        <v>6.5627563576702214E-2</v>
      </c>
      <c r="AD16" s="197">
        <f>+AA16/Y16</f>
        <v>2.3243095433415368E-2</v>
      </c>
      <c r="AE16" s="197">
        <f>AB16/Y16</f>
        <v>0.27344818156959255</v>
      </c>
      <c r="AF16" s="196">
        <v>0</v>
      </c>
      <c r="AG16" s="196">
        <v>0</v>
      </c>
      <c r="AH16" s="199"/>
      <c r="AI16" s="196">
        <v>0</v>
      </c>
      <c r="AJ16" s="199"/>
      <c r="AK16" s="196">
        <f>+AI16</f>
        <v>0</v>
      </c>
      <c r="AL16" s="197">
        <v>0</v>
      </c>
      <c r="AM16" s="196">
        <f>+AF16+AI16</f>
        <v>0</v>
      </c>
      <c r="AN16" s="197">
        <f>+AM16/Y16</f>
        <v>0</v>
      </c>
      <c r="AO16" s="196">
        <v>85</v>
      </c>
      <c r="AP16" s="199">
        <v>0</v>
      </c>
      <c r="AQ16" s="199"/>
      <c r="AR16" s="199">
        <v>0</v>
      </c>
      <c r="AS16" s="199"/>
      <c r="AT16" s="199">
        <v>0</v>
      </c>
      <c r="AU16" s="199"/>
      <c r="AV16" s="199">
        <v>0</v>
      </c>
      <c r="AW16" s="199"/>
      <c r="AX16" s="199">
        <f>AP16</f>
        <v>0</v>
      </c>
      <c r="AY16" s="199">
        <f>AX16/AO16</f>
        <v>0</v>
      </c>
      <c r="AZ16" s="196">
        <f>AX16+AM16</f>
        <v>0</v>
      </c>
      <c r="BA16" s="234">
        <f>AZ16/Y16</f>
        <v>0</v>
      </c>
      <c r="BB16" s="196">
        <f>+AB16</f>
        <v>1000</v>
      </c>
      <c r="BC16" s="199">
        <v>494</v>
      </c>
      <c r="BD16" s="199"/>
      <c r="BE16" s="199">
        <v>491</v>
      </c>
      <c r="BF16" s="199"/>
      <c r="BG16" s="199">
        <v>0</v>
      </c>
      <c r="BH16" s="199"/>
      <c r="BI16" s="199">
        <v>77</v>
      </c>
      <c r="BJ16" s="199"/>
      <c r="BK16" s="199">
        <f>+BC16+BE16+BI16</f>
        <v>1062</v>
      </c>
      <c r="BL16" s="58">
        <v>1</v>
      </c>
      <c r="BM16" s="196">
        <f>+BK16+AZ16</f>
        <v>1062</v>
      </c>
      <c r="BN16" s="58">
        <f>+BM16/Y16</f>
        <v>0.29040196882690728</v>
      </c>
      <c r="BO16" s="204"/>
      <c r="BP16" s="204"/>
      <c r="BQ16" s="204"/>
      <c r="BR16" s="204"/>
      <c r="BS16" s="204"/>
      <c r="BT16" s="204"/>
      <c r="BU16" s="204"/>
      <c r="BV16" s="204"/>
      <c r="BW16" s="204"/>
      <c r="BX16" s="204"/>
      <c r="BY16" s="204"/>
      <c r="BZ16" s="204"/>
      <c r="CA16" s="204"/>
      <c r="CB16" s="204"/>
      <c r="CC16" s="204"/>
      <c r="CD16" s="204"/>
      <c r="CE16" s="204"/>
      <c r="CF16" s="204"/>
      <c r="CG16" s="204"/>
      <c r="CH16" s="204"/>
      <c r="CI16" s="204"/>
      <c r="CJ16" s="204"/>
      <c r="CK16" s="204"/>
      <c r="CL16" s="204"/>
      <c r="CM16" s="204"/>
      <c r="CN16" s="204"/>
      <c r="CO16" s="204"/>
      <c r="CP16" s="204"/>
      <c r="CQ16" s="204"/>
      <c r="CR16" s="204"/>
      <c r="CS16" s="204"/>
      <c r="CT16" s="204"/>
      <c r="CU16" s="204"/>
      <c r="CV16" s="204"/>
      <c r="CW16" s="204"/>
      <c r="CX16" s="204"/>
      <c r="CY16" s="204"/>
    </row>
    <row r="17" spans="1:103" ht="58.5" customHeight="1" x14ac:dyDescent="0.2">
      <c r="A17" s="1820"/>
      <c r="B17" s="1823"/>
      <c r="C17" s="194"/>
      <c r="D17" s="194"/>
      <c r="E17" s="195"/>
      <c r="F17" s="195"/>
      <c r="G17" s="195"/>
      <c r="H17" s="195"/>
      <c r="I17" s="195"/>
      <c r="J17" s="195"/>
      <c r="K17" s="195"/>
      <c r="L17" s="195"/>
      <c r="M17" s="195"/>
      <c r="N17" s="195"/>
      <c r="O17" s="195"/>
      <c r="P17" s="195"/>
      <c r="Q17" s="195"/>
      <c r="R17" s="195"/>
      <c r="S17" s="195"/>
      <c r="T17" s="194"/>
      <c r="U17" s="1830"/>
      <c r="V17" s="194" t="s">
        <v>645</v>
      </c>
      <c r="W17" s="194" t="s">
        <v>646</v>
      </c>
      <c r="X17" s="1241" t="s">
        <v>647</v>
      </c>
      <c r="Y17" s="220">
        <v>3047</v>
      </c>
      <c r="Z17" s="196">
        <v>240</v>
      </c>
      <c r="AA17" s="196">
        <v>200</v>
      </c>
      <c r="AB17" s="196">
        <v>500</v>
      </c>
      <c r="AC17" s="197">
        <f>+Z17/Y17</f>
        <v>7.8765999343616666E-2</v>
      </c>
      <c r="AD17" s="197">
        <f>+AA17/Y17</f>
        <v>6.5638332786347231E-2</v>
      </c>
      <c r="AE17" s="197">
        <f>AB17/Y17</f>
        <v>0.16409583196586808</v>
      </c>
      <c r="AF17" s="196">
        <v>0</v>
      </c>
      <c r="AG17" s="196">
        <v>0</v>
      </c>
      <c r="AH17" s="199"/>
      <c r="AI17" s="196">
        <v>0</v>
      </c>
      <c r="AJ17" s="199"/>
      <c r="AK17" s="196">
        <f>+AI17</f>
        <v>0</v>
      </c>
      <c r="AL17" s="197">
        <v>0</v>
      </c>
      <c r="AM17" s="196">
        <f>+AF17+AI17</f>
        <v>0</v>
      </c>
      <c r="AN17" s="197">
        <f>+AM17/Y17</f>
        <v>0</v>
      </c>
      <c r="AO17" s="196">
        <v>200</v>
      </c>
      <c r="AP17" s="199">
        <v>0</v>
      </c>
      <c r="AQ17" s="199"/>
      <c r="AR17" s="199">
        <v>0</v>
      </c>
      <c r="AS17" s="199"/>
      <c r="AT17" s="199">
        <v>0</v>
      </c>
      <c r="AU17" s="199"/>
      <c r="AV17" s="199">
        <v>0</v>
      </c>
      <c r="AW17" s="199"/>
      <c r="AX17" s="199">
        <f>AP17</f>
        <v>0</v>
      </c>
      <c r="AY17" s="199">
        <f>AX17/AO17</f>
        <v>0</v>
      </c>
      <c r="AZ17" s="196">
        <f>AX17+AM17</f>
        <v>0</v>
      </c>
      <c r="BA17" s="234">
        <f>AZ17/Y17</f>
        <v>0</v>
      </c>
      <c r="BB17" s="199">
        <v>500</v>
      </c>
      <c r="BC17" s="199">
        <v>274</v>
      </c>
      <c r="BD17" s="199"/>
      <c r="BE17" s="199">
        <v>214</v>
      </c>
      <c r="BF17" s="199"/>
      <c r="BG17" s="199">
        <v>0</v>
      </c>
      <c r="BH17" s="199"/>
      <c r="BI17" s="199">
        <v>0</v>
      </c>
      <c r="BJ17" s="199"/>
      <c r="BK17" s="199">
        <f>+BC17+BE17+BI17</f>
        <v>488</v>
      </c>
      <c r="BL17" s="58">
        <f>+BK17/BB17</f>
        <v>0.97599999999999998</v>
      </c>
      <c r="BM17" s="196">
        <f>+BK17+AZ17</f>
        <v>488</v>
      </c>
      <c r="BN17" s="58">
        <f>+BM17/Y17</f>
        <v>0.16015753199868724</v>
      </c>
      <c r="BO17" s="204"/>
      <c r="BP17" s="204"/>
      <c r="BQ17" s="204"/>
      <c r="BR17" s="204"/>
      <c r="BS17" s="204"/>
      <c r="BT17" s="204"/>
      <c r="BU17" s="204"/>
      <c r="BV17" s="204"/>
      <c r="BW17" s="204"/>
      <c r="BX17" s="204"/>
      <c r="BY17" s="204"/>
      <c r="BZ17" s="204"/>
      <c r="CA17" s="204"/>
      <c r="CB17" s="204"/>
      <c r="CC17" s="204"/>
      <c r="CD17" s="204"/>
      <c r="CE17" s="204"/>
      <c r="CF17" s="204"/>
      <c r="CG17" s="204"/>
      <c r="CH17" s="204"/>
      <c r="CI17" s="204"/>
      <c r="CJ17" s="204"/>
      <c r="CK17" s="204"/>
      <c r="CL17" s="204"/>
      <c r="CM17" s="204"/>
      <c r="CN17" s="204"/>
      <c r="CO17" s="204"/>
      <c r="CP17" s="204"/>
      <c r="CQ17" s="204"/>
      <c r="CR17" s="204"/>
      <c r="CS17" s="204"/>
      <c r="CT17" s="204"/>
      <c r="CU17" s="204"/>
      <c r="CV17" s="204"/>
      <c r="CW17" s="204"/>
      <c r="CX17" s="204"/>
      <c r="CY17" s="204"/>
    </row>
    <row r="18" spans="1:103" ht="15.75" customHeight="1" x14ac:dyDescent="0.2">
      <c r="A18" s="1820"/>
      <c r="B18" s="1823"/>
      <c r="C18" s="194"/>
      <c r="D18" s="194"/>
      <c r="E18" s="195"/>
      <c r="F18" s="195"/>
      <c r="G18" s="195"/>
      <c r="H18" s="195"/>
      <c r="I18" s="195"/>
      <c r="J18" s="195"/>
      <c r="K18" s="195"/>
      <c r="L18" s="195"/>
      <c r="M18" s="195"/>
      <c r="N18" s="195"/>
      <c r="O18" s="195"/>
      <c r="P18" s="195"/>
      <c r="Q18" s="195"/>
      <c r="R18" s="195"/>
      <c r="S18" s="195"/>
      <c r="T18" s="194"/>
      <c r="U18" s="1831"/>
      <c r="V18" s="207"/>
      <c r="W18" s="207"/>
      <c r="X18" s="1453"/>
      <c r="Y18" s="207"/>
      <c r="Z18" s="208"/>
      <c r="AA18" s="208"/>
      <c r="AB18" s="208"/>
      <c r="AC18" s="209">
        <f>AVERAGE(AC15:AC17)</f>
        <v>7.4386520754645177E-2</v>
      </c>
      <c r="AD18" s="209">
        <f>AVERAGE(AD15:AD17)</f>
        <v>5.8070420280671331E-2</v>
      </c>
      <c r="AE18" s="231">
        <f>AVERAGE(AE15:AE17)</f>
        <v>0.25524522582239895</v>
      </c>
      <c r="AF18" s="208"/>
      <c r="AG18" s="208"/>
      <c r="AH18" s="208"/>
      <c r="AI18" s="211"/>
      <c r="AJ18" s="208"/>
      <c r="AK18" s="208"/>
      <c r="AL18" s="209">
        <f>AVERAGE(AL15:AL17)</f>
        <v>0</v>
      </c>
      <c r="AM18" s="222"/>
      <c r="AN18" s="209">
        <f>AVERAGE(AN15:AN17)</f>
        <v>0</v>
      </c>
      <c r="AO18" s="208"/>
      <c r="AP18" s="229"/>
      <c r="AQ18" s="229"/>
      <c r="AR18" s="229"/>
      <c r="AS18" s="229"/>
      <c r="AT18" s="232"/>
      <c r="AU18" s="229"/>
      <c r="AV18" s="229"/>
      <c r="AW18" s="229"/>
      <c r="AX18" s="229"/>
      <c r="AY18" s="231">
        <f>AVERAGE(AY15:AY17)</f>
        <v>0.33333333333333331</v>
      </c>
      <c r="AZ18" s="231"/>
      <c r="BA18" s="231">
        <f>AVERAGE(BA15:BA17)</f>
        <v>0.13838748495788208</v>
      </c>
      <c r="BB18" s="226"/>
      <c r="BC18" s="226"/>
      <c r="BD18" s="226"/>
      <c r="BE18" s="226"/>
      <c r="BF18" s="226"/>
      <c r="BG18" s="226"/>
      <c r="BH18" s="226"/>
      <c r="BI18" s="226"/>
      <c r="BJ18" s="226"/>
      <c r="BK18" s="226"/>
      <c r="BL18" s="1170">
        <f>AVERAGE(BL15:BL17)</f>
        <v>0.99199999999999999</v>
      </c>
      <c r="BM18" s="1171"/>
      <c r="BN18" s="1170">
        <f>AVERAGE(BN15:BN17)</f>
        <v>0.42149160912543343</v>
      </c>
      <c r="BO18" s="229"/>
      <c r="BP18" s="229"/>
      <c r="BQ18" s="229"/>
      <c r="BR18" s="229"/>
      <c r="BS18" s="229"/>
      <c r="BT18" s="229"/>
      <c r="BU18" s="229"/>
      <c r="BV18" s="229"/>
      <c r="BW18" s="229"/>
      <c r="BX18" s="229"/>
      <c r="BY18" s="229"/>
      <c r="BZ18" s="229"/>
      <c r="CA18" s="229"/>
      <c r="CB18" s="229"/>
      <c r="CC18" s="229"/>
      <c r="CD18" s="229"/>
      <c r="CE18" s="229"/>
      <c r="CF18" s="229"/>
      <c r="CG18" s="229"/>
      <c r="CH18" s="229"/>
      <c r="CI18" s="229"/>
      <c r="CJ18" s="229"/>
      <c r="CK18" s="229"/>
      <c r="CL18" s="229"/>
      <c r="CM18" s="229"/>
      <c r="CN18" s="229"/>
      <c r="CO18" s="229"/>
      <c r="CP18" s="229"/>
      <c r="CQ18" s="229"/>
      <c r="CR18" s="229"/>
      <c r="CS18" s="229"/>
      <c r="CT18" s="229"/>
      <c r="CU18" s="229"/>
      <c r="CV18" s="229"/>
      <c r="CW18" s="229"/>
      <c r="CX18" s="229"/>
      <c r="CY18" s="229"/>
    </row>
    <row r="19" spans="1:103" ht="36.75" customHeight="1" x14ac:dyDescent="0.2">
      <c r="A19" s="1820"/>
      <c r="B19" s="1823"/>
      <c r="C19" s="194"/>
      <c r="D19" s="194"/>
      <c r="E19" s="195"/>
      <c r="F19" s="195"/>
      <c r="G19" s="195"/>
      <c r="H19" s="195"/>
      <c r="I19" s="195"/>
      <c r="J19" s="195"/>
      <c r="K19" s="195"/>
      <c r="L19" s="195"/>
      <c r="M19" s="195"/>
      <c r="N19" s="195"/>
      <c r="O19" s="195"/>
      <c r="P19" s="195"/>
      <c r="Q19" s="195"/>
      <c r="R19" s="195"/>
      <c r="S19" s="195"/>
      <c r="T19" s="194"/>
      <c r="U19" s="1829" t="s">
        <v>648</v>
      </c>
      <c r="V19" s="194" t="s">
        <v>649</v>
      </c>
      <c r="W19" s="194" t="s">
        <v>650</v>
      </c>
      <c r="X19" s="1241" t="s">
        <v>651</v>
      </c>
      <c r="Y19" s="220">
        <v>3000</v>
      </c>
      <c r="Z19" s="235">
        <v>50</v>
      </c>
      <c r="AA19" s="235">
        <v>300</v>
      </c>
      <c r="AB19" s="196">
        <v>1426</v>
      </c>
      <c r="AC19" s="236">
        <f>+Z19/Y19</f>
        <v>1.6666666666666666E-2</v>
      </c>
      <c r="AD19" s="236">
        <f>+AA19/Y19</f>
        <v>0.1</v>
      </c>
      <c r="AE19" s="236">
        <f>+AB19/Y19</f>
        <v>0.47533333333333333</v>
      </c>
      <c r="AF19" s="235">
        <v>0</v>
      </c>
      <c r="AG19" s="235">
        <v>0</v>
      </c>
      <c r="AH19" s="199"/>
      <c r="AI19" s="196">
        <v>75</v>
      </c>
      <c r="AJ19" s="199"/>
      <c r="AK19" s="196">
        <f>+AI19</f>
        <v>75</v>
      </c>
      <c r="AL19" s="197">
        <v>0</v>
      </c>
      <c r="AM19" s="196">
        <f>+AK19</f>
        <v>75</v>
      </c>
      <c r="AN19" s="58">
        <f>+AM19/Y19</f>
        <v>2.5000000000000001E-2</v>
      </c>
      <c r="AO19" s="235">
        <v>300</v>
      </c>
      <c r="AP19" s="199">
        <v>0</v>
      </c>
      <c r="AQ19" s="199"/>
      <c r="AR19" s="199">
        <v>0</v>
      </c>
      <c r="AS19" s="199"/>
      <c r="AT19" s="199">
        <v>0</v>
      </c>
      <c r="AU19" s="199"/>
      <c r="AV19" s="199">
        <v>149</v>
      </c>
      <c r="AW19" s="199"/>
      <c r="AX19" s="199">
        <f>+AV19</f>
        <v>149</v>
      </c>
      <c r="AY19" s="58">
        <f>+AX19/AO19</f>
        <v>0.49666666666666665</v>
      </c>
      <c r="AZ19" s="196">
        <f>+AK19+AX19</f>
        <v>224</v>
      </c>
      <c r="BA19" s="218">
        <f>AZ19/Y19</f>
        <v>7.4666666666666673E-2</v>
      </c>
      <c r="BB19" s="199">
        <v>1426</v>
      </c>
      <c r="BC19" s="199">
        <v>15</v>
      </c>
      <c r="BD19" s="199"/>
      <c r="BE19" s="199">
        <v>1393</v>
      </c>
      <c r="BF19" s="199"/>
      <c r="BG19" s="199">
        <v>64</v>
      </c>
      <c r="BH19" s="199"/>
      <c r="BI19" s="199">
        <v>214</v>
      </c>
      <c r="BJ19" s="199"/>
      <c r="BK19" s="199">
        <f>+BC19+BE19+BG19+BI19</f>
        <v>1686</v>
      </c>
      <c r="BL19" s="58">
        <v>1</v>
      </c>
      <c r="BM19" s="196">
        <f>+BK19+AZ19</f>
        <v>1910</v>
      </c>
      <c r="BN19" s="58">
        <f>+BM19/Y19</f>
        <v>0.63666666666666671</v>
      </c>
      <c r="BO19" s="204"/>
      <c r="BP19" s="204"/>
      <c r="BQ19" s="204"/>
      <c r="BR19" s="204"/>
      <c r="BS19" s="204"/>
      <c r="BT19" s="204"/>
      <c r="BU19" s="204"/>
      <c r="BV19" s="204"/>
      <c r="BW19" s="204"/>
      <c r="BX19" s="204"/>
      <c r="BY19" s="204"/>
      <c r="BZ19" s="204"/>
      <c r="CA19" s="204"/>
      <c r="CB19" s="204"/>
      <c r="CC19" s="204"/>
      <c r="CD19" s="204"/>
      <c r="CE19" s="204"/>
      <c r="CF19" s="204"/>
      <c r="CG19" s="204"/>
      <c r="CH19" s="204"/>
      <c r="CI19" s="204"/>
      <c r="CJ19" s="204"/>
      <c r="CK19" s="204"/>
      <c r="CL19" s="204"/>
      <c r="CM19" s="204"/>
      <c r="CN19" s="204"/>
      <c r="CO19" s="204"/>
      <c r="CP19" s="204"/>
      <c r="CQ19" s="204"/>
      <c r="CR19" s="204"/>
      <c r="CS19" s="204"/>
      <c r="CT19" s="204"/>
      <c r="CU19" s="204"/>
      <c r="CV19" s="204"/>
      <c r="CW19" s="204"/>
      <c r="CX19" s="204"/>
      <c r="CY19" s="204"/>
    </row>
    <row r="20" spans="1:103" ht="51.75" customHeight="1" x14ac:dyDescent="0.2">
      <c r="A20" s="1820"/>
      <c r="B20" s="1823"/>
      <c r="C20" s="194"/>
      <c r="D20" s="194"/>
      <c r="E20" s="195"/>
      <c r="F20" s="195"/>
      <c r="G20" s="195"/>
      <c r="H20" s="195"/>
      <c r="I20" s="195"/>
      <c r="J20" s="195"/>
      <c r="K20" s="195"/>
      <c r="L20" s="195"/>
      <c r="M20" s="195"/>
      <c r="N20" s="195"/>
      <c r="O20" s="195"/>
      <c r="P20" s="195"/>
      <c r="Q20" s="195"/>
      <c r="R20" s="195"/>
      <c r="S20" s="195"/>
      <c r="T20" s="194"/>
      <c r="U20" s="1830"/>
      <c r="V20" s="194" t="s">
        <v>652</v>
      </c>
      <c r="W20" s="194" t="s">
        <v>653</v>
      </c>
      <c r="X20" s="1241" t="s">
        <v>654</v>
      </c>
      <c r="Y20" s="220">
        <v>3000</v>
      </c>
      <c r="Z20" s="196">
        <v>50</v>
      </c>
      <c r="AA20" s="235">
        <v>500</v>
      </c>
      <c r="AB20" s="196">
        <v>600</v>
      </c>
      <c r="AC20" s="236">
        <f>+Z20/Y20</f>
        <v>1.6666666666666666E-2</v>
      </c>
      <c r="AD20" s="236">
        <f>+AA20/Y20</f>
        <v>0.16666666666666666</v>
      </c>
      <c r="AE20" s="236">
        <f>+AB20/Y20</f>
        <v>0.2</v>
      </c>
      <c r="AF20" s="196">
        <v>0</v>
      </c>
      <c r="AG20" s="196">
        <v>40</v>
      </c>
      <c r="AH20" s="199"/>
      <c r="AI20" s="196">
        <v>272</v>
      </c>
      <c r="AJ20" s="199"/>
      <c r="AK20" s="196">
        <f>+AI20</f>
        <v>272</v>
      </c>
      <c r="AL20" s="197">
        <v>1</v>
      </c>
      <c r="AM20" s="196">
        <f>+AK20</f>
        <v>272</v>
      </c>
      <c r="AN20" s="58">
        <f>+AM20/Y20</f>
        <v>9.0666666666666673E-2</v>
      </c>
      <c r="AO20" s="235">
        <v>500</v>
      </c>
      <c r="AP20" s="199">
        <v>0</v>
      </c>
      <c r="AQ20" s="199"/>
      <c r="AR20" s="199">
        <v>114</v>
      </c>
      <c r="AS20" s="199"/>
      <c r="AT20" s="199">
        <v>304</v>
      </c>
      <c r="AU20" s="199"/>
      <c r="AV20" s="199">
        <v>1373</v>
      </c>
      <c r="AW20" s="199"/>
      <c r="AX20" s="199">
        <f>+AR20+AT20+AV20</f>
        <v>1791</v>
      </c>
      <c r="AY20" s="58">
        <v>1</v>
      </c>
      <c r="AZ20" s="196">
        <f>AX20+AM20</f>
        <v>2063</v>
      </c>
      <c r="BA20" s="218">
        <f>AZ20/Y20</f>
        <v>0.68766666666666665</v>
      </c>
      <c r="BB20" s="199">
        <v>600</v>
      </c>
      <c r="BC20" s="199">
        <v>614</v>
      </c>
      <c r="BD20" s="199"/>
      <c r="BE20" s="199">
        <v>261</v>
      </c>
      <c r="BF20" s="199"/>
      <c r="BG20" s="199">
        <v>74</v>
      </c>
      <c r="BH20" s="199"/>
      <c r="BI20" s="199">
        <v>0</v>
      </c>
      <c r="BJ20" s="199"/>
      <c r="BK20" s="199">
        <f>+BC20+BE20+BG20</f>
        <v>949</v>
      </c>
      <c r="BL20" s="58">
        <v>1</v>
      </c>
      <c r="BM20" s="196">
        <f>+BK20+AZ20</f>
        <v>3012</v>
      </c>
      <c r="BN20" s="58">
        <v>1</v>
      </c>
      <c r="BO20" s="204"/>
      <c r="BP20" s="204"/>
      <c r="BQ20" s="204"/>
      <c r="BR20" s="204"/>
      <c r="BS20" s="204"/>
      <c r="BT20" s="204"/>
      <c r="BU20" s="204"/>
      <c r="BV20" s="204"/>
      <c r="BW20" s="204"/>
      <c r="BX20" s="204"/>
      <c r="BY20" s="204"/>
      <c r="BZ20" s="204"/>
      <c r="CA20" s="204"/>
      <c r="CB20" s="204"/>
      <c r="CC20" s="204"/>
      <c r="CD20" s="204"/>
      <c r="CE20" s="204"/>
      <c r="CF20" s="204"/>
      <c r="CG20" s="204"/>
      <c r="CH20" s="204"/>
      <c r="CI20" s="204"/>
      <c r="CJ20" s="204"/>
      <c r="CK20" s="204"/>
      <c r="CL20" s="204"/>
      <c r="CM20" s="204"/>
      <c r="CN20" s="204"/>
      <c r="CO20" s="204"/>
      <c r="CP20" s="204"/>
      <c r="CQ20" s="204"/>
      <c r="CR20" s="204"/>
      <c r="CS20" s="204"/>
      <c r="CT20" s="204"/>
      <c r="CU20" s="204"/>
      <c r="CV20" s="204"/>
      <c r="CW20" s="204"/>
      <c r="CX20" s="204"/>
      <c r="CY20" s="204"/>
    </row>
    <row r="21" spans="1:103" ht="47.25" customHeight="1" x14ac:dyDescent="0.2">
      <c r="A21" s="1820"/>
      <c r="B21" s="1823"/>
      <c r="C21" s="194"/>
      <c r="D21" s="194"/>
      <c r="E21" s="195"/>
      <c r="F21" s="195"/>
      <c r="G21" s="195"/>
      <c r="H21" s="195"/>
      <c r="I21" s="195"/>
      <c r="J21" s="195"/>
      <c r="K21" s="195"/>
      <c r="L21" s="195"/>
      <c r="M21" s="195"/>
      <c r="N21" s="195"/>
      <c r="O21" s="195"/>
      <c r="P21" s="195"/>
      <c r="Q21" s="195"/>
      <c r="R21" s="195"/>
      <c r="S21" s="195"/>
      <c r="T21" s="194"/>
      <c r="U21" s="1830"/>
      <c r="V21" s="194" t="s">
        <v>655</v>
      </c>
      <c r="W21" s="194" t="s">
        <v>656</v>
      </c>
      <c r="X21" s="1241" t="s">
        <v>657</v>
      </c>
      <c r="Y21" s="220">
        <v>3000</v>
      </c>
      <c r="Z21" s="196">
        <v>100</v>
      </c>
      <c r="AA21" s="235">
        <v>300</v>
      </c>
      <c r="AB21" s="196">
        <v>1600</v>
      </c>
      <c r="AC21" s="236">
        <f>+Z21/Y21</f>
        <v>3.3333333333333333E-2</v>
      </c>
      <c r="AD21" s="236">
        <f>+AA21/Y21</f>
        <v>0.1</v>
      </c>
      <c r="AE21" s="236">
        <f>+AB21/Y21</f>
        <v>0.53333333333333333</v>
      </c>
      <c r="AF21" s="196">
        <v>0</v>
      </c>
      <c r="AG21" s="196">
        <v>0</v>
      </c>
      <c r="AH21" s="199"/>
      <c r="AI21" s="196">
        <v>0</v>
      </c>
      <c r="AJ21" s="199"/>
      <c r="AK21" s="196">
        <f>+AI21</f>
        <v>0</v>
      </c>
      <c r="AL21" s="197">
        <v>0</v>
      </c>
      <c r="AM21" s="196">
        <f>+AK21</f>
        <v>0</v>
      </c>
      <c r="AN21" s="197">
        <f>+AM21/Y21</f>
        <v>0</v>
      </c>
      <c r="AO21" s="235">
        <v>300</v>
      </c>
      <c r="AP21" s="199">
        <v>0</v>
      </c>
      <c r="AQ21" s="199"/>
      <c r="AR21" s="199">
        <v>0</v>
      </c>
      <c r="AS21" s="199"/>
      <c r="AT21" s="199">
        <v>0</v>
      </c>
      <c r="AU21" s="199"/>
      <c r="AV21" s="199">
        <v>100</v>
      </c>
      <c r="AW21" s="199"/>
      <c r="AX21" s="199">
        <f>+AV21</f>
        <v>100</v>
      </c>
      <c r="AY21" s="58">
        <f>AX21/AO21</f>
        <v>0.33333333333333331</v>
      </c>
      <c r="AZ21" s="196">
        <f>AX21+AM21</f>
        <v>100</v>
      </c>
      <c r="BA21" s="218">
        <f>AZ21/Y21</f>
        <v>3.3333333333333333E-2</v>
      </c>
      <c r="BB21" s="199">
        <v>1600</v>
      </c>
      <c r="BC21" s="199">
        <v>623</v>
      </c>
      <c r="BD21" s="199"/>
      <c r="BE21" s="199">
        <v>274</v>
      </c>
      <c r="BF21" s="199"/>
      <c r="BG21" s="199">
        <v>51</v>
      </c>
      <c r="BH21" s="199"/>
      <c r="BI21" s="199">
        <v>24</v>
      </c>
      <c r="BJ21" s="199"/>
      <c r="BK21" s="199">
        <f>+BC21+BE21+BG21+BI21</f>
        <v>972</v>
      </c>
      <c r="BL21" s="58">
        <f>+BK21/BB21</f>
        <v>0.60750000000000004</v>
      </c>
      <c r="BM21" s="196">
        <f>+BK21+AZ21</f>
        <v>1072</v>
      </c>
      <c r="BN21" s="58">
        <f>+BM21/Y21</f>
        <v>0.35733333333333334</v>
      </c>
      <c r="BO21" s="204"/>
      <c r="BP21" s="204"/>
      <c r="BQ21" s="204"/>
      <c r="BR21" s="204"/>
      <c r="BS21" s="204"/>
      <c r="BT21" s="204"/>
      <c r="BU21" s="204"/>
      <c r="BV21" s="204"/>
      <c r="BW21" s="204"/>
      <c r="BX21" s="204"/>
      <c r="BY21" s="204"/>
      <c r="BZ21" s="204"/>
      <c r="CA21" s="204"/>
      <c r="CB21" s="204"/>
      <c r="CC21" s="204"/>
      <c r="CD21" s="204"/>
      <c r="CE21" s="204"/>
      <c r="CF21" s="204"/>
      <c r="CG21" s="204"/>
      <c r="CH21" s="204"/>
      <c r="CI21" s="204"/>
      <c r="CJ21" s="204"/>
      <c r="CK21" s="204"/>
      <c r="CL21" s="204"/>
      <c r="CM21" s="204"/>
      <c r="CN21" s="204"/>
      <c r="CO21" s="204"/>
      <c r="CP21" s="204"/>
      <c r="CQ21" s="204"/>
      <c r="CR21" s="204"/>
      <c r="CS21" s="204"/>
      <c r="CT21" s="204"/>
      <c r="CU21" s="204"/>
      <c r="CV21" s="204"/>
      <c r="CW21" s="204"/>
      <c r="CX21" s="204"/>
      <c r="CY21" s="204"/>
    </row>
    <row r="22" spans="1:103" ht="44.25" customHeight="1" x14ac:dyDescent="0.2">
      <c r="A22" s="1820"/>
      <c r="B22" s="1823"/>
      <c r="C22" s="194"/>
      <c r="D22" s="194"/>
      <c r="E22" s="195"/>
      <c r="F22" s="195"/>
      <c r="G22" s="195"/>
      <c r="H22" s="195"/>
      <c r="I22" s="195"/>
      <c r="J22" s="195"/>
      <c r="K22" s="195"/>
      <c r="L22" s="195"/>
      <c r="M22" s="195"/>
      <c r="N22" s="195"/>
      <c r="O22" s="195"/>
      <c r="P22" s="195"/>
      <c r="Q22" s="195"/>
      <c r="R22" s="195"/>
      <c r="S22" s="195"/>
      <c r="T22" s="194"/>
      <c r="U22" s="1830"/>
      <c r="V22" s="194" t="s">
        <v>658</v>
      </c>
      <c r="W22" s="194" t="s">
        <v>659</v>
      </c>
      <c r="X22" s="1241" t="s">
        <v>660</v>
      </c>
      <c r="Y22" s="220">
        <v>4000</v>
      </c>
      <c r="Z22" s="196">
        <v>100</v>
      </c>
      <c r="AA22" s="235">
        <v>1000</v>
      </c>
      <c r="AB22" s="196">
        <v>2162</v>
      </c>
      <c r="AC22" s="236">
        <f>+Z22/Y22</f>
        <v>2.5000000000000001E-2</v>
      </c>
      <c r="AD22" s="236">
        <f>+AA22/Y22</f>
        <v>0.25</v>
      </c>
      <c r="AE22" s="236">
        <f>+AB22/Y22</f>
        <v>0.54049999999999998</v>
      </c>
      <c r="AF22" s="238">
        <v>0</v>
      </c>
      <c r="AG22" s="238">
        <v>0</v>
      </c>
      <c r="AH22" s="199"/>
      <c r="AI22" s="196">
        <v>0</v>
      </c>
      <c r="AJ22" s="199"/>
      <c r="AK22" s="196">
        <f>+AI22</f>
        <v>0</v>
      </c>
      <c r="AL22" s="197">
        <v>0</v>
      </c>
      <c r="AM22" s="196">
        <f>+AK22</f>
        <v>0</v>
      </c>
      <c r="AN22" s="197">
        <f>+AM22/Y22</f>
        <v>0</v>
      </c>
      <c r="AO22" s="235">
        <v>1000</v>
      </c>
      <c r="AP22" s="199">
        <v>0</v>
      </c>
      <c r="AQ22" s="199"/>
      <c r="AR22" s="199">
        <v>0</v>
      </c>
      <c r="AS22" s="199"/>
      <c r="AT22" s="199">
        <v>0</v>
      </c>
      <c r="AU22" s="199"/>
      <c r="AV22" s="199">
        <v>438</v>
      </c>
      <c r="AW22" s="199"/>
      <c r="AX22" s="199">
        <f>+AV22</f>
        <v>438</v>
      </c>
      <c r="AY22" s="58">
        <f>AX22/AO22</f>
        <v>0.438</v>
      </c>
      <c r="AZ22" s="196">
        <f>AX22+AM22</f>
        <v>438</v>
      </c>
      <c r="BA22" s="218">
        <f>AZ22/Y22</f>
        <v>0.1095</v>
      </c>
      <c r="BB22" s="199">
        <v>2162</v>
      </c>
      <c r="BC22" s="199">
        <v>452</v>
      </c>
      <c r="BD22" s="199"/>
      <c r="BE22" s="199">
        <v>559</v>
      </c>
      <c r="BF22" s="199"/>
      <c r="BG22" s="199">
        <v>63</v>
      </c>
      <c r="BH22" s="199"/>
      <c r="BI22" s="199">
        <v>61</v>
      </c>
      <c r="BJ22" s="199"/>
      <c r="BK22" s="199">
        <f>+BC22+BE22+BG22+BI22</f>
        <v>1135</v>
      </c>
      <c r="BL22" s="58">
        <f>+BK22/BB22</f>
        <v>0.52497687326549491</v>
      </c>
      <c r="BM22" s="196">
        <f>+BK22+AZ22</f>
        <v>1573</v>
      </c>
      <c r="BN22" s="58">
        <f>+BM22/Y22</f>
        <v>0.39324999999999999</v>
      </c>
      <c r="BO22" s="204"/>
      <c r="BP22" s="204"/>
      <c r="BQ22" s="204"/>
      <c r="BR22" s="204"/>
      <c r="BS22" s="204"/>
      <c r="BT22" s="204"/>
      <c r="BU22" s="204"/>
      <c r="BV22" s="204"/>
      <c r="BW22" s="204"/>
      <c r="BX22" s="204"/>
      <c r="BY22" s="204"/>
      <c r="BZ22" s="204"/>
      <c r="CA22" s="204"/>
      <c r="CB22" s="204"/>
      <c r="CC22" s="204"/>
      <c r="CD22" s="204"/>
      <c r="CE22" s="204"/>
      <c r="CF22" s="204"/>
      <c r="CG22" s="204"/>
      <c r="CH22" s="204"/>
      <c r="CI22" s="204"/>
      <c r="CJ22" s="204"/>
      <c r="CK22" s="204"/>
      <c r="CL22" s="204"/>
      <c r="CM22" s="204"/>
      <c r="CN22" s="204"/>
      <c r="CO22" s="204"/>
      <c r="CP22" s="204"/>
      <c r="CQ22" s="204"/>
      <c r="CR22" s="204"/>
      <c r="CS22" s="204"/>
      <c r="CT22" s="204"/>
      <c r="CU22" s="204"/>
      <c r="CV22" s="204"/>
      <c r="CW22" s="204"/>
      <c r="CX22" s="204"/>
      <c r="CY22" s="204"/>
    </row>
    <row r="23" spans="1:103" ht="42" customHeight="1" x14ac:dyDescent="0.2">
      <c r="A23" s="1820"/>
      <c r="B23" s="1823"/>
      <c r="C23" s="194"/>
      <c r="D23" s="194"/>
      <c r="E23" s="195"/>
      <c r="F23" s="195"/>
      <c r="G23" s="195"/>
      <c r="H23" s="195"/>
      <c r="I23" s="195"/>
      <c r="J23" s="195"/>
      <c r="K23" s="195"/>
      <c r="L23" s="195"/>
      <c r="M23" s="195"/>
      <c r="N23" s="195"/>
      <c r="O23" s="195"/>
      <c r="P23" s="195"/>
      <c r="Q23" s="195"/>
      <c r="R23" s="195"/>
      <c r="S23" s="195"/>
      <c r="T23" s="194"/>
      <c r="U23" s="1830"/>
      <c r="V23" s="194" t="s">
        <v>661</v>
      </c>
      <c r="W23" s="194">
        <v>0</v>
      </c>
      <c r="X23" s="1241" t="s">
        <v>662</v>
      </c>
      <c r="Y23" s="220">
        <v>2000</v>
      </c>
      <c r="Z23" s="235">
        <v>100</v>
      </c>
      <c r="AA23" s="235">
        <v>400</v>
      </c>
      <c r="AB23" s="196">
        <v>1077</v>
      </c>
      <c r="AC23" s="236">
        <f>+Z23/Y23</f>
        <v>0.05</v>
      </c>
      <c r="AD23" s="236">
        <f>+AA23/Y23</f>
        <v>0.2</v>
      </c>
      <c r="AE23" s="236">
        <f>+AB23/Y23</f>
        <v>0.53849999999999998</v>
      </c>
      <c r="AF23" s="235">
        <v>0</v>
      </c>
      <c r="AG23" s="235">
        <v>0</v>
      </c>
      <c r="AH23" s="199"/>
      <c r="AI23" s="196">
        <v>0</v>
      </c>
      <c r="AJ23" s="199"/>
      <c r="AK23" s="196">
        <f>+AI23</f>
        <v>0</v>
      </c>
      <c r="AL23" s="197">
        <v>0</v>
      </c>
      <c r="AM23" s="196">
        <f>+AK23</f>
        <v>0</v>
      </c>
      <c r="AN23" s="197">
        <f>+AM23/Y23</f>
        <v>0</v>
      </c>
      <c r="AO23" s="235">
        <v>400</v>
      </c>
      <c r="AP23" s="199">
        <v>0</v>
      </c>
      <c r="AQ23" s="199"/>
      <c r="AR23" s="199">
        <v>0</v>
      </c>
      <c r="AS23" s="199"/>
      <c r="AT23" s="199">
        <v>0</v>
      </c>
      <c r="AU23" s="199"/>
      <c r="AV23" s="199">
        <v>123</v>
      </c>
      <c r="AW23" s="199"/>
      <c r="AX23" s="199">
        <f>+AV23</f>
        <v>123</v>
      </c>
      <c r="AY23" s="58">
        <f>+AX23/AO23</f>
        <v>0.3075</v>
      </c>
      <c r="AZ23" s="196">
        <f>AX23+AM23</f>
        <v>123</v>
      </c>
      <c r="BA23" s="218">
        <f>AZ23/Y23</f>
        <v>6.1499999999999999E-2</v>
      </c>
      <c r="BB23" s="199">
        <v>1077</v>
      </c>
      <c r="BC23" s="199">
        <v>0</v>
      </c>
      <c r="BD23" s="199"/>
      <c r="BE23" s="199">
        <v>213</v>
      </c>
      <c r="BF23" s="199"/>
      <c r="BG23" s="199">
        <v>90</v>
      </c>
      <c r="BH23" s="199"/>
      <c r="BI23" s="199">
        <v>372</v>
      </c>
      <c r="BJ23" s="199"/>
      <c r="BK23" s="199">
        <f>+BE23+BG23+BI23</f>
        <v>675</v>
      </c>
      <c r="BL23" s="58">
        <f>+BK23/BB23</f>
        <v>0.62674094707520889</v>
      </c>
      <c r="BM23" s="196">
        <f>+BK23+AZ23</f>
        <v>798</v>
      </c>
      <c r="BN23" s="58">
        <f>+BM23/Y23</f>
        <v>0.39900000000000002</v>
      </c>
      <c r="BO23" s="204"/>
      <c r="BP23" s="204"/>
      <c r="BQ23" s="204"/>
      <c r="BR23" s="204"/>
      <c r="BS23" s="204"/>
      <c r="BT23" s="204"/>
      <c r="BU23" s="204"/>
      <c r="BV23" s="204"/>
      <c r="BW23" s="204"/>
      <c r="BX23" s="204"/>
      <c r="BY23" s="204"/>
      <c r="BZ23" s="204"/>
      <c r="CA23" s="204"/>
      <c r="CB23" s="204"/>
      <c r="CC23" s="204"/>
      <c r="CD23" s="204"/>
      <c r="CE23" s="204"/>
      <c r="CF23" s="204"/>
      <c r="CG23" s="204"/>
      <c r="CH23" s="204"/>
      <c r="CI23" s="204"/>
      <c r="CJ23" s="204"/>
      <c r="CK23" s="204"/>
      <c r="CL23" s="204"/>
      <c r="CM23" s="204"/>
      <c r="CN23" s="204"/>
      <c r="CO23" s="204"/>
      <c r="CP23" s="204"/>
      <c r="CQ23" s="204"/>
      <c r="CR23" s="204"/>
      <c r="CS23" s="204"/>
      <c r="CT23" s="204"/>
      <c r="CU23" s="204"/>
      <c r="CV23" s="204"/>
      <c r="CW23" s="204"/>
      <c r="CX23" s="204"/>
      <c r="CY23" s="204"/>
    </row>
    <row r="24" spans="1:103" ht="15.75" customHeight="1" x14ac:dyDescent="0.2">
      <c r="A24" s="1820"/>
      <c r="B24" s="1823"/>
      <c r="C24" s="194"/>
      <c r="D24" s="194"/>
      <c r="E24" s="195"/>
      <c r="F24" s="195"/>
      <c r="G24" s="195"/>
      <c r="H24" s="195"/>
      <c r="I24" s="195"/>
      <c r="J24" s="195"/>
      <c r="K24" s="195"/>
      <c r="L24" s="195"/>
      <c r="M24" s="195"/>
      <c r="N24" s="195"/>
      <c r="O24" s="195"/>
      <c r="P24" s="195"/>
      <c r="Q24" s="195"/>
      <c r="R24" s="195"/>
      <c r="S24" s="195"/>
      <c r="T24" s="194"/>
      <c r="U24" s="1831"/>
      <c r="V24" s="207"/>
      <c r="W24" s="207"/>
      <c r="X24" s="1453"/>
      <c r="Y24" s="207"/>
      <c r="Z24" s="208"/>
      <c r="AA24" s="208"/>
      <c r="AB24" s="208"/>
      <c r="AC24" s="209">
        <f>AVERAGE(AC19:AC23)</f>
        <v>2.8333333333333332E-2</v>
      </c>
      <c r="AD24" s="209">
        <f>AVERAGE(AD19:AD23)</f>
        <v>0.16333333333333333</v>
      </c>
      <c r="AE24" s="231">
        <f>AVERAGE(AE19:AE23)</f>
        <v>0.45753333333333329</v>
      </c>
      <c r="AF24" s="208"/>
      <c r="AG24" s="208"/>
      <c r="AH24" s="208"/>
      <c r="AI24" s="211"/>
      <c r="AJ24" s="208"/>
      <c r="AK24" s="208"/>
      <c r="AL24" s="209">
        <f>AVERAGE(AL19:AL23)</f>
        <v>0.2</v>
      </c>
      <c r="AM24" s="222"/>
      <c r="AN24" s="225">
        <f>AVERAGE(AN19:AN23)</f>
        <v>2.3133333333333332E-2</v>
      </c>
      <c r="AO24" s="208"/>
      <c r="AP24" s="229"/>
      <c r="AQ24" s="229"/>
      <c r="AR24" s="229"/>
      <c r="AS24" s="229"/>
      <c r="AT24" s="232"/>
      <c r="AU24" s="229"/>
      <c r="AV24" s="229"/>
      <c r="AW24" s="229"/>
      <c r="AX24" s="229"/>
      <c r="AY24" s="231">
        <f>AVERAGE(AY19:AY23)</f>
        <v>0.5151</v>
      </c>
      <c r="AZ24" s="223"/>
      <c r="BA24" s="231">
        <f>AVERAGE(BA19:BA23)</f>
        <v>0.19333333333333333</v>
      </c>
      <c r="BB24" s="226"/>
      <c r="BC24" s="226"/>
      <c r="BD24" s="226"/>
      <c r="BE24" s="226"/>
      <c r="BF24" s="226"/>
      <c r="BG24" s="226"/>
      <c r="BH24" s="226"/>
      <c r="BI24" s="226"/>
      <c r="BJ24" s="226"/>
      <c r="BK24" s="226"/>
      <c r="BL24" s="227">
        <f>AVERAGE(BL19:BL23)</f>
        <v>0.75184356406814079</v>
      </c>
      <c r="BM24" s="228"/>
      <c r="BN24" s="227">
        <f>AVERAGE(BN19:BN23)</f>
        <v>0.55725000000000002</v>
      </c>
      <c r="BO24" s="229"/>
      <c r="BP24" s="229"/>
      <c r="BQ24" s="229"/>
      <c r="BR24" s="229"/>
      <c r="BS24" s="229"/>
      <c r="BT24" s="229"/>
      <c r="BU24" s="229"/>
      <c r="BV24" s="229"/>
      <c r="BW24" s="229"/>
      <c r="BX24" s="229"/>
      <c r="BY24" s="229"/>
      <c r="BZ24" s="229"/>
      <c r="CA24" s="229"/>
      <c r="CB24" s="229"/>
      <c r="CC24" s="229"/>
      <c r="CD24" s="229"/>
      <c r="CE24" s="229"/>
      <c r="CF24" s="229"/>
      <c r="CG24" s="229"/>
      <c r="CH24" s="229"/>
      <c r="CI24" s="229"/>
      <c r="CJ24" s="229"/>
      <c r="CK24" s="229"/>
      <c r="CL24" s="229"/>
      <c r="CM24" s="229"/>
      <c r="CN24" s="229"/>
      <c r="CO24" s="229"/>
      <c r="CP24" s="229"/>
      <c r="CQ24" s="229"/>
      <c r="CR24" s="229"/>
      <c r="CS24" s="229"/>
      <c r="CT24" s="229"/>
      <c r="CU24" s="229"/>
      <c r="CV24" s="229"/>
      <c r="CW24" s="229"/>
      <c r="CX24" s="229"/>
      <c r="CY24" s="229"/>
    </row>
    <row r="25" spans="1:103" ht="51.75" customHeight="1" x14ac:dyDescent="0.2">
      <c r="A25" s="1820"/>
      <c r="B25" s="1823"/>
      <c r="C25" s="194"/>
      <c r="D25" s="194"/>
      <c r="E25" s="195"/>
      <c r="F25" s="195"/>
      <c r="G25" s="195"/>
      <c r="H25" s="195"/>
      <c r="I25" s="195"/>
      <c r="J25" s="195"/>
      <c r="K25" s="195"/>
      <c r="L25" s="195"/>
      <c r="M25" s="195"/>
      <c r="N25" s="195"/>
      <c r="O25" s="195"/>
      <c r="P25" s="195"/>
      <c r="Q25" s="195"/>
      <c r="R25" s="195"/>
      <c r="S25" s="195"/>
      <c r="T25" s="194"/>
      <c r="U25" s="1829" t="s">
        <v>663</v>
      </c>
      <c r="V25" s="194" t="s">
        <v>664</v>
      </c>
      <c r="W25" s="194" t="s">
        <v>665</v>
      </c>
      <c r="X25" s="1241" t="s">
        <v>666</v>
      </c>
      <c r="Y25" s="220">
        <v>8</v>
      </c>
      <c r="Z25" s="196">
        <v>1</v>
      </c>
      <c r="AA25" s="196">
        <v>2</v>
      </c>
      <c r="AB25" s="199">
        <v>3</v>
      </c>
      <c r="AC25" s="197">
        <f>+Z25/Y25</f>
        <v>0.125</v>
      </c>
      <c r="AD25" s="197">
        <f>+AA25/Y25</f>
        <v>0.25</v>
      </c>
      <c r="AE25" s="197">
        <f>+AB25/Y25</f>
        <v>0.375</v>
      </c>
      <c r="AF25" s="196">
        <v>0</v>
      </c>
      <c r="AG25" s="196">
        <v>2</v>
      </c>
      <c r="AH25" s="199"/>
      <c r="AI25" s="196">
        <v>2</v>
      </c>
      <c r="AJ25" s="199"/>
      <c r="AK25" s="196">
        <f>+AI25</f>
        <v>2</v>
      </c>
      <c r="AL25" s="197">
        <v>1</v>
      </c>
      <c r="AM25" s="196">
        <f>+AK25</f>
        <v>2</v>
      </c>
      <c r="AN25" s="197">
        <f>+AM25/Y25</f>
        <v>0.25</v>
      </c>
      <c r="AO25" s="196">
        <v>2</v>
      </c>
      <c r="AP25" s="195">
        <v>2</v>
      </c>
      <c r="AQ25" s="195"/>
      <c r="AR25" s="195">
        <v>1</v>
      </c>
      <c r="AS25" s="195"/>
      <c r="AT25" s="199">
        <v>1</v>
      </c>
      <c r="AU25" s="195"/>
      <c r="AV25" s="239">
        <v>0</v>
      </c>
      <c r="AW25" s="195"/>
      <c r="AX25" s="195">
        <f>AP25</f>
        <v>2</v>
      </c>
      <c r="AY25" s="219">
        <v>1</v>
      </c>
      <c r="AZ25" s="196">
        <f>AX25+AM25+AT25</f>
        <v>5</v>
      </c>
      <c r="BA25" s="218">
        <f>AZ25/Y25</f>
        <v>0.625</v>
      </c>
      <c r="BB25" s="199">
        <v>3</v>
      </c>
      <c r="BC25" s="199">
        <v>0</v>
      </c>
      <c r="BD25" s="199"/>
      <c r="BE25" s="199">
        <v>1</v>
      </c>
      <c r="BF25" s="199"/>
      <c r="BG25" s="199">
        <v>0</v>
      </c>
      <c r="BH25" s="199"/>
      <c r="BI25" s="199">
        <v>1</v>
      </c>
      <c r="BJ25" s="199"/>
      <c r="BK25" s="199">
        <f>+BE25+BI25</f>
        <v>2</v>
      </c>
      <c r="BL25" s="58">
        <f>+BK25/BB25</f>
        <v>0.66666666666666663</v>
      </c>
      <c r="BM25" s="196">
        <f>+BK25+AZ25</f>
        <v>7</v>
      </c>
      <c r="BN25" s="58">
        <f>+BM25/Y25</f>
        <v>0.875</v>
      </c>
      <c r="BO25" s="204"/>
      <c r="BP25" s="204"/>
      <c r="BQ25" s="204"/>
      <c r="BR25" s="204"/>
      <c r="BS25" s="204"/>
      <c r="BT25" s="204"/>
      <c r="BU25" s="204"/>
      <c r="BV25" s="204"/>
      <c r="BW25" s="204"/>
      <c r="BX25" s="204"/>
      <c r="BY25" s="204"/>
      <c r="BZ25" s="204"/>
      <c r="CA25" s="204"/>
      <c r="CB25" s="204"/>
      <c r="CC25" s="204"/>
      <c r="CD25" s="204"/>
      <c r="CE25" s="204"/>
      <c r="CF25" s="204"/>
      <c r="CG25" s="204"/>
      <c r="CH25" s="204"/>
      <c r="CI25" s="204"/>
      <c r="CJ25" s="204"/>
      <c r="CK25" s="204"/>
      <c r="CL25" s="204"/>
      <c r="CM25" s="204"/>
      <c r="CN25" s="204"/>
      <c r="CO25" s="204"/>
      <c r="CP25" s="204"/>
      <c r="CQ25" s="204"/>
      <c r="CR25" s="204"/>
      <c r="CS25" s="204"/>
      <c r="CT25" s="204"/>
      <c r="CU25" s="204"/>
      <c r="CV25" s="204"/>
      <c r="CW25" s="204"/>
      <c r="CX25" s="204"/>
      <c r="CY25" s="204"/>
    </row>
    <row r="26" spans="1:103" ht="49.5" customHeight="1" x14ac:dyDescent="0.2">
      <c r="A26" s="1820"/>
      <c r="B26" s="1823"/>
      <c r="C26" s="194"/>
      <c r="D26" s="194"/>
      <c r="E26" s="195"/>
      <c r="F26" s="195"/>
      <c r="G26" s="195"/>
      <c r="H26" s="195"/>
      <c r="I26" s="195"/>
      <c r="J26" s="195"/>
      <c r="K26" s="195"/>
      <c r="L26" s="195"/>
      <c r="M26" s="195"/>
      <c r="N26" s="195"/>
      <c r="O26" s="195"/>
      <c r="P26" s="195"/>
      <c r="Q26" s="195"/>
      <c r="R26" s="195"/>
      <c r="S26" s="195"/>
      <c r="T26" s="194"/>
      <c r="U26" s="1830"/>
      <c r="V26" s="194" t="s">
        <v>667</v>
      </c>
      <c r="W26" s="194" t="s">
        <v>668</v>
      </c>
      <c r="X26" s="1241" t="s">
        <v>669</v>
      </c>
      <c r="Y26" s="220">
        <v>14500</v>
      </c>
      <c r="Z26" s="196">
        <v>1000</v>
      </c>
      <c r="AA26" s="196">
        <v>3000</v>
      </c>
      <c r="AB26" s="199">
        <v>10000</v>
      </c>
      <c r="AC26" s="197">
        <f>+Z26/Y26</f>
        <v>6.8965517241379309E-2</v>
      </c>
      <c r="AD26" s="197">
        <f>+AA26/Y26</f>
        <v>0.20689655172413793</v>
      </c>
      <c r="AE26" s="197">
        <f>+AB26/Y26</f>
        <v>0.68965517241379315</v>
      </c>
      <c r="AF26" s="196">
        <v>30</v>
      </c>
      <c r="AG26" s="196">
        <v>80</v>
      </c>
      <c r="AH26" s="199"/>
      <c r="AI26" s="196">
        <v>591</v>
      </c>
      <c r="AJ26" s="199"/>
      <c r="AK26" s="196">
        <f>+AI26</f>
        <v>591</v>
      </c>
      <c r="AL26" s="197">
        <f>+AK26/Z26</f>
        <v>0.59099999999999997</v>
      </c>
      <c r="AM26" s="196">
        <f>+AK26</f>
        <v>591</v>
      </c>
      <c r="AN26" s="230">
        <f>+AM26/Y26</f>
        <v>4.0758620689655176E-2</v>
      </c>
      <c r="AO26" s="196">
        <v>3000</v>
      </c>
      <c r="AP26" s="195">
        <v>25</v>
      </c>
      <c r="AQ26" s="195"/>
      <c r="AR26" s="195">
        <v>5969</v>
      </c>
      <c r="AS26" s="195"/>
      <c r="AT26" s="199">
        <v>0</v>
      </c>
      <c r="AU26" s="195"/>
      <c r="AV26" s="239">
        <v>17629</v>
      </c>
      <c r="AW26" s="195"/>
      <c r="AX26" s="195">
        <f>AP26+AR26+AV26</f>
        <v>23623</v>
      </c>
      <c r="AY26" s="219">
        <v>1</v>
      </c>
      <c r="AZ26" s="196">
        <f>AX26+AM26</f>
        <v>24214</v>
      </c>
      <c r="BA26" s="218">
        <v>1</v>
      </c>
      <c r="BB26" s="199"/>
      <c r="BC26" s="199"/>
      <c r="BD26" s="199"/>
      <c r="BE26" s="199"/>
      <c r="BF26" s="199"/>
      <c r="BG26" s="199">
        <v>0</v>
      </c>
      <c r="BH26" s="199"/>
      <c r="BI26" s="199">
        <v>0</v>
      </c>
      <c r="BJ26" s="199"/>
      <c r="BK26" s="199">
        <f>+BC26</f>
        <v>0</v>
      </c>
      <c r="BL26" s="58"/>
      <c r="BM26" s="196">
        <f>+BK26+AZ26</f>
        <v>24214</v>
      </c>
      <c r="BN26" s="58">
        <v>1</v>
      </c>
      <c r="BO26" s="204"/>
      <c r="BP26" s="204"/>
      <c r="BQ26" s="204"/>
      <c r="BR26" s="204"/>
      <c r="BS26" s="204"/>
      <c r="BT26" s="204"/>
      <c r="BU26" s="204"/>
      <c r="BV26" s="204"/>
      <c r="BW26" s="204"/>
      <c r="BX26" s="204"/>
      <c r="BY26" s="204"/>
      <c r="BZ26" s="204"/>
      <c r="CA26" s="204"/>
      <c r="CB26" s="204"/>
      <c r="CC26" s="204"/>
      <c r="CD26" s="204"/>
      <c r="CE26" s="204"/>
      <c r="CF26" s="204"/>
      <c r="CG26" s="204"/>
      <c r="CH26" s="204"/>
      <c r="CI26" s="204"/>
      <c r="CJ26" s="204"/>
      <c r="CK26" s="204"/>
      <c r="CL26" s="204"/>
      <c r="CM26" s="204"/>
      <c r="CN26" s="204"/>
      <c r="CO26" s="204"/>
      <c r="CP26" s="204"/>
      <c r="CQ26" s="204"/>
      <c r="CR26" s="204"/>
      <c r="CS26" s="204"/>
      <c r="CT26" s="204"/>
      <c r="CU26" s="204"/>
      <c r="CV26" s="204"/>
      <c r="CW26" s="204"/>
      <c r="CX26" s="204"/>
      <c r="CY26" s="204"/>
    </row>
    <row r="27" spans="1:103" ht="42" customHeight="1" x14ac:dyDescent="0.2">
      <c r="A27" s="1820"/>
      <c r="B27" s="1823"/>
      <c r="C27" s="194"/>
      <c r="D27" s="194"/>
      <c r="E27" s="195"/>
      <c r="F27" s="195"/>
      <c r="G27" s="195"/>
      <c r="H27" s="195"/>
      <c r="I27" s="195"/>
      <c r="J27" s="195"/>
      <c r="K27" s="195"/>
      <c r="L27" s="195"/>
      <c r="M27" s="195"/>
      <c r="N27" s="195"/>
      <c r="O27" s="195"/>
      <c r="P27" s="195"/>
      <c r="Q27" s="195"/>
      <c r="R27" s="195"/>
      <c r="S27" s="195"/>
      <c r="T27" s="194"/>
      <c r="U27" s="1830"/>
      <c r="V27" s="194" t="s">
        <v>670</v>
      </c>
      <c r="W27" s="194" t="s">
        <v>671</v>
      </c>
      <c r="X27" s="1241" t="s">
        <v>672</v>
      </c>
      <c r="Y27" s="220">
        <v>4500</v>
      </c>
      <c r="Z27" s="196">
        <v>500</v>
      </c>
      <c r="AA27" s="196">
        <v>500</v>
      </c>
      <c r="AB27" s="199">
        <v>2000</v>
      </c>
      <c r="AC27" s="197">
        <f>+Z27/Y27</f>
        <v>0.1111111111111111</v>
      </c>
      <c r="AD27" s="197">
        <f>+AA27/Y27</f>
        <v>0.1111111111111111</v>
      </c>
      <c r="AE27" s="861">
        <v>0.88400000000000001</v>
      </c>
      <c r="AF27" s="238">
        <v>0</v>
      </c>
      <c r="AG27" s="238">
        <v>18</v>
      </c>
      <c r="AH27" s="199"/>
      <c r="AI27" s="196">
        <v>18</v>
      </c>
      <c r="AJ27" s="199"/>
      <c r="AK27" s="196">
        <f>+AI27</f>
        <v>18</v>
      </c>
      <c r="AL27" s="197">
        <f>+AK27/Z27</f>
        <v>3.5999999999999997E-2</v>
      </c>
      <c r="AM27" s="196">
        <f>+AK27</f>
        <v>18</v>
      </c>
      <c r="AN27" s="197">
        <f>+AM27/Y27</f>
        <v>4.0000000000000001E-3</v>
      </c>
      <c r="AO27" s="196">
        <v>500</v>
      </c>
      <c r="AP27" s="195">
        <v>0</v>
      </c>
      <c r="AQ27" s="195"/>
      <c r="AR27" s="195">
        <v>58</v>
      </c>
      <c r="AS27" s="195"/>
      <c r="AT27" s="199">
        <v>66</v>
      </c>
      <c r="AU27" s="195"/>
      <c r="AV27" s="239">
        <v>271</v>
      </c>
      <c r="AW27" s="195"/>
      <c r="AX27" s="195">
        <f>+AR27+AP27+AT27+AV27</f>
        <v>395</v>
      </c>
      <c r="AY27" s="219">
        <f>AX27/AO27</f>
        <v>0.79</v>
      </c>
      <c r="AZ27" s="196">
        <f>+AX27+AM27</f>
        <v>413</v>
      </c>
      <c r="BA27" s="218">
        <f>+AZ27/Y27</f>
        <v>9.1777777777777778E-2</v>
      </c>
      <c r="BB27" s="199">
        <f>+AB27</f>
        <v>2000</v>
      </c>
      <c r="BC27" s="199">
        <v>109</v>
      </c>
      <c r="BD27" s="199"/>
      <c r="BE27" s="199">
        <v>116</v>
      </c>
      <c r="BF27" s="199"/>
      <c r="BG27" s="199">
        <v>18</v>
      </c>
      <c r="BH27" s="199"/>
      <c r="BI27" s="199">
        <v>273</v>
      </c>
      <c r="BJ27" s="199"/>
      <c r="BK27" s="199">
        <f>+BC27+BE27+BG27+BI27</f>
        <v>516</v>
      </c>
      <c r="BL27" s="58">
        <f>+BK27/BB27</f>
        <v>0.25800000000000001</v>
      </c>
      <c r="BM27" s="196">
        <f>+BK27+AZ27</f>
        <v>929</v>
      </c>
      <c r="BN27" s="58">
        <f>+BM27/Y27</f>
        <v>0.20644444444444446</v>
      </c>
      <c r="BO27" s="204"/>
      <c r="BP27" s="204"/>
      <c r="BQ27" s="204"/>
      <c r="BR27" s="204"/>
      <c r="BS27" s="204"/>
      <c r="BT27" s="204"/>
      <c r="BU27" s="204"/>
      <c r="BV27" s="204"/>
      <c r="BW27" s="204"/>
      <c r="BX27" s="204"/>
      <c r="BY27" s="204"/>
      <c r="BZ27" s="204"/>
      <c r="CA27" s="204"/>
      <c r="CB27" s="204"/>
      <c r="CC27" s="204"/>
      <c r="CD27" s="204"/>
      <c r="CE27" s="204"/>
      <c r="CF27" s="204"/>
      <c r="CG27" s="204"/>
      <c r="CH27" s="204"/>
      <c r="CI27" s="204"/>
      <c r="CJ27" s="204"/>
      <c r="CK27" s="204"/>
      <c r="CL27" s="204"/>
      <c r="CM27" s="204"/>
      <c r="CN27" s="204"/>
      <c r="CO27" s="204"/>
      <c r="CP27" s="204"/>
      <c r="CQ27" s="204"/>
      <c r="CR27" s="204"/>
      <c r="CS27" s="204"/>
      <c r="CT27" s="204"/>
      <c r="CU27" s="204"/>
      <c r="CV27" s="204"/>
      <c r="CW27" s="204"/>
      <c r="CX27" s="204"/>
      <c r="CY27" s="204"/>
    </row>
    <row r="28" spans="1:103" ht="15.75" customHeight="1" x14ac:dyDescent="0.2">
      <c r="A28" s="1820"/>
      <c r="B28" s="1823"/>
      <c r="C28" s="194"/>
      <c r="D28" s="194"/>
      <c r="E28" s="195"/>
      <c r="F28" s="195"/>
      <c r="G28" s="195"/>
      <c r="H28" s="195"/>
      <c r="I28" s="195"/>
      <c r="J28" s="195"/>
      <c r="K28" s="195"/>
      <c r="L28" s="195"/>
      <c r="M28" s="195"/>
      <c r="N28" s="195"/>
      <c r="O28" s="195"/>
      <c r="P28" s="195"/>
      <c r="Q28" s="195"/>
      <c r="R28" s="195"/>
      <c r="S28" s="195"/>
      <c r="T28" s="194"/>
      <c r="U28" s="1831"/>
      <c r="V28" s="207"/>
      <c r="W28" s="207"/>
      <c r="X28" s="1453"/>
      <c r="Y28" s="207"/>
      <c r="Z28" s="208"/>
      <c r="AA28" s="208"/>
      <c r="AB28" s="208"/>
      <c r="AC28" s="209">
        <f>AVERAGE(AC25:AC27)</f>
        <v>0.10169220945083013</v>
      </c>
      <c r="AD28" s="209">
        <f>AVERAGE(AD25:AD27)</f>
        <v>0.18933588761174969</v>
      </c>
      <c r="AE28" s="241">
        <f>AVERAGE(AE25:AE27)</f>
        <v>0.64955172413793105</v>
      </c>
      <c r="AF28" s="208"/>
      <c r="AG28" s="208"/>
      <c r="AH28" s="208"/>
      <c r="AI28" s="211"/>
      <c r="AJ28" s="208"/>
      <c r="AK28" s="208"/>
      <c r="AL28" s="225">
        <f>AVERAGE(AL25:AL27)</f>
        <v>0.54233333333333333</v>
      </c>
      <c r="AM28" s="225"/>
      <c r="AN28" s="225">
        <f>AVERAGE(AN25:AN27)</f>
        <v>9.8252873563218393E-2</v>
      </c>
      <c r="AO28" s="208"/>
      <c r="AP28" s="226"/>
      <c r="AQ28" s="226"/>
      <c r="AR28" s="242"/>
      <c r="AS28" s="226"/>
      <c r="AT28" s="208"/>
      <c r="AU28" s="226"/>
      <c r="AV28" s="226"/>
      <c r="AW28" s="226"/>
      <c r="AX28" s="226"/>
      <c r="AY28" s="227">
        <f>AVERAGE(AY25:AY27)</f>
        <v>0.93</v>
      </c>
      <c r="AZ28" s="228"/>
      <c r="BA28" s="241">
        <f>AVERAGE(BA25:BA27)</f>
        <v>0.57225925925925925</v>
      </c>
      <c r="BB28" s="226"/>
      <c r="BC28" s="226"/>
      <c r="BD28" s="226"/>
      <c r="BE28" s="226"/>
      <c r="BF28" s="226"/>
      <c r="BG28" s="226"/>
      <c r="BH28" s="226"/>
      <c r="BI28" s="226"/>
      <c r="BJ28" s="226"/>
      <c r="BK28" s="226"/>
      <c r="BL28" s="227">
        <f>AVERAGE(BL25:BL27)</f>
        <v>0.46233333333333332</v>
      </c>
      <c r="BM28" s="228"/>
      <c r="BN28" s="227">
        <f>AVERAGE(BN25:BN27)</f>
        <v>0.69381481481481488</v>
      </c>
      <c r="BO28" s="229"/>
      <c r="BP28" s="229"/>
      <c r="BQ28" s="229"/>
      <c r="BR28" s="229"/>
      <c r="BS28" s="229"/>
      <c r="BT28" s="229"/>
      <c r="BU28" s="229"/>
      <c r="BV28" s="229"/>
      <c r="BW28" s="229"/>
      <c r="BX28" s="229"/>
      <c r="BY28" s="229"/>
      <c r="BZ28" s="229"/>
      <c r="CA28" s="229"/>
      <c r="CB28" s="229"/>
      <c r="CC28" s="229"/>
      <c r="CD28" s="229"/>
      <c r="CE28" s="229"/>
      <c r="CF28" s="229"/>
      <c r="CG28" s="229"/>
      <c r="CH28" s="229"/>
      <c r="CI28" s="229"/>
      <c r="CJ28" s="229"/>
      <c r="CK28" s="229"/>
      <c r="CL28" s="229"/>
      <c r="CM28" s="229"/>
      <c r="CN28" s="229"/>
      <c r="CO28" s="229"/>
      <c r="CP28" s="229"/>
      <c r="CQ28" s="229"/>
      <c r="CR28" s="229"/>
      <c r="CS28" s="229"/>
      <c r="CT28" s="229"/>
      <c r="CU28" s="229"/>
      <c r="CV28" s="229"/>
      <c r="CW28" s="229"/>
      <c r="CX28" s="229"/>
      <c r="CY28" s="229"/>
    </row>
    <row r="29" spans="1:103" ht="53.25" customHeight="1" x14ac:dyDescent="0.2">
      <c r="A29" s="1820"/>
      <c r="B29" s="1823"/>
      <c r="C29" s="194"/>
      <c r="D29" s="194"/>
      <c r="E29" s="195"/>
      <c r="F29" s="195"/>
      <c r="G29" s="195"/>
      <c r="H29" s="195"/>
      <c r="I29" s="195"/>
      <c r="J29" s="195"/>
      <c r="K29" s="195"/>
      <c r="L29" s="195"/>
      <c r="M29" s="195"/>
      <c r="N29" s="195"/>
      <c r="O29" s="195"/>
      <c r="P29" s="195"/>
      <c r="Q29" s="195"/>
      <c r="R29" s="195"/>
      <c r="S29" s="195"/>
      <c r="T29" s="194"/>
      <c r="U29" s="1829" t="s">
        <v>673</v>
      </c>
      <c r="V29" s="194" t="s">
        <v>674</v>
      </c>
      <c r="W29" s="194" t="s">
        <v>675</v>
      </c>
      <c r="X29" s="1241" t="s">
        <v>676</v>
      </c>
      <c r="Y29" s="220">
        <v>12000</v>
      </c>
      <c r="Z29" s="199">
        <v>1000</v>
      </c>
      <c r="AA29" s="199">
        <v>3000</v>
      </c>
      <c r="AB29" s="199">
        <v>2500</v>
      </c>
      <c r="AC29" s="197">
        <f>+Z29/Y29</f>
        <v>8.3333333333333329E-2</v>
      </c>
      <c r="AD29" s="197">
        <f>+AA29/Y29</f>
        <v>0.25</v>
      </c>
      <c r="AE29" s="197">
        <f>+AB29/Y29</f>
        <v>0.20833333333333334</v>
      </c>
      <c r="AF29" s="199">
        <v>270</v>
      </c>
      <c r="AG29" s="199">
        <v>1265</v>
      </c>
      <c r="AH29" s="199"/>
      <c r="AI29" s="196">
        <v>4670</v>
      </c>
      <c r="AJ29" s="199"/>
      <c r="AK29" s="196">
        <f>+AI29</f>
        <v>4670</v>
      </c>
      <c r="AL29" s="197">
        <v>1</v>
      </c>
      <c r="AM29" s="196">
        <f>+AK29</f>
        <v>4670</v>
      </c>
      <c r="AN29" s="230">
        <f>+AM29/Y29</f>
        <v>0.38916666666666666</v>
      </c>
      <c r="AO29" s="199">
        <v>3000</v>
      </c>
      <c r="AP29" s="199">
        <v>702</v>
      </c>
      <c r="AQ29" s="234"/>
      <c r="AR29" s="199">
        <v>3109</v>
      </c>
      <c r="AS29" s="243"/>
      <c r="AT29" s="199">
        <v>811</v>
      </c>
      <c r="AU29" s="195"/>
      <c r="AV29" s="244">
        <v>38</v>
      </c>
      <c r="AW29" s="195"/>
      <c r="AX29" s="199">
        <f>AP29+AR29+AT29+AV29</f>
        <v>4660</v>
      </c>
      <c r="AY29" s="58">
        <v>1</v>
      </c>
      <c r="AZ29" s="196">
        <f>AX29+AM29</f>
        <v>9330</v>
      </c>
      <c r="BA29" s="218">
        <f>+AZ29/Y29</f>
        <v>0.77749999999999997</v>
      </c>
      <c r="BB29" s="199">
        <f>+AB29</f>
        <v>2500</v>
      </c>
      <c r="BC29" s="199">
        <v>1858</v>
      </c>
      <c r="BD29" s="199"/>
      <c r="BE29" s="199">
        <v>465</v>
      </c>
      <c r="BF29" s="199"/>
      <c r="BG29" s="199">
        <v>0</v>
      </c>
      <c r="BH29" s="199"/>
      <c r="BI29" s="199">
        <v>1</v>
      </c>
      <c r="BJ29" s="199"/>
      <c r="BK29" s="199">
        <f>+BC29+BE29+BG29+BI29</f>
        <v>2324</v>
      </c>
      <c r="BL29" s="58">
        <f>+BK29/BB29</f>
        <v>0.92959999999999998</v>
      </c>
      <c r="BM29" s="196">
        <f>+BK29+AZ29</f>
        <v>11654</v>
      </c>
      <c r="BN29" s="58">
        <f>+BM29/Y29</f>
        <v>0.97116666666666662</v>
      </c>
      <c r="BO29" s="204"/>
      <c r="BP29" s="204"/>
      <c r="BQ29" s="204"/>
      <c r="BR29" s="204"/>
      <c r="BS29" s="204"/>
      <c r="BT29" s="204"/>
      <c r="BU29" s="204"/>
      <c r="BV29" s="204"/>
      <c r="BW29" s="204"/>
      <c r="BX29" s="204"/>
      <c r="BY29" s="204"/>
      <c r="BZ29" s="204"/>
      <c r="CA29" s="204"/>
      <c r="CB29" s="204"/>
      <c r="CC29" s="204"/>
      <c r="CD29" s="204"/>
      <c r="CE29" s="204"/>
      <c r="CF29" s="204"/>
      <c r="CG29" s="204"/>
      <c r="CH29" s="204"/>
      <c r="CI29" s="204"/>
      <c r="CJ29" s="204"/>
      <c r="CK29" s="204"/>
      <c r="CL29" s="204"/>
      <c r="CM29" s="204"/>
      <c r="CN29" s="204"/>
      <c r="CO29" s="204"/>
      <c r="CP29" s="204"/>
      <c r="CQ29" s="204"/>
      <c r="CR29" s="204"/>
      <c r="CS29" s="204"/>
      <c r="CT29" s="204"/>
      <c r="CU29" s="204"/>
      <c r="CV29" s="204"/>
      <c r="CW29" s="204"/>
      <c r="CX29" s="204"/>
      <c r="CY29" s="204"/>
    </row>
    <row r="30" spans="1:103" ht="59.25" customHeight="1" x14ac:dyDescent="0.2">
      <c r="A30" s="1820"/>
      <c r="B30" s="1823"/>
      <c r="C30" s="194"/>
      <c r="D30" s="194"/>
      <c r="E30" s="195"/>
      <c r="F30" s="195"/>
      <c r="G30" s="195"/>
      <c r="H30" s="195"/>
      <c r="I30" s="195"/>
      <c r="J30" s="195"/>
      <c r="K30" s="195"/>
      <c r="L30" s="195"/>
      <c r="M30" s="195"/>
      <c r="N30" s="195"/>
      <c r="O30" s="195"/>
      <c r="P30" s="195"/>
      <c r="Q30" s="195"/>
      <c r="R30" s="195"/>
      <c r="S30" s="195"/>
      <c r="T30" s="194"/>
      <c r="U30" s="1830"/>
      <c r="V30" s="194" t="s">
        <v>677</v>
      </c>
      <c r="W30" s="194" t="s">
        <v>678</v>
      </c>
      <c r="X30" s="1241" t="s">
        <v>679</v>
      </c>
      <c r="Y30" s="220">
        <v>13453</v>
      </c>
      <c r="Z30" s="199">
        <v>1200</v>
      </c>
      <c r="AA30" s="199">
        <v>3000</v>
      </c>
      <c r="AB30" s="199">
        <v>5000</v>
      </c>
      <c r="AC30" s="197">
        <f>+Z30/Y30</f>
        <v>8.9199435070244554E-2</v>
      </c>
      <c r="AD30" s="197">
        <f>+AA30/Y30</f>
        <v>0.2229985876756114</v>
      </c>
      <c r="AE30" s="197">
        <f>+AB30/Y30</f>
        <v>0.37166431279268564</v>
      </c>
      <c r="AF30" s="199">
        <v>25</v>
      </c>
      <c r="AG30" s="199">
        <v>273</v>
      </c>
      <c r="AH30" s="199"/>
      <c r="AI30" s="196">
        <v>1106</v>
      </c>
      <c r="AJ30" s="199"/>
      <c r="AK30" s="196">
        <f>+AI30</f>
        <v>1106</v>
      </c>
      <c r="AL30" s="197">
        <f>+AK30/Z30</f>
        <v>0.92166666666666663</v>
      </c>
      <c r="AM30" s="196">
        <f>+AK30</f>
        <v>1106</v>
      </c>
      <c r="AN30" s="230">
        <f>+AM30/Y30</f>
        <v>8.2212145989742066E-2</v>
      </c>
      <c r="AO30" s="199">
        <v>3000</v>
      </c>
      <c r="AP30" s="199">
        <v>391</v>
      </c>
      <c r="AQ30" s="234"/>
      <c r="AR30" s="199">
        <v>2691</v>
      </c>
      <c r="AS30" s="243"/>
      <c r="AT30" s="199">
        <v>915</v>
      </c>
      <c r="AU30" s="245"/>
      <c r="AV30" s="199">
        <v>93</v>
      </c>
      <c r="AW30" s="243"/>
      <c r="AX30" s="199">
        <f>AP30+AR30+AT30+AV30</f>
        <v>4090</v>
      </c>
      <c r="AY30" s="58">
        <v>1</v>
      </c>
      <c r="AZ30" s="196">
        <f>AX30+AM30</f>
        <v>5196</v>
      </c>
      <c r="BA30" s="218">
        <f>AZ30/Y30</f>
        <v>0.38623355385415892</v>
      </c>
      <c r="BB30" s="199">
        <v>5000</v>
      </c>
      <c r="BC30" s="199">
        <v>656</v>
      </c>
      <c r="BD30" s="199"/>
      <c r="BE30" s="199">
        <v>3179</v>
      </c>
      <c r="BF30" s="199"/>
      <c r="BG30" s="199">
        <v>650</v>
      </c>
      <c r="BH30" s="199"/>
      <c r="BI30" s="199">
        <v>86</v>
      </c>
      <c r="BJ30" s="199"/>
      <c r="BK30" s="199">
        <f>+BC30+BE30+BG30+BI30</f>
        <v>4571</v>
      </c>
      <c r="BL30" s="58">
        <f>+BK30/BB30</f>
        <v>0.91420000000000001</v>
      </c>
      <c r="BM30" s="196">
        <f>+BK30+AZ30</f>
        <v>9767</v>
      </c>
      <c r="BN30" s="58">
        <f>+BM30/Y30</f>
        <v>0.72600906860923209</v>
      </c>
      <c r="BO30" s="204"/>
      <c r="BP30" s="204"/>
      <c r="BQ30" s="204"/>
      <c r="BR30" s="204"/>
      <c r="BS30" s="204"/>
      <c r="BT30" s="204"/>
      <c r="BU30" s="204"/>
      <c r="BV30" s="204"/>
      <c r="BW30" s="204"/>
      <c r="BX30" s="204"/>
      <c r="BY30" s="204"/>
      <c r="BZ30" s="204"/>
      <c r="CA30" s="204"/>
      <c r="CB30" s="204"/>
      <c r="CC30" s="204"/>
      <c r="CD30" s="204"/>
      <c r="CE30" s="204"/>
      <c r="CF30" s="204"/>
      <c r="CG30" s="204"/>
      <c r="CH30" s="204"/>
      <c r="CI30" s="204"/>
      <c r="CJ30" s="204"/>
      <c r="CK30" s="204"/>
      <c r="CL30" s="204"/>
      <c r="CM30" s="204"/>
      <c r="CN30" s="204"/>
      <c r="CO30" s="204"/>
      <c r="CP30" s="204"/>
      <c r="CQ30" s="204"/>
      <c r="CR30" s="204"/>
      <c r="CS30" s="204"/>
      <c r="CT30" s="204"/>
      <c r="CU30" s="204"/>
      <c r="CV30" s="204"/>
      <c r="CW30" s="204"/>
      <c r="CX30" s="204"/>
      <c r="CY30" s="204"/>
    </row>
    <row r="31" spans="1:103" ht="47.25" customHeight="1" x14ac:dyDescent="0.2">
      <c r="A31" s="1820"/>
      <c r="B31" s="1823"/>
      <c r="C31" s="194"/>
      <c r="D31" s="194"/>
      <c r="E31" s="195"/>
      <c r="F31" s="195"/>
      <c r="G31" s="195"/>
      <c r="H31" s="195"/>
      <c r="I31" s="195"/>
      <c r="J31" s="195"/>
      <c r="K31" s="195"/>
      <c r="L31" s="195"/>
      <c r="M31" s="195"/>
      <c r="N31" s="195"/>
      <c r="O31" s="195"/>
      <c r="P31" s="195"/>
      <c r="Q31" s="195"/>
      <c r="R31" s="195"/>
      <c r="S31" s="195"/>
      <c r="T31" s="194"/>
      <c r="U31" s="1830"/>
      <c r="V31" s="194" t="s">
        <v>680</v>
      </c>
      <c r="W31" s="194">
        <v>0</v>
      </c>
      <c r="X31" s="1241" t="s">
        <v>681</v>
      </c>
      <c r="Y31" s="220">
        <v>7000</v>
      </c>
      <c r="Z31" s="199">
        <v>800</v>
      </c>
      <c r="AA31" s="199">
        <v>2000</v>
      </c>
      <c r="AB31" s="199">
        <v>2000</v>
      </c>
      <c r="AC31" s="197">
        <f>+Z31/Y31</f>
        <v>0.11428571428571428</v>
      </c>
      <c r="AD31" s="197">
        <f>+AA31/Y31</f>
        <v>0.2857142857142857</v>
      </c>
      <c r="AE31" s="197">
        <f>+AB31/Y31</f>
        <v>0.2857142857142857</v>
      </c>
      <c r="AF31" s="199">
        <v>294</v>
      </c>
      <c r="AG31" s="199">
        <v>881</v>
      </c>
      <c r="AH31" s="199"/>
      <c r="AI31" s="196">
        <v>1344</v>
      </c>
      <c r="AJ31" s="199"/>
      <c r="AK31" s="196">
        <f>+AI31</f>
        <v>1344</v>
      </c>
      <c r="AL31" s="197">
        <v>1</v>
      </c>
      <c r="AM31" s="196">
        <f>+AK31</f>
        <v>1344</v>
      </c>
      <c r="AN31" s="230">
        <f>+AM31/Y31</f>
        <v>0.192</v>
      </c>
      <c r="AO31" s="199">
        <v>2000</v>
      </c>
      <c r="AP31" s="199">
        <v>300</v>
      </c>
      <c r="AQ31" s="234"/>
      <c r="AR31" s="199">
        <v>1259</v>
      </c>
      <c r="AS31" s="243"/>
      <c r="AT31" s="199">
        <v>594</v>
      </c>
      <c r="AU31" s="245"/>
      <c r="AV31" s="199">
        <v>0</v>
      </c>
      <c r="AW31" s="243"/>
      <c r="AX31" s="199">
        <f>AP31+AR31+AT31</f>
        <v>2153</v>
      </c>
      <c r="AY31" s="58">
        <v>1</v>
      </c>
      <c r="AZ31" s="196">
        <f>AX31+AM31</f>
        <v>3497</v>
      </c>
      <c r="BA31" s="218">
        <f>AZ31/Y31</f>
        <v>0.49957142857142856</v>
      </c>
      <c r="BB31" s="199">
        <v>2000</v>
      </c>
      <c r="BC31" s="199">
        <v>1220</v>
      </c>
      <c r="BD31" s="199"/>
      <c r="BE31" s="199">
        <v>324</v>
      </c>
      <c r="BF31" s="199"/>
      <c r="BG31" s="199">
        <v>598</v>
      </c>
      <c r="BH31" s="199"/>
      <c r="BI31" s="199">
        <v>234</v>
      </c>
      <c r="BJ31" s="199"/>
      <c r="BK31" s="199">
        <f>+BC31+BE31+BG31+BI31</f>
        <v>2376</v>
      </c>
      <c r="BL31" s="58">
        <v>1</v>
      </c>
      <c r="BM31" s="196">
        <f>+BK31+AZ31</f>
        <v>5873</v>
      </c>
      <c r="BN31" s="58">
        <f>+BM31/Y31</f>
        <v>0.83899999999999997</v>
      </c>
      <c r="BO31" s="204"/>
      <c r="BP31" s="204"/>
      <c r="BQ31" s="204"/>
      <c r="BR31" s="204"/>
      <c r="BS31" s="204"/>
      <c r="BT31" s="204"/>
      <c r="BU31" s="204"/>
      <c r="BV31" s="204"/>
      <c r="BW31" s="204"/>
      <c r="BX31" s="204"/>
      <c r="BY31" s="204"/>
      <c r="BZ31" s="204"/>
      <c r="CA31" s="204"/>
      <c r="CB31" s="204"/>
      <c r="CC31" s="204"/>
      <c r="CD31" s="204"/>
      <c r="CE31" s="204"/>
      <c r="CF31" s="204"/>
      <c r="CG31" s="204"/>
      <c r="CH31" s="204"/>
      <c r="CI31" s="204"/>
      <c r="CJ31" s="204"/>
      <c r="CK31" s="204"/>
      <c r="CL31" s="204"/>
      <c r="CM31" s="204"/>
      <c r="CN31" s="204"/>
      <c r="CO31" s="204"/>
      <c r="CP31" s="204"/>
      <c r="CQ31" s="204"/>
      <c r="CR31" s="204"/>
      <c r="CS31" s="204"/>
      <c r="CT31" s="204"/>
      <c r="CU31" s="204"/>
      <c r="CV31" s="204"/>
      <c r="CW31" s="204"/>
      <c r="CX31" s="204"/>
      <c r="CY31" s="204"/>
    </row>
    <row r="32" spans="1:103" ht="15.75" customHeight="1" x14ac:dyDescent="0.2">
      <c r="A32" s="1820"/>
      <c r="B32" s="1823"/>
      <c r="C32" s="194"/>
      <c r="D32" s="194"/>
      <c r="E32" s="195"/>
      <c r="F32" s="195"/>
      <c r="G32" s="195"/>
      <c r="H32" s="195"/>
      <c r="I32" s="195"/>
      <c r="J32" s="195"/>
      <c r="K32" s="195"/>
      <c r="L32" s="195"/>
      <c r="M32" s="195"/>
      <c r="N32" s="195"/>
      <c r="O32" s="195"/>
      <c r="P32" s="195"/>
      <c r="Q32" s="195"/>
      <c r="R32" s="195"/>
      <c r="S32" s="195"/>
      <c r="T32" s="194"/>
      <c r="U32" s="1831"/>
      <c r="V32" s="246"/>
      <c r="W32" s="246"/>
      <c r="X32" s="1454"/>
      <c r="Y32" s="246"/>
      <c r="Z32" s="247"/>
      <c r="AA32" s="248"/>
      <c r="AB32" s="248"/>
      <c r="AC32" s="249">
        <f>AVERAGE(AC29:AC31)</f>
        <v>9.5606160896430717E-2</v>
      </c>
      <c r="AD32" s="249">
        <f>AVERAGE(AD29:AD31)</f>
        <v>0.25290429112996571</v>
      </c>
      <c r="AE32" s="250">
        <f>AVERAGE(AE29:AE31)</f>
        <v>0.28857064394676823</v>
      </c>
      <c r="AF32" s="248"/>
      <c r="AG32" s="248"/>
      <c r="AH32" s="247"/>
      <c r="AI32" s="251"/>
      <c r="AJ32" s="247"/>
      <c r="AK32" s="247"/>
      <c r="AL32" s="252">
        <f>AVERAGE(AL29:AL31)</f>
        <v>0.97388888888888892</v>
      </c>
      <c r="AM32" s="247"/>
      <c r="AN32" s="253">
        <f>AVERAGE(AN29:AN31)</f>
        <v>0.22112627088546957</v>
      </c>
      <c r="AO32" s="248"/>
      <c r="AP32" s="204"/>
      <c r="AQ32" s="204"/>
      <c r="AR32" s="195"/>
      <c r="AS32" s="204"/>
      <c r="AT32" s="254"/>
      <c r="AU32" s="204"/>
      <c r="AV32" s="195"/>
      <c r="AW32" s="204"/>
      <c r="AX32" s="204"/>
      <c r="AY32" s="252">
        <f>AVERAGE(AY29:AY31)</f>
        <v>1</v>
      </c>
      <c r="AZ32" s="247"/>
      <c r="BA32" s="255">
        <f>AVERAGE(BA29:BA31)</f>
        <v>0.55443499414186248</v>
      </c>
      <c r="BB32" s="213"/>
      <c r="BC32" s="213"/>
      <c r="BD32" s="213"/>
      <c r="BE32" s="213"/>
      <c r="BF32" s="213"/>
      <c r="BG32" s="213"/>
      <c r="BH32" s="213"/>
      <c r="BI32" s="213"/>
      <c r="BJ32" s="213"/>
      <c r="BK32" s="213"/>
      <c r="BL32" s="214">
        <f>AVERAGE(BL29:BL31)</f>
        <v>0.94793333333333329</v>
      </c>
      <c r="BM32" s="213"/>
      <c r="BN32" s="214">
        <f>AVERAGE(BN29:BN31)</f>
        <v>0.84539191175863293</v>
      </c>
      <c r="BO32" s="204"/>
      <c r="BP32" s="204"/>
      <c r="BQ32" s="204"/>
      <c r="BR32" s="204"/>
      <c r="BS32" s="204"/>
      <c r="BT32" s="204"/>
      <c r="BU32" s="204"/>
      <c r="BV32" s="204"/>
      <c r="BW32" s="204"/>
      <c r="BX32" s="204"/>
      <c r="BY32" s="204"/>
      <c r="BZ32" s="204"/>
      <c r="CA32" s="204"/>
      <c r="CB32" s="204"/>
      <c r="CC32" s="204"/>
      <c r="CD32" s="204"/>
      <c r="CE32" s="204"/>
      <c r="CF32" s="204"/>
      <c r="CG32" s="204"/>
      <c r="CH32" s="204"/>
      <c r="CI32" s="204"/>
      <c r="CJ32" s="204"/>
      <c r="CK32" s="204"/>
      <c r="CL32" s="204"/>
      <c r="CM32" s="204"/>
      <c r="CN32" s="204"/>
      <c r="CO32" s="204"/>
      <c r="CP32" s="204"/>
      <c r="CQ32" s="204"/>
      <c r="CR32" s="204"/>
      <c r="CS32" s="204"/>
      <c r="CT32" s="204"/>
      <c r="CU32" s="204"/>
      <c r="CV32" s="204"/>
      <c r="CW32" s="204"/>
      <c r="CX32" s="204"/>
      <c r="CY32" s="204"/>
    </row>
    <row r="33" spans="1:103" ht="64.5" customHeight="1" x14ac:dyDescent="0.2">
      <c r="A33" s="1820"/>
      <c r="B33" s="1823"/>
      <c r="C33" s="194"/>
      <c r="D33" s="194"/>
      <c r="E33" s="195"/>
      <c r="F33" s="195"/>
      <c r="G33" s="195"/>
      <c r="H33" s="195"/>
      <c r="I33" s="195"/>
      <c r="J33" s="195"/>
      <c r="K33" s="195"/>
      <c r="L33" s="195"/>
      <c r="M33" s="195"/>
      <c r="N33" s="195"/>
      <c r="O33" s="195"/>
      <c r="P33" s="195"/>
      <c r="Q33" s="195"/>
      <c r="R33" s="195"/>
      <c r="S33" s="195"/>
      <c r="T33" s="194"/>
      <c r="U33" s="1829" t="s">
        <v>682</v>
      </c>
      <c r="V33" s="194" t="s">
        <v>683</v>
      </c>
      <c r="W33" s="194" t="s">
        <v>684</v>
      </c>
      <c r="X33" s="1241" t="s">
        <v>685</v>
      </c>
      <c r="Y33" s="220">
        <v>6000</v>
      </c>
      <c r="Z33" s="196">
        <v>500</v>
      </c>
      <c r="AA33" s="235">
        <v>1250</v>
      </c>
      <c r="AB33" s="199">
        <v>2585</v>
      </c>
      <c r="AC33" s="236">
        <f>+Z33/Y33</f>
        <v>8.3333333333333329E-2</v>
      </c>
      <c r="AD33" s="236">
        <v>0.2857142857142857</v>
      </c>
      <c r="AE33" s="236">
        <f>+AB33/Y33</f>
        <v>0.43083333333333335</v>
      </c>
      <c r="AF33" s="235">
        <v>0</v>
      </c>
      <c r="AG33" s="235">
        <v>0</v>
      </c>
      <c r="AH33" s="199"/>
      <c r="AI33" s="196">
        <v>0</v>
      </c>
      <c r="AJ33" s="199"/>
      <c r="AK33" s="196">
        <f>+AI33</f>
        <v>0</v>
      </c>
      <c r="AL33" s="197">
        <f>+AF33/Z33</f>
        <v>0</v>
      </c>
      <c r="AM33" s="196">
        <f>+AK33</f>
        <v>0</v>
      </c>
      <c r="AN33" s="197">
        <f>+AM33/Y33</f>
        <v>0</v>
      </c>
      <c r="AO33" s="235">
        <v>1250</v>
      </c>
      <c r="AP33" s="199">
        <v>0</v>
      </c>
      <c r="AQ33" s="254"/>
      <c r="AR33" s="199">
        <v>0</v>
      </c>
      <c r="AS33" s="254"/>
      <c r="AT33" s="199">
        <v>0</v>
      </c>
      <c r="AU33" s="254"/>
      <c r="AV33" s="199">
        <v>1415</v>
      </c>
      <c r="AW33" s="254"/>
      <c r="AX33" s="199">
        <f>+AV33</f>
        <v>1415</v>
      </c>
      <c r="AY33" s="58">
        <v>1</v>
      </c>
      <c r="AZ33" s="196">
        <f>AX33+AM33</f>
        <v>1415</v>
      </c>
      <c r="BA33" s="218">
        <f>AZ33/Y33</f>
        <v>0.23583333333333334</v>
      </c>
      <c r="BB33" s="199">
        <f>+AB33</f>
        <v>2585</v>
      </c>
      <c r="BC33" s="199">
        <v>261</v>
      </c>
      <c r="BD33" s="199"/>
      <c r="BE33" s="199">
        <v>323</v>
      </c>
      <c r="BF33" s="199"/>
      <c r="BG33" s="199">
        <v>2100</v>
      </c>
      <c r="BH33" s="199"/>
      <c r="BI33" s="199">
        <v>2100</v>
      </c>
      <c r="BJ33" s="199"/>
      <c r="BK33" s="199">
        <f>+BC33+BE33+BG33+BI33</f>
        <v>4784</v>
      </c>
      <c r="BL33" s="58">
        <v>1</v>
      </c>
      <c r="BM33" s="196">
        <f>+BK33+AZ33</f>
        <v>6199</v>
      </c>
      <c r="BN33" s="58">
        <v>1</v>
      </c>
      <c r="BO33" s="204"/>
      <c r="BP33" s="204"/>
      <c r="BQ33" s="204"/>
      <c r="BR33" s="204"/>
      <c r="BS33" s="204"/>
      <c r="BT33" s="204"/>
      <c r="BU33" s="204"/>
      <c r="BV33" s="204"/>
      <c r="BW33" s="204"/>
      <c r="BX33" s="204"/>
      <c r="BY33" s="204"/>
      <c r="BZ33" s="204"/>
      <c r="CA33" s="204"/>
      <c r="CB33" s="204"/>
      <c r="CC33" s="204"/>
      <c r="CD33" s="204"/>
      <c r="CE33" s="204"/>
      <c r="CF33" s="204"/>
      <c r="CG33" s="204"/>
      <c r="CH33" s="204"/>
      <c r="CI33" s="204"/>
      <c r="CJ33" s="204"/>
      <c r="CK33" s="204"/>
      <c r="CL33" s="204"/>
      <c r="CM33" s="204"/>
      <c r="CN33" s="204"/>
      <c r="CO33" s="204"/>
      <c r="CP33" s="204"/>
      <c r="CQ33" s="204"/>
      <c r="CR33" s="204"/>
      <c r="CS33" s="204"/>
      <c r="CT33" s="204"/>
      <c r="CU33" s="204"/>
      <c r="CV33" s="204"/>
      <c r="CW33" s="204"/>
      <c r="CX33" s="204"/>
      <c r="CY33" s="204"/>
    </row>
    <row r="34" spans="1:103" ht="54.75" customHeight="1" x14ac:dyDescent="0.2">
      <c r="A34" s="1820"/>
      <c r="B34" s="1823"/>
      <c r="C34" s="194"/>
      <c r="D34" s="194"/>
      <c r="E34" s="195"/>
      <c r="F34" s="195"/>
      <c r="G34" s="195"/>
      <c r="H34" s="195"/>
      <c r="I34" s="195"/>
      <c r="J34" s="195"/>
      <c r="K34" s="195"/>
      <c r="L34" s="195"/>
      <c r="M34" s="195"/>
      <c r="N34" s="195"/>
      <c r="O34" s="195"/>
      <c r="P34" s="195"/>
      <c r="Q34" s="195"/>
      <c r="R34" s="195"/>
      <c r="S34" s="195"/>
      <c r="T34" s="194"/>
      <c r="U34" s="1830"/>
      <c r="V34" s="194" t="s">
        <v>686</v>
      </c>
      <c r="W34" s="194" t="s">
        <v>687</v>
      </c>
      <c r="X34" s="1241" t="s">
        <v>688</v>
      </c>
      <c r="Y34" s="220">
        <v>3500</v>
      </c>
      <c r="Z34" s="196">
        <v>200</v>
      </c>
      <c r="AA34" s="235">
        <v>1000</v>
      </c>
      <c r="AB34" s="199" t="str">
        <f>+BB34</f>
        <v>NP</v>
      </c>
      <c r="AC34" s="236">
        <f>+Z34/Y34</f>
        <v>5.7142857142857141E-2</v>
      </c>
      <c r="AD34" s="236">
        <f>+AA34/Y34</f>
        <v>0.2857142857142857</v>
      </c>
      <c r="AE34" s="236"/>
      <c r="AF34" s="196">
        <v>0</v>
      </c>
      <c r="AG34" s="196">
        <v>70</v>
      </c>
      <c r="AH34" s="199"/>
      <c r="AI34" s="196">
        <v>269</v>
      </c>
      <c r="AJ34" s="199"/>
      <c r="AK34" s="196">
        <f>+AI34</f>
        <v>269</v>
      </c>
      <c r="AL34" s="197">
        <v>1</v>
      </c>
      <c r="AM34" s="196">
        <f>+AK34</f>
        <v>269</v>
      </c>
      <c r="AN34" s="197">
        <f>+AM34/Y34</f>
        <v>7.685714285714286E-2</v>
      </c>
      <c r="AO34" s="235">
        <v>1000</v>
      </c>
      <c r="AP34" s="199">
        <v>152</v>
      </c>
      <c r="AQ34" s="254"/>
      <c r="AR34" s="199">
        <v>2130</v>
      </c>
      <c r="AS34" s="254"/>
      <c r="AT34" s="199">
        <v>1057</v>
      </c>
      <c r="AU34" s="254"/>
      <c r="AV34" s="199">
        <v>0</v>
      </c>
      <c r="AW34" s="254"/>
      <c r="AX34" s="199">
        <f>AP34+AR34+AT34</f>
        <v>3339</v>
      </c>
      <c r="AY34" s="58">
        <v>1</v>
      </c>
      <c r="AZ34" s="196">
        <f>AX34+AM34</f>
        <v>3608</v>
      </c>
      <c r="BA34" s="218">
        <v>1</v>
      </c>
      <c r="BB34" s="199" t="s">
        <v>177</v>
      </c>
      <c r="BC34" s="199"/>
      <c r="BD34" s="199"/>
      <c r="BE34" s="199"/>
      <c r="BF34" s="199"/>
      <c r="BG34" s="199">
        <v>113</v>
      </c>
      <c r="BH34" s="199"/>
      <c r="BI34" s="199">
        <v>38</v>
      </c>
      <c r="BJ34" s="199"/>
      <c r="BK34" s="199">
        <f>+BI34</f>
        <v>38</v>
      </c>
      <c r="BL34" s="58"/>
      <c r="BM34" s="196">
        <f>+BK34+AZ34+BG34</f>
        <v>3759</v>
      </c>
      <c r="BN34" s="58">
        <f>IFERROR(IF((+BM34/Y34)&gt;100%,100%,(+BM34/Y34)),"NP")</f>
        <v>1</v>
      </c>
      <c r="BO34" s="204"/>
      <c r="BP34" s="204"/>
      <c r="BQ34" s="204"/>
      <c r="BR34" s="204"/>
      <c r="BS34" s="204"/>
      <c r="BT34" s="204"/>
      <c r="BU34" s="204"/>
      <c r="BV34" s="204"/>
      <c r="BW34" s="204"/>
      <c r="BX34" s="204"/>
      <c r="BY34" s="204"/>
      <c r="BZ34" s="204"/>
      <c r="CA34" s="204"/>
      <c r="CB34" s="204"/>
      <c r="CC34" s="204"/>
      <c r="CD34" s="204"/>
      <c r="CE34" s="204"/>
      <c r="CF34" s="204"/>
      <c r="CG34" s="204"/>
      <c r="CH34" s="204"/>
      <c r="CI34" s="204"/>
      <c r="CJ34" s="204"/>
      <c r="CK34" s="204"/>
      <c r="CL34" s="204"/>
      <c r="CM34" s="204"/>
      <c r="CN34" s="204"/>
      <c r="CO34" s="204"/>
      <c r="CP34" s="204"/>
      <c r="CQ34" s="204"/>
      <c r="CR34" s="204"/>
      <c r="CS34" s="204"/>
      <c r="CT34" s="204"/>
      <c r="CU34" s="204"/>
      <c r="CV34" s="204"/>
      <c r="CW34" s="204"/>
      <c r="CX34" s="204"/>
      <c r="CY34" s="204"/>
    </row>
    <row r="35" spans="1:103" ht="53.25" customHeight="1" x14ac:dyDescent="0.2">
      <c r="A35" s="1820"/>
      <c r="B35" s="1823"/>
      <c r="C35" s="194"/>
      <c r="D35" s="194"/>
      <c r="E35" s="195"/>
      <c r="F35" s="195"/>
      <c r="G35" s="195"/>
      <c r="H35" s="195"/>
      <c r="I35" s="195"/>
      <c r="J35" s="195"/>
      <c r="K35" s="195"/>
      <c r="L35" s="195"/>
      <c r="M35" s="195"/>
      <c r="N35" s="195"/>
      <c r="O35" s="195"/>
      <c r="P35" s="195"/>
      <c r="Q35" s="195"/>
      <c r="R35" s="195"/>
      <c r="S35" s="195"/>
      <c r="T35" s="194"/>
      <c r="U35" s="1830"/>
      <c r="V35" s="194" t="s">
        <v>689</v>
      </c>
      <c r="W35" s="194" t="s">
        <v>520</v>
      </c>
      <c r="X35" s="1455" t="s">
        <v>2187</v>
      </c>
      <c r="Y35" s="220">
        <v>16000</v>
      </c>
      <c r="Z35" s="196">
        <v>500</v>
      </c>
      <c r="AA35" s="235">
        <v>3000</v>
      </c>
      <c r="AB35" s="199">
        <v>6500</v>
      </c>
      <c r="AC35" s="236">
        <f>+Z35/Y35</f>
        <v>3.125E-2</v>
      </c>
      <c r="AD35" s="236">
        <v>0.2857142857142857</v>
      </c>
      <c r="AE35" s="236">
        <f>+AB35/Y35</f>
        <v>0.40625</v>
      </c>
      <c r="AF35" s="196">
        <v>0</v>
      </c>
      <c r="AG35" s="196">
        <v>828</v>
      </c>
      <c r="AH35" s="199"/>
      <c r="AI35" s="196">
        <v>828</v>
      </c>
      <c r="AJ35" s="199"/>
      <c r="AK35" s="196">
        <f>+AI35</f>
        <v>828</v>
      </c>
      <c r="AL35" s="197">
        <v>1</v>
      </c>
      <c r="AM35" s="196">
        <f>+AK35</f>
        <v>828</v>
      </c>
      <c r="AN35" s="197">
        <f>+AM35/Y35</f>
        <v>5.1749999999999997E-2</v>
      </c>
      <c r="AO35" s="235">
        <v>3000</v>
      </c>
      <c r="AP35" s="199">
        <v>1424</v>
      </c>
      <c r="AQ35" s="254"/>
      <c r="AR35" s="199">
        <v>3068</v>
      </c>
      <c r="AS35" s="254"/>
      <c r="AT35" s="199">
        <v>536</v>
      </c>
      <c r="AU35" s="254"/>
      <c r="AV35" s="199">
        <v>463</v>
      </c>
      <c r="AW35" s="254"/>
      <c r="AX35" s="199">
        <f>AP35+AR35+AT35+AV35</f>
        <v>5491</v>
      </c>
      <c r="AY35" s="58">
        <v>1</v>
      </c>
      <c r="AZ35" s="196">
        <f>AX35+AM35</f>
        <v>6319</v>
      </c>
      <c r="BA35" s="218">
        <f>AZ35/Y35</f>
        <v>0.3949375</v>
      </c>
      <c r="BB35" s="199">
        <v>6500</v>
      </c>
      <c r="BC35" s="199">
        <v>689</v>
      </c>
      <c r="BD35" s="199"/>
      <c r="BE35" s="199">
        <v>3049</v>
      </c>
      <c r="BF35" s="199"/>
      <c r="BG35" s="199">
        <v>839</v>
      </c>
      <c r="BH35" s="199"/>
      <c r="BI35" s="199">
        <v>1547</v>
      </c>
      <c r="BJ35" s="199"/>
      <c r="BK35" s="199">
        <f>+BC35+BE35+BG35+BI35</f>
        <v>6124</v>
      </c>
      <c r="BL35" s="58">
        <f>+BK35/BB35</f>
        <v>0.94215384615384612</v>
      </c>
      <c r="BM35" s="196">
        <f>+BK35+AZ35</f>
        <v>12443</v>
      </c>
      <c r="BN35" s="58">
        <f>+BM35/Y35</f>
        <v>0.77768749999999998</v>
      </c>
      <c r="BO35" s="204"/>
      <c r="BP35" s="204"/>
      <c r="BQ35" s="204"/>
      <c r="BR35" s="204"/>
      <c r="BS35" s="204"/>
      <c r="BT35" s="204"/>
      <c r="BU35" s="204"/>
      <c r="BV35" s="204"/>
      <c r="BW35" s="204"/>
      <c r="BX35" s="204"/>
      <c r="BY35" s="204"/>
      <c r="BZ35" s="204"/>
      <c r="CA35" s="204"/>
      <c r="CB35" s="204"/>
      <c r="CC35" s="204"/>
      <c r="CD35" s="204"/>
      <c r="CE35" s="204"/>
      <c r="CF35" s="204"/>
      <c r="CG35" s="204"/>
      <c r="CH35" s="204"/>
      <c r="CI35" s="204"/>
      <c r="CJ35" s="204"/>
      <c r="CK35" s="204"/>
      <c r="CL35" s="204"/>
      <c r="CM35" s="204"/>
      <c r="CN35" s="204"/>
      <c r="CO35" s="204"/>
      <c r="CP35" s="204"/>
      <c r="CQ35" s="204"/>
      <c r="CR35" s="204"/>
      <c r="CS35" s="204"/>
      <c r="CT35" s="204"/>
      <c r="CU35" s="204"/>
      <c r="CV35" s="204"/>
      <c r="CW35" s="204"/>
      <c r="CX35" s="204"/>
      <c r="CY35" s="204"/>
    </row>
    <row r="36" spans="1:103" ht="38.25" customHeight="1" x14ac:dyDescent="0.2">
      <c r="A36" s="1820"/>
      <c r="B36" s="1823"/>
      <c r="C36" s="194"/>
      <c r="D36" s="194"/>
      <c r="E36" s="195"/>
      <c r="F36" s="195"/>
      <c r="G36" s="195"/>
      <c r="H36" s="195"/>
      <c r="I36" s="195"/>
      <c r="J36" s="195"/>
      <c r="K36" s="195"/>
      <c r="L36" s="195"/>
      <c r="M36" s="195"/>
      <c r="N36" s="195"/>
      <c r="O36" s="195"/>
      <c r="P36" s="195"/>
      <c r="Q36" s="195"/>
      <c r="R36" s="195"/>
      <c r="S36" s="195"/>
      <c r="T36" s="194"/>
      <c r="U36" s="1830"/>
      <c r="V36" s="194" t="s">
        <v>690</v>
      </c>
      <c r="W36" s="194" t="s">
        <v>691</v>
      </c>
      <c r="X36" s="1455" t="s">
        <v>692</v>
      </c>
      <c r="Y36" s="220">
        <v>1000</v>
      </c>
      <c r="Z36" s="196">
        <v>100</v>
      </c>
      <c r="AA36" s="235">
        <v>200</v>
      </c>
      <c r="AB36" s="199">
        <v>450</v>
      </c>
      <c r="AC36" s="236">
        <f>+Z36/Y36</f>
        <v>0.1</v>
      </c>
      <c r="AD36" s="236">
        <f>+AA36/Y36</f>
        <v>0.2</v>
      </c>
      <c r="AE36" s="236">
        <f>+AB36/Y36</f>
        <v>0.45</v>
      </c>
      <c r="AF36" s="196">
        <v>0</v>
      </c>
      <c r="AG36" s="196">
        <v>0</v>
      </c>
      <c r="AH36" s="199"/>
      <c r="AI36" s="196">
        <v>0</v>
      </c>
      <c r="AJ36" s="199"/>
      <c r="AK36" s="196">
        <f>+AI36</f>
        <v>0</v>
      </c>
      <c r="AL36" s="197">
        <f>+AF36/Z36</f>
        <v>0</v>
      </c>
      <c r="AM36" s="196">
        <f>+AK36</f>
        <v>0</v>
      </c>
      <c r="AN36" s="197">
        <f>+AM36/Y36</f>
        <v>0</v>
      </c>
      <c r="AO36" s="235">
        <v>200</v>
      </c>
      <c r="AP36" s="199">
        <v>0</v>
      </c>
      <c r="AQ36" s="254"/>
      <c r="AR36" s="199">
        <v>0</v>
      </c>
      <c r="AS36" s="254"/>
      <c r="AT36" s="199">
        <v>0</v>
      </c>
      <c r="AU36" s="254"/>
      <c r="AV36" s="199">
        <v>500</v>
      </c>
      <c r="AW36" s="254"/>
      <c r="AX36" s="199">
        <f>+AV36</f>
        <v>500</v>
      </c>
      <c r="AY36" s="58">
        <v>1</v>
      </c>
      <c r="AZ36" s="196">
        <f>AX36+AM36</f>
        <v>500</v>
      </c>
      <c r="BA36" s="218">
        <f>AZ36/Y36</f>
        <v>0.5</v>
      </c>
      <c r="BB36" s="199">
        <f>+AB36</f>
        <v>450</v>
      </c>
      <c r="BC36" s="199">
        <v>0</v>
      </c>
      <c r="BD36" s="199"/>
      <c r="BE36" s="199">
        <v>0</v>
      </c>
      <c r="BF36" s="199"/>
      <c r="BG36" s="199">
        <v>303</v>
      </c>
      <c r="BH36" s="199"/>
      <c r="BI36" s="199">
        <v>197</v>
      </c>
      <c r="BJ36" s="199"/>
      <c r="BK36" s="199">
        <f>+BG36+BI36</f>
        <v>500</v>
      </c>
      <c r="BL36" s="58">
        <v>1</v>
      </c>
      <c r="BM36" s="196">
        <f>+BK36+AZ36</f>
        <v>1000</v>
      </c>
      <c r="BN36" s="58">
        <f>+BM36/Y36</f>
        <v>1</v>
      </c>
      <c r="BO36" s="204"/>
      <c r="BP36" s="204"/>
      <c r="BQ36" s="204"/>
      <c r="BR36" s="204"/>
      <c r="BS36" s="204"/>
      <c r="BT36" s="204"/>
      <c r="BU36" s="204"/>
      <c r="BV36" s="204"/>
      <c r="BW36" s="204"/>
      <c r="BX36" s="204"/>
      <c r="BY36" s="204"/>
      <c r="BZ36" s="204"/>
      <c r="CA36" s="204"/>
      <c r="CB36" s="204"/>
      <c r="CC36" s="204"/>
      <c r="CD36" s="204"/>
      <c r="CE36" s="204"/>
      <c r="CF36" s="204"/>
      <c r="CG36" s="204"/>
      <c r="CH36" s="204"/>
      <c r="CI36" s="204"/>
      <c r="CJ36" s="204"/>
      <c r="CK36" s="204"/>
      <c r="CL36" s="204"/>
      <c r="CM36" s="204"/>
      <c r="CN36" s="204"/>
      <c r="CO36" s="204"/>
      <c r="CP36" s="204"/>
      <c r="CQ36" s="204"/>
      <c r="CR36" s="204"/>
      <c r="CS36" s="204"/>
      <c r="CT36" s="204"/>
      <c r="CU36" s="204"/>
      <c r="CV36" s="204"/>
      <c r="CW36" s="204"/>
      <c r="CX36" s="204"/>
      <c r="CY36" s="204"/>
    </row>
    <row r="37" spans="1:103" ht="15.75" customHeight="1" x14ac:dyDescent="0.2">
      <c r="A37" s="1820"/>
      <c r="B37" s="1823"/>
      <c r="C37" s="194"/>
      <c r="D37" s="194"/>
      <c r="E37" s="195"/>
      <c r="F37" s="195"/>
      <c r="G37" s="195"/>
      <c r="H37" s="195"/>
      <c r="I37" s="195"/>
      <c r="J37" s="195"/>
      <c r="K37" s="195"/>
      <c r="L37" s="195"/>
      <c r="M37" s="195"/>
      <c r="N37" s="195"/>
      <c r="O37" s="195"/>
      <c r="P37" s="195"/>
      <c r="Q37" s="195"/>
      <c r="R37" s="195"/>
      <c r="S37" s="195"/>
      <c r="T37" s="194"/>
      <c r="U37" s="1831"/>
      <c r="V37" s="207"/>
      <c r="W37" s="207"/>
      <c r="X37" s="1456"/>
      <c r="Y37" s="207"/>
      <c r="Z37" s="208"/>
      <c r="AA37" s="208"/>
      <c r="AB37" s="208"/>
      <c r="AC37" s="209">
        <f>AVERAGE(AC33:AC36)</f>
        <v>6.7931547619047628E-2</v>
      </c>
      <c r="AD37" s="209">
        <f>AVERAGE(AD33:AD36)</f>
        <v>0.26428571428571429</v>
      </c>
      <c r="AE37" s="209">
        <f>AVERAGE(AE33:AE36)</f>
        <v>0.42902777777777779</v>
      </c>
      <c r="AF37" s="208"/>
      <c r="AG37" s="208"/>
      <c r="AH37" s="208"/>
      <c r="AI37" s="211"/>
      <c r="AJ37" s="208"/>
      <c r="AK37" s="208"/>
      <c r="AL37" s="209">
        <f>AVERAGE(AL33:AL36)</f>
        <v>0.5</v>
      </c>
      <c r="AM37" s="208"/>
      <c r="AN37" s="225">
        <f>AVERAGE(AN33:AN36)</f>
        <v>3.2151785714285716E-2</v>
      </c>
      <c r="AO37" s="208"/>
      <c r="AP37" s="229"/>
      <c r="AQ37" s="229"/>
      <c r="AR37" s="229"/>
      <c r="AS37" s="229"/>
      <c r="AT37" s="232"/>
      <c r="AU37" s="229"/>
      <c r="AV37" s="229"/>
      <c r="AW37" s="229"/>
      <c r="AX37" s="229"/>
      <c r="AY37" s="231">
        <f>AVERAGE(AY33:AY36)</f>
        <v>1</v>
      </c>
      <c r="AZ37" s="223"/>
      <c r="BA37" s="231">
        <f>AVERAGE(BA33:BA36)</f>
        <v>0.53269270833333326</v>
      </c>
      <c r="BB37" s="226"/>
      <c r="BC37" s="226"/>
      <c r="BD37" s="226"/>
      <c r="BE37" s="226"/>
      <c r="BF37" s="226"/>
      <c r="BG37" s="226"/>
      <c r="BH37" s="226"/>
      <c r="BI37" s="226"/>
      <c r="BJ37" s="226"/>
      <c r="BK37" s="226"/>
      <c r="BL37" s="227">
        <f>+(BL36+BL35+BL33)/3</f>
        <v>0.9807179487179486</v>
      </c>
      <c r="BM37" s="228"/>
      <c r="BN37" s="227">
        <f>AVERAGE(BN33:BN36)</f>
        <v>0.94442187499999997</v>
      </c>
      <c r="BO37" s="229"/>
      <c r="BP37" s="229"/>
      <c r="BQ37" s="229"/>
      <c r="BR37" s="229"/>
      <c r="BS37" s="229"/>
      <c r="BT37" s="229"/>
      <c r="BU37" s="229"/>
      <c r="BV37" s="229"/>
      <c r="BW37" s="229"/>
      <c r="BX37" s="229"/>
      <c r="BY37" s="229"/>
      <c r="BZ37" s="229"/>
      <c r="CA37" s="229"/>
      <c r="CB37" s="229"/>
      <c r="CC37" s="229"/>
      <c r="CD37" s="229"/>
      <c r="CE37" s="229"/>
      <c r="CF37" s="229"/>
      <c r="CG37" s="229"/>
      <c r="CH37" s="229"/>
      <c r="CI37" s="229"/>
      <c r="CJ37" s="229"/>
      <c r="CK37" s="229"/>
      <c r="CL37" s="229"/>
      <c r="CM37" s="229"/>
      <c r="CN37" s="229"/>
      <c r="CO37" s="229"/>
      <c r="CP37" s="229"/>
      <c r="CQ37" s="229"/>
      <c r="CR37" s="229"/>
      <c r="CS37" s="229"/>
      <c r="CT37" s="229"/>
      <c r="CU37" s="229"/>
      <c r="CV37" s="229"/>
      <c r="CW37" s="229"/>
      <c r="CX37" s="229"/>
      <c r="CY37" s="229"/>
    </row>
    <row r="38" spans="1:103" ht="60.75" customHeight="1" x14ac:dyDescent="0.2">
      <c r="A38" s="1820"/>
      <c r="B38" s="1823"/>
      <c r="C38" s="194"/>
      <c r="D38" s="194"/>
      <c r="E38" s="195"/>
      <c r="F38" s="195"/>
      <c r="G38" s="195"/>
      <c r="H38" s="195"/>
      <c r="I38" s="195"/>
      <c r="J38" s="195"/>
      <c r="K38" s="195"/>
      <c r="L38" s="195"/>
      <c r="M38" s="195"/>
      <c r="N38" s="195"/>
      <c r="O38" s="195"/>
      <c r="P38" s="195"/>
      <c r="Q38" s="195"/>
      <c r="R38" s="195"/>
      <c r="S38" s="195"/>
      <c r="T38" s="194"/>
      <c r="U38" s="1829" t="s">
        <v>693</v>
      </c>
      <c r="V38" s="194" t="s">
        <v>694</v>
      </c>
      <c r="W38" s="194" t="s">
        <v>695</v>
      </c>
      <c r="X38" s="1455" t="s">
        <v>696</v>
      </c>
      <c r="Y38" s="220">
        <v>10000</v>
      </c>
      <c r="Z38" s="196">
        <v>1000</v>
      </c>
      <c r="AA38" s="196">
        <v>2500</v>
      </c>
      <c r="AB38" s="199">
        <v>4000</v>
      </c>
      <c r="AC38" s="197">
        <f>+Z38/Y38</f>
        <v>0.1</v>
      </c>
      <c r="AD38" s="197">
        <f>+AA38/Y38</f>
        <v>0.25</v>
      </c>
      <c r="AE38" s="197">
        <f>+AB38/Y38</f>
        <v>0.4</v>
      </c>
      <c r="AF38" s="196">
        <v>145</v>
      </c>
      <c r="AG38" s="196">
        <v>813</v>
      </c>
      <c r="AH38" s="199"/>
      <c r="AI38" s="196">
        <v>1270</v>
      </c>
      <c r="AJ38" s="199"/>
      <c r="AK38" s="196">
        <f>+AI38</f>
        <v>1270</v>
      </c>
      <c r="AL38" s="197">
        <f>+AG38/Z38</f>
        <v>0.81299999999999994</v>
      </c>
      <c r="AM38" s="196">
        <f>+AK38</f>
        <v>1270</v>
      </c>
      <c r="AN38" s="230">
        <f>+AM38/Y38</f>
        <v>0.127</v>
      </c>
      <c r="AO38" s="196">
        <v>2500</v>
      </c>
      <c r="AP38" s="256">
        <v>194</v>
      </c>
      <c r="AQ38" s="256"/>
      <c r="AR38" s="256">
        <v>2585</v>
      </c>
      <c r="AS38" s="256"/>
      <c r="AT38" s="256">
        <v>132</v>
      </c>
      <c r="AU38" s="256"/>
      <c r="AV38" s="199">
        <v>31</v>
      </c>
      <c r="AW38" s="195"/>
      <c r="AX38" s="195">
        <f>AP38+AR38+AT38+AV38</f>
        <v>2942</v>
      </c>
      <c r="AY38" s="219">
        <v>1</v>
      </c>
      <c r="AZ38" s="196">
        <f>AX38+AM38</f>
        <v>4212</v>
      </c>
      <c r="BA38" s="218">
        <f>AZ38/Y38</f>
        <v>0.42120000000000002</v>
      </c>
      <c r="BB38" s="199">
        <f>+AB38</f>
        <v>4000</v>
      </c>
      <c r="BC38" s="199">
        <v>3056</v>
      </c>
      <c r="BD38" s="199"/>
      <c r="BE38" s="199">
        <v>1547</v>
      </c>
      <c r="BF38" s="199"/>
      <c r="BG38" s="199">
        <v>0</v>
      </c>
      <c r="BH38" s="199"/>
      <c r="BI38" s="199">
        <v>100</v>
      </c>
      <c r="BJ38" s="199"/>
      <c r="BK38" s="199">
        <f>+BC38+BE38+BI38</f>
        <v>4703</v>
      </c>
      <c r="BL38" s="58">
        <v>1</v>
      </c>
      <c r="BM38" s="196">
        <f>+BK38+AZ38</f>
        <v>8915</v>
      </c>
      <c r="BN38" s="58">
        <f>+BM38/Y38</f>
        <v>0.89149999999999996</v>
      </c>
      <c r="BO38" s="204"/>
      <c r="BP38" s="204"/>
      <c r="BQ38" s="204"/>
      <c r="BR38" s="204"/>
      <c r="BS38" s="204"/>
      <c r="BT38" s="204"/>
      <c r="BU38" s="204"/>
      <c r="BV38" s="204"/>
      <c r="BW38" s="204"/>
      <c r="BX38" s="204"/>
      <c r="BY38" s="204"/>
      <c r="BZ38" s="204"/>
      <c r="CA38" s="204"/>
      <c r="CB38" s="204"/>
      <c r="CC38" s="204"/>
      <c r="CD38" s="204"/>
      <c r="CE38" s="204"/>
      <c r="CF38" s="204"/>
      <c r="CG38" s="204"/>
      <c r="CH38" s="204"/>
      <c r="CI38" s="204"/>
      <c r="CJ38" s="204"/>
      <c r="CK38" s="204"/>
      <c r="CL38" s="204"/>
      <c r="CM38" s="204"/>
      <c r="CN38" s="204"/>
      <c r="CO38" s="204"/>
      <c r="CP38" s="204"/>
      <c r="CQ38" s="204"/>
      <c r="CR38" s="204"/>
      <c r="CS38" s="204"/>
      <c r="CT38" s="204"/>
      <c r="CU38" s="204"/>
      <c r="CV38" s="204"/>
      <c r="CW38" s="204"/>
      <c r="CX38" s="204"/>
      <c r="CY38" s="204"/>
    </row>
    <row r="39" spans="1:103" ht="51.75" customHeight="1" x14ac:dyDescent="0.2">
      <c r="A39" s="1820"/>
      <c r="B39" s="1823"/>
      <c r="C39" s="194"/>
      <c r="D39" s="194"/>
      <c r="E39" s="195"/>
      <c r="F39" s="195"/>
      <c r="G39" s="195"/>
      <c r="H39" s="195"/>
      <c r="I39" s="195"/>
      <c r="J39" s="195"/>
      <c r="K39" s="195"/>
      <c r="L39" s="195"/>
      <c r="M39" s="195"/>
      <c r="N39" s="195"/>
      <c r="O39" s="195"/>
      <c r="P39" s="195"/>
      <c r="Q39" s="195"/>
      <c r="R39" s="195"/>
      <c r="S39" s="195"/>
      <c r="T39" s="194"/>
      <c r="U39" s="1830"/>
      <c r="V39" s="194" t="s">
        <v>697</v>
      </c>
      <c r="W39" s="194">
        <v>0</v>
      </c>
      <c r="X39" s="1457" t="s">
        <v>2250</v>
      </c>
      <c r="Y39" s="191">
        <v>3000</v>
      </c>
      <c r="Z39" s="196">
        <v>260</v>
      </c>
      <c r="AA39" s="196">
        <v>540</v>
      </c>
      <c r="AB39" s="199">
        <v>1200</v>
      </c>
      <c r="AC39" s="197">
        <f>+Z39/Y39</f>
        <v>8.666666666666667E-2</v>
      </c>
      <c r="AD39" s="197">
        <v>0.2857142857142857</v>
      </c>
      <c r="AE39" s="197">
        <f>+AB39/Y39</f>
        <v>0.4</v>
      </c>
      <c r="AF39" s="196">
        <v>0</v>
      </c>
      <c r="AG39" s="196">
        <v>100</v>
      </c>
      <c r="AH39" s="199"/>
      <c r="AI39" s="196">
        <v>327</v>
      </c>
      <c r="AJ39" s="199"/>
      <c r="AK39" s="196">
        <f>+AI39</f>
        <v>327</v>
      </c>
      <c r="AL39" s="197">
        <v>1</v>
      </c>
      <c r="AM39" s="196">
        <f>+AK39</f>
        <v>327</v>
      </c>
      <c r="AN39" s="230">
        <f>+AM39/Y39</f>
        <v>0.109</v>
      </c>
      <c r="AO39" s="196">
        <v>540</v>
      </c>
      <c r="AP39" s="256">
        <v>59</v>
      </c>
      <c r="AQ39" s="256"/>
      <c r="AR39" s="256">
        <v>935</v>
      </c>
      <c r="AS39" s="256"/>
      <c r="AT39" s="256">
        <v>105</v>
      </c>
      <c r="AU39" s="256"/>
      <c r="AV39" s="199">
        <v>0</v>
      </c>
      <c r="AW39" s="195"/>
      <c r="AX39" s="195">
        <f>AP39+AR39+AT39</f>
        <v>1099</v>
      </c>
      <c r="AY39" s="219">
        <v>1</v>
      </c>
      <c r="AZ39" s="196">
        <f>AX39+AM39</f>
        <v>1426</v>
      </c>
      <c r="BA39" s="218">
        <f>AZ39/Y39</f>
        <v>0.47533333333333333</v>
      </c>
      <c r="BB39" s="199">
        <f>+AB39</f>
        <v>1200</v>
      </c>
      <c r="BC39" s="199">
        <v>456</v>
      </c>
      <c r="BD39" s="199"/>
      <c r="BE39" s="199">
        <v>921</v>
      </c>
      <c r="BF39" s="199"/>
      <c r="BG39" s="199">
        <v>0</v>
      </c>
      <c r="BH39" s="199"/>
      <c r="BI39" s="199">
        <v>0</v>
      </c>
      <c r="BJ39" s="199"/>
      <c r="BK39" s="199">
        <f>+BC39+BE39</f>
        <v>1377</v>
      </c>
      <c r="BL39" s="58">
        <v>1</v>
      </c>
      <c r="BM39" s="196">
        <f>+BK39+AZ39</f>
        <v>2803</v>
      </c>
      <c r="BN39" s="58">
        <f>+BM39/Y39</f>
        <v>0.93433333333333335</v>
      </c>
      <c r="BO39" s="204"/>
      <c r="BP39" s="204"/>
      <c r="BQ39" s="204"/>
      <c r="BR39" s="204"/>
      <c r="BS39" s="204"/>
      <c r="BT39" s="204"/>
      <c r="BU39" s="204"/>
      <c r="BV39" s="204"/>
      <c r="BW39" s="204"/>
      <c r="BX39" s="204"/>
      <c r="BY39" s="204"/>
      <c r="BZ39" s="204"/>
      <c r="CA39" s="204"/>
      <c r="CB39" s="204"/>
      <c r="CC39" s="204"/>
      <c r="CD39" s="204"/>
      <c r="CE39" s="204"/>
      <c r="CF39" s="204"/>
      <c r="CG39" s="204"/>
      <c r="CH39" s="204"/>
      <c r="CI39" s="204"/>
      <c r="CJ39" s="204"/>
      <c r="CK39" s="204"/>
      <c r="CL39" s="204"/>
      <c r="CM39" s="204"/>
      <c r="CN39" s="204"/>
      <c r="CO39" s="204"/>
      <c r="CP39" s="204"/>
      <c r="CQ39" s="204"/>
      <c r="CR39" s="204"/>
      <c r="CS39" s="204"/>
      <c r="CT39" s="204"/>
      <c r="CU39" s="204"/>
      <c r="CV39" s="204"/>
      <c r="CW39" s="204"/>
      <c r="CX39" s="204"/>
      <c r="CY39" s="204"/>
    </row>
    <row r="40" spans="1:103" ht="15.75" customHeight="1" x14ac:dyDescent="0.2">
      <c r="A40" s="1820"/>
      <c r="B40" s="1823"/>
      <c r="C40" s="194"/>
      <c r="D40" s="194"/>
      <c r="E40" s="195"/>
      <c r="F40" s="195"/>
      <c r="G40" s="195"/>
      <c r="H40" s="195"/>
      <c r="I40" s="195"/>
      <c r="J40" s="195"/>
      <c r="K40" s="195"/>
      <c r="L40" s="195"/>
      <c r="M40" s="195"/>
      <c r="N40" s="195"/>
      <c r="O40" s="195"/>
      <c r="P40" s="195"/>
      <c r="Q40" s="195"/>
      <c r="R40" s="195"/>
      <c r="S40" s="195"/>
      <c r="T40" s="194"/>
      <c r="U40" s="1831"/>
      <c r="V40" s="207"/>
      <c r="W40" s="207"/>
      <c r="X40" s="1458"/>
      <c r="Y40" s="257"/>
      <c r="Z40" s="208"/>
      <c r="AA40" s="208"/>
      <c r="AB40" s="208"/>
      <c r="AC40" s="209">
        <f>AVERAGE(AC38:AC39)</f>
        <v>9.3333333333333338E-2</v>
      </c>
      <c r="AD40" s="209">
        <f>AVERAGE(AD38:AD39)</f>
        <v>0.26785714285714285</v>
      </c>
      <c r="AE40" s="209">
        <f>AVERAGE(AE38:AE39)</f>
        <v>0.4</v>
      </c>
      <c r="AF40" s="208"/>
      <c r="AG40" s="208"/>
      <c r="AH40" s="208"/>
      <c r="AI40" s="211"/>
      <c r="AJ40" s="208"/>
      <c r="AK40" s="208"/>
      <c r="AL40" s="209">
        <f>AVERAGE(AL38:AL39)</f>
        <v>0.90649999999999997</v>
      </c>
      <c r="AM40" s="222"/>
      <c r="AN40" s="225">
        <f>AVERAGE(AN38:AN39)</f>
        <v>0.11799999999999999</v>
      </c>
      <c r="AO40" s="208"/>
      <c r="AP40" s="226"/>
      <c r="AQ40" s="226"/>
      <c r="AR40" s="226"/>
      <c r="AS40" s="226"/>
      <c r="AT40" s="208"/>
      <c r="AU40" s="226"/>
      <c r="AV40" s="226"/>
      <c r="AW40" s="226"/>
      <c r="AX40" s="226"/>
      <c r="AY40" s="227">
        <f>AVERAGE(AY38:AY39)</f>
        <v>1</v>
      </c>
      <c r="AZ40" s="228"/>
      <c r="BA40" s="241">
        <f>AVERAGE(BA38:BA39)</f>
        <v>0.4482666666666667</v>
      </c>
      <c r="BB40" s="226"/>
      <c r="BC40" s="226"/>
      <c r="BD40" s="226"/>
      <c r="BE40" s="226"/>
      <c r="BF40" s="226"/>
      <c r="BG40" s="226"/>
      <c r="BH40" s="226"/>
      <c r="BI40" s="226"/>
      <c r="BJ40" s="226"/>
      <c r="BK40" s="226"/>
      <c r="BL40" s="227">
        <f>AVERAGE(BL38:BL39)</f>
        <v>1</v>
      </c>
      <c r="BM40" s="228"/>
      <c r="BN40" s="227">
        <f>AVERAGE(BN38:BN39)</f>
        <v>0.9129166666666666</v>
      </c>
      <c r="BO40" s="229"/>
      <c r="BP40" s="229"/>
      <c r="BQ40" s="229"/>
      <c r="BR40" s="229"/>
      <c r="BS40" s="229"/>
      <c r="BT40" s="229"/>
      <c r="BU40" s="229"/>
      <c r="BV40" s="229"/>
      <c r="BW40" s="229"/>
      <c r="BX40" s="229"/>
      <c r="BY40" s="229"/>
      <c r="BZ40" s="229"/>
      <c r="CA40" s="229"/>
      <c r="CB40" s="229"/>
      <c r="CC40" s="229"/>
      <c r="CD40" s="229"/>
      <c r="CE40" s="229"/>
      <c r="CF40" s="229"/>
      <c r="CG40" s="229"/>
      <c r="CH40" s="229"/>
      <c r="CI40" s="229"/>
      <c r="CJ40" s="229"/>
      <c r="CK40" s="229"/>
      <c r="CL40" s="229"/>
      <c r="CM40" s="229"/>
      <c r="CN40" s="229"/>
      <c r="CO40" s="229"/>
      <c r="CP40" s="229"/>
      <c r="CQ40" s="229"/>
      <c r="CR40" s="229"/>
      <c r="CS40" s="229"/>
      <c r="CT40" s="229"/>
      <c r="CU40" s="229"/>
      <c r="CV40" s="229"/>
      <c r="CW40" s="229"/>
      <c r="CX40" s="229"/>
      <c r="CY40" s="229"/>
    </row>
    <row r="41" spans="1:103" ht="54.75" customHeight="1" x14ac:dyDescent="0.2">
      <c r="A41" s="1820"/>
      <c r="B41" s="1823"/>
      <c r="C41" s="194"/>
      <c r="D41" s="194"/>
      <c r="E41" s="195"/>
      <c r="F41" s="195"/>
      <c r="G41" s="195"/>
      <c r="H41" s="195"/>
      <c r="I41" s="195"/>
      <c r="J41" s="195"/>
      <c r="K41" s="195"/>
      <c r="L41" s="195"/>
      <c r="M41" s="195"/>
      <c r="N41" s="195"/>
      <c r="O41" s="195"/>
      <c r="P41" s="195"/>
      <c r="Q41" s="195"/>
      <c r="R41" s="195"/>
      <c r="S41" s="195"/>
      <c r="T41" s="194"/>
      <c r="U41" s="1829" t="s">
        <v>698</v>
      </c>
      <c r="V41" s="194" t="s">
        <v>699</v>
      </c>
      <c r="W41" s="194">
        <v>0</v>
      </c>
      <c r="X41" s="1459" t="s">
        <v>2251</v>
      </c>
      <c r="Y41" s="220">
        <v>72</v>
      </c>
      <c r="Z41" s="196">
        <v>5</v>
      </c>
      <c r="AA41" s="196">
        <v>25</v>
      </c>
      <c r="AB41" s="199">
        <v>24</v>
      </c>
      <c r="AC41" s="197">
        <f>+Z41/Y41</f>
        <v>6.9444444444444448E-2</v>
      </c>
      <c r="AD41" s="197">
        <f>+AA41/Y41</f>
        <v>0.34722222222222221</v>
      </c>
      <c r="AE41" s="197">
        <f>+AB41/Y41</f>
        <v>0.33333333333333331</v>
      </c>
      <c r="AF41" s="205">
        <v>1</v>
      </c>
      <c r="AG41" s="205">
        <v>4</v>
      </c>
      <c r="AH41" s="199"/>
      <c r="AI41" s="196">
        <v>15</v>
      </c>
      <c r="AJ41" s="199"/>
      <c r="AK41" s="196">
        <f>+AI41</f>
        <v>15</v>
      </c>
      <c r="AL41" s="230">
        <v>1</v>
      </c>
      <c r="AM41" s="196">
        <f>+AK41</f>
        <v>15</v>
      </c>
      <c r="AN41" s="230">
        <f>+AM41/Y41</f>
        <v>0.20833333333333334</v>
      </c>
      <c r="AO41" s="196">
        <v>25</v>
      </c>
      <c r="AP41" s="258">
        <v>3</v>
      </c>
      <c r="AQ41" s="258"/>
      <c r="AR41" s="258">
        <v>15</v>
      </c>
      <c r="AS41" s="258"/>
      <c r="AT41" s="244">
        <v>6</v>
      </c>
      <c r="AU41" s="259"/>
      <c r="AV41" s="244">
        <v>9</v>
      </c>
      <c r="AW41" s="259"/>
      <c r="AX41" s="244">
        <f>AP41+AR41+AT41+AV41</f>
        <v>33</v>
      </c>
      <c r="AY41" s="260">
        <v>1</v>
      </c>
      <c r="AZ41" s="235">
        <f>AX41+AM41</f>
        <v>48</v>
      </c>
      <c r="BA41" s="467">
        <f>AZ41/Y41</f>
        <v>0.66666666666666663</v>
      </c>
      <c r="BB41" s="199">
        <f>+AB41</f>
        <v>24</v>
      </c>
      <c r="BC41" s="199">
        <v>5</v>
      </c>
      <c r="BD41" s="199"/>
      <c r="BE41" s="199">
        <v>15</v>
      </c>
      <c r="BF41" s="199"/>
      <c r="BG41" s="199">
        <v>10</v>
      </c>
      <c r="BH41" s="199"/>
      <c r="BI41" s="199">
        <v>8</v>
      </c>
      <c r="BJ41" s="199"/>
      <c r="BK41" s="199">
        <f>+BC41+BE41+BG41+BI41</f>
        <v>38</v>
      </c>
      <c r="BL41" s="58">
        <v>1</v>
      </c>
      <c r="BM41" s="196">
        <f>+BK41+AZ41</f>
        <v>86</v>
      </c>
      <c r="BN41" s="58">
        <v>1</v>
      </c>
      <c r="BO41" s="204"/>
      <c r="BP41" s="204"/>
      <c r="BQ41" s="204"/>
      <c r="BR41" s="204"/>
      <c r="BS41" s="204"/>
      <c r="BT41" s="204"/>
      <c r="BU41" s="204"/>
      <c r="BV41" s="204"/>
      <c r="BW41" s="204"/>
      <c r="BX41" s="204"/>
      <c r="BY41" s="204"/>
      <c r="BZ41" s="204"/>
      <c r="CA41" s="204"/>
      <c r="CB41" s="204"/>
      <c r="CC41" s="204"/>
      <c r="CD41" s="204"/>
      <c r="CE41" s="204"/>
      <c r="CF41" s="204"/>
      <c r="CG41" s="204"/>
      <c r="CH41" s="204"/>
      <c r="CI41" s="204"/>
      <c r="CJ41" s="204"/>
      <c r="CK41" s="204"/>
      <c r="CL41" s="204"/>
      <c r="CM41" s="204"/>
      <c r="CN41" s="204"/>
      <c r="CO41" s="204"/>
      <c r="CP41" s="204"/>
      <c r="CQ41" s="204"/>
      <c r="CR41" s="204"/>
      <c r="CS41" s="204"/>
      <c r="CT41" s="204"/>
      <c r="CU41" s="204"/>
      <c r="CV41" s="204"/>
      <c r="CW41" s="204"/>
      <c r="CX41" s="204"/>
      <c r="CY41" s="204"/>
    </row>
    <row r="42" spans="1:103" ht="58.5" customHeight="1" x14ac:dyDescent="0.2">
      <c r="A42" s="1820"/>
      <c r="B42" s="1823"/>
      <c r="C42" s="194"/>
      <c r="D42" s="194"/>
      <c r="E42" s="195"/>
      <c r="F42" s="195"/>
      <c r="G42" s="195"/>
      <c r="H42" s="195"/>
      <c r="I42" s="195"/>
      <c r="J42" s="195"/>
      <c r="K42" s="195"/>
      <c r="L42" s="195"/>
      <c r="M42" s="195"/>
      <c r="N42" s="195"/>
      <c r="O42" s="195"/>
      <c r="P42" s="195"/>
      <c r="Q42" s="195"/>
      <c r="R42" s="195"/>
      <c r="S42" s="195"/>
      <c r="T42" s="194"/>
      <c r="U42" s="1830"/>
      <c r="V42" s="194" t="s">
        <v>700</v>
      </c>
      <c r="W42" s="194" t="s">
        <v>701</v>
      </c>
      <c r="X42" s="1459" t="s">
        <v>702</v>
      </c>
      <c r="Y42" s="220">
        <v>61860</v>
      </c>
      <c r="Z42" s="196">
        <v>6978</v>
      </c>
      <c r="AA42" s="199">
        <v>21890</v>
      </c>
      <c r="AB42" s="199">
        <v>25709</v>
      </c>
      <c r="AC42" s="197">
        <f>+Z42/Y42</f>
        <v>0.11280310378273521</v>
      </c>
      <c r="AD42" s="197">
        <f>+AA42/Y42</f>
        <v>0.35386356288393145</v>
      </c>
      <c r="AE42" s="197">
        <f>+AB42/Y42</f>
        <v>0.41559974135143873</v>
      </c>
      <c r="AF42" s="205">
        <v>1306</v>
      </c>
      <c r="AG42" s="205">
        <v>9792</v>
      </c>
      <c r="AH42" s="199"/>
      <c r="AI42" s="196">
        <v>14814</v>
      </c>
      <c r="AJ42" s="199"/>
      <c r="AK42" s="196">
        <f>+AI42</f>
        <v>14814</v>
      </c>
      <c r="AL42" s="230">
        <v>1</v>
      </c>
      <c r="AM42" s="196">
        <f>+AK42</f>
        <v>14814</v>
      </c>
      <c r="AN42" s="230">
        <f>+AM42/Y42</f>
        <v>0.23947623666343357</v>
      </c>
      <c r="AO42" s="234">
        <v>21890</v>
      </c>
      <c r="AP42" s="200">
        <v>5189</v>
      </c>
      <c r="AQ42" s="200"/>
      <c r="AR42" s="200">
        <v>1848</v>
      </c>
      <c r="AS42" s="200"/>
      <c r="AT42" s="199">
        <v>1463</v>
      </c>
      <c r="AU42" s="195"/>
      <c r="AV42" s="199">
        <v>2137</v>
      </c>
      <c r="AW42" s="195"/>
      <c r="AX42" s="244">
        <f>AP42+AR42+AT42+AV42</f>
        <v>10637</v>
      </c>
      <c r="AY42" s="219">
        <f>AX42/AO42</f>
        <v>0.48592964824120605</v>
      </c>
      <c r="AZ42" s="196">
        <f>AX42+AM42</f>
        <v>25451</v>
      </c>
      <c r="BA42" s="218">
        <f>AZ42/Y42</f>
        <v>0.41142903330100228</v>
      </c>
      <c r="BB42" s="199">
        <f>+AB42</f>
        <v>25709</v>
      </c>
      <c r="BC42" s="199">
        <v>2507</v>
      </c>
      <c r="BD42" s="199"/>
      <c r="BE42" s="199">
        <v>12232</v>
      </c>
      <c r="BF42" s="199"/>
      <c r="BG42" s="199">
        <v>7750</v>
      </c>
      <c r="BH42" s="199"/>
      <c r="BI42" s="199">
        <v>4190</v>
      </c>
      <c r="BJ42" s="199"/>
      <c r="BK42" s="199">
        <f>+BC42+BE42+BG42+BI42</f>
        <v>26679</v>
      </c>
      <c r="BL42" s="58">
        <v>1</v>
      </c>
      <c r="BM42" s="196">
        <f>+BK42+AZ42</f>
        <v>52130</v>
      </c>
      <c r="BN42" s="58">
        <f>+BM42/Y42</f>
        <v>0.84270934367927575</v>
      </c>
      <c r="BO42" s="204"/>
      <c r="BP42" s="204"/>
      <c r="BQ42" s="204"/>
      <c r="BR42" s="204"/>
      <c r="BS42" s="204"/>
      <c r="BT42" s="204"/>
      <c r="BU42" s="204"/>
      <c r="BV42" s="204"/>
      <c r="BW42" s="204"/>
      <c r="BX42" s="204"/>
      <c r="BY42" s="204"/>
      <c r="BZ42" s="204"/>
      <c r="CA42" s="204"/>
      <c r="CB42" s="204"/>
      <c r="CC42" s="204"/>
      <c r="CD42" s="204"/>
      <c r="CE42" s="204"/>
      <c r="CF42" s="204"/>
      <c r="CG42" s="204"/>
      <c r="CH42" s="204"/>
      <c r="CI42" s="204"/>
      <c r="CJ42" s="204"/>
      <c r="CK42" s="204"/>
      <c r="CL42" s="204"/>
      <c r="CM42" s="204"/>
      <c r="CN42" s="204"/>
      <c r="CO42" s="204"/>
      <c r="CP42" s="204"/>
      <c r="CQ42" s="204"/>
      <c r="CR42" s="204"/>
      <c r="CS42" s="204"/>
      <c r="CT42" s="204"/>
      <c r="CU42" s="204"/>
      <c r="CV42" s="204"/>
      <c r="CW42" s="204"/>
      <c r="CX42" s="204"/>
      <c r="CY42" s="204"/>
    </row>
    <row r="43" spans="1:103" ht="15.75" customHeight="1" x14ac:dyDescent="0.2">
      <c r="A43" s="1820"/>
      <c r="B43" s="1823"/>
      <c r="C43" s="194"/>
      <c r="D43" s="194"/>
      <c r="E43" s="195"/>
      <c r="F43" s="195"/>
      <c r="G43" s="195"/>
      <c r="H43" s="195"/>
      <c r="I43" s="195"/>
      <c r="J43" s="195"/>
      <c r="K43" s="195"/>
      <c r="L43" s="195"/>
      <c r="M43" s="195"/>
      <c r="N43" s="195"/>
      <c r="O43" s="195"/>
      <c r="P43" s="195"/>
      <c r="Q43" s="195"/>
      <c r="R43" s="195"/>
      <c r="S43" s="195"/>
      <c r="T43" s="194"/>
      <c r="U43" s="1831"/>
      <c r="V43" s="207"/>
      <c r="W43" s="207"/>
      <c r="X43" s="1453"/>
      <c r="Y43" s="207"/>
      <c r="Z43" s="208"/>
      <c r="AA43" s="208"/>
      <c r="AB43" s="208"/>
      <c r="AC43" s="209">
        <f>AVERAGE(AC41:AC42)</f>
        <v>9.1123774113589823E-2</v>
      </c>
      <c r="AD43" s="209">
        <f>AVERAGE(AD41:AD42)</f>
        <v>0.3505428925530768</v>
      </c>
      <c r="AE43" s="209">
        <f>AVERAGE(AE41:AE42)</f>
        <v>0.374466537342386</v>
      </c>
      <c r="AF43" s="208"/>
      <c r="AG43" s="208"/>
      <c r="AH43" s="208"/>
      <c r="AI43" s="211"/>
      <c r="AJ43" s="208"/>
      <c r="AK43" s="208"/>
      <c r="AL43" s="225">
        <f>AVERAGE(AL41:AL42)</f>
        <v>1</v>
      </c>
      <c r="AM43" s="222"/>
      <c r="AN43" s="209">
        <f>AVERAGE(AN41:AN42)</f>
        <v>0.22390478499838345</v>
      </c>
      <c r="AO43" s="261"/>
      <c r="AP43" s="226"/>
      <c r="AQ43" s="226"/>
      <c r="AR43" s="226"/>
      <c r="AS43" s="226"/>
      <c r="AT43" s="208"/>
      <c r="AU43" s="226"/>
      <c r="AV43" s="226"/>
      <c r="AW43" s="226"/>
      <c r="AX43" s="226"/>
      <c r="AY43" s="227">
        <f>AVERAGE(AY41:AY42)</f>
        <v>0.74296482412060305</v>
      </c>
      <c r="AZ43" s="228"/>
      <c r="BA43" s="241">
        <f>AVERAGE(BA41:BA42)</f>
        <v>0.53904784998383448</v>
      </c>
      <c r="BB43" s="226"/>
      <c r="BC43" s="226"/>
      <c r="BD43" s="226"/>
      <c r="BE43" s="226"/>
      <c r="BF43" s="226"/>
      <c r="BG43" s="226"/>
      <c r="BH43" s="226"/>
      <c r="BI43" s="226"/>
      <c r="BJ43" s="226"/>
      <c r="BK43" s="226"/>
      <c r="BL43" s="227">
        <f>AVERAGE(BL41:BL42)</f>
        <v>1</v>
      </c>
      <c r="BM43" s="228"/>
      <c r="BN43" s="227">
        <f>AVERAGE(BN41:BN42)</f>
        <v>0.92135467183963793</v>
      </c>
      <c r="BO43" s="229"/>
      <c r="BP43" s="229"/>
      <c r="BQ43" s="229"/>
      <c r="BR43" s="229"/>
      <c r="BS43" s="229"/>
      <c r="BT43" s="229"/>
      <c r="BU43" s="229"/>
      <c r="BV43" s="229"/>
      <c r="BW43" s="229"/>
      <c r="BX43" s="229"/>
      <c r="BY43" s="229"/>
      <c r="BZ43" s="229"/>
      <c r="CA43" s="229"/>
      <c r="CB43" s="229"/>
      <c r="CC43" s="229"/>
      <c r="CD43" s="229"/>
      <c r="CE43" s="229"/>
      <c r="CF43" s="229"/>
      <c r="CG43" s="229"/>
      <c r="CH43" s="229"/>
      <c r="CI43" s="229"/>
      <c r="CJ43" s="229"/>
      <c r="CK43" s="229"/>
      <c r="CL43" s="229"/>
      <c r="CM43" s="229"/>
      <c r="CN43" s="229"/>
      <c r="CO43" s="229"/>
      <c r="CP43" s="229"/>
      <c r="CQ43" s="229"/>
      <c r="CR43" s="229"/>
      <c r="CS43" s="229"/>
      <c r="CT43" s="229"/>
      <c r="CU43" s="229"/>
      <c r="CV43" s="229"/>
      <c r="CW43" s="229"/>
      <c r="CX43" s="229"/>
      <c r="CY43" s="229"/>
    </row>
    <row r="44" spans="1:103" ht="41.25" customHeight="1" x14ac:dyDescent="0.2">
      <c r="A44" s="1820"/>
      <c r="B44" s="1824"/>
      <c r="C44" s="194"/>
      <c r="D44" s="262"/>
      <c r="E44" s="263"/>
      <c r="F44" s="263"/>
      <c r="G44" s="263"/>
      <c r="H44" s="263"/>
      <c r="I44" s="263"/>
      <c r="J44" s="263"/>
      <c r="K44" s="263"/>
      <c r="L44" s="263"/>
      <c r="M44" s="263"/>
      <c r="N44" s="263"/>
      <c r="O44" s="263"/>
      <c r="P44" s="263"/>
      <c r="Q44" s="263"/>
      <c r="R44" s="263"/>
      <c r="S44" s="263"/>
      <c r="T44" s="262"/>
      <c r="U44" s="192"/>
      <c r="V44" s="262"/>
      <c r="W44" s="262"/>
      <c r="X44" s="1460"/>
      <c r="Y44" s="262"/>
      <c r="Z44" s="264"/>
      <c r="AA44" s="264"/>
      <c r="AB44" s="264"/>
      <c r="AC44" s="265">
        <f>+(AC5+AC9+AC14+AC18+AC24+AC28+AC37+AC40+AC43+AC32)/10</f>
        <v>6.8312536370888702E-2</v>
      </c>
      <c r="AD44" s="265">
        <f>+(AD5+AD9+AD14+AD18+AD24+AD28+AD37+AD40+AD43+AD32)/10</f>
        <v>0.23352915520440662</v>
      </c>
      <c r="AE44" s="265">
        <f>+(AE5+AE9+AE14+AE18+AE24+AE28+AE37+AE40+AE43+AE32)/10</f>
        <v>0.42182229267210192</v>
      </c>
      <c r="AF44" s="266"/>
      <c r="AG44" s="266"/>
      <c r="AH44" s="266"/>
      <c r="AI44" s="267"/>
      <c r="AJ44" s="266"/>
      <c r="AK44" s="266"/>
      <c r="AL44" s="265">
        <f>+(AL5+AL9+AL14+AL18+AL24+AL28+AL37+AL40+AL43+AL32)/10</f>
        <v>0.70277222222222235</v>
      </c>
      <c r="AM44" s="266"/>
      <c r="AN44" s="265">
        <f>+(AN5+AN9+AN14+AN18+AN24+AN28+AN37+AN40+AN43+AN32)/10</f>
        <v>9.7563026724382731E-2</v>
      </c>
      <c r="AO44" s="268"/>
      <c r="AP44" s="263"/>
      <c r="AQ44" s="263"/>
      <c r="AR44" s="263"/>
      <c r="AS44" s="263"/>
      <c r="AT44" s="264"/>
      <c r="AU44" s="263"/>
      <c r="AV44" s="263"/>
      <c r="AW44" s="263"/>
      <c r="AX44" s="263"/>
      <c r="AY44" s="269">
        <f>+(AY5+AY9+AY14+AY18+AY24+AY28+AY37+AY40+AY43+AY32)/10</f>
        <v>0.74958090243648035</v>
      </c>
      <c r="AZ44" s="269"/>
      <c r="BA44" s="270">
        <f>+(BA5+BA9+BA14+BA18+BA24+BA28+BA37+BA40+BA43+BA32)/10</f>
        <v>0.38039715789936024</v>
      </c>
      <c r="BB44" s="1184"/>
      <c r="BC44" s="1184"/>
      <c r="BD44" s="1184"/>
      <c r="BE44" s="1184"/>
      <c r="BF44" s="1184"/>
      <c r="BG44" s="1184"/>
      <c r="BH44" s="1184"/>
      <c r="BI44" s="1184"/>
      <c r="BJ44" s="1184"/>
      <c r="BK44" s="1184"/>
      <c r="BL44" s="269">
        <f>+(BL5+BL9+BL14+BL18+BL24+BL28+BL37+BL40+BL43+BL32)/10</f>
        <v>0.8531582811753925</v>
      </c>
      <c r="BM44" s="269"/>
      <c r="BN44" s="269">
        <f>+(BN5+BN9+BN14+BN18+BN24+BN28+BN37+BN40+BN43+BN32)/10</f>
        <v>0.75270263213906807</v>
      </c>
      <c r="BO44" s="272"/>
      <c r="BP44" s="272"/>
      <c r="BQ44" s="272"/>
      <c r="BR44" s="272"/>
      <c r="BS44" s="272"/>
      <c r="BT44" s="272"/>
      <c r="BU44" s="272"/>
      <c r="BV44" s="272"/>
      <c r="BW44" s="272"/>
      <c r="BX44" s="272"/>
      <c r="BY44" s="272"/>
      <c r="BZ44" s="272"/>
      <c r="CA44" s="272"/>
      <c r="CB44" s="272"/>
      <c r="CC44" s="272"/>
      <c r="CD44" s="272"/>
      <c r="CE44" s="272"/>
      <c r="CF44" s="272"/>
      <c r="CG44" s="272"/>
      <c r="CH44" s="272"/>
      <c r="CI44" s="272"/>
      <c r="CJ44" s="272"/>
      <c r="CK44" s="272"/>
      <c r="CL44" s="272"/>
      <c r="CM44" s="272"/>
      <c r="CN44" s="272"/>
      <c r="CO44" s="272"/>
      <c r="CP44" s="272"/>
      <c r="CQ44" s="272"/>
      <c r="CR44" s="272"/>
      <c r="CS44" s="272"/>
      <c r="CT44" s="272"/>
      <c r="CU44" s="272"/>
      <c r="CV44" s="272"/>
      <c r="CW44" s="272"/>
      <c r="CX44" s="272"/>
      <c r="CY44" s="272"/>
    </row>
    <row r="45" spans="1:103" ht="55.5" customHeight="1" x14ac:dyDescent="0.2">
      <c r="A45" s="1820"/>
      <c r="B45" s="1825" t="s">
        <v>703</v>
      </c>
      <c r="C45" s="194" t="s">
        <v>704</v>
      </c>
      <c r="D45" s="194" t="s">
        <v>705</v>
      </c>
      <c r="E45" s="195"/>
      <c r="F45" s="195"/>
      <c r="G45" s="195"/>
      <c r="H45" s="195"/>
      <c r="I45" s="195"/>
      <c r="J45" s="195"/>
      <c r="K45" s="195"/>
      <c r="L45" s="195"/>
      <c r="M45" s="195"/>
      <c r="N45" s="195"/>
      <c r="O45" s="195"/>
      <c r="P45" s="195"/>
      <c r="Q45" s="195"/>
      <c r="R45" s="195"/>
      <c r="S45" s="195"/>
      <c r="T45" s="194" t="s">
        <v>706</v>
      </c>
      <c r="U45" s="1829" t="s">
        <v>707</v>
      </c>
      <c r="V45" s="194" t="s">
        <v>708</v>
      </c>
      <c r="W45" s="194" t="s">
        <v>709</v>
      </c>
      <c r="X45" s="1459" t="s">
        <v>710</v>
      </c>
      <c r="Y45" s="273">
        <v>3.0200000000000001E-2</v>
      </c>
      <c r="Z45" s="199" t="s">
        <v>177</v>
      </c>
      <c r="AA45" s="58">
        <v>3.6900000000000002E-2</v>
      </c>
      <c r="AB45" s="199" t="s">
        <v>711</v>
      </c>
      <c r="AC45" s="254"/>
      <c r="AD45" s="58">
        <v>0.77822818428184304</v>
      </c>
      <c r="AE45" s="58">
        <v>0.25</v>
      </c>
      <c r="AF45" s="199"/>
      <c r="AG45" s="274"/>
      <c r="AH45" s="199"/>
      <c r="AI45" s="275">
        <v>2.34</v>
      </c>
      <c r="AJ45" s="199"/>
      <c r="AK45" s="276"/>
      <c r="AL45" s="199"/>
      <c r="AM45" s="199"/>
      <c r="AN45" s="197">
        <v>0.42</v>
      </c>
      <c r="AO45" s="58">
        <v>3.6900000000000002E-2</v>
      </c>
      <c r="AP45" s="277"/>
      <c r="AQ45" s="277"/>
      <c r="AR45" s="277"/>
      <c r="AS45" s="277"/>
      <c r="AT45" s="278"/>
      <c r="AU45" s="277"/>
      <c r="AV45" s="279">
        <v>3.3799999999999997E-2</v>
      </c>
      <c r="AW45" s="277"/>
      <c r="AX45" s="279">
        <f>+AV45</f>
        <v>3.3799999999999997E-2</v>
      </c>
      <c r="AY45" s="279">
        <v>0.91600000000000004</v>
      </c>
      <c r="AZ45" s="862">
        <f>+AX45</f>
        <v>3.3799999999999997E-2</v>
      </c>
      <c r="BA45" s="863">
        <v>0.64</v>
      </c>
      <c r="BB45" s="199" t="s">
        <v>711</v>
      </c>
      <c r="BC45" s="199"/>
      <c r="BD45" s="199"/>
      <c r="BE45" s="199"/>
      <c r="BF45" s="199"/>
      <c r="BG45" s="199"/>
      <c r="BH45" s="324" t="s">
        <v>2205</v>
      </c>
      <c r="BI45" s="199"/>
      <c r="BJ45" s="1712" t="s">
        <v>2304</v>
      </c>
      <c r="BK45" s="199"/>
      <c r="BL45" s="199"/>
      <c r="BM45" s="199"/>
      <c r="BN45" s="58">
        <f>BA45</f>
        <v>0.64</v>
      </c>
      <c r="BO45" s="204"/>
      <c r="BP45" s="204"/>
      <c r="BQ45" s="204"/>
      <c r="BR45" s="204"/>
      <c r="BS45" s="204"/>
      <c r="BT45" s="204"/>
      <c r="BU45" s="204"/>
      <c r="BV45" s="204"/>
      <c r="BW45" s="204"/>
      <c r="BX45" s="204"/>
      <c r="BY45" s="204"/>
      <c r="BZ45" s="204"/>
      <c r="CA45" s="204"/>
      <c r="CB45" s="204"/>
      <c r="CC45" s="204"/>
      <c r="CD45" s="204"/>
      <c r="CE45" s="204"/>
      <c r="CF45" s="204"/>
      <c r="CG45" s="204"/>
      <c r="CH45" s="204"/>
      <c r="CI45" s="204"/>
      <c r="CJ45" s="204"/>
      <c r="CK45" s="204"/>
      <c r="CL45" s="204"/>
      <c r="CM45" s="204"/>
      <c r="CN45" s="204"/>
      <c r="CO45" s="204"/>
      <c r="CP45" s="204"/>
      <c r="CQ45" s="204"/>
      <c r="CR45" s="204"/>
      <c r="CS45" s="204"/>
      <c r="CT45" s="204"/>
      <c r="CU45" s="204"/>
      <c r="CV45" s="204"/>
      <c r="CW45" s="204"/>
      <c r="CX45" s="204"/>
      <c r="CY45" s="204"/>
    </row>
    <row r="46" spans="1:103" ht="60.75" customHeight="1" x14ac:dyDescent="0.2">
      <c r="A46" s="1820"/>
      <c r="B46" s="1826"/>
      <c r="C46" s="194"/>
      <c r="D46" s="194"/>
      <c r="E46" s="195"/>
      <c r="F46" s="195"/>
      <c r="G46" s="195"/>
      <c r="H46" s="195"/>
      <c r="I46" s="195"/>
      <c r="J46" s="195"/>
      <c r="K46" s="195"/>
      <c r="L46" s="195"/>
      <c r="M46" s="195"/>
      <c r="N46" s="195"/>
      <c r="O46" s="195"/>
      <c r="P46" s="195"/>
      <c r="Q46" s="195"/>
      <c r="R46" s="195"/>
      <c r="S46" s="195"/>
      <c r="T46" s="194"/>
      <c r="U46" s="1830"/>
      <c r="V46" s="194" t="s">
        <v>712</v>
      </c>
      <c r="W46" s="194" t="s">
        <v>713</v>
      </c>
      <c r="X46" s="1459" t="s">
        <v>2252</v>
      </c>
      <c r="Y46" s="220">
        <v>1200</v>
      </c>
      <c r="Z46" s="199">
        <v>300</v>
      </c>
      <c r="AA46" s="199">
        <v>400</v>
      </c>
      <c r="AB46" s="199">
        <v>400</v>
      </c>
      <c r="AC46" s="197">
        <f t="shared" ref="AC46:AC51" si="1">+Z46/Y46</f>
        <v>0.25</v>
      </c>
      <c r="AD46" s="197">
        <f t="shared" ref="AD46:AD51" si="2">+AA46/Y46</f>
        <v>0.33333333333333331</v>
      </c>
      <c r="AE46" s="197">
        <f>+AB46/Y46</f>
        <v>0.33333333333333331</v>
      </c>
      <c r="AF46" s="199">
        <v>0</v>
      </c>
      <c r="AG46" s="274">
        <v>0</v>
      </c>
      <c r="AH46" s="199"/>
      <c r="AI46" s="196">
        <v>0</v>
      </c>
      <c r="AJ46" s="199"/>
      <c r="AK46" s="196">
        <f t="shared" ref="AK46:AK51" si="3">+AI46</f>
        <v>0</v>
      </c>
      <c r="AL46" s="197">
        <v>0</v>
      </c>
      <c r="AM46" s="199">
        <v>0</v>
      </c>
      <c r="AN46" s="197">
        <v>0</v>
      </c>
      <c r="AO46" s="199">
        <v>400</v>
      </c>
      <c r="AP46" s="200">
        <v>0</v>
      </c>
      <c r="AQ46" s="200"/>
      <c r="AR46" s="200">
        <v>154</v>
      </c>
      <c r="AS46" s="200"/>
      <c r="AT46" s="199">
        <v>0</v>
      </c>
      <c r="AU46" s="200"/>
      <c r="AV46" s="200">
        <v>295</v>
      </c>
      <c r="AW46" s="200"/>
      <c r="AX46" s="200">
        <f>+AR46+AV46</f>
        <v>449</v>
      </c>
      <c r="AY46" s="280">
        <v>1</v>
      </c>
      <c r="AZ46" s="199">
        <f>AX46</f>
        <v>449</v>
      </c>
      <c r="BA46" s="218">
        <f>+AZ46/Y46</f>
        <v>0.37416666666666665</v>
      </c>
      <c r="BB46" s="199">
        <v>400</v>
      </c>
      <c r="BC46" s="199">
        <v>331</v>
      </c>
      <c r="BD46" s="199"/>
      <c r="BE46" s="199">
        <v>449</v>
      </c>
      <c r="BF46" s="199"/>
      <c r="BG46" s="199">
        <v>455</v>
      </c>
      <c r="BH46" s="324" t="s">
        <v>2199</v>
      </c>
      <c r="BI46" s="199">
        <v>400</v>
      </c>
      <c r="BJ46" s="199"/>
      <c r="BK46" s="199">
        <f>+BI46</f>
        <v>400</v>
      </c>
      <c r="BL46" s="58">
        <v>1</v>
      </c>
      <c r="BM46" s="199">
        <f>BK46+AZ46</f>
        <v>849</v>
      </c>
      <c r="BN46" s="58">
        <f>+BM46/Y46</f>
        <v>0.70750000000000002</v>
      </c>
      <c r="BO46" s="204"/>
      <c r="BP46" s="204"/>
      <c r="BQ46" s="204"/>
      <c r="BR46" s="204"/>
      <c r="BS46" s="204"/>
      <c r="BT46" s="204"/>
      <c r="BU46" s="204"/>
      <c r="BV46" s="204"/>
      <c r="BW46" s="204"/>
      <c r="BX46" s="204"/>
      <c r="BY46" s="204"/>
      <c r="BZ46" s="204"/>
      <c r="CA46" s="204"/>
      <c r="CB46" s="204"/>
      <c r="CC46" s="204"/>
      <c r="CD46" s="204"/>
      <c r="CE46" s="204"/>
      <c r="CF46" s="204"/>
      <c r="CG46" s="204"/>
      <c r="CH46" s="204"/>
      <c r="CI46" s="204"/>
      <c r="CJ46" s="204"/>
      <c r="CK46" s="204"/>
      <c r="CL46" s="204"/>
      <c r="CM46" s="204"/>
      <c r="CN46" s="204"/>
      <c r="CO46" s="204"/>
      <c r="CP46" s="204"/>
      <c r="CQ46" s="204"/>
      <c r="CR46" s="204"/>
      <c r="CS46" s="204"/>
      <c r="CT46" s="204"/>
      <c r="CU46" s="204"/>
      <c r="CV46" s="204"/>
      <c r="CW46" s="204"/>
      <c r="CX46" s="204"/>
      <c r="CY46" s="204"/>
    </row>
    <row r="47" spans="1:103" ht="73.5" customHeight="1" x14ac:dyDescent="0.2">
      <c r="A47" s="1820"/>
      <c r="B47" s="1826"/>
      <c r="C47" s="194"/>
      <c r="D47" s="194"/>
      <c r="E47" s="195"/>
      <c r="F47" s="195"/>
      <c r="G47" s="195"/>
      <c r="H47" s="195"/>
      <c r="I47" s="195"/>
      <c r="J47" s="195"/>
      <c r="K47" s="195"/>
      <c r="L47" s="195"/>
      <c r="M47" s="195"/>
      <c r="N47" s="195"/>
      <c r="O47" s="195"/>
      <c r="P47" s="195"/>
      <c r="Q47" s="195"/>
      <c r="R47" s="195"/>
      <c r="S47" s="195"/>
      <c r="T47" s="194"/>
      <c r="U47" s="1830"/>
      <c r="V47" s="194" t="s">
        <v>714</v>
      </c>
      <c r="W47" s="194">
        <v>0</v>
      </c>
      <c r="X47" s="1459" t="s">
        <v>715</v>
      </c>
      <c r="Y47" s="220">
        <v>45</v>
      </c>
      <c r="Z47" s="199">
        <v>5</v>
      </c>
      <c r="AA47" s="199">
        <v>5</v>
      </c>
      <c r="AB47" s="199">
        <v>30</v>
      </c>
      <c r="AC47" s="197">
        <f t="shared" si="1"/>
        <v>0.1111111111111111</v>
      </c>
      <c r="AD47" s="197">
        <f t="shared" si="2"/>
        <v>0.1111111111111111</v>
      </c>
      <c r="AE47" s="197"/>
      <c r="AF47" s="199">
        <v>0</v>
      </c>
      <c r="AG47" s="274">
        <v>2</v>
      </c>
      <c r="AH47" s="264"/>
      <c r="AI47" s="196">
        <v>5</v>
      </c>
      <c r="AJ47" s="199"/>
      <c r="AK47" s="196">
        <f t="shared" si="3"/>
        <v>5</v>
      </c>
      <c r="AL47" s="197">
        <f>+AK47/Z47</f>
        <v>1</v>
      </c>
      <c r="AM47" s="196">
        <f>+AK47</f>
        <v>5</v>
      </c>
      <c r="AN47" s="197">
        <f>+AM47/Y47</f>
        <v>0.1111111111111111</v>
      </c>
      <c r="AO47" s="199">
        <v>5</v>
      </c>
      <c r="AP47" s="200">
        <v>13</v>
      </c>
      <c r="AQ47" s="200"/>
      <c r="AR47" s="200">
        <v>5</v>
      </c>
      <c r="AS47" s="200"/>
      <c r="AT47" s="199">
        <v>0</v>
      </c>
      <c r="AU47" s="200"/>
      <c r="AV47" s="200">
        <v>0</v>
      </c>
      <c r="AW47" s="200"/>
      <c r="AX47" s="200">
        <f>AP47+AR47</f>
        <v>18</v>
      </c>
      <c r="AY47" s="280">
        <v>1</v>
      </c>
      <c r="AZ47" s="196">
        <f>AX47+AM47</f>
        <v>23</v>
      </c>
      <c r="BA47" s="218">
        <f>AZ47/Y47</f>
        <v>0.51111111111111107</v>
      </c>
      <c r="BB47" s="199">
        <v>30</v>
      </c>
      <c r="BC47" s="199">
        <v>36</v>
      </c>
      <c r="BD47" s="199"/>
      <c r="BE47" s="199">
        <v>36</v>
      </c>
      <c r="BF47" s="199"/>
      <c r="BG47" s="199">
        <v>36</v>
      </c>
      <c r="BH47" s="199" t="s">
        <v>2200</v>
      </c>
      <c r="BI47" s="199">
        <v>36</v>
      </c>
      <c r="BJ47" s="199"/>
      <c r="BK47" s="199">
        <f>BC47</f>
        <v>36</v>
      </c>
      <c r="BL47" s="58">
        <v>1</v>
      </c>
      <c r="BM47" s="196">
        <f>BK47+AZ47</f>
        <v>59</v>
      </c>
      <c r="BN47" s="58">
        <v>1</v>
      </c>
      <c r="BO47" s="204"/>
      <c r="BP47" s="204"/>
      <c r="BQ47" s="204"/>
      <c r="BR47" s="204"/>
      <c r="BS47" s="204"/>
      <c r="BT47" s="204"/>
      <c r="BU47" s="204"/>
      <c r="BV47" s="204"/>
      <c r="BW47" s="204"/>
      <c r="BX47" s="204"/>
      <c r="BY47" s="204"/>
      <c r="BZ47" s="204"/>
      <c r="CA47" s="204"/>
      <c r="CB47" s="204"/>
      <c r="CC47" s="204"/>
      <c r="CD47" s="204"/>
      <c r="CE47" s="204"/>
      <c r="CF47" s="204"/>
      <c r="CG47" s="204"/>
      <c r="CH47" s="204"/>
      <c r="CI47" s="204"/>
      <c r="CJ47" s="204"/>
      <c r="CK47" s="204"/>
      <c r="CL47" s="204"/>
      <c r="CM47" s="204"/>
      <c r="CN47" s="204"/>
      <c r="CO47" s="204"/>
      <c r="CP47" s="204"/>
      <c r="CQ47" s="204"/>
      <c r="CR47" s="204"/>
      <c r="CS47" s="204"/>
      <c r="CT47" s="204"/>
      <c r="CU47" s="204"/>
      <c r="CV47" s="204"/>
      <c r="CW47" s="204"/>
      <c r="CX47" s="204"/>
      <c r="CY47" s="204"/>
    </row>
    <row r="48" spans="1:103" ht="52.5" customHeight="1" x14ac:dyDescent="0.2">
      <c r="A48" s="1820"/>
      <c r="B48" s="1826"/>
      <c r="C48" s="194"/>
      <c r="D48" s="194"/>
      <c r="E48" s="195"/>
      <c r="F48" s="195"/>
      <c r="G48" s="195"/>
      <c r="H48" s="195"/>
      <c r="I48" s="195"/>
      <c r="J48" s="195"/>
      <c r="K48" s="195"/>
      <c r="L48" s="195"/>
      <c r="M48" s="195"/>
      <c r="N48" s="195"/>
      <c r="O48" s="195"/>
      <c r="P48" s="195"/>
      <c r="Q48" s="195"/>
      <c r="R48" s="195"/>
      <c r="S48" s="195"/>
      <c r="T48" s="194"/>
      <c r="U48" s="1830"/>
      <c r="V48" s="194" t="s">
        <v>716</v>
      </c>
      <c r="W48" s="194" t="s">
        <v>717</v>
      </c>
      <c r="X48" s="1459" t="s">
        <v>718</v>
      </c>
      <c r="Y48" s="220">
        <f>100000*4</f>
        <v>400000</v>
      </c>
      <c r="Z48" s="281">
        <v>100000</v>
      </c>
      <c r="AA48" s="281">
        <v>10000</v>
      </c>
      <c r="AB48" s="199">
        <v>100000</v>
      </c>
      <c r="AC48" s="197">
        <f t="shared" si="1"/>
        <v>0.25</v>
      </c>
      <c r="AD48" s="197">
        <f t="shared" si="2"/>
        <v>2.5000000000000001E-2</v>
      </c>
      <c r="AE48" s="197">
        <f>+AB48/Y48</f>
        <v>0.25</v>
      </c>
      <c r="AF48" s="281">
        <v>95686</v>
      </c>
      <c r="AG48" s="282">
        <v>94205</v>
      </c>
      <c r="AH48" s="264"/>
      <c r="AI48" s="196">
        <v>112024</v>
      </c>
      <c r="AJ48" s="199"/>
      <c r="AK48" s="196">
        <f t="shared" si="3"/>
        <v>112024</v>
      </c>
      <c r="AL48" s="197">
        <v>1</v>
      </c>
      <c r="AM48" s="196">
        <f>+AK48</f>
        <v>112024</v>
      </c>
      <c r="AN48" s="197">
        <f>+AM48/Y48</f>
        <v>0.28005999999999998</v>
      </c>
      <c r="AO48" s="281">
        <v>100000</v>
      </c>
      <c r="AP48" s="200">
        <v>61904</v>
      </c>
      <c r="AQ48" s="200"/>
      <c r="AR48" s="200">
        <v>4713</v>
      </c>
      <c r="AS48" s="200"/>
      <c r="AT48" s="199">
        <v>0</v>
      </c>
      <c r="AU48" s="200"/>
      <c r="AV48" s="283">
        <v>59466</v>
      </c>
      <c r="AW48" s="200"/>
      <c r="AX48" s="283">
        <f>AP48+AR48+AV48</f>
        <v>126083</v>
      </c>
      <c r="AY48" s="280">
        <v>1</v>
      </c>
      <c r="AZ48" s="196">
        <f>AX48+AM48</f>
        <v>238107</v>
      </c>
      <c r="BA48" s="322">
        <f>AZ48/Y48</f>
        <v>0.59526749999999995</v>
      </c>
      <c r="BB48" s="199">
        <v>100000</v>
      </c>
      <c r="BC48" s="199">
        <v>54021</v>
      </c>
      <c r="BD48" s="199"/>
      <c r="BE48" s="199">
        <v>59527</v>
      </c>
      <c r="BF48" s="199"/>
      <c r="BG48" s="199">
        <v>120341</v>
      </c>
      <c r="BH48" s="324" t="s">
        <v>2201</v>
      </c>
      <c r="BI48" s="199">
        <v>120341</v>
      </c>
      <c r="BJ48" s="199"/>
      <c r="BK48" s="199">
        <f>+BG48</f>
        <v>120341</v>
      </c>
      <c r="BL48" s="58">
        <v>1</v>
      </c>
      <c r="BM48" s="196">
        <f>+BK48</f>
        <v>120341</v>
      </c>
      <c r="BN48" s="58">
        <v>1</v>
      </c>
      <c r="BO48" s="204"/>
      <c r="BP48" s="204"/>
      <c r="BQ48" s="204"/>
      <c r="BR48" s="204"/>
      <c r="BS48" s="204"/>
      <c r="BT48" s="204"/>
      <c r="BU48" s="204"/>
      <c r="BV48" s="204"/>
      <c r="BW48" s="204"/>
      <c r="BX48" s="204"/>
      <c r="BY48" s="204"/>
      <c r="BZ48" s="204"/>
      <c r="CA48" s="204"/>
      <c r="CB48" s="204"/>
      <c r="CC48" s="204"/>
      <c r="CD48" s="204"/>
      <c r="CE48" s="204"/>
      <c r="CF48" s="204"/>
      <c r="CG48" s="204"/>
      <c r="CH48" s="204"/>
      <c r="CI48" s="204"/>
      <c r="CJ48" s="204"/>
      <c r="CK48" s="204"/>
      <c r="CL48" s="204"/>
      <c r="CM48" s="204"/>
      <c r="CN48" s="204"/>
      <c r="CO48" s="204"/>
      <c r="CP48" s="204"/>
      <c r="CQ48" s="204"/>
      <c r="CR48" s="204"/>
      <c r="CS48" s="204"/>
      <c r="CT48" s="204"/>
      <c r="CU48" s="204"/>
      <c r="CV48" s="204"/>
      <c r="CW48" s="204"/>
      <c r="CX48" s="204"/>
      <c r="CY48" s="204"/>
    </row>
    <row r="49" spans="1:103" ht="43.5" customHeight="1" x14ac:dyDescent="0.2">
      <c r="A49" s="1820"/>
      <c r="B49" s="1826"/>
      <c r="C49" s="194"/>
      <c r="D49" s="194"/>
      <c r="E49" s="195"/>
      <c r="F49" s="195"/>
      <c r="G49" s="195"/>
      <c r="H49" s="195"/>
      <c r="I49" s="195"/>
      <c r="J49" s="195"/>
      <c r="K49" s="195"/>
      <c r="L49" s="195"/>
      <c r="M49" s="195"/>
      <c r="N49" s="195"/>
      <c r="O49" s="195"/>
      <c r="P49" s="195"/>
      <c r="Q49" s="195"/>
      <c r="R49" s="195"/>
      <c r="S49" s="195"/>
      <c r="T49" s="194"/>
      <c r="U49" s="1830"/>
      <c r="V49" s="194" t="s">
        <v>719</v>
      </c>
      <c r="W49" s="194" t="s">
        <v>720</v>
      </c>
      <c r="X49" s="1459" t="s">
        <v>721</v>
      </c>
      <c r="Y49" s="220">
        <v>40</v>
      </c>
      <c r="Z49" s="199">
        <v>3</v>
      </c>
      <c r="AA49" s="199">
        <v>25</v>
      </c>
      <c r="AB49" s="199">
        <v>15</v>
      </c>
      <c r="AC49" s="197">
        <f t="shared" si="1"/>
        <v>7.4999999999999997E-2</v>
      </c>
      <c r="AD49" s="197">
        <f t="shared" si="2"/>
        <v>0.625</v>
      </c>
      <c r="AE49" s="197">
        <f>+AB49/Y49</f>
        <v>0.375</v>
      </c>
      <c r="AF49" s="199">
        <v>0</v>
      </c>
      <c r="AG49" s="274">
        <v>0</v>
      </c>
      <c r="AH49" s="199"/>
      <c r="AI49" s="196">
        <v>0</v>
      </c>
      <c r="AJ49" s="199"/>
      <c r="AK49" s="196">
        <f t="shared" si="3"/>
        <v>0</v>
      </c>
      <c r="AL49" s="197">
        <v>0</v>
      </c>
      <c r="AM49" s="196">
        <f>+AK49</f>
        <v>0</v>
      </c>
      <c r="AN49" s="197">
        <v>0</v>
      </c>
      <c r="AO49" s="199">
        <v>25</v>
      </c>
      <c r="AP49" s="200">
        <v>4</v>
      </c>
      <c r="AQ49" s="200"/>
      <c r="AR49" s="200">
        <v>4</v>
      </c>
      <c r="AS49" s="200"/>
      <c r="AT49" s="199">
        <v>4</v>
      </c>
      <c r="AU49" s="200"/>
      <c r="AV49" s="200">
        <v>7</v>
      </c>
      <c r="AW49" s="200"/>
      <c r="AX49" s="200">
        <f>AP49+AR49+AT49+AV49</f>
        <v>19</v>
      </c>
      <c r="AY49" s="280">
        <f>AX49/AO49</f>
        <v>0.76</v>
      </c>
      <c r="AZ49" s="196">
        <f>AX49+AM49</f>
        <v>19</v>
      </c>
      <c r="BA49" s="218">
        <f>AZ49/Y49</f>
        <v>0.47499999999999998</v>
      </c>
      <c r="BB49" s="199">
        <v>15</v>
      </c>
      <c r="BC49" s="199">
        <v>39</v>
      </c>
      <c r="BD49" s="199"/>
      <c r="BE49" s="199">
        <v>43</v>
      </c>
      <c r="BF49" s="199"/>
      <c r="BG49" s="199">
        <v>43</v>
      </c>
      <c r="BH49" s="324" t="s">
        <v>2202</v>
      </c>
      <c r="BI49" s="199">
        <v>60</v>
      </c>
      <c r="BJ49" s="199"/>
      <c r="BK49" s="199">
        <f>+BI49</f>
        <v>60</v>
      </c>
      <c r="BL49" s="197">
        <v>1</v>
      </c>
      <c r="BM49" s="196">
        <f>BK49+AZ49</f>
        <v>79</v>
      </c>
      <c r="BN49" s="197">
        <v>1</v>
      </c>
      <c r="BO49" s="204"/>
      <c r="BP49" s="204"/>
      <c r="BQ49" s="204"/>
      <c r="BR49" s="204"/>
      <c r="BS49" s="204"/>
      <c r="BT49" s="204"/>
      <c r="BU49" s="204"/>
      <c r="BV49" s="204"/>
      <c r="BW49" s="204"/>
      <c r="BX49" s="204"/>
      <c r="BY49" s="204"/>
      <c r="BZ49" s="204"/>
      <c r="CA49" s="204"/>
      <c r="CB49" s="204"/>
      <c r="CC49" s="204"/>
      <c r="CD49" s="204"/>
      <c r="CE49" s="204"/>
      <c r="CF49" s="204"/>
      <c r="CG49" s="204"/>
      <c r="CH49" s="204"/>
      <c r="CI49" s="204"/>
      <c r="CJ49" s="204"/>
      <c r="CK49" s="204"/>
      <c r="CL49" s="204"/>
      <c r="CM49" s="204"/>
      <c r="CN49" s="204"/>
      <c r="CO49" s="204"/>
      <c r="CP49" s="204"/>
      <c r="CQ49" s="204"/>
      <c r="CR49" s="204"/>
      <c r="CS49" s="204"/>
      <c r="CT49" s="204"/>
      <c r="CU49" s="204"/>
      <c r="CV49" s="204"/>
      <c r="CW49" s="204"/>
      <c r="CX49" s="204"/>
      <c r="CY49" s="204"/>
    </row>
    <row r="50" spans="1:103" ht="31.5" customHeight="1" x14ac:dyDescent="0.2">
      <c r="A50" s="1820"/>
      <c r="B50" s="1826"/>
      <c r="C50" s="194"/>
      <c r="D50" s="194"/>
      <c r="E50" s="195"/>
      <c r="F50" s="195"/>
      <c r="G50" s="195"/>
      <c r="H50" s="195"/>
      <c r="I50" s="195"/>
      <c r="J50" s="195"/>
      <c r="K50" s="195"/>
      <c r="L50" s="195"/>
      <c r="M50" s="195"/>
      <c r="N50" s="195"/>
      <c r="O50" s="195"/>
      <c r="P50" s="195"/>
      <c r="Q50" s="195"/>
      <c r="R50" s="195"/>
      <c r="S50" s="195"/>
      <c r="T50" s="194"/>
      <c r="U50" s="1830"/>
      <c r="V50" s="194" t="s">
        <v>722</v>
      </c>
      <c r="W50" s="194">
        <v>0</v>
      </c>
      <c r="X50" s="1459" t="s">
        <v>723</v>
      </c>
      <c r="Y50" s="220">
        <v>3</v>
      </c>
      <c r="Z50" s="199">
        <v>1</v>
      </c>
      <c r="AA50" s="199">
        <v>1</v>
      </c>
      <c r="AB50" s="199">
        <v>1</v>
      </c>
      <c r="AC50" s="197">
        <f t="shared" si="1"/>
        <v>0.33333333333333331</v>
      </c>
      <c r="AD50" s="197">
        <f t="shared" si="2"/>
        <v>0.33333333333333331</v>
      </c>
      <c r="AE50" s="197">
        <f>+AB50/Y50</f>
        <v>0.33333333333333331</v>
      </c>
      <c r="AF50" s="199">
        <v>0</v>
      </c>
      <c r="AG50" s="274">
        <v>0</v>
      </c>
      <c r="AH50" s="199"/>
      <c r="AI50" s="196">
        <v>0</v>
      </c>
      <c r="AJ50" s="199"/>
      <c r="AK50" s="196">
        <f t="shared" si="3"/>
        <v>0</v>
      </c>
      <c r="AL50" s="197">
        <v>0</v>
      </c>
      <c r="AM50" s="196">
        <f>+AK50</f>
        <v>0</v>
      </c>
      <c r="AN50" s="197">
        <v>0</v>
      </c>
      <c r="AO50" s="199">
        <v>1</v>
      </c>
      <c r="AP50" s="200">
        <v>0.33</v>
      </c>
      <c r="AQ50" s="200"/>
      <c r="AR50" s="285">
        <v>0.8</v>
      </c>
      <c r="AS50" s="200"/>
      <c r="AT50" s="199">
        <v>0</v>
      </c>
      <c r="AU50" s="200"/>
      <c r="AV50" s="285">
        <v>0.9</v>
      </c>
      <c r="AW50" s="200"/>
      <c r="AX50" s="285">
        <f>+AV50</f>
        <v>0.9</v>
      </c>
      <c r="AY50" s="280">
        <f>AX50/AO50</f>
        <v>0.9</v>
      </c>
      <c r="AZ50" s="1226">
        <v>1</v>
      </c>
      <c r="BA50" s="218">
        <f>AZ50/Y50</f>
        <v>0.33333333333333331</v>
      </c>
      <c r="BB50" s="199">
        <v>1</v>
      </c>
      <c r="BC50" s="199">
        <v>1</v>
      </c>
      <c r="BD50" s="199"/>
      <c r="BE50" s="199">
        <v>0.41</v>
      </c>
      <c r="BF50" s="199"/>
      <c r="BG50" s="199">
        <v>0.09</v>
      </c>
      <c r="BH50" s="199" t="s">
        <v>2203</v>
      </c>
      <c r="BI50" s="199">
        <v>0.66</v>
      </c>
      <c r="BJ50" s="199"/>
      <c r="BK50" s="325">
        <f>+BI50</f>
        <v>0.66</v>
      </c>
      <c r="BL50" s="58">
        <f>+BK50</f>
        <v>0.66</v>
      </c>
      <c r="BM50" s="275">
        <f>+BK50+AZ50</f>
        <v>1.6600000000000001</v>
      </c>
      <c r="BN50" s="1684">
        <f>+BM50/Y50</f>
        <v>0.55333333333333334</v>
      </c>
      <c r="BO50" s="204"/>
      <c r="BP50" s="204"/>
      <c r="BQ50" s="204"/>
      <c r="BR50" s="204"/>
      <c r="BS50" s="204"/>
      <c r="BT50" s="204"/>
      <c r="BU50" s="204"/>
      <c r="BV50" s="204"/>
      <c r="BW50" s="204"/>
      <c r="BX50" s="204"/>
      <c r="BY50" s="204"/>
      <c r="BZ50" s="204"/>
      <c r="CA50" s="204"/>
      <c r="CB50" s="204"/>
      <c r="CC50" s="204"/>
      <c r="CD50" s="204"/>
      <c r="CE50" s="204"/>
      <c r="CF50" s="204"/>
      <c r="CG50" s="204"/>
      <c r="CH50" s="204"/>
      <c r="CI50" s="204"/>
      <c r="CJ50" s="204"/>
      <c r="CK50" s="204"/>
      <c r="CL50" s="204"/>
      <c r="CM50" s="204"/>
      <c r="CN50" s="204"/>
      <c r="CO50" s="204"/>
      <c r="CP50" s="204"/>
      <c r="CQ50" s="204"/>
      <c r="CR50" s="204"/>
      <c r="CS50" s="204"/>
      <c r="CT50" s="204"/>
      <c r="CU50" s="204"/>
      <c r="CV50" s="204"/>
      <c r="CW50" s="204"/>
      <c r="CX50" s="204"/>
      <c r="CY50" s="204"/>
    </row>
    <row r="51" spans="1:103" ht="64.5" customHeight="1" x14ac:dyDescent="0.2">
      <c r="A51" s="1820"/>
      <c r="B51" s="1826"/>
      <c r="C51" s="194"/>
      <c r="D51" s="194"/>
      <c r="E51" s="195"/>
      <c r="F51" s="195"/>
      <c r="G51" s="195"/>
      <c r="H51" s="195"/>
      <c r="I51" s="195"/>
      <c r="J51" s="195"/>
      <c r="K51" s="195"/>
      <c r="L51" s="195"/>
      <c r="M51" s="195"/>
      <c r="N51" s="195"/>
      <c r="O51" s="195"/>
      <c r="P51" s="195"/>
      <c r="Q51" s="195"/>
      <c r="R51" s="195"/>
      <c r="S51" s="195"/>
      <c r="T51" s="194"/>
      <c r="U51" s="1830"/>
      <c r="V51" s="194" t="s">
        <v>724</v>
      </c>
      <c r="W51" s="194" t="s">
        <v>725</v>
      </c>
      <c r="X51" s="1459" t="s">
        <v>726</v>
      </c>
      <c r="Y51" s="220">
        <v>46</v>
      </c>
      <c r="Z51" s="199">
        <v>1</v>
      </c>
      <c r="AA51" s="199">
        <v>14</v>
      </c>
      <c r="AB51" s="199">
        <v>13</v>
      </c>
      <c r="AC51" s="197">
        <f t="shared" si="1"/>
        <v>2.1739130434782608E-2</v>
      </c>
      <c r="AD51" s="197">
        <f t="shared" si="2"/>
        <v>0.30434782608695654</v>
      </c>
      <c r="AE51" s="197">
        <f>+AB51/Y51</f>
        <v>0.28260869565217389</v>
      </c>
      <c r="AF51" s="199">
        <v>0</v>
      </c>
      <c r="AG51" s="274">
        <v>0</v>
      </c>
      <c r="AH51" s="199"/>
      <c r="AI51" s="196">
        <v>0</v>
      </c>
      <c r="AJ51" s="199"/>
      <c r="AK51" s="196">
        <f t="shared" si="3"/>
        <v>0</v>
      </c>
      <c r="AL51" s="197">
        <v>0</v>
      </c>
      <c r="AM51" s="196">
        <f>+AK51</f>
        <v>0</v>
      </c>
      <c r="AN51" s="197">
        <v>0</v>
      </c>
      <c r="AO51" s="199">
        <v>14</v>
      </c>
      <c r="AP51" s="200">
        <v>2</v>
      </c>
      <c r="AQ51" s="200"/>
      <c r="AR51" s="200">
        <v>2</v>
      </c>
      <c r="AS51" s="200"/>
      <c r="AT51" s="199">
        <v>4</v>
      </c>
      <c r="AU51" s="200"/>
      <c r="AV51" s="200">
        <v>31</v>
      </c>
      <c r="AW51" s="200"/>
      <c r="AX51" s="200">
        <f>AP51+AR51+AT51+AV51</f>
        <v>39</v>
      </c>
      <c r="AY51" s="280">
        <v>1</v>
      </c>
      <c r="AZ51" s="1239">
        <v>37</v>
      </c>
      <c r="BA51" s="322">
        <f>AZ51/Y51</f>
        <v>0.80434782608695654</v>
      </c>
      <c r="BB51" s="199">
        <v>13</v>
      </c>
      <c r="BC51" s="199">
        <v>0</v>
      </c>
      <c r="BD51" s="199"/>
      <c r="BE51" s="199">
        <v>0</v>
      </c>
      <c r="BF51" s="199"/>
      <c r="BG51" s="199">
        <v>0</v>
      </c>
      <c r="BH51" s="324" t="s">
        <v>2204</v>
      </c>
      <c r="BI51" s="199">
        <v>3</v>
      </c>
      <c r="BJ51" s="199"/>
      <c r="BK51" s="199">
        <f>+BI51</f>
        <v>3</v>
      </c>
      <c r="BL51" s="58">
        <f>+BI51/BB51</f>
        <v>0.23076923076923078</v>
      </c>
      <c r="BM51" s="196">
        <f>+BK51+AZ51</f>
        <v>40</v>
      </c>
      <c r="BN51" s="1240">
        <f>BM51/Y51</f>
        <v>0.86956521739130432</v>
      </c>
      <c r="BO51" s="204"/>
      <c r="BP51" s="204"/>
      <c r="BQ51" s="204"/>
      <c r="BR51" s="204"/>
      <c r="BS51" s="204"/>
      <c r="BT51" s="204"/>
      <c r="BU51" s="204"/>
      <c r="BV51" s="204"/>
      <c r="BW51" s="204"/>
      <c r="BX51" s="204"/>
      <c r="BY51" s="204"/>
      <c r="BZ51" s="204"/>
      <c r="CA51" s="204"/>
      <c r="CB51" s="204"/>
      <c r="CC51" s="204"/>
      <c r="CD51" s="204"/>
      <c r="CE51" s="204"/>
      <c r="CF51" s="204"/>
      <c r="CG51" s="204"/>
      <c r="CH51" s="204"/>
      <c r="CI51" s="204"/>
      <c r="CJ51" s="204"/>
      <c r="CK51" s="204"/>
      <c r="CL51" s="204"/>
      <c r="CM51" s="204"/>
      <c r="CN51" s="204"/>
      <c r="CO51" s="204"/>
      <c r="CP51" s="204"/>
      <c r="CQ51" s="204"/>
      <c r="CR51" s="204"/>
      <c r="CS51" s="204"/>
      <c r="CT51" s="204"/>
      <c r="CU51" s="204"/>
      <c r="CV51" s="204"/>
      <c r="CW51" s="204"/>
      <c r="CX51" s="204"/>
      <c r="CY51" s="204"/>
    </row>
    <row r="52" spans="1:103" ht="15.75" customHeight="1" x14ac:dyDescent="0.2">
      <c r="A52" s="1820"/>
      <c r="B52" s="1826"/>
      <c r="C52" s="194"/>
      <c r="D52" s="194"/>
      <c r="E52" s="195"/>
      <c r="F52" s="195"/>
      <c r="G52" s="195"/>
      <c r="H52" s="195"/>
      <c r="I52" s="195"/>
      <c r="J52" s="195"/>
      <c r="K52" s="195"/>
      <c r="L52" s="195"/>
      <c r="M52" s="195"/>
      <c r="N52" s="195"/>
      <c r="O52" s="195"/>
      <c r="P52" s="195"/>
      <c r="Q52" s="195"/>
      <c r="R52" s="195"/>
      <c r="S52" s="195"/>
      <c r="T52" s="194"/>
      <c r="U52" s="1831"/>
      <c r="V52" s="246"/>
      <c r="W52" s="246"/>
      <c r="X52" s="1454"/>
      <c r="Y52" s="246"/>
      <c r="Z52" s="247"/>
      <c r="AA52" s="247"/>
      <c r="AB52" s="247"/>
      <c r="AC52" s="252">
        <f>AVERAGE(AC46:AC51)</f>
        <v>0.17353059581320451</v>
      </c>
      <c r="AD52" s="252">
        <f>AVERAGE(AD46:AD51)</f>
        <v>0.28868760064412241</v>
      </c>
      <c r="AE52" s="867">
        <f>AVERAGE(AE45:AE51)</f>
        <v>0.30404589371980673</v>
      </c>
      <c r="AF52" s="247"/>
      <c r="AG52" s="247"/>
      <c r="AH52" s="247"/>
      <c r="AI52" s="251"/>
      <c r="AJ52" s="247"/>
      <c r="AK52" s="247"/>
      <c r="AL52" s="252">
        <f>AVERAGE(AL45:AL51)</f>
        <v>0.33333333333333331</v>
      </c>
      <c r="AM52" s="247"/>
      <c r="AN52" s="253">
        <f>AVERAGE(AN45:AN51)</f>
        <v>0.11588158730158729</v>
      </c>
      <c r="AO52" s="247"/>
      <c r="AP52" s="286"/>
      <c r="AQ52" s="286"/>
      <c r="AR52" s="286"/>
      <c r="AS52" s="286"/>
      <c r="AT52" s="247"/>
      <c r="AU52" s="286"/>
      <c r="AV52" s="286"/>
      <c r="AW52" s="286"/>
      <c r="AX52" s="286"/>
      <c r="AY52" s="287">
        <f>AVERAGE(AY45:AY51)</f>
        <v>0.9394285714285715</v>
      </c>
      <c r="AZ52" s="288"/>
      <c r="BA52" s="289">
        <f>AVERAGE(BA45:BA51)</f>
        <v>0.53331806245686686</v>
      </c>
      <c r="BB52" s="290"/>
      <c r="BC52" s="290"/>
      <c r="BD52" s="290"/>
      <c r="BE52" s="290"/>
      <c r="BF52" s="290"/>
      <c r="BG52" s="290"/>
      <c r="BH52" s="290"/>
      <c r="BI52" s="290"/>
      <c r="BJ52" s="290"/>
      <c r="BK52" s="290"/>
      <c r="BL52" s="1238">
        <f>AVERAGE(BL45:BL51)</f>
        <v>0.81512820512820516</v>
      </c>
      <c r="BM52" s="214"/>
      <c r="BN52" s="214">
        <f>AVERAGE(BN45:BN51)</f>
        <v>0.82434265010351981</v>
      </c>
      <c r="BO52" s="291"/>
      <c r="BP52" s="291"/>
      <c r="BQ52" s="291"/>
      <c r="BR52" s="291"/>
      <c r="BS52" s="291"/>
      <c r="BT52" s="291"/>
      <c r="BU52" s="291"/>
      <c r="BV52" s="291"/>
      <c r="BW52" s="291"/>
      <c r="BX52" s="291"/>
      <c r="BY52" s="291"/>
      <c r="BZ52" s="291"/>
      <c r="CA52" s="291"/>
      <c r="CB52" s="291"/>
      <c r="CC52" s="291"/>
      <c r="CD52" s="291"/>
      <c r="CE52" s="291"/>
      <c r="CF52" s="291"/>
      <c r="CG52" s="291"/>
      <c r="CH52" s="291"/>
      <c r="CI52" s="291"/>
      <c r="CJ52" s="291"/>
      <c r="CK52" s="291"/>
      <c r="CL52" s="291"/>
      <c r="CM52" s="291"/>
      <c r="CN52" s="291"/>
      <c r="CO52" s="291"/>
      <c r="CP52" s="291"/>
      <c r="CQ52" s="291"/>
      <c r="CR52" s="291"/>
      <c r="CS52" s="291"/>
      <c r="CT52" s="291"/>
      <c r="CU52" s="291"/>
      <c r="CV52" s="291"/>
      <c r="CW52" s="291"/>
      <c r="CX52" s="291"/>
      <c r="CY52" s="291"/>
    </row>
    <row r="53" spans="1:103" ht="64.5" customHeight="1" x14ac:dyDescent="0.2">
      <c r="A53" s="1820"/>
      <c r="B53" s="1826"/>
      <c r="C53" s="194"/>
      <c r="D53" s="194"/>
      <c r="E53" s="195"/>
      <c r="F53" s="195"/>
      <c r="G53" s="195"/>
      <c r="H53" s="195"/>
      <c r="I53" s="195"/>
      <c r="J53" s="195"/>
      <c r="K53" s="195"/>
      <c r="L53" s="195"/>
      <c r="M53" s="195"/>
      <c r="N53" s="195"/>
      <c r="O53" s="195"/>
      <c r="P53" s="195"/>
      <c r="Q53" s="195"/>
      <c r="R53" s="195"/>
      <c r="S53" s="195"/>
      <c r="T53" s="194"/>
      <c r="U53" s="1829" t="s">
        <v>727</v>
      </c>
      <c r="V53" s="194" t="s">
        <v>728</v>
      </c>
      <c r="W53" s="292">
        <v>0.74060000000000004</v>
      </c>
      <c r="X53" s="1241" t="s">
        <v>729</v>
      </c>
      <c r="Y53" s="273">
        <v>0.78759999999999997</v>
      </c>
      <c r="Z53" s="58">
        <v>0.746</v>
      </c>
      <c r="AA53" s="58">
        <v>0.76980000000000004</v>
      </c>
      <c r="AB53" s="58">
        <v>0.25</v>
      </c>
      <c r="AC53" s="58">
        <v>0</v>
      </c>
      <c r="AD53" s="864">
        <v>0.78759999999999997</v>
      </c>
      <c r="AE53" s="869">
        <v>0.25</v>
      </c>
      <c r="AF53" s="866">
        <v>0</v>
      </c>
      <c r="AG53" s="274">
        <v>0</v>
      </c>
      <c r="AH53" s="199"/>
      <c r="AI53" s="275">
        <v>72.540000000000006</v>
      </c>
      <c r="AJ53" s="199"/>
      <c r="AK53" s="197">
        <v>0.72540000000000004</v>
      </c>
      <c r="AL53" s="197">
        <f>+AK53/Z53</f>
        <v>0.97238605898123331</v>
      </c>
      <c r="AM53" s="197">
        <f>+AK53</f>
        <v>0.72540000000000004</v>
      </c>
      <c r="AN53" s="230">
        <v>-8.09E-2</v>
      </c>
      <c r="AO53" s="58">
        <v>0.76980000000000004</v>
      </c>
      <c r="AP53" s="200"/>
      <c r="AQ53" s="200"/>
      <c r="AR53" s="200"/>
      <c r="AS53" s="200"/>
      <c r="AT53" s="293"/>
      <c r="AU53" s="200"/>
      <c r="AV53" s="58">
        <v>0.6784</v>
      </c>
      <c r="AW53" s="200"/>
      <c r="AX53" s="280">
        <f>+AV53</f>
        <v>0.6784</v>
      </c>
      <c r="AY53" s="280">
        <f>+AX53/AO53</f>
        <v>0.88126786178228111</v>
      </c>
      <c r="AZ53" s="280">
        <f>+AX53</f>
        <v>0.6784</v>
      </c>
      <c r="BA53" s="237">
        <f>+AZ53/Y53</f>
        <v>0.86135093956323006</v>
      </c>
      <c r="BB53" s="58">
        <v>0.78759999999999997</v>
      </c>
      <c r="BC53" s="199"/>
      <c r="BD53" s="199"/>
      <c r="BE53" s="199"/>
      <c r="BF53" s="199"/>
      <c r="BG53" s="199"/>
      <c r="BH53" s="324" t="s">
        <v>2205</v>
      </c>
      <c r="BI53" s="58">
        <v>0.70809999999999995</v>
      </c>
      <c r="BJ53" s="199"/>
      <c r="BK53" s="58">
        <f>+BI53</f>
        <v>0.70809999999999995</v>
      </c>
      <c r="BL53" s="1713">
        <f>+BI53/BB53</f>
        <v>0.89906043676993397</v>
      </c>
      <c r="BM53" s="230">
        <f>+BL53</f>
        <v>0.89906043676993397</v>
      </c>
      <c r="BN53" s="58">
        <f>+BM53</f>
        <v>0.89906043676993397</v>
      </c>
      <c r="BO53" s="204"/>
      <c r="BP53" s="204"/>
      <c r="BQ53" s="204"/>
      <c r="BR53" s="204"/>
      <c r="BS53" s="204"/>
      <c r="BT53" s="204"/>
      <c r="BU53" s="204"/>
      <c r="BV53" s="204"/>
      <c r="BW53" s="204"/>
      <c r="BX53" s="204"/>
      <c r="BY53" s="204"/>
      <c r="BZ53" s="204"/>
      <c r="CA53" s="204"/>
      <c r="CB53" s="204"/>
      <c r="CC53" s="204"/>
      <c r="CD53" s="204"/>
      <c r="CE53" s="204"/>
      <c r="CF53" s="204"/>
      <c r="CG53" s="204"/>
      <c r="CH53" s="204"/>
      <c r="CI53" s="204"/>
      <c r="CJ53" s="204"/>
      <c r="CK53" s="204"/>
      <c r="CL53" s="204"/>
      <c r="CM53" s="204"/>
      <c r="CN53" s="204"/>
      <c r="CO53" s="204"/>
      <c r="CP53" s="204"/>
      <c r="CQ53" s="204"/>
      <c r="CR53" s="204"/>
      <c r="CS53" s="204"/>
      <c r="CT53" s="204"/>
      <c r="CU53" s="204"/>
      <c r="CV53" s="204"/>
      <c r="CW53" s="204"/>
      <c r="CX53" s="204"/>
      <c r="CY53" s="204"/>
    </row>
    <row r="54" spans="1:103" ht="48.75" customHeight="1" x14ac:dyDescent="0.2">
      <c r="A54" s="1820"/>
      <c r="B54" s="1826"/>
      <c r="C54" s="194"/>
      <c r="D54" s="194"/>
      <c r="E54" s="195"/>
      <c r="F54" s="195"/>
      <c r="G54" s="195"/>
      <c r="H54" s="195"/>
      <c r="I54" s="195"/>
      <c r="J54" s="195"/>
      <c r="K54" s="195"/>
      <c r="L54" s="195"/>
      <c r="M54" s="195"/>
      <c r="N54" s="195"/>
      <c r="O54" s="195"/>
      <c r="P54" s="195"/>
      <c r="Q54" s="195"/>
      <c r="R54" s="195"/>
      <c r="S54" s="195"/>
      <c r="T54" s="194"/>
      <c r="U54" s="1830"/>
      <c r="V54" s="194" t="s">
        <v>730</v>
      </c>
      <c r="W54" s="194">
        <v>0</v>
      </c>
      <c r="X54" s="1459" t="s">
        <v>731</v>
      </c>
      <c r="Y54" s="220">
        <v>1</v>
      </c>
      <c r="Z54" s="199">
        <v>1</v>
      </c>
      <c r="AA54" s="199">
        <v>1</v>
      </c>
      <c r="AB54" s="195">
        <v>1</v>
      </c>
      <c r="AC54" s="58">
        <v>0.25</v>
      </c>
      <c r="AD54" s="864">
        <v>0.25</v>
      </c>
      <c r="AE54" s="870"/>
      <c r="AF54" s="866">
        <v>0</v>
      </c>
      <c r="AG54" s="274">
        <v>0</v>
      </c>
      <c r="AH54" s="199"/>
      <c r="AI54" s="196">
        <v>1</v>
      </c>
      <c r="AJ54" s="199"/>
      <c r="AK54" s="196">
        <f>+AI54</f>
        <v>1</v>
      </c>
      <c r="AL54" s="197">
        <v>0.25</v>
      </c>
      <c r="AM54" s="196">
        <f>+AK54</f>
        <v>1</v>
      </c>
      <c r="AN54" s="197">
        <v>1</v>
      </c>
      <c r="AO54" s="199">
        <v>1</v>
      </c>
      <c r="AP54" s="200">
        <v>0</v>
      </c>
      <c r="AQ54" s="200"/>
      <c r="AR54" s="200">
        <v>0</v>
      </c>
      <c r="AS54" s="200"/>
      <c r="AT54" s="199">
        <v>0</v>
      </c>
      <c r="AU54" s="200"/>
      <c r="AV54" s="200">
        <v>1</v>
      </c>
      <c r="AW54" s="200"/>
      <c r="AX54" s="200">
        <v>1</v>
      </c>
      <c r="AY54" s="285">
        <v>1</v>
      </c>
      <c r="AZ54" s="200">
        <v>1</v>
      </c>
      <c r="BA54" s="206">
        <v>1</v>
      </c>
      <c r="BB54" s="199">
        <v>1</v>
      </c>
      <c r="BC54" s="199">
        <v>1</v>
      </c>
      <c r="BD54" s="199"/>
      <c r="BE54" s="199"/>
      <c r="BF54" s="199"/>
      <c r="BG54" s="199"/>
      <c r="BH54" s="199" t="s">
        <v>2200</v>
      </c>
      <c r="BI54" s="199">
        <v>1</v>
      </c>
      <c r="BJ54" s="199"/>
      <c r="BK54" s="199">
        <v>1</v>
      </c>
      <c r="BL54" s="197">
        <v>1</v>
      </c>
      <c r="BM54" s="199">
        <v>1</v>
      </c>
      <c r="BN54" s="197">
        <v>1</v>
      </c>
      <c r="BO54" s="204"/>
      <c r="BP54" s="204"/>
      <c r="BQ54" s="204"/>
      <c r="BR54" s="204"/>
      <c r="BS54" s="204"/>
      <c r="BT54" s="204"/>
      <c r="BU54" s="204"/>
      <c r="BV54" s="204"/>
      <c r="BW54" s="204"/>
      <c r="BX54" s="204"/>
      <c r="BY54" s="204"/>
      <c r="BZ54" s="204"/>
      <c r="CA54" s="204"/>
      <c r="CB54" s="204"/>
      <c r="CC54" s="204"/>
      <c r="CD54" s="204"/>
      <c r="CE54" s="204"/>
      <c r="CF54" s="204"/>
      <c r="CG54" s="204"/>
      <c r="CH54" s="204"/>
      <c r="CI54" s="204"/>
      <c r="CJ54" s="204"/>
      <c r="CK54" s="204"/>
      <c r="CL54" s="204"/>
      <c r="CM54" s="204"/>
      <c r="CN54" s="204"/>
      <c r="CO54" s="204"/>
      <c r="CP54" s="204"/>
      <c r="CQ54" s="204"/>
      <c r="CR54" s="204"/>
      <c r="CS54" s="204"/>
      <c r="CT54" s="204"/>
      <c r="CU54" s="204"/>
      <c r="CV54" s="204"/>
      <c r="CW54" s="204"/>
      <c r="CX54" s="204"/>
      <c r="CY54" s="204"/>
    </row>
    <row r="55" spans="1:103" ht="57.75" customHeight="1" x14ac:dyDescent="0.2">
      <c r="A55" s="1820"/>
      <c r="B55" s="1826"/>
      <c r="C55" s="194"/>
      <c r="D55" s="194"/>
      <c r="E55" s="195"/>
      <c r="F55" s="195"/>
      <c r="G55" s="195"/>
      <c r="H55" s="195"/>
      <c r="I55" s="195"/>
      <c r="J55" s="195"/>
      <c r="K55" s="195"/>
      <c r="L55" s="195"/>
      <c r="M55" s="195"/>
      <c r="N55" s="195"/>
      <c r="O55" s="195"/>
      <c r="P55" s="195"/>
      <c r="Q55" s="195"/>
      <c r="R55" s="195"/>
      <c r="S55" s="195"/>
      <c r="T55" s="194"/>
      <c r="U55" s="1830"/>
      <c r="V55" s="194" t="s">
        <v>732</v>
      </c>
      <c r="W55" s="194">
        <v>0</v>
      </c>
      <c r="X55" s="1459" t="s">
        <v>733</v>
      </c>
      <c r="Y55" s="220">
        <v>80</v>
      </c>
      <c r="Z55" s="199" t="s">
        <v>177</v>
      </c>
      <c r="AA55" s="199">
        <v>20</v>
      </c>
      <c r="AB55" s="195">
        <v>30</v>
      </c>
      <c r="AC55" s="199"/>
      <c r="AD55" s="865">
        <v>0.25</v>
      </c>
      <c r="AE55" s="870">
        <f>+AB55%</f>
        <v>0.3</v>
      </c>
      <c r="AF55" s="866"/>
      <c r="AG55" s="274"/>
      <c r="AH55" s="199"/>
      <c r="AI55" s="196"/>
      <c r="AJ55" s="199"/>
      <c r="AK55" s="199"/>
      <c r="AL55" s="199"/>
      <c r="AM55" s="199"/>
      <c r="AN55" s="199"/>
      <c r="AO55" s="199">
        <v>20</v>
      </c>
      <c r="AP55" s="200">
        <v>20</v>
      </c>
      <c r="AQ55" s="200"/>
      <c r="AR55" s="200">
        <v>1</v>
      </c>
      <c r="AS55" s="200"/>
      <c r="AT55" s="199">
        <v>0</v>
      </c>
      <c r="AU55" s="200"/>
      <c r="AV55" s="200">
        <v>0</v>
      </c>
      <c r="AW55" s="200"/>
      <c r="AX55" s="200">
        <f>+AP55+AR55</f>
        <v>21</v>
      </c>
      <c r="AY55" s="280">
        <v>1</v>
      </c>
      <c r="AZ55" s="200">
        <f>+AX55</f>
        <v>21</v>
      </c>
      <c r="BA55" s="237">
        <f>+AZ55/Y55</f>
        <v>0.26250000000000001</v>
      </c>
      <c r="BB55" s="199">
        <v>30</v>
      </c>
      <c r="BC55" s="199">
        <v>0</v>
      </c>
      <c r="BD55" s="199"/>
      <c r="BE55" s="199">
        <v>40</v>
      </c>
      <c r="BF55" s="199"/>
      <c r="BG55" s="199">
        <v>40</v>
      </c>
      <c r="BH55" s="324" t="s">
        <v>2206</v>
      </c>
      <c r="BI55" s="199">
        <v>40</v>
      </c>
      <c r="BJ55" s="199"/>
      <c r="BK55" s="199">
        <f>+BE55</f>
        <v>40</v>
      </c>
      <c r="BL55" s="197">
        <v>1</v>
      </c>
      <c r="BM55" s="199">
        <f>AZ55+BK55</f>
        <v>61</v>
      </c>
      <c r="BN55" s="58">
        <f>BM55/Y55</f>
        <v>0.76249999999999996</v>
      </c>
      <c r="BO55" s="204"/>
      <c r="BP55" s="204"/>
      <c r="BQ55" s="204"/>
      <c r="BR55" s="204"/>
      <c r="BS55" s="204"/>
      <c r="BT55" s="204"/>
      <c r="BU55" s="204"/>
      <c r="BV55" s="204"/>
      <c r="BW55" s="204"/>
      <c r="BX55" s="204"/>
      <c r="BY55" s="204"/>
      <c r="BZ55" s="204"/>
      <c r="CA55" s="204"/>
      <c r="CB55" s="204"/>
      <c r="CC55" s="204"/>
      <c r="CD55" s="204"/>
      <c r="CE55" s="204"/>
      <c r="CF55" s="204"/>
      <c r="CG55" s="204"/>
      <c r="CH55" s="204"/>
      <c r="CI55" s="204"/>
      <c r="CJ55" s="204"/>
      <c r="CK55" s="204"/>
      <c r="CL55" s="204"/>
      <c r="CM55" s="204"/>
      <c r="CN55" s="204"/>
      <c r="CO55" s="204"/>
      <c r="CP55" s="204"/>
      <c r="CQ55" s="204"/>
      <c r="CR55" s="204"/>
      <c r="CS55" s="204"/>
      <c r="CT55" s="204"/>
      <c r="CU55" s="204"/>
      <c r="CV55" s="204"/>
      <c r="CW55" s="204"/>
      <c r="CX55" s="204"/>
      <c r="CY55" s="204"/>
    </row>
    <row r="56" spans="1:103" ht="48" customHeight="1" x14ac:dyDescent="0.2">
      <c r="A56" s="1820"/>
      <c r="B56" s="1826"/>
      <c r="C56" s="194"/>
      <c r="D56" s="194"/>
      <c r="E56" s="195"/>
      <c r="F56" s="195"/>
      <c r="G56" s="195"/>
      <c r="H56" s="195"/>
      <c r="I56" s="195"/>
      <c r="J56" s="195"/>
      <c r="K56" s="195"/>
      <c r="L56" s="195"/>
      <c r="M56" s="195"/>
      <c r="N56" s="195"/>
      <c r="O56" s="195"/>
      <c r="P56" s="195"/>
      <c r="Q56" s="195"/>
      <c r="R56" s="195"/>
      <c r="S56" s="195"/>
      <c r="T56" s="194"/>
      <c r="U56" s="1830"/>
      <c r="V56" s="194" t="s">
        <v>734</v>
      </c>
      <c r="W56" s="194">
        <v>0</v>
      </c>
      <c r="X56" s="1459" t="s">
        <v>735</v>
      </c>
      <c r="Y56" s="294">
        <v>0.8</v>
      </c>
      <c r="Z56" s="199" t="s">
        <v>177</v>
      </c>
      <c r="AA56" s="197">
        <v>0.2</v>
      </c>
      <c r="AB56" s="284">
        <v>0.5</v>
      </c>
      <c r="AC56" s="199"/>
      <c r="AD56" s="865">
        <v>0.25</v>
      </c>
      <c r="AE56" s="869">
        <v>0.25</v>
      </c>
      <c r="AF56" s="866"/>
      <c r="AG56" s="274"/>
      <c r="AH56" s="199"/>
      <c r="AI56" s="196"/>
      <c r="AJ56" s="199"/>
      <c r="AK56" s="199"/>
      <c r="AL56" s="199"/>
      <c r="AM56" s="199"/>
      <c r="AN56" s="199"/>
      <c r="AO56" s="197">
        <v>0.2</v>
      </c>
      <c r="AP56" s="200">
        <v>0</v>
      </c>
      <c r="AQ56" s="200"/>
      <c r="AR56" s="200"/>
      <c r="AS56" s="200"/>
      <c r="AT56" s="199">
        <v>0</v>
      </c>
      <c r="AU56" s="200"/>
      <c r="AV56" s="285">
        <v>0.2</v>
      </c>
      <c r="AW56" s="200"/>
      <c r="AX56" s="285">
        <f>+AV56</f>
        <v>0.2</v>
      </c>
      <c r="AY56" s="280">
        <f>+AX56/AO56</f>
        <v>1</v>
      </c>
      <c r="AZ56" s="285">
        <f>+AX56</f>
        <v>0.2</v>
      </c>
      <c r="BA56" s="237">
        <f>+AZ56/Y56</f>
        <v>0.25</v>
      </c>
      <c r="BB56" s="197">
        <v>0.5</v>
      </c>
      <c r="BC56" s="199">
        <v>0</v>
      </c>
      <c r="BD56" s="199"/>
      <c r="BE56" s="197">
        <v>0.64</v>
      </c>
      <c r="BF56" s="199"/>
      <c r="BG56" s="58">
        <v>0.70699999999999996</v>
      </c>
      <c r="BH56" s="324" t="s">
        <v>2206</v>
      </c>
      <c r="BI56" s="197">
        <v>0.88</v>
      </c>
      <c r="BJ56" s="199"/>
      <c r="BK56" s="197">
        <f>+BI56</f>
        <v>0.88</v>
      </c>
      <c r="BL56" s="197">
        <v>1</v>
      </c>
      <c r="BM56" s="197">
        <v>0.88400000000000001</v>
      </c>
      <c r="BN56" s="58">
        <v>1</v>
      </c>
      <c r="BO56" s="204"/>
      <c r="BP56" s="204"/>
      <c r="BQ56" s="204"/>
      <c r="BR56" s="204"/>
      <c r="BS56" s="204"/>
      <c r="BT56" s="204"/>
      <c r="BU56" s="204"/>
      <c r="BV56" s="204"/>
      <c r="BW56" s="204"/>
      <c r="BX56" s="204"/>
      <c r="BY56" s="204"/>
      <c r="BZ56" s="204"/>
      <c r="CA56" s="204"/>
      <c r="CB56" s="204"/>
      <c r="CC56" s="204"/>
      <c r="CD56" s="204"/>
      <c r="CE56" s="204"/>
      <c r="CF56" s="204"/>
      <c r="CG56" s="204"/>
      <c r="CH56" s="204"/>
      <c r="CI56" s="204"/>
      <c r="CJ56" s="204"/>
      <c r="CK56" s="204"/>
      <c r="CL56" s="204"/>
      <c r="CM56" s="204"/>
      <c r="CN56" s="204"/>
      <c r="CO56" s="204"/>
      <c r="CP56" s="204"/>
      <c r="CQ56" s="204"/>
      <c r="CR56" s="204"/>
      <c r="CS56" s="204"/>
      <c r="CT56" s="204"/>
      <c r="CU56" s="204"/>
      <c r="CV56" s="204"/>
      <c r="CW56" s="204"/>
      <c r="CX56" s="204"/>
      <c r="CY56" s="204"/>
    </row>
    <row r="57" spans="1:103" ht="15.75" customHeight="1" x14ac:dyDescent="0.2">
      <c r="A57" s="1820"/>
      <c r="B57" s="1826"/>
      <c r="C57" s="194"/>
      <c r="D57" s="194"/>
      <c r="E57" s="195"/>
      <c r="F57" s="195"/>
      <c r="G57" s="195"/>
      <c r="H57" s="195"/>
      <c r="I57" s="195"/>
      <c r="J57" s="195"/>
      <c r="K57" s="195"/>
      <c r="L57" s="195"/>
      <c r="M57" s="195"/>
      <c r="N57" s="195"/>
      <c r="O57" s="195"/>
      <c r="P57" s="195"/>
      <c r="Q57" s="195"/>
      <c r="R57" s="195"/>
      <c r="S57" s="195"/>
      <c r="T57" s="194"/>
      <c r="U57" s="1831"/>
      <c r="V57" s="246"/>
      <c r="W57" s="246"/>
      <c r="X57" s="1454"/>
      <c r="Y57" s="246"/>
      <c r="Z57" s="247"/>
      <c r="AA57" s="247"/>
      <c r="AB57" s="247"/>
      <c r="AC57" s="295">
        <f>AVERAGE(AC54:AC56)</f>
        <v>0.25</v>
      </c>
      <c r="AD57" s="295">
        <f>AVERAGE(AD53:AD56)</f>
        <v>0.38439999999999996</v>
      </c>
      <c r="AE57" s="868">
        <f>AVERAGE(AE53:AE56)</f>
        <v>0.26666666666666666</v>
      </c>
      <c r="AF57" s="247"/>
      <c r="AG57" s="247"/>
      <c r="AH57" s="247"/>
      <c r="AI57" s="251"/>
      <c r="AJ57" s="247"/>
      <c r="AK57" s="247"/>
      <c r="AL57" s="295">
        <f>AVERAGE(AL53:AL56)</f>
        <v>0.61119302949061671</v>
      </c>
      <c r="AM57" s="296"/>
      <c r="AN57" s="253">
        <f>AVERAGE(AN53:AN56)</f>
        <v>0.45955000000000001</v>
      </c>
      <c r="AO57" s="247"/>
      <c r="AP57" s="286"/>
      <c r="AQ57" s="286"/>
      <c r="AR57" s="286"/>
      <c r="AS57" s="286"/>
      <c r="AT57" s="247"/>
      <c r="AU57" s="286"/>
      <c r="AV57" s="286"/>
      <c r="AW57" s="286"/>
      <c r="AX57" s="286"/>
      <c r="AY57" s="287">
        <f>AVERAGE(AY53:AY56)</f>
        <v>0.97031696544557033</v>
      </c>
      <c r="AZ57" s="287"/>
      <c r="BA57" s="289">
        <f>AVERAGE(BA53:BA56)</f>
        <v>0.59346273489080759</v>
      </c>
      <c r="BB57" s="290"/>
      <c r="BC57" s="290"/>
      <c r="BD57" s="290"/>
      <c r="BE57" s="290"/>
      <c r="BF57" s="290"/>
      <c r="BG57" s="290"/>
      <c r="BH57" s="290"/>
      <c r="BI57" s="290"/>
      <c r="BJ57" s="290"/>
      <c r="BK57" s="290"/>
      <c r="BL57" s="214">
        <f>AVERAGE(BL53:BL56)</f>
        <v>0.97476510919248349</v>
      </c>
      <c r="BM57" s="290"/>
      <c r="BN57" s="214">
        <f>AVERAGE(BN53:BN56)</f>
        <v>0.91539010919248343</v>
      </c>
      <c r="BO57" s="291"/>
      <c r="BP57" s="291"/>
      <c r="BQ57" s="291"/>
      <c r="BR57" s="291"/>
      <c r="BS57" s="291"/>
      <c r="BT57" s="291"/>
      <c r="BU57" s="291"/>
      <c r="BV57" s="291"/>
      <c r="BW57" s="291"/>
      <c r="BX57" s="291"/>
      <c r="BY57" s="291"/>
      <c r="BZ57" s="291"/>
      <c r="CA57" s="291"/>
      <c r="CB57" s="291"/>
      <c r="CC57" s="291"/>
      <c r="CD57" s="291"/>
      <c r="CE57" s="291"/>
      <c r="CF57" s="291"/>
      <c r="CG57" s="291"/>
      <c r="CH57" s="291"/>
      <c r="CI57" s="291"/>
      <c r="CJ57" s="291"/>
      <c r="CK57" s="291"/>
      <c r="CL57" s="291"/>
      <c r="CM57" s="291"/>
      <c r="CN57" s="291"/>
      <c r="CO57" s="291"/>
      <c r="CP57" s="291"/>
      <c r="CQ57" s="291"/>
      <c r="CR57" s="291"/>
      <c r="CS57" s="291"/>
      <c r="CT57" s="291"/>
      <c r="CU57" s="291"/>
      <c r="CV57" s="291"/>
      <c r="CW57" s="291"/>
      <c r="CX57" s="291"/>
      <c r="CY57" s="291"/>
    </row>
    <row r="58" spans="1:103" ht="62.25" customHeight="1" x14ac:dyDescent="0.2">
      <c r="A58" s="1820"/>
      <c r="B58" s="1826"/>
      <c r="C58" s="194" t="s">
        <v>736</v>
      </c>
      <c r="D58" s="194" t="s">
        <v>737</v>
      </c>
      <c r="E58" s="195"/>
      <c r="F58" s="195"/>
      <c r="G58" s="195"/>
      <c r="H58" s="195"/>
      <c r="I58" s="195"/>
      <c r="J58" s="195"/>
      <c r="K58" s="195"/>
      <c r="L58" s="195"/>
      <c r="M58" s="195"/>
      <c r="N58" s="195"/>
      <c r="O58" s="195"/>
      <c r="P58" s="195"/>
      <c r="Q58" s="195"/>
      <c r="R58" s="195"/>
      <c r="S58" s="195"/>
      <c r="T58" s="194" t="s">
        <v>738</v>
      </c>
      <c r="U58" s="1829" t="s">
        <v>739</v>
      </c>
      <c r="V58" s="194" t="s">
        <v>740</v>
      </c>
      <c r="W58" s="194" t="s">
        <v>741</v>
      </c>
      <c r="X58" s="1459" t="s">
        <v>742</v>
      </c>
      <c r="Y58" s="220">
        <v>15</v>
      </c>
      <c r="Z58" s="199">
        <v>3</v>
      </c>
      <c r="AA58" s="199">
        <v>4</v>
      </c>
      <c r="AB58" s="199"/>
      <c r="AC58" s="197">
        <f>+Z58/Y58</f>
        <v>0.2</v>
      </c>
      <c r="AD58" s="197">
        <f>+AA58/Y58</f>
        <v>0.26666666666666666</v>
      </c>
      <c r="AE58" s="197"/>
      <c r="AF58" s="199">
        <v>0</v>
      </c>
      <c r="AG58" s="274">
        <v>0</v>
      </c>
      <c r="AH58" s="199"/>
      <c r="AI58" s="196">
        <v>0</v>
      </c>
      <c r="AJ58" s="199"/>
      <c r="AK58" s="196">
        <f>+AI58</f>
        <v>0</v>
      </c>
      <c r="AL58" s="197">
        <f>+AK58/Z58</f>
        <v>0</v>
      </c>
      <c r="AM58" s="196"/>
      <c r="AN58" s="197"/>
      <c r="AO58" s="199">
        <v>7</v>
      </c>
      <c r="AP58" s="200">
        <v>13</v>
      </c>
      <c r="AQ58" s="200"/>
      <c r="AR58" s="200"/>
      <c r="AS58" s="200"/>
      <c r="AT58" s="199">
        <v>13</v>
      </c>
      <c r="AU58" s="200"/>
      <c r="AV58" s="199">
        <v>0</v>
      </c>
      <c r="AW58" s="199"/>
      <c r="AX58" s="199">
        <f>AP58</f>
        <v>13</v>
      </c>
      <c r="AY58" s="58">
        <v>1</v>
      </c>
      <c r="AZ58" s="196">
        <f>AX58+AM58</f>
        <v>13</v>
      </c>
      <c r="BA58" s="297">
        <f>AZ58/Y58</f>
        <v>0.8666666666666667</v>
      </c>
      <c r="BB58" s="1185">
        <v>15</v>
      </c>
      <c r="BC58" s="199"/>
      <c r="BD58" s="199"/>
      <c r="BE58" s="199"/>
      <c r="BF58" s="199"/>
      <c r="BG58" s="199"/>
      <c r="BH58" s="324" t="s">
        <v>2205</v>
      </c>
      <c r="BI58" s="199">
        <v>17</v>
      </c>
      <c r="BJ58" s="199"/>
      <c r="BK58" s="199"/>
      <c r="BL58" s="197">
        <v>1</v>
      </c>
      <c r="BM58" s="199">
        <v>17</v>
      </c>
      <c r="BN58" s="58">
        <v>1</v>
      </c>
      <c r="BO58" s="204"/>
      <c r="BP58" s="204"/>
      <c r="BQ58" s="204"/>
      <c r="BR58" s="204"/>
      <c r="BS58" s="204"/>
      <c r="BT58" s="204"/>
      <c r="BU58" s="204"/>
      <c r="BV58" s="204"/>
      <c r="BW58" s="204"/>
      <c r="BX58" s="204"/>
      <c r="BY58" s="204"/>
      <c r="BZ58" s="204"/>
      <c r="CA58" s="204"/>
      <c r="CB58" s="204"/>
      <c r="CC58" s="204"/>
      <c r="CD58" s="204"/>
      <c r="CE58" s="204"/>
      <c r="CF58" s="204"/>
      <c r="CG58" s="204"/>
      <c r="CH58" s="204"/>
      <c r="CI58" s="204"/>
      <c r="CJ58" s="204"/>
      <c r="CK58" s="204"/>
      <c r="CL58" s="204"/>
      <c r="CM58" s="204"/>
      <c r="CN58" s="204"/>
      <c r="CO58" s="204"/>
      <c r="CP58" s="204"/>
      <c r="CQ58" s="204"/>
      <c r="CR58" s="204"/>
      <c r="CS58" s="204"/>
      <c r="CT58" s="204"/>
      <c r="CU58" s="204"/>
      <c r="CV58" s="204"/>
      <c r="CW58" s="204"/>
      <c r="CX58" s="204"/>
      <c r="CY58" s="204"/>
    </row>
    <row r="59" spans="1:103" ht="49.5" customHeight="1" x14ac:dyDescent="0.2">
      <c r="A59" s="1820"/>
      <c r="B59" s="1826"/>
      <c r="C59" s="194"/>
      <c r="D59" s="194"/>
      <c r="E59" s="195"/>
      <c r="F59" s="195"/>
      <c r="G59" s="195"/>
      <c r="H59" s="195"/>
      <c r="I59" s="195"/>
      <c r="J59" s="195"/>
      <c r="K59" s="195"/>
      <c r="L59" s="195"/>
      <c r="M59" s="195"/>
      <c r="N59" s="195"/>
      <c r="O59" s="195"/>
      <c r="P59" s="195"/>
      <c r="Q59" s="195"/>
      <c r="R59" s="195"/>
      <c r="S59" s="195"/>
      <c r="T59" s="194"/>
      <c r="U59" s="1830"/>
      <c r="V59" s="194" t="s">
        <v>743</v>
      </c>
      <c r="W59" s="194" t="s">
        <v>744</v>
      </c>
      <c r="X59" s="1459" t="s">
        <v>745</v>
      </c>
      <c r="Y59" s="220">
        <v>13</v>
      </c>
      <c r="Z59" s="199">
        <v>3</v>
      </c>
      <c r="AA59" s="199">
        <v>3</v>
      </c>
      <c r="AB59" s="195">
        <v>4</v>
      </c>
      <c r="AC59" s="197">
        <f>+Z59/Y59</f>
        <v>0.23076923076923078</v>
      </c>
      <c r="AD59" s="197">
        <f>+AA59/Y59</f>
        <v>0.23076923076923078</v>
      </c>
      <c r="AE59" s="197">
        <f>+AB59/Y59</f>
        <v>0.30769230769230771</v>
      </c>
      <c r="AF59" s="199">
        <v>3</v>
      </c>
      <c r="AG59" s="274">
        <v>3</v>
      </c>
      <c r="AH59" s="264"/>
      <c r="AI59" s="196">
        <v>3</v>
      </c>
      <c r="AJ59" s="199"/>
      <c r="AK59" s="196">
        <f>+AI59</f>
        <v>3</v>
      </c>
      <c r="AL59" s="197">
        <f>+AK59/Z59</f>
        <v>1</v>
      </c>
      <c r="AM59" s="196">
        <f>+AK59</f>
        <v>3</v>
      </c>
      <c r="AN59" s="197">
        <f>+AK59/Y59</f>
        <v>0.23076923076923078</v>
      </c>
      <c r="AO59" s="199">
        <v>3</v>
      </c>
      <c r="AP59" s="200">
        <v>0</v>
      </c>
      <c r="AQ59" s="200"/>
      <c r="AR59" s="200">
        <v>0</v>
      </c>
      <c r="AS59" s="200"/>
      <c r="AT59" s="199">
        <v>1</v>
      </c>
      <c r="AU59" s="200"/>
      <c r="AV59" s="199">
        <v>2</v>
      </c>
      <c r="AW59" s="199"/>
      <c r="AX59" s="199">
        <f>+AT59+AV59</f>
        <v>3</v>
      </c>
      <c r="AY59" s="58">
        <f>AX59/AO59</f>
        <v>1</v>
      </c>
      <c r="AZ59" s="196">
        <f>AX59+AM59</f>
        <v>6</v>
      </c>
      <c r="BA59" s="218">
        <f>AZ59/Y59</f>
        <v>0.46153846153846156</v>
      </c>
      <c r="BB59" s="199">
        <v>4</v>
      </c>
      <c r="BC59" s="199">
        <v>3</v>
      </c>
      <c r="BD59" s="199"/>
      <c r="BE59" s="199">
        <v>3</v>
      </c>
      <c r="BF59" s="199"/>
      <c r="BG59" s="199">
        <v>3</v>
      </c>
      <c r="BH59" s="324" t="str">
        <f>+BH56</f>
        <v xml:space="preserve">El ultimo reporte es el que se registra </v>
      </c>
      <c r="BI59" s="199">
        <v>11</v>
      </c>
      <c r="BJ59" s="199"/>
      <c r="BK59" s="199">
        <f>+BI59</f>
        <v>11</v>
      </c>
      <c r="BL59" s="58">
        <v>1</v>
      </c>
      <c r="BM59" s="196">
        <f>BK59+AZ59</f>
        <v>17</v>
      </c>
      <c r="BN59" s="58">
        <v>1</v>
      </c>
      <c r="BO59" s="204"/>
      <c r="BP59" s="204"/>
      <c r="BQ59" s="204"/>
      <c r="BR59" s="204"/>
      <c r="BS59" s="204"/>
      <c r="BT59" s="204"/>
      <c r="BU59" s="204"/>
      <c r="BV59" s="204"/>
      <c r="BW59" s="204"/>
      <c r="BX59" s="204"/>
      <c r="BY59" s="204"/>
      <c r="BZ59" s="204"/>
      <c r="CA59" s="204"/>
      <c r="CB59" s="204"/>
      <c r="CC59" s="204"/>
      <c r="CD59" s="204"/>
      <c r="CE59" s="204"/>
      <c r="CF59" s="204"/>
      <c r="CG59" s="204"/>
      <c r="CH59" s="204"/>
      <c r="CI59" s="204"/>
      <c r="CJ59" s="204"/>
      <c r="CK59" s="204"/>
      <c r="CL59" s="204"/>
      <c r="CM59" s="204"/>
      <c r="CN59" s="204"/>
      <c r="CO59" s="204"/>
      <c r="CP59" s="204"/>
      <c r="CQ59" s="204"/>
      <c r="CR59" s="204"/>
      <c r="CS59" s="204"/>
      <c r="CT59" s="204"/>
      <c r="CU59" s="204"/>
      <c r="CV59" s="204"/>
      <c r="CW59" s="204"/>
      <c r="CX59" s="204"/>
      <c r="CY59" s="204"/>
    </row>
    <row r="60" spans="1:103" ht="57.75" customHeight="1" x14ac:dyDescent="0.2">
      <c r="A60" s="1820"/>
      <c r="B60" s="1826"/>
      <c r="C60" s="194"/>
      <c r="D60" s="194"/>
      <c r="E60" s="195"/>
      <c r="F60" s="195"/>
      <c r="G60" s="195"/>
      <c r="H60" s="195"/>
      <c r="I60" s="195"/>
      <c r="J60" s="195"/>
      <c r="K60" s="195"/>
      <c r="L60" s="195"/>
      <c r="M60" s="195"/>
      <c r="N60" s="195"/>
      <c r="O60" s="195"/>
      <c r="P60" s="195"/>
      <c r="Q60" s="195"/>
      <c r="R60" s="195"/>
      <c r="S60" s="195"/>
      <c r="T60" s="194"/>
      <c r="U60" s="1830"/>
      <c r="V60" s="194" t="s">
        <v>746</v>
      </c>
      <c r="W60" s="194" t="s">
        <v>747</v>
      </c>
      <c r="X60" s="1459" t="s">
        <v>748</v>
      </c>
      <c r="Y60" s="220">
        <v>18</v>
      </c>
      <c r="Z60" s="199">
        <v>5</v>
      </c>
      <c r="AA60" s="199">
        <v>5</v>
      </c>
      <c r="AB60" s="195">
        <v>1</v>
      </c>
      <c r="AC60" s="197">
        <f>+Z60/Y60</f>
        <v>0.27777777777777779</v>
      </c>
      <c r="AD60" s="197">
        <f>+AA60/Y60</f>
        <v>0.27777777777777779</v>
      </c>
      <c r="AE60" s="197">
        <f>+AB60/Y60</f>
        <v>5.5555555555555552E-2</v>
      </c>
      <c r="AF60" s="199">
        <v>0</v>
      </c>
      <c r="AG60" s="274">
        <v>5</v>
      </c>
      <c r="AH60" s="264"/>
      <c r="AI60" s="298">
        <v>5</v>
      </c>
      <c r="AJ60" s="199"/>
      <c r="AK60" s="199">
        <v>0</v>
      </c>
      <c r="AL60" s="197">
        <f>+AK60/Z60</f>
        <v>0</v>
      </c>
      <c r="AM60" s="199">
        <v>0</v>
      </c>
      <c r="AN60" s="197">
        <f>+AK60/Y60</f>
        <v>0</v>
      </c>
      <c r="AO60" s="199">
        <v>5</v>
      </c>
      <c r="AP60" s="200">
        <v>1</v>
      </c>
      <c r="AQ60" s="200"/>
      <c r="AR60" s="200">
        <v>0</v>
      </c>
      <c r="AS60" s="200"/>
      <c r="AT60" s="199">
        <v>7</v>
      </c>
      <c r="AU60" s="200"/>
      <c r="AV60" s="199">
        <v>0</v>
      </c>
      <c r="AW60" s="199"/>
      <c r="AX60" s="199">
        <f>+AT60</f>
        <v>7</v>
      </c>
      <c r="AY60" s="58">
        <v>1</v>
      </c>
      <c r="AZ60" s="199">
        <f>AX60+AM60</f>
        <v>7</v>
      </c>
      <c r="BA60" s="233">
        <f>+AZ60/16</f>
        <v>0.4375</v>
      </c>
      <c r="BB60" s="199">
        <v>1</v>
      </c>
      <c r="BC60" s="199">
        <v>1</v>
      </c>
      <c r="BD60" s="199"/>
      <c r="BE60" s="199">
        <v>4</v>
      </c>
      <c r="BF60" s="199"/>
      <c r="BG60" s="199">
        <v>4</v>
      </c>
      <c r="BH60" s="324"/>
      <c r="BI60" s="199">
        <v>1</v>
      </c>
      <c r="BJ60" s="199"/>
      <c r="BK60" s="199">
        <f>+BE60+BG60+BI60</f>
        <v>9</v>
      </c>
      <c r="BL60" s="58">
        <v>1</v>
      </c>
      <c r="BM60" s="199">
        <f>+BK60</f>
        <v>9</v>
      </c>
      <c r="BN60" s="1714">
        <f>BM60/Y60</f>
        <v>0.5</v>
      </c>
      <c r="BO60" s="204"/>
      <c r="BP60" s="204"/>
      <c r="BQ60" s="204"/>
      <c r="BR60" s="204"/>
      <c r="BS60" s="204"/>
      <c r="BT60" s="204"/>
      <c r="BU60" s="204"/>
      <c r="BV60" s="204"/>
      <c r="BW60" s="204"/>
      <c r="BX60" s="204"/>
      <c r="BY60" s="204"/>
      <c r="BZ60" s="204"/>
      <c r="CA60" s="204"/>
      <c r="CB60" s="204"/>
      <c r="CC60" s="204"/>
      <c r="CD60" s="204"/>
      <c r="CE60" s="204"/>
      <c r="CF60" s="204"/>
      <c r="CG60" s="204"/>
      <c r="CH60" s="204"/>
      <c r="CI60" s="204"/>
      <c r="CJ60" s="204"/>
      <c r="CK60" s="204"/>
      <c r="CL60" s="204"/>
      <c r="CM60" s="204"/>
      <c r="CN60" s="204"/>
      <c r="CO60" s="204"/>
      <c r="CP60" s="204"/>
      <c r="CQ60" s="204"/>
      <c r="CR60" s="204"/>
      <c r="CS60" s="204"/>
      <c r="CT60" s="204"/>
      <c r="CU60" s="204"/>
      <c r="CV60" s="204"/>
      <c r="CW60" s="204"/>
      <c r="CX60" s="204"/>
      <c r="CY60" s="204"/>
    </row>
    <row r="61" spans="1:103" ht="48" customHeight="1" x14ac:dyDescent="0.2">
      <c r="A61" s="1820"/>
      <c r="B61" s="1826"/>
      <c r="C61" s="194"/>
      <c r="D61" s="194"/>
      <c r="E61" s="195"/>
      <c r="F61" s="195"/>
      <c r="G61" s="195"/>
      <c r="H61" s="195"/>
      <c r="I61" s="195"/>
      <c r="J61" s="195"/>
      <c r="K61" s="195"/>
      <c r="L61" s="195"/>
      <c r="M61" s="195"/>
      <c r="N61" s="195"/>
      <c r="O61" s="195"/>
      <c r="P61" s="195"/>
      <c r="Q61" s="195"/>
      <c r="R61" s="195"/>
      <c r="S61" s="195"/>
      <c r="T61" s="194"/>
      <c r="U61" s="1830"/>
      <c r="V61" s="194" t="s">
        <v>749</v>
      </c>
      <c r="W61" s="194" t="s">
        <v>750</v>
      </c>
      <c r="X61" s="1459" t="s">
        <v>751</v>
      </c>
      <c r="Y61" s="220">
        <v>6</v>
      </c>
      <c r="Z61" s="199">
        <v>3</v>
      </c>
      <c r="AA61" s="199">
        <v>3</v>
      </c>
      <c r="AB61" s="195">
        <v>1</v>
      </c>
      <c r="AC61" s="197">
        <f>+Z61/Y61</f>
        <v>0.5</v>
      </c>
      <c r="AD61" s="197">
        <f>+AA61/Y61</f>
        <v>0.5</v>
      </c>
      <c r="AE61" s="197">
        <f>+AB61/Y61</f>
        <v>0.16666666666666666</v>
      </c>
      <c r="AF61" s="199">
        <v>0</v>
      </c>
      <c r="AG61" s="274">
        <v>4</v>
      </c>
      <c r="AH61" s="264"/>
      <c r="AI61" s="298">
        <v>4</v>
      </c>
      <c r="AJ61" s="199"/>
      <c r="AK61" s="199">
        <v>0</v>
      </c>
      <c r="AL61" s="197">
        <v>1</v>
      </c>
      <c r="AM61" s="199">
        <f>+AK61</f>
        <v>0</v>
      </c>
      <c r="AN61" s="197">
        <f>+AK61/Y61</f>
        <v>0</v>
      </c>
      <c r="AO61" s="199">
        <v>3</v>
      </c>
      <c r="AP61" s="200">
        <v>0</v>
      </c>
      <c r="AQ61" s="200"/>
      <c r="AR61" s="200">
        <v>0</v>
      </c>
      <c r="AS61" s="200"/>
      <c r="AT61" s="199">
        <v>0</v>
      </c>
      <c r="AU61" s="200"/>
      <c r="AV61" s="199">
        <v>0</v>
      </c>
      <c r="AW61" s="199"/>
      <c r="AX61" s="199">
        <v>3</v>
      </c>
      <c r="AY61" s="58">
        <f>AX61/AO61</f>
        <v>1</v>
      </c>
      <c r="AZ61" s="199">
        <f>AX61+AM61</f>
        <v>3</v>
      </c>
      <c r="BA61" s="218">
        <f>+AZ61/Y61</f>
        <v>0.5</v>
      </c>
      <c r="BB61" s="199">
        <v>1</v>
      </c>
      <c r="BC61" s="199">
        <v>0</v>
      </c>
      <c r="BD61" s="199"/>
      <c r="BE61" s="199">
        <v>2</v>
      </c>
      <c r="BF61" s="199"/>
      <c r="BG61" s="199">
        <v>0</v>
      </c>
      <c r="BH61" s="324"/>
      <c r="BI61" s="199">
        <v>0</v>
      </c>
      <c r="BJ61" s="199"/>
      <c r="BK61" s="199">
        <f>+BE61</f>
        <v>2</v>
      </c>
      <c r="BL61" s="58">
        <v>1</v>
      </c>
      <c r="BM61" s="199">
        <f>BK61+AZ61</f>
        <v>5</v>
      </c>
      <c r="BN61" s="58">
        <f>BM61/Y61</f>
        <v>0.83333333333333337</v>
      </c>
      <c r="BO61" s="204"/>
      <c r="BP61" s="204"/>
      <c r="BQ61" s="204"/>
      <c r="BR61" s="204"/>
      <c r="BS61" s="204"/>
      <c r="BT61" s="204"/>
      <c r="BU61" s="204"/>
      <c r="BV61" s="204"/>
      <c r="BW61" s="204"/>
      <c r="BX61" s="204"/>
      <c r="BY61" s="204"/>
      <c r="BZ61" s="204"/>
      <c r="CA61" s="204"/>
      <c r="CB61" s="204"/>
      <c r="CC61" s="204"/>
      <c r="CD61" s="204"/>
      <c r="CE61" s="204"/>
      <c r="CF61" s="204"/>
      <c r="CG61" s="204"/>
      <c r="CH61" s="204"/>
      <c r="CI61" s="204"/>
      <c r="CJ61" s="204"/>
      <c r="CK61" s="204"/>
      <c r="CL61" s="204"/>
      <c r="CM61" s="204"/>
      <c r="CN61" s="204"/>
      <c r="CO61" s="204"/>
      <c r="CP61" s="204"/>
      <c r="CQ61" s="204"/>
      <c r="CR61" s="204"/>
      <c r="CS61" s="204"/>
      <c r="CT61" s="204"/>
      <c r="CU61" s="204"/>
      <c r="CV61" s="204"/>
      <c r="CW61" s="204"/>
      <c r="CX61" s="204"/>
      <c r="CY61" s="204"/>
    </row>
    <row r="62" spans="1:103" ht="15.75" customHeight="1" x14ac:dyDescent="0.2">
      <c r="A62" s="1820"/>
      <c r="B62" s="1826"/>
      <c r="C62" s="194"/>
      <c r="D62" s="194"/>
      <c r="E62" s="195"/>
      <c r="F62" s="195"/>
      <c r="G62" s="195"/>
      <c r="H62" s="195"/>
      <c r="I62" s="195"/>
      <c r="J62" s="195"/>
      <c r="K62" s="195"/>
      <c r="L62" s="195"/>
      <c r="M62" s="195"/>
      <c r="N62" s="195"/>
      <c r="O62" s="195"/>
      <c r="P62" s="195"/>
      <c r="Q62" s="195"/>
      <c r="R62" s="195"/>
      <c r="S62" s="195"/>
      <c r="T62" s="194"/>
      <c r="U62" s="1831"/>
      <c r="V62" s="246"/>
      <c r="W62" s="246"/>
      <c r="X62" s="1454"/>
      <c r="Y62" s="246"/>
      <c r="Z62" s="247"/>
      <c r="AA62" s="247"/>
      <c r="AB62" s="247"/>
      <c r="AC62" s="252">
        <f>AVERAGE(AC58:AC61)</f>
        <v>0.30213675213675217</v>
      </c>
      <c r="AD62" s="252">
        <f>AVERAGE(AD58:AD61)</f>
        <v>0.31880341880341878</v>
      </c>
      <c r="AE62" s="252">
        <f>AVERAGE(AE59:AE61)</f>
        <v>0.17663817663817663</v>
      </c>
      <c r="AF62" s="247"/>
      <c r="AG62" s="247"/>
      <c r="AH62" s="247"/>
      <c r="AI62" s="251"/>
      <c r="AJ62" s="247"/>
      <c r="AK62" s="247"/>
      <c r="AL62" s="252">
        <f>AVERAGE(AL58:AL61)</f>
        <v>0.5</v>
      </c>
      <c r="AM62" s="296"/>
      <c r="AN62" s="253">
        <f>AVERAGE(AN58:AN61)</f>
        <v>7.6923076923076927E-2</v>
      </c>
      <c r="AO62" s="247"/>
      <c r="AP62" s="291"/>
      <c r="AQ62" s="291"/>
      <c r="AR62" s="291"/>
      <c r="AS62" s="291"/>
      <c r="AT62" s="299"/>
      <c r="AU62" s="291"/>
      <c r="AV62" s="291"/>
      <c r="AW62" s="291"/>
      <c r="AX62" s="291"/>
      <c r="AY62" s="300">
        <f>AVERAGE(AY58:AY61)</f>
        <v>1</v>
      </c>
      <c r="AZ62" s="300"/>
      <c r="BA62" s="300">
        <f>AVERAGE(BA58:BA61)</f>
        <v>0.56642628205128209</v>
      </c>
      <c r="BB62" s="290"/>
      <c r="BC62" s="290"/>
      <c r="BD62" s="290"/>
      <c r="BE62" s="290"/>
      <c r="BF62" s="290"/>
      <c r="BG62" s="290"/>
      <c r="BH62" s="290"/>
      <c r="BI62" s="290"/>
      <c r="BJ62" s="290"/>
      <c r="BK62" s="290"/>
      <c r="BL62" s="214">
        <f>AVERAGE(BL58:BL61)</f>
        <v>1</v>
      </c>
      <c r="BM62" s="290"/>
      <c r="BN62" s="214">
        <f>AVERAGE(BN58:BN61)</f>
        <v>0.83333333333333337</v>
      </c>
      <c r="BO62" s="291"/>
      <c r="BP62" s="291"/>
      <c r="BQ62" s="291"/>
      <c r="BR62" s="291"/>
      <c r="BS62" s="291"/>
      <c r="BT62" s="291"/>
      <c r="BU62" s="291"/>
      <c r="BV62" s="291"/>
      <c r="BW62" s="291"/>
      <c r="BX62" s="291"/>
      <c r="BY62" s="291"/>
      <c r="BZ62" s="291"/>
      <c r="CA62" s="291"/>
      <c r="CB62" s="291"/>
      <c r="CC62" s="291"/>
      <c r="CD62" s="291"/>
      <c r="CE62" s="291"/>
      <c r="CF62" s="291"/>
      <c r="CG62" s="291"/>
      <c r="CH62" s="291"/>
      <c r="CI62" s="291"/>
      <c r="CJ62" s="291"/>
      <c r="CK62" s="291"/>
      <c r="CL62" s="291"/>
      <c r="CM62" s="291"/>
      <c r="CN62" s="291"/>
      <c r="CO62" s="291"/>
      <c r="CP62" s="291"/>
      <c r="CQ62" s="291"/>
      <c r="CR62" s="291"/>
      <c r="CS62" s="291"/>
      <c r="CT62" s="291"/>
      <c r="CU62" s="291"/>
      <c r="CV62" s="291"/>
      <c r="CW62" s="291"/>
      <c r="CX62" s="291"/>
      <c r="CY62" s="291"/>
    </row>
    <row r="63" spans="1:103" ht="51" customHeight="1" x14ac:dyDescent="0.2">
      <c r="A63" s="1820"/>
      <c r="B63" s="1826"/>
      <c r="C63" s="194"/>
      <c r="D63" s="194"/>
      <c r="E63" s="195"/>
      <c r="F63" s="195"/>
      <c r="G63" s="195"/>
      <c r="H63" s="195"/>
      <c r="I63" s="195"/>
      <c r="J63" s="195"/>
      <c r="K63" s="195"/>
      <c r="L63" s="195"/>
      <c r="M63" s="195"/>
      <c r="N63" s="195"/>
      <c r="O63" s="195"/>
      <c r="P63" s="195"/>
      <c r="Q63" s="195"/>
      <c r="R63" s="195"/>
      <c r="S63" s="195"/>
      <c r="T63" s="194"/>
      <c r="U63" s="1829" t="s">
        <v>752</v>
      </c>
      <c r="V63" s="194" t="s">
        <v>753</v>
      </c>
      <c r="W63" s="194" t="s">
        <v>754</v>
      </c>
      <c r="X63" s="1459" t="s">
        <v>755</v>
      </c>
      <c r="Y63" s="220">
        <v>1000</v>
      </c>
      <c r="Z63" s="301">
        <v>250</v>
      </c>
      <c r="AA63" s="302">
        <v>316</v>
      </c>
      <c r="AB63" s="199">
        <v>250</v>
      </c>
      <c r="AC63" s="303">
        <f>+Z63/Y63</f>
        <v>0.25</v>
      </c>
      <c r="AD63" s="303">
        <f>+AA63/Y63</f>
        <v>0.316</v>
      </c>
      <c r="AE63" s="304">
        <f>+AB63/Y63</f>
        <v>0.25</v>
      </c>
      <c r="AF63" s="305">
        <v>52</v>
      </c>
      <c r="AG63" s="306">
        <v>52</v>
      </c>
      <c r="AH63" s="264"/>
      <c r="AI63" s="196">
        <v>52</v>
      </c>
      <c r="AJ63" s="199"/>
      <c r="AK63" s="196">
        <f>+AI63</f>
        <v>52</v>
      </c>
      <c r="AL63" s="197">
        <f>+AK63/Z63</f>
        <v>0.20799999999999999</v>
      </c>
      <c r="AM63" s="196">
        <f>+AK63</f>
        <v>52</v>
      </c>
      <c r="AN63" s="197">
        <f>+AM63/Y63</f>
        <v>5.1999999999999998E-2</v>
      </c>
      <c r="AO63" s="302">
        <v>316</v>
      </c>
      <c r="AP63" s="199">
        <v>0</v>
      </c>
      <c r="AQ63" s="199"/>
      <c r="AR63" s="199">
        <v>159</v>
      </c>
      <c r="AS63" s="195"/>
      <c r="AT63" s="199">
        <v>159</v>
      </c>
      <c r="AU63" s="195"/>
      <c r="AV63" s="199">
        <v>157</v>
      </c>
      <c r="AW63" s="239"/>
      <c r="AX63" s="199">
        <f>+AR63+AV63</f>
        <v>316</v>
      </c>
      <c r="AY63" s="307">
        <f>AX63/AO63</f>
        <v>1</v>
      </c>
      <c r="AZ63" s="196">
        <f>AX63+AM63</f>
        <v>368</v>
      </c>
      <c r="BA63" s="218">
        <f>AZ63/Y63</f>
        <v>0.36799999999999999</v>
      </c>
      <c r="BB63" s="199">
        <v>250</v>
      </c>
      <c r="BC63" s="199">
        <v>14</v>
      </c>
      <c r="BD63" s="199"/>
      <c r="BE63" s="199">
        <v>15</v>
      </c>
      <c r="BF63" s="199"/>
      <c r="BG63" s="199">
        <v>0</v>
      </c>
      <c r="BH63" s="199"/>
      <c r="BI63" s="199">
        <v>200</v>
      </c>
      <c r="BJ63" s="199"/>
      <c r="BK63" s="199">
        <f>BC63+BE63+BI63</f>
        <v>229</v>
      </c>
      <c r="BL63" s="58">
        <f>BK63/BB63</f>
        <v>0.91600000000000004</v>
      </c>
      <c r="BM63" s="196">
        <f>BK63+AZ63</f>
        <v>597</v>
      </c>
      <c r="BN63" s="58">
        <f>BM63/Y63</f>
        <v>0.59699999999999998</v>
      </c>
      <c r="BO63" s="204"/>
      <c r="BP63" s="204"/>
      <c r="BQ63" s="204"/>
      <c r="BR63" s="204"/>
      <c r="BS63" s="204"/>
      <c r="BT63" s="204"/>
      <c r="BU63" s="204"/>
      <c r="BV63" s="204"/>
      <c r="BW63" s="204"/>
      <c r="BX63" s="204"/>
      <c r="BY63" s="204"/>
      <c r="BZ63" s="204"/>
      <c r="CA63" s="204"/>
      <c r="CB63" s="204"/>
      <c r="CC63" s="204"/>
      <c r="CD63" s="204"/>
      <c r="CE63" s="204"/>
      <c r="CF63" s="204"/>
      <c r="CG63" s="204"/>
      <c r="CH63" s="204"/>
      <c r="CI63" s="204"/>
      <c r="CJ63" s="204"/>
      <c r="CK63" s="204"/>
      <c r="CL63" s="204"/>
      <c r="CM63" s="204"/>
      <c r="CN63" s="204"/>
      <c r="CO63" s="204"/>
      <c r="CP63" s="204"/>
      <c r="CQ63" s="204"/>
      <c r="CR63" s="204"/>
      <c r="CS63" s="204"/>
      <c r="CT63" s="204"/>
      <c r="CU63" s="204"/>
      <c r="CV63" s="204"/>
      <c r="CW63" s="204"/>
      <c r="CX63" s="204"/>
      <c r="CY63" s="204"/>
    </row>
    <row r="64" spans="1:103" ht="59.25" customHeight="1" x14ac:dyDescent="0.2">
      <c r="A64" s="1820"/>
      <c r="B64" s="1826"/>
      <c r="C64" s="194"/>
      <c r="D64" s="194"/>
      <c r="E64" s="195"/>
      <c r="F64" s="195"/>
      <c r="G64" s="195"/>
      <c r="H64" s="195"/>
      <c r="I64" s="195"/>
      <c r="J64" s="195"/>
      <c r="K64" s="195"/>
      <c r="L64" s="195"/>
      <c r="M64" s="195"/>
      <c r="N64" s="195"/>
      <c r="O64" s="195"/>
      <c r="P64" s="195"/>
      <c r="Q64" s="195"/>
      <c r="R64" s="195"/>
      <c r="S64" s="195"/>
      <c r="T64" s="194"/>
      <c r="U64" s="1830"/>
      <c r="V64" s="194" t="s">
        <v>756</v>
      </c>
      <c r="W64" s="194">
        <v>0</v>
      </c>
      <c r="X64" s="1459" t="s">
        <v>757</v>
      </c>
      <c r="Y64" s="220">
        <v>15</v>
      </c>
      <c r="Z64" s="308">
        <v>3</v>
      </c>
      <c r="AA64" s="302">
        <v>5</v>
      </c>
      <c r="AB64" s="199">
        <v>4</v>
      </c>
      <c r="AC64" s="303">
        <f>+Z64/Y64</f>
        <v>0.2</v>
      </c>
      <c r="AD64" s="303">
        <f>+AA64/Y64</f>
        <v>0.33333333333333331</v>
      </c>
      <c r="AE64" s="304">
        <f>+AB64/Y64</f>
        <v>0.26666666666666666</v>
      </c>
      <c r="AF64" s="305">
        <v>0</v>
      </c>
      <c r="AG64" s="309">
        <v>0</v>
      </c>
      <c r="AH64" s="199"/>
      <c r="AI64" s="196">
        <v>0</v>
      </c>
      <c r="AJ64" s="199"/>
      <c r="AK64" s="196">
        <f>+AI64</f>
        <v>0</v>
      </c>
      <c r="AL64" s="197">
        <f>+AK64/Z64</f>
        <v>0</v>
      </c>
      <c r="AM64" s="196">
        <f>+AK64</f>
        <v>0</v>
      </c>
      <c r="AN64" s="197">
        <f>+AM64/Y64</f>
        <v>0</v>
      </c>
      <c r="AO64" s="302">
        <v>5</v>
      </c>
      <c r="AP64" s="199">
        <v>0</v>
      </c>
      <c r="AQ64" s="199"/>
      <c r="AR64" s="199">
        <v>0</v>
      </c>
      <c r="AS64" s="195"/>
      <c r="AT64" s="199">
        <v>0</v>
      </c>
      <c r="AU64" s="195"/>
      <c r="AV64" s="239">
        <v>5</v>
      </c>
      <c r="AW64" s="239"/>
      <c r="AX64" s="239">
        <f>+AV64</f>
        <v>5</v>
      </c>
      <c r="AY64" s="307">
        <f>AX64/AO64</f>
        <v>1</v>
      </c>
      <c r="AZ64" s="196">
        <f>AX64+AM64</f>
        <v>5</v>
      </c>
      <c r="BA64" s="218">
        <f>AZ64/Y64</f>
        <v>0.33333333333333331</v>
      </c>
      <c r="BB64" s="199">
        <v>4</v>
      </c>
      <c r="BC64" s="199">
        <v>0</v>
      </c>
      <c r="BD64" s="199"/>
      <c r="BE64" s="199">
        <v>0</v>
      </c>
      <c r="BF64" s="199"/>
      <c r="BG64" s="199">
        <v>0</v>
      </c>
      <c r="BH64" s="324" t="s">
        <v>2204</v>
      </c>
      <c r="BI64" s="199">
        <v>15</v>
      </c>
      <c r="BJ64" s="199"/>
      <c r="BK64" s="199">
        <f>+BI64</f>
        <v>15</v>
      </c>
      <c r="BL64" s="58">
        <v>1</v>
      </c>
      <c r="BM64" s="196">
        <f>BK64+AZ64</f>
        <v>20</v>
      </c>
      <c r="BN64" s="58">
        <v>1</v>
      </c>
      <c r="BO64" s="204"/>
      <c r="BP64" s="204"/>
      <c r="BQ64" s="204"/>
      <c r="BR64" s="204"/>
      <c r="BS64" s="204"/>
      <c r="BT64" s="204"/>
      <c r="BU64" s="204"/>
      <c r="BV64" s="204"/>
      <c r="BW64" s="204"/>
      <c r="BX64" s="204"/>
      <c r="BY64" s="204"/>
      <c r="BZ64" s="204"/>
      <c r="CA64" s="204"/>
      <c r="CB64" s="204"/>
      <c r="CC64" s="204"/>
      <c r="CD64" s="204"/>
      <c r="CE64" s="204"/>
      <c r="CF64" s="204"/>
      <c r="CG64" s="204"/>
      <c r="CH64" s="204"/>
      <c r="CI64" s="204"/>
      <c r="CJ64" s="204"/>
      <c r="CK64" s="204"/>
      <c r="CL64" s="204"/>
      <c r="CM64" s="204"/>
      <c r="CN64" s="204"/>
      <c r="CO64" s="204"/>
      <c r="CP64" s="204"/>
      <c r="CQ64" s="204"/>
      <c r="CR64" s="204"/>
      <c r="CS64" s="204"/>
      <c r="CT64" s="204"/>
      <c r="CU64" s="204"/>
      <c r="CV64" s="204"/>
      <c r="CW64" s="204"/>
      <c r="CX64" s="204"/>
      <c r="CY64" s="204"/>
    </row>
    <row r="65" spans="1:103" ht="57.75" customHeight="1" x14ac:dyDescent="0.2">
      <c r="A65" s="1820"/>
      <c r="B65" s="1826"/>
      <c r="C65" s="194"/>
      <c r="D65" s="194"/>
      <c r="E65" s="195"/>
      <c r="F65" s="195"/>
      <c r="G65" s="195"/>
      <c r="H65" s="195"/>
      <c r="I65" s="195"/>
      <c r="J65" s="195"/>
      <c r="K65" s="195"/>
      <c r="L65" s="195"/>
      <c r="M65" s="195"/>
      <c r="N65" s="195"/>
      <c r="O65" s="195"/>
      <c r="P65" s="195"/>
      <c r="Q65" s="195"/>
      <c r="R65" s="195"/>
      <c r="S65" s="195"/>
      <c r="T65" s="194"/>
      <c r="U65" s="1830"/>
      <c r="V65" s="194" t="s">
        <v>758</v>
      </c>
      <c r="W65" s="194" t="s">
        <v>201</v>
      </c>
      <c r="X65" s="1459" t="s">
        <v>759</v>
      </c>
      <c r="Y65" s="215">
        <v>1500</v>
      </c>
      <c r="Z65" s="310">
        <v>7.4999999999999997E-2</v>
      </c>
      <c r="AA65" s="311">
        <v>9.6000000000000002E-2</v>
      </c>
      <c r="AB65" s="199">
        <v>375</v>
      </c>
      <c r="AC65" s="312">
        <v>0.375</v>
      </c>
      <c r="AD65" s="303">
        <f>+AC65/Y65</f>
        <v>2.5000000000000001E-4</v>
      </c>
      <c r="AE65" s="304">
        <f>+AB65/Y65</f>
        <v>0.25</v>
      </c>
      <c r="AF65" s="305">
        <v>0</v>
      </c>
      <c r="AG65" s="309">
        <v>0</v>
      </c>
      <c r="AH65" s="199"/>
      <c r="AI65" s="298">
        <v>52</v>
      </c>
      <c r="AJ65" s="276"/>
      <c r="AK65" s="313">
        <v>52</v>
      </c>
      <c r="AL65" s="197">
        <v>3.4700000000000002E-2</v>
      </c>
      <c r="AM65" s="281">
        <f>+AK65</f>
        <v>52</v>
      </c>
      <c r="AN65" s="197">
        <f>+AM65/Y65</f>
        <v>3.4666666666666665E-2</v>
      </c>
      <c r="AO65" s="314">
        <f>+AC65</f>
        <v>0.375</v>
      </c>
      <c r="AP65" s="199">
        <v>0</v>
      </c>
      <c r="AQ65" s="199"/>
      <c r="AR65" s="199">
        <v>0</v>
      </c>
      <c r="AS65" s="195"/>
      <c r="AT65" s="199">
        <v>0</v>
      </c>
      <c r="AU65" s="195"/>
      <c r="AV65" s="239">
        <v>409</v>
      </c>
      <c r="AW65" s="239"/>
      <c r="AX65" s="239">
        <f>+AV65</f>
        <v>409</v>
      </c>
      <c r="AY65" s="307">
        <v>1</v>
      </c>
      <c r="AZ65" s="281">
        <f>AX65+AM65</f>
        <v>461</v>
      </c>
      <c r="BA65" s="218">
        <f>+AZ65/Y65</f>
        <v>0.30733333333333335</v>
      </c>
      <c r="BB65" s="199">
        <v>375</v>
      </c>
      <c r="BC65" s="199">
        <v>110</v>
      </c>
      <c r="BD65" s="199"/>
      <c r="BE65" s="199">
        <v>42</v>
      </c>
      <c r="BF65" s="199"/>
      <c r="BG65" s="199">
        <v>42</v>
      </c>
      <c r="BH65" s="324" t="str">
        <f>+BH59</f>
        <v xml:space="preserve">El ultimo reporte es el que se registra </v>
      </c>
      <c r="BI65" s="199">
        <v>442</v>
      </c>
      <c r="BJ65" s="199"/>
      <c r="BK65" s="199">
        <f>+BI65</f>
        <v>442</v>
      </c>
      <c r="BL65" s="58">
        <v>1</v>
      </c>
      <c r="BM65" s="281">
        <f>BK65+AZ65</f>
        <v>903</v>
      </c>
      <c r="BN65" s="58">
        <f>BM65/Y65</f>
        <v>0.60199999999999998</v>
      </c>
      <c r="BO65" s="204"/>
      <c r="BP65" s="204"/>
      <c r="BQ65" s="204"/>
      <c r="BR65" s="204"/>
      <c r="BS65" s="204"/>
      <c r="BT65" s="204"/>
      <c r="BU65" s="204"/>
      <c r="BV65" s="204"/>
      <c r="BW65" s="204"/>
      <c r="BX65" s="204"/>
      <c r="BY65" s="204"/>
      <c r="BZ65" s="204"/>
      <c r="CA65" s="204"/>
      <c r="CB65" s="204"/>
      <c r="CC65" s="204"/>
      <c r="CD65" s="204"/>
      <c r="CE65" s="204"/>
      <c r="CF65" s="204"/>
      <c r="CG65" s="204"/>
      <c r="CH65" s="204"/>
      <c r="CI65" s="204"/>
      <c r="CJ65" s="204"/>
      <c r="CK65" s="204"/>
      <c r="CL65" s="204"/>
      <c r="CM65" s="204"/>
      <c r="CN65" s="204"/>
      <c r="CO65" s="204"/>
      <c r="CP65" s="204"/>
      <c r="CQ65" s="204"/>
      <c r="CR65" s="204"/>
      <c r="CS65" s="204"/>
      <c r="CT65" s="204"/>
      <c r="CU65" s="204"/>
      <c r="CV65" s="204"/>
      <c r="CW65" s="204"/>
      <c r="CX65" s="204"/>
      <c r="CY65" s="204"/>
    </row>
    <row r="66" spans="1:103" ht="56.25" customHeight="1" x14ac:dyDescent="0.2">
      <c r="A66" s="1820"/>
      <c r="B66" s="1826"/>
      <c r="C66" s="194"/>
      <c r="D66" s="194"/>
      <c r="E66" s="195"/>
      <c r="F66" s="195"/>
      <c r="G66" s="195"/>
      <c r="H66" s="195"/>
      <c r="I66" s="195"/>
      <c r="J66" s="195"/>
      <c r="K66" s="195"/>
      <c r="L66" s="195"/>
      <c r="M66" s="195"/>
      <c r="N66" s="195"/>
      <c r="O66" s="195"/>
      <c r="P66" s="195"/>
      <c r="Q66" s="195"/>
      <c r="R66" s="195"/>
      <c r="S66" s="195"/>
      <c r="T66" s="194"/>
      <c r="U66" s="1830"/>
      <c r="V66" s="194" t="s">
        <v>760</v>
      </c>
      <c r="W66" s="194" t="s">
        <v>761</v>
      </c>
      <c r="X66" s="1459" t="s">
        <v>762</v>
      </c>
      <c r="Y66" s="220">
        <v>45</v>
      </c>
      <c r="Z66" s="234">
        <v>10</v>
      </c>
      <c r="AA66" s="234">
        <v>12</v>
      </c>
      <c r="AB66" s="199">
        <v>25</v>
      </c>
      <c r="AC66" s="197">
        <f>+Z66/Y66</f>
        <v>0.22222222222222221</v>
      </c>
      <c r="AD66" s="303">
        <f>+AA66/Y66</f>
        <v>0.26666666666666666</v>
      </c>
      <c r="AE66" s="304">
        <f>+AB66/Y66</f>
        <v>0.55555555555555558</v>
      </c>
      <c r="AF66" s="316">
        <v>17</v>
      </c>
      <c r="AG66" s="274">
        <v>17</v>
      </c>
      <c r="AH66" s="264"/>
      <c r="AI66" s="196">
        <v>17</v>
      </c>
      <c r="AJ66" s="199"/>
      <c r="AK66" s="196">
        <f>+AI66</f>
        <v>17</v>
      </c>
      <c r="AL66" s="197">
        <v>1</v>
      </c>
      <c r="AM66" s="196">
        <f>+AK66</f>
        <v>17</v>
      </c>
      <c r="AN66" s="230">
        <f>+AM66/Y66</f>
        <v>0.37777777777777777</v>
      </c>
      <c r="AO66" s="234">
        <v>12</v>
      </c>
      <c r="AP66" s="199">
        <v>0</v>
      </c>
      <c r="AQ66" s="199"/>
      <c r="AR66" s="199">
        <v>0</v>
      </c>
      <c r="AS66" s="195"/>
      <c r="AT66" s="199">
        <v>0</v>
      </c>
      <c r="AU66" s="195"/>
      <c r="AV66" s="239">
        <v>15</v>
      </c>
      <c r="AW66" s="239"/>
      <c r="AX66" s="239">
        <f>+AV66</f>
        <v>15</v>
      </c>
      <c r="AY66" s="307">
        <v>1</v>
      </c>
      <c r="AZ66" s="196">
        <f>AX66+AM66</f>
        <v>32</v>
      </c>
      <c r="BA66" s="218">
        <f>AZ66/Y66</f>
        <v>0.71111111111111114</v>
      </c>
      <c r="BB66" s="199">
        <v>12</v>
      </c>
      <c r="BC66" s="199">
        <v>3</v>
      </c>
      <c r="BD66" s="199"/>
      <c r="BE66" s="199">
        <v>4</v>
      </c>
      <c r="BF66" s="199"/>
      <c r="BG66" s="199">
        <v>6</v>
      </c>
      <c r="BH66" s="324" t="str">
        <f>+BH65</f>
        <v xml:space="preserve">El ultimo reporte es el que se registra </v>
      </c>
      <c r="BI66" s="199">
        <v>22</v>
      </c>
      <c r="BJ66" s="199"/>
      <c r="BK66" s="199">
        <f>+BI66</f>
        <v>22</v>
      </c>
      <c r="BL66" s="58">
        <v>1</v>
      </c>
      <c r="BM66" s="196">
        <f>BK66+AZ66</f>
        <v>54</v>
      </c>
      <c r="BN66" s="58">
        <v>1</v>
      </c>
      <c r="BO66" s="204"/>
      <c r="BP66" s="204"/>
      <c r="BQ66" s="204"/>
      <c r="BR66" s="204"/>
      <c r="BS66" s="204"/>
      <c r="BT66" s="204"/>
      <c r="BU66" s="204"/>
      <c r="BV66" s="204"/>
      <c r="BW66" s="204"/>
      <c r="BX66" s="204"/>
      <c r="BY66" s="204"/>
      <c r="BZ66" s="204"/>
      <c r="CA66" s="204"/>
      <c r="CB66" s="204"/>
      <c r="CC66" s="204"/>
      <c r="CD66" s="204"/>
      <c r="CE66" s="204"/>
      <c r="CF66" s="204"/>
      <c r="CG66" s="204"/>
      <c r="CH66" s="204"/>
      <c r="CI66" s="204"/>
      <c r="CJ66" s="204"/>
      <c r="CK66" s="204"/>
      <c r="CL66" s="204"/>
      <c r="CM66" s="204"/>
      <c r="CN66" s="204"/>
      <c r="CO66" s="204"/>
      <c r="CP66" s="204"/>
      <c r="CQ66" s="204"/>
      <c r="CR66" s="204"/>
      <c r="CS66" s="204"/>
      <c r="CT66" s="204"/>
      <c r="CU66" s="204"/>
      <c r="CV66" s="204"/>
      <c r="CW66" s="204"/>
      <c r="CX66" s="204"/>
      <c r="CY66" s="204"/>
    </row>
    <row r="67" spans="1:103" ht="15.75" customHeight="1" x14ac:dyDescent="0.2">
      <c r="A67" s="1820"/>
      <c r="B67" s="1826"/>
      <c r="C67" s="194"/>
      <c r="D67" s="194"/>
      <c r="E67" s="195"/>
      <c r="F67" s="195"/>
      <c r="G67" s="195"/>
      <c r="H67" s="195"/>
      <c r="I67" s="195"/>
      <c r="J67" s="195"/>
      <c r="K67" s="195"/>
      <c r="L67" s="195"/>
      <c r="M67" s="195"/>
      <c r="N67" s="195"/>
      <c r="O67" s="195"/>
      <c r="P67" s="195"/>
      <c r="Q67" s="195"/>
      <c r="R67" s="195"/>
      <c r="S67" s="195"/>
      <c r="T67" s="194"/>
      <c r="U67" s="1831"/>
      <c r="V67" s="246"/>
      <c r="W67" s="246"/>
      <c r="X67" s="1454"/>
      <c r="Y67" s="246"/>
      <c r="Z67" s="317"/>
      <c r="AA67" s="317"/>
      <c r="AB67" s="317"/>
      <c r="AC67" s="252">
        <f>AVERAGE(AC63:AC66)</f>
        <v>0.26180555555555551</v>
      </c>
      <c r="AD67" s="318">
        <f>AVERAGE(AD63:AD66)</f>
        <v>0.2290625</v>
      </c>
      <c r="AE67" s="318">
        <f>AVERAGE(AE63:AE66)</f>
        <v>0.33055555555555555</v>
      </c>
      <c r="AF67" s="319"/>
      <c r="AG67" s="247"/>
      <c r="AH67" s="247"/>
      <c r="AI67" s="251"/>
      <c r="AJ67" s="247"/>
      <c r="AK67" s="247"/>
      <c r="AL67" s="253">
        <f>AVERAGE(AL63:AL66)</f>
        <v>0.31067499999999998</v>
      </c>
      <c r="AM67" s="296"/>
      <c r="AN67" s="253">
        <f>AVERAGE(AN63:AN66)</f>
        <v>0.11611111111111111</v>
      </c>
      <c r="AO67" s="317"/>
      <c r="AP67" s="290"/>
      <c r="AQ67" s="290"/>
      <c r="AR67" s="290"/>
      <c r="AS67" s="290"/>
      <c r="AT67" s="247"/>
      <c r="AU67" s="290"/>
      <c r="AV67" s="290"/>
      <c r="AW67" s="290"/>
      <c r="AX67" s="290"/>
      <c r="AY67" s="214">
        <f>AVERAGE(AY63:AY66)</f>
        <v>1</v>
      </c>
      <c r="AZ67" s="214"/>
      <c r="BA67" s="320">
        <f>AVERAGE(BA63:BA66)</f>
        <v>0.42994444444444446</v>
      </c>
      <c r="BB67" s="290"/>
      <c r="BC67" s="290"/>
      <c r="BD67" s="290"/>
      <c r="BE67" s="290"/>
      <c r="BF67" s="290"/>
      <c r="BG67" s="290"/>
      <c r="BH67" s="290"/>
      <c r="BI67" s="290"/>
      <c r="BJ67" s="290"/>
      <c r="BK67" s="290"/>
      <c r="BL67" s="214">
        <f>AVERAGE(BL63:BL66)</f>
        <v>0.97899999999999998</v>
      </c>
      <c r="BM67" s="213"/>
      <c r="BN67" s="214">
        <f>AVERAGE(BN63:BN66)</f>
        <v>0.79974999999999996</v>
      </c>
      <c r="BO67" s="291"/>
      <c r="BP67" s="291"/>
      <c r="BQ67" s="291"/>
      <c r="BR67" s="291"/>
      <c r="BS67" s="291"/>
      <c r="BT67" s="291"/>
      <c r="BU67" s="291"/>
      <c r="BV67" s="291"/>
      <c r="BW67" s="291"/>
      <c r="BX67" s="291"/>
      <c r="BY67" s="291"/>
      <c r="BZ67" s="291"/>
      <c r="CA67" s="291"/>
      <c r="CB67" s="291"/>
      <c r="CC67" s="291"/>
      <c r="CD67" s="291"/>
      <c r="CE67" s="291"/>
      <c r="CF67" s="291"/>
      <c r="CG67" s="291"/>
      <c r="CH67" s="291"/>
      <c r="CI67" s="291"/>
      <c r="CJ67" s="291"/>
      <c r="CK67" s="291"/>
      <c r="CL67" s="291"/>
      <c r="CM67" s="291"/>
      <c r="CN67" s="291"/>
      <c r="CO67" s="291"/>
      <c r="CP67" s="291"/>
      <c r="CQ67" s="291"/>
      <c r="CR67" s="291"/>
      <c r="CS67" s="291"/>
      <c r="CT67" s="291"/>
      <c r="CU67" s="291"/>
      <c r="CV67" s="291"/>
      <c r="CW67" s="291"/>
      <c r="CX67" s="291"/>
      <c r="CY67" s="291"/>
    </row>
    <row r="68" spans="1:103" ht="57.75" customHeight="1" x14ac:dyDescent="0.2">
      <c r="A68" s="1820"/>
      <c r="B68" s="1826"/>
      <c r="C68" s="194"/>
      <c r="D68" s="194"/>
      <c r="E68" s="195"/>
      <c r="F68" s="195"/>
      <c r="G68" s="195"/>
      <c r="H68" s="195"/>
      <c r="I68" s="195"/>
      <c r="J68" s="195"/>
      <c r="K68" s="195"/>
      <c r="L68" s="195"/>
      <c r="M68" s="195"/>
      <c r="N68" s="195"/>
      <c r="O68" s="195"/>
      <c r="P68" s="195"/>
      <c r="Q68" s="195"/>
      <c r="R68" s="195"/>
      <c r="S68" s="195"/>
      <c r="T68" s="194"/>
      <c r="U68" s="1829" t="s">
        <v>763</v>
      </c>
      <c r="V68" s="194" t="s">
        <v>764</v>
      </c>
      <c r="W68" s="194" t="s">
        <v>765</v>
      </c>
      <c r="X68" s="1459" t="s">
        <v>766</v>
      </c>
      <c r="Y68" s="220">
        <v>100</v>
      </c>
      <c r="Z68" s="309">
        <v>10</v>
      </c>
      <c r="AA68" s="309">
        <v>35</v>
      </c>
      <c r="AB68" s="199">
        <v>35</v>
      </c>
      <c r="AC68" s="321">
        <f>+Z68/Y68</f>
        <v>0.1</v>
      </c>
      <c r="AD68" s="321">
        <f>+AA68/Y68</f>
        <v>0.35</v>
      </c>
      <c r="AE68" s="321">
        <f>+AB68/Y68</f>
        <v>0.35</v>
      </c>
      <c r="AF68" s="309">
        <v>5</v>
      </c>
      <c r="AG68" s="306">
        <v>10</v>
      </c>
      <c r="AH68" s="264"/>
      <c r="AI68" s="196">
        <v>10</v>
      </c>
      <c r="AJ68" s="199"/>
      <c r="AK68" s="196">
        <f>+AI68</f>
        <v>10</v>
      </c>
      <c r="AL68" s="197">
        <f>+AK68/Z68</f>
        <v>1</v>
      </c>
      <c r="AM68" s="196">
        <f>+AK68</f>
        <v>10</v>
      </c>
      <c r="AN68" s="197">
        <f>+AM68/Y68</f>
        <v>0.1</v>
      </c>
      <c r="AO68" s="309">
        <v>35</v>
      </c>
      <c r="AP68" s="200">
        <v>0</v>
      </c>
      <c r="AQ68" s="200"/>
      <c r="AR68" s="200">
        <v>0</v>
      </c>
      <c r="AS68" s="200"/>
      <c r="AT68" s="199">
        <v>5</v>
      </c>
      <c r="AU68" s="200"/>
      <c r="AV68" s="199">
        <v>30</v>
      </c>
      <c r="AW68" s="199"/>
      <c r="AX68" s="199">
        <f>+AT68+AV68</f>
        <v>35</v>
      </c>
      <c r="AY68" s="58">
        <f>AX68/AO68</f>
        <v>1</v>
      </c>
      <c r="AZ68" s="196">
        <f>AX68+AM68</f>
        <v>45</v>
      </c>
      <c r="BA68" s="218">
        <f>AZ68/Y68</f>
        <v>0.45</v>
      </c>
      <c r="BB68" s="199">
        <v>35</v>
      </c>
      <c r="BC68" s="199">
        <v>15</v>
      </c>
      <c r="BD68" s="199"/>
      <c r="BE68" s="199">
        <v>19</v>
      </c>
      <c r="BF68" s="199"/>
      <c r="BG68" s="199">
        <v>15</v>
      </c>
      <c r="BH68" s="324" t="str">
        <f>+BH66</f>
        <v xml:space="preserve">El ultimo reporte es el que se registra </v>
      </c>
      <c r="BI68" s="199">
        <v>35</v>
      </c>
      <c r="BJ68" s="199"/>
      <c r="BK68" s="199">
        <f>+BI68</f>
        <v>35</v>
      </c>
      <c r="BL68" s="58">
        <v>1</v>
      </c>
      <c r="BM68" s="196">
        <f>BK68+AZ68</f>
        <v>80</v>
      </c>
      <c r="BN68" s="58">
        <f>+BM68/Y68</f>
        <v>0.8</v>
      </c>
      <c r="BO68" s="204"/>
      <c r="BP68" s="204"/>
      <c r="BQ68" s="204"/>
      <c r="BR68" s="204"/>
      <c r="BS68" s="204"/>
      <c r="BT68" s="204"/>
      <c r="BU68" s="204"/>
      <c r="BV68" s="204"/>
      <c r="BW68" s="204"/>
      <c r="BX68" s="204"/>
      <c r="BY68" s="204"/>
      <c r="BZ68" s="204"/>
      <c r="CA68" s="204"/>
      <c r="CB68" s="204"/>
      <c r="CC68" s="204"/>
      <c r="CD68" s="204"/>
      <c r="CE68" s="204"/>
      <c r="CF68" s="204"/>
      <c r="CG68" s="204"/>
      <c r="CH68" s="204"/>
      <c r="CI68" s="204"/>
      <c r="CJ68" s="204"/>
      <c r="CK68" s="204"/>
      <c r="CL68" s="204"/>
      <c r="CM68" s="204"/>
      <c r="CN68" s="204"/>
      <c r="CO68" s="204"/>
      <c r="CP68" s="204"/>
      <c r="CQ68" s="204"/>
      <c r="CR68" s="204"/>
      <c r="CS68" s="204"/>
      <c r="CT68" s="204"/>
      <c r="CU68" s="204"/>
      <c r="CV68" s="204"/>
      <c r="CW68" s="204"/>
      <c r="CX68" s="204"/>
      <c r="CY68" s="204"/>
    </row>
    <row r="69" spans="1:103" ht="37.5" customHeight="1" x14ac:dyDescent="0.2">
      <c r="A69" s="1820"/>
      <c r="B69" s="1826"/>
      <c r="C69" s="194"/>
      <c r="D69" s="194"/>
      <c r="E69" s="195"/>
      <c r="F69" s="195"/>
      <c r="G69" s="195"/>
      <c r="H69" s="195"/>
      <c r="I69" s="195"/>
      <c r="J69" s="195"/>
      <c r="K69" s="195"/>
      <c r="L69" s="195"/>
      <c r="M69" s="195"/>
      <c r="N69" s="195"/>
      <c r="O69" s="195"/>
      <c r="P69" s="195"/>
      <c r="Q69" s="195"/>
      <c r="R69" s="195"/>
      <c r="S69" s="195"/>
      <c r="T69" s="194"/>
      <c r="U69" s="1830"/>
      <c r="V69" s="194" t="s">
        <v>767</v>
      </c>
      <c r="W69" s="194" t="s">
        <v>520</v>
      </c>
      <c r="X69" s="1459" t="s">
        <v>768</v>
      </c>
      <c r="Y69" s="220">
        <v>4</v>
      </c>
      <c r="Z69" s="199">
        <v>1</v>
      </c>
      <c r="AA69" s="199">
        <v>1</v>
      </c>
      <c r="AB69" s="199">
        <v>1</v>
      </c>
      <c r="AC69" s="321">
        <f>+Z69/Y69</f>
        <v>0.25</v>
      </c>
      <c r="AD69" s="321">
        <f>+AA69/Y69</f>
        <v>0.25</v>
      </c>
      <c r="AE69" s="321">
        <f>+AB69/Y69</f>
        <v>0.25</v>
      </c>
      <c r="AF69" s="199">
        <v>1</v>
      </c>
      <c r="AG69" s="274">
        <v>1</v>
      </c>
      <c r="AH69" s="264"/>
      <c r="AI69" s="196">
        <v>1</v>
      </c>
      <c r="AJ69" s="199"/>
      <c r="AK69" s="196">
        <f>+AI69</f>
        <v>1</v>
      </c>
      <c r="AL69" s="197">
        <f>+AK69/Z69</f>
        <v>1</v>
      </c>
      <c r="AM69" s="196">
        <f>+AK69</f>
        <v>1</v>
      </c>
      <c r="AN69" s="197">
        <f>+AM69/Y69</f>
        <v>0.25</v>
      </c>
      <c r="AO69" s="199">
        <v>1</v>
      </c>
      <c r="AP69" s="200">
        <v>0</v>
      </c>
      <c r="AQ69" s="200"/>
      <c r="AR69" s="200">
        <v>0</v>
      </c>
      <c r="AS69" s="200"/>
      <c r="AT69" s="199">
        <v>0</v>
      </c>
      <c r="AU69" s="200"/>
      <c r="AV69" s="199">
        <v>1</v>
      </c>
      <c r="AW69" s="199"/>
      <c r="AX69" s="199">
        <f>+AV69</f>
        <v>1</v>
      </c>
      <c r="AY69" s="58">
        <v>1</v>
      </c>
      <c r="AZ69" s="196">
        <f>AX69+AM69</f>
        <v>2</v>
      </c>
      <c r="BA69" s="218">
        <f>+AZ69/Y69</f>
        <v>0.5</v>
      </c>
      <c r="BB69" s="199">
        <v>1</v>
      </c>
      <c r="BC69" s="199">
        <v>0</v>
      </c>
      <c r="BD69" s="199"/>
      <c r="BE69" s="199">
        <v>0</v>
      </c>
      <c r="BF69" s="199"/>
      <c r="BG69" s="199">
        <v>1</v>
      </c>
      <c r="BH69" s="199"/>
      <c r="BI69" s="199">
        <v>0</v>
      </c>
      <c r="BJ69" s="199"/>
      <c r="BK69" s="199">
        <f>+BG69</f>
        <v>1</v>
      </c>
      <c r="BL69" s="197">
        <v>1</v>
      </c>
      <c r="BM69" s="196">
        <f>AZ69+BK69</f>
        <v>3</v>
      </c>
      <c r="BN69" s="197">
        <f>+BM69/Y69</f>
        <v>0.75</v>
      </c>
      <c r="BO69" s="204"/>
      <c r="BP69" s="204"/>
      <c r="BQ69" s="204"/>
      <c r="BR69" s="204"/>
      <c r="BS69" s="204"/>
      <c r="BT69" s="204"/>
      <c r="BU69" s="204"/>
      <c r="BV69" s="204"/>
      <c r="BW69" s="204"/>
      <c r="BX69" s="204"/>
      <c r="BY69" s="204"/>
      <c r="BZ69" s="204"/>
      <c r="CA69" s="204"/>
      <c r="CB69" s="204"/>
      <c r="CC69" s="204"/>
      <c r="CD69" s="204"/>
      <c r="CE69" s="204"/>
      <c r="CF69" s="204"/>
      <c r="CG69" s="204"/>
      <c r="CH69" s="204"/>
      <c r="CI69" s="204"/>
      <c r="CJ69" s="204"/>
      <c r="CK69" s="204"/>
      <c r="CL69" s="204"/>
      <c r="CM69" s="204"/>
      <c r="CN69" s="204"/>
      <c r="CO69" s="204"/>
      <c r="CP69" s="204"/>
      <c r="CQ69" s="204"/>
      <c r="CR69" s="204"/>
      <c r="CS69" s="204"/>
      <c r="CT69" s="204"/>
      <c r="CU69" s="204"/>
      <c r="CV69" s="204"/>
      <c r="CW69" s="204"/>
      <c r="CX69" s="204"/>
      <c r="CY69" s="204"/>
    </row>
    <row r="70" spans="1:103" ht="78" customHeight="1" x14ac:dyDescent="0.2">
      <c r="A70" s="1820"/>
      <c r="B70" s="1826"/>
      <c r="C70" s="194"/>
      <c r="D70" s="194"/>
      <c r="E70" s="195"/>
      <c r="F70" s="195"/>
      <c r="G70" s="195"/>
      <c r="H70" s="195"/>
      <c r="I70" s="195"/>
      <c r="J70" s="195"/>
      <c r="K70" s="195"/>
      <c r="L70" s="195"/>
      <c r="M70" s="195"/>
      <c r="N70" s="195"/>
      <c r="O70" s="195"/>
      <c r="P70" s="195"/>
      <c r="Q70" s="195"/>
      <c r="R70" s="195"/>
      <c r="S70" s="195"/>
      <c r="T70" s="194"/>
      <c r="U70" s="1830"/>
      <c r="V70" s="194" t="s">
        <v>769</v>
      </c>
      <c r="W70" s="194" t="s">
        <v>770</v>
      </c>
      <c r="X70" s="1459" t="s">
        <v>771</v>
      </c>
      <c r="Y70" s="220">
        <v>105</v>
      </c>
      <c r="Z70" s="234" t="s">
        <v>177</v>
      </c>
      <c r="AA70" s="234">
        <v>105</v>
      </c>
      <c r="AB70" s="199">
        <v>35</v>
      </c>
      <c r="AC70" s="321"/>
      <c r="AD70" s="321">
        <f>+AA70/Y70</f>
        <v>1</v>
      </c>
      <c r="AE70" s="321">
        <f>+AB70/Y70</f>
        <v>0.33333333333333331</v>
      </c>
      <c r="AF70" s="199"/>
      <c r="AG70" s="274"/>
      <c r="AH70" s="199"/>
      <c r="AI70" s="196"/>
      <c r="AJ70" s="199"/>
      <c r="AK70" s="199"/>
      <c r="AL70" s="197"/>
      <c r="AM70" s="199"/>
      <c r="AN70" s="197"/>
      <c r="AO70" s="234">
        <v>105</v>
      </c>
      <c r="AP70" s="200">
        <v>0</v>
      </c>
      <c r="AQ70" s="200"/>
      <c r="AR70" s="200">
        <v>0</v>
      </c>
      <c r="AS70" s="200"/>
      <c r="AT70" s="199">
        <v>0</v>
      </c>
      <c r="AU70" s="200"/>
      <c r="AV70" s="199">
        <v>35</v>
      </c>
      <c r="AW70" s="199"/>
      <c r="AX70" s="199">
        <f>+AV70</f>
        <v>35</v>
      </c>
      <c r="AY70" s="58">
        <f>AX70/AO70</f>
        <v>0.33333333333333331</v>
      </c>
      <c r="AZ70" s="199">
        <f>AX70+AM70</f>
        <v>35</v>
      </c>
      <c r="BA70" s="218">
        <f>+AZ70/Y70</f>
        <v>0.33333333333333331</v>
      </c>
      <c r="BB70" s="199">
        <v>35</v>
      </c>
      <c r="BC70" s="199">
        <v>0</v>
      </c>
      <c r="BD70" s="199"/>
      <c r="BE70" s="199">
        <v>0</v>
      </c>
      <c r="BF70" s="199"/>
      <c r="BG70" s="199">
        <v>10</v>
      </c>
      <c r="BH70" s="199"/>
      <c r="BI70" s="199">
        <v>20</v>
      </c>
      <c r="BJ70" s="199"/>
      <c r="BK70" s="199">
        <f>+BI70+BG70</f>
        <v>30</v>
      </c>
      <c r="BL70" s="230">
        <f>+BK70/BB70</f>
        <v>0.8571428571428571</v>
      </c>
      <c r="BM70" s="199">
        <f>AZ70+BK70</f>
        <v>65</v>
      </c>
      <c r="BN70" s="58">
        <f>BM70/Y70</f>
        <v>0.61904761904761907</v>
      </c>
      <c r="BO70" s="204"/>
      <c r="BP70" s="204"/>
      <c r="BQ70" s="204"/>
      <c r="BR70" s="204"/>
      <c r="BS70" s="204"/>
      <c r="BT70" s="204"/>
      <c r="BU70" s="204"/>
      <c r="BV70" s="204"/>
      <c r="BW70" s="204"/>
      <c r="BX70" s="204"/>
      <c r="BY70" s="204"/>
      <c r="BZ70" s="204"/>
      <c r="CA70" s="204"/>
      <c r="CB70" s="204"/>
      <c r="CC70" s="204"/>
      <c r="CD70" s="204"/>
      <c r="CE70" s="204"/>
      <c r="CF70" s="204"/>
      <c r="CG70" s="204"/>
      <c r="CH70" s="204"/>
      <c r="CI70" s="204"/>
      <c r="CJ70" s="204"/>
      <c r="CK70" s="204"/>
      <c r="CL70" s="204"/>
      <c r="CM70" s="204"/>
      <c r="CN70" s="204"/>
      <c r="CO70" s="204"/>
      <c r="CP70" s="204"/>
      <c r="CQ70" s="204"/>
      <c r="CR70" s="204"/>
      <c r="CS70" s="204"/>
      <c r="CT70" s="204"/>
      <c r="CU70" s="204"/>
      <c r="CV70" s="204"/>
      <c r="CW70" s="204"/>
      <c r="CX70" s="204"/>
      <c r="CY70" s="204"/>
    </row>
    <row r="71" spans="1:103" ht="60.75" customHeight="1" x14ac:dyDescent="0.2">
      <c r="A71" s="1820"/>
      <c r="B71" s="1826"/>
      <c r="C71" s="194"/>
      <c r="D71" s="194"/>
      <c r="E71" s="195"/>
      <c r="F71" s="195"/>
      <c r="G71" s="195"/>
      <c r="H71" s="195"/>
      <c r="I71" s="195"/>
      <c r="J71" s="195"/>
      <c r="K71" s="195"/>
      <c r="L71" s="195"/>
      <c r="M71" s="195"/>
      <c r="N71" s="195"/>
      <c r="O71" s="195"/>
      <c r="P71" s="195"/>
      <c r="Q71" s="195"/>
      <c r="R71" s="195"/>
      <c r="S71" s="195"/>
      <c r="T71" s="194"/>
      <c r="U71" s="1830"/>
      <c r="V71" s="194" t="s">
        <v>772</v>
      </c>
      <c r="W71" s="194" t="s">
        <v>773</v>
      </c>
      <c r="X71" s="1459" t="s">
        <v>774</v>
      </c>
      <c r="Y71" s="220">
        <v>57</v>
      </c>
      <c r="Z71" s="234">
        <v>13</v>
      </c>
      <c r="AA71" s="234">
        <v>15</v>
      </c>
      <c r="AB71" s="199">
        <v>4</v>
      </c>
      <c r="AC71" s="197">
        <f>+Z71/Y71</f>
        <v>0.22807017543859648</v>
      </c>
      <c r="AD71" s="321">
        <f>+AA71/Y71</f>
        <v>0.26315789473684209</v>
      </c>
      <c r="AE71" s="321">
        <f>+AB71/Y71</f>
        <v>7.0175438596491224E-2</v>
      </c>
      <c r="AF71" s="199">
        <v>13</v>
      </c>
      <c r="AG71" s="274">
        <v>13</v>
      </c>
      <c r="AH71" s="264"/>
      <c r="AI71" s="196">
        <v>14</v>
      </c>
      <c r="AJ71" s="199"/>
      <c r="AK71" s="196">
        <f>+AI71</f>
        <v>14</v>
      </c>
      <c r="AL71" s="197">
        <v>1</v>
      </c>
      <c r="AM71" s="196">
        <f>+AK71</f>
        <v>14</v>
      </c>
      <c r="AN71" s="230">
        <f>+AM71/Y71</f>
        <v>0.24561403508771928</v>
      </c>
      <c r="AO71" s="234">
        <v>15</v>
      </c>
      <c r="AP71" s="200">
        <v>0</v>
      </c>
      <c r="AQ71" s="200"/>
      <c r="AR71" s="200">
        <v>0</v>
      </c>
      <c r="AS71" s="200"/>
      <c r="AT71" s="199">
        <v>9</v>
      </c>
      <c r="AU71" s="200"/>
      <c r="AV71" s="199">
        <v>22</v>
      </c>
      <c r="AW71" s="199"/>
      <c r="AX71" s="199">
        <f>+AT71+AV71</f>
        <v>31</v>
      </c>
      <c r="AY71" s="58">
        <v>1</v>
      </c>
      <c r="AZ71" s="196">
        <f>AX71+AM71</f>
        <v>45</v>
      </c>
      <c r="BA71" s="218">
        <f>AZ71/Y71</f>
        <v>0.78947368421052633</v>
      </c>
      <c r="BB71" s="199">
        <v>4</v>
      </c>
      <c r="BC71" s="199">
        <v>5</v>
      </c>
      <c r="BD71" s="199"/>
      <c r="BE71" s="199">
        <v>13</v>
      </c>
      <c r="BF71" s="199"/>
      <c r="BG71" s="199">
        <v>45</v>
      </c>
      <c r="BH71" s="199" t="s">
        <v>2200</v>
      </c>
      <c r="BI71" s="199">
        <v>52</v>
      </c>
      <c r="BJ71" s="199"/>
      <c r="BK71" s="199">
        <f>BC71+BE71+BG71</f>
        <v>63</v>
      </c>
      <c r="BL71" s="58">
        <v>1</v>
      </c>
      <c r="BM71" s="196">
        <f>BK71+AZ71</f>
        <v>108</v>
      </c>
      <c r="BN71" s="58">
        <v>1</v>
      </c>
      <c r="BO71" s="204"/>
      <c r="BP71" s="204"/>
      <c r="BQ71" s="204"/>
      <c r="BR71" s="204"/>
      <c r="BS71" s="204"/>
      <c r="BT71" s="204"/>
      <c r="BU71" s="204"/>
      <c r="BV71" s="204"/>
      <c r="BW71" s="204"/>
      <c r="BX71" s="204"/>
      <c r="BY71" s="204"/>
      <c r="BZ71" s="204"/>
      <c r="CA71" s="204"/>
      <c r="CB71" s="204"/>
      <c r="CC71" s="204"/>
      <c r="CD71" s="204"/>
      <c r="CE71" s="204"/>
      <c r="CF71" s="204"/>
      <c r="CG71" s="204"/>
      <c r="CH71" s="204"/>
      <c r="CI71" s="204"/>
      <c r="CJ71" s="204"/>
      <c r="CK71" s="204"/>
      <c r="CL71" s="204"/>
      <c r="CM71" s="204"/>
      <c r="CN71" s="204"/>
      <c r="CO71" s="204"/>
      <c r="CP71" s="204"/>
      <c r="CQ71" s="204"/>
      <c r="CR71" s="204"/>
      <c r="CS71" s="204"/>
      <c r="CT71" s="204"/>
      <c r="CU71" s="204"/>
      <c r="CV71" s="204"/>
      <c r="CW71" s="204"/>
      <c r="CX71" s="204"/>
      <c r="CY71" s="204"/>
    </row>
    <row r="72" spans="1:103" ht="15.75" customHeight="1" x14ac:dyDescent="0.2">
      <c r="A72" s="1820"/>
      <c r="B72" s="1826"/>
      <c r="C72" s="194"/>
      <c r="D72" s="194"/>
      <c r="E72" s="195"/>
      <c r="F72" s="195"/>
      <c r="G72" s="195"/>
      <c r="H72" s="195"/>
      <c r="I72" s="195"/>
      <c r="J72" s="195"/>
      <c r="K72" s="195"/>
      <c r="L72" s="195"/>
      <c r="M72" s="195"/>
      <c r="N72" s="195"/>
      <c r="O72" s="195"/>
      <c r="P72" s="195"/>
      <c r="Q72" s="195"/>
      <c r="R72" s="195"/>
      <c r="S72" s="195"/>
      <c r="T72" s="194"/>
      <c r="U72" s="1831"/>
      <c r="V72" s="246"/>
      <c r="W72" s="246"/>
      <c r="X72" s="1454"/>
      <c r="Y72" s="246"/>
      <c r="Z72" s="317"/>
      <c r="AA72" s="317"/>
      <c r="AB72" s="317"/>
      <c r="AC72" s="252">
        <f>AVERAGE(AC68:AC71)</f>
        <v>0.19269005847953213</v>
      </c>
      <c r="AD72" s="252">
        <f>AVERAGE(AD68:AD71)</f>
        <v>0.46578947368421053</v>
      </c>
      <c r="AE72" s="252">
        <f>AVERAGE(AE68:AE71)</f>
        <v>0.25087719298245614</v>
      </c>
      <c r="AF72" s="247"/>
      <c r="AG72" s="247"/>
      <c r="AH72" s="247"/>
      <c r="AI72" s="251"/>
      <c r="AJ72" s="247"/>
      <c r="AK72" s="247"/>
      <c r="AL72" s="253">
        <f>AVERAGE(AL68:AL71)</f>
        <v>1</v>
      </c>
      <c r="AM72" s="247"/>
      <c r="AN72" s="295">
        <f>AVERAGE(AN68:AN71)</f>
        <v>0.19853801169590643</v>
      </c>
      <c r="AO72" s="317"/>
      <c r="AP72" s="286"/>
      <c r="AQ72" s="286"/>
      <c r="AR72" s="286"/>
      <c r="AS72" s="286"/>
      <c r="AT72" s="247"/>
      <c r="AU72" s="286"/>
      <c r="AV72" s="286"/>
      <c r="AW72" s="286"/>
      <c r="AX72" s="286"/>
      <c r="AY72" s="287">
        <f>AVERAGE(AY68:AY71)</f>
        <v>0.83333333333333337</v>
      </c>
      <c r="AZ72" s="287"/>
      <c r="BA72" s="289">
        <f>AVERAGE(BA68:BA71)</f>
        <v>0.51820175438596494</v>
      </c>
      <c r="BB72" s="290"/>
      <c r="BC72" s="290"/>
      <c r="BD72" s="290"/>
      <c r="BE72" s="290"/>
      <c r="BF72" s="290"/>
      <c r="BG72" s="290"/>
      <c r="BH72" s="290"/>
      <c r="BI72" s="290"/>
      <c r="BJ72" s="290"/>
      <c r="BK72" s="290"/>
      <c r="BL72" s="214">
        <f>AVERAGE(BL68:BL71)</f>
        <v>0.9642857142857143</v>
      </c>
      <c r="BM72" s="290"/>
      <c r="BN72" s="1238">
        <f>AVERAGE(BN68:BN71)</f>
        <v>0.79226190476190483</v>
      </c>
      <c r="BO72" s="291"/>
      <c r="BP72" s="291"/>
      <c r="BQ72" s="291"/>
      <c r="BR72" s="291"/>
      <c r="BS72" s="291"/>
      <c r="BT72" s="291"/>
      <c r="BU72" s="291"/>
      <c r="BV72" s="291"/>
      <c r="BW72" s="291"/>
      <c r="BX72" s="291"/>
      <c r="BY72" s="291"/>
      <c r="BZ72" s="291"/>
      <c r="CA72" s="291"/>
      <c r="CB72" s="291"/>
      <c r="CC72" s="291"/>
      <c r="CD72" s="291"/>
      <c r="CE72" s="291"/>
      <c r="CF72" s="291"/>
      <c r="CG72" s="291"/>
      <c r="CH72" s="291"/>
      <c r="CI72" s="291"/>
      <c r="CJ72" s="291"/>
      <c r="CK72" s="291"/>
      <c r="CL72" s="291"/>
      <c r="CM72" s="291"/>
      <c r="CN72" s="291"/>
      <c r="CO72" s="291"/>
      <c r="CP72" s="291"/>
      <c r="CQ72" s="291"/>
      <c r="CR72" s="291"/>
      <c r="CS72" s="291"/>
      <c r="CT72" s="291"/>
      <c r="CU72" s="291"/>
      <c r="CV72" s="291"/>
      <c r="CW72" s="291"/>
      <c r="CX72" s="291"/>
      <c r="CY72" s="291"/>
    </row>
    <row r="73" spans="1:103" ht="60" customHeight="1" x14ac:dyDescent="0.2">
      <c r="A73" s="1820"/>
      <c r="B73" s="1826"/>
      <c r="C73" s="194"/>
      <c r="D73" s="194"/>
      <c r="E73" s="195"/>
      <c r="F73" s="195"/>
      <c r="G73" s="195"/>
      <c r="H73" s="195"/>
      <c r="I73" s="195"/>
      <c r="J73" s="195"/>
      <c r="K73" s="195"/>
      <c r="L73" s="195"/>
      <c r="M73" s="195"/>
      <c r="N73" s="195"/>
      <c r="O73" s="195"/>
      <c r="P73" s="195"/>
      <c r="Q73" s="195"/>
      <c r="R73" s="195"/>
      <c r="S73" s="195"/>
      <c r="T73" s="194"/>
      <c r="U73" s="1829" t="s">
        <v>775</v>
      </c>
      <c r="V73" s="194" t="s">
        <v>776</v>
      </c>
      <c r="W73" s="194">
        <v>0</v>
      </c>
      <c r="X73" s="1241" t="s">
        <v>777</v>
      </c>
      <c r="Y73" s="220">
        <v>105</v>
      </c>
      <c r="Z73" s="199">
        <v>105</v>
      </c>
      <c r="AA73" s="199">
        <v>105</v>
      </c>
      <c r="AB73" s="195">
        <v>105</v>
      </c>
      <c r="AC73" s="199"/>
      <c r="AD73" s="197">
        <f>+AA73/Y73</f>
        <v>1</v>
      </c>
      <c r="AE73" s="197"/>
      <c r="AF73" s="199"/>
      <c r="AG73" s="199">
        <v>98</v>
      </c>
      <c r="AH73" s="199"/>
      <c r="AI73" s="196">
        <v>98</v>
      </c>
      <c r="AJ73" s="199"/>
      <c r="AK73" s="196">
        <f>+AI73</f>
        <v>98</v>
      </c>
      <c r="AL73" s="197">
        <f>+AK73/Z73</f>
        <v>0.93333333333333335</v>
      </c>
      <c r="AM73" s="196">
        <f>+AK73</f>
        <v>98</v>
      </c>
      <c r="AN73" s="230">
        <f>+AM73/Y73</f>
        <v>0.93333333333333335</v>
      </c>
      <c r="AO73" s="199">
        <v>105</v>
      </c>
      <c r="AP73" s="199">
        <v>64</v>
      </c>
      <c r="AQ73" s="195"/>
      <c r="AR73" s="199">
        <v>79</v>
      </c>
      <c r="AS73" s="195"/>
      <c r="AT73" s="199">
        <v>79</v>
      </c>
      <c r="AU73" s="195"/>
      <c r="AV73" s="199">
        <v>105</v>
      </c>
      <c r="AW73" s="195"/>
      <c r="AX73" s="199">
        <f>+AV73</f>
        <v>105</v>
      </c>
      <c r="AY73" s="58">
        <v>1</v>
      </c>
      <c r="AZ73" s="196">
        <f>+AV73</f>
        <v>105</v>
      </c>
      <c r="BA73" s="322">
        <v>1</v>
      </c>
      <c r="BB73" s="199">
        <v>105</v>
      </c>
      <c r="BC73" s="199">
        <v>97</v>
      </c>
      <c r="BD73" s="199"/>
      <c r="BE73" s="199">
        <v>97</v>
      </c>
      <c r="BF73" s="199"/>
      <c r="BG73" s="199">
        <v>97</v>
      </c>
      <c r="BH73" s="324" t="s">
        <v>2206</v>
      </c>
      <c r="BI73" s="199">
        <f>+BG73</f>
        <v>97</v>
      </c>
      <c r="BJ73" s="199"/>
      <c r="BK73" s="199">
        <f>BC73</f>
        <v>97</v>
      </c>
      <c r="BL73" s="58">
        <f>BK73/BB73</f>
        <v>0.92380952380952386</v>
      </c>
      <c r="BM73" s="199">
        <f>BK73</f>
        <v>97</v>
      </c>
      <c r="BN73" s="58">
        <f>+BL73</f>
        <v>0.92380952380952386</v>
      </c>
      <c r="BO73" s="204"/>
      <c r="BP73" s="204"/>
      <c r="BQ73" s="204"/>
      <c r="BR73" s="204"/>
      <c r="BS73" s="204"/>
      <c r="BT73" s="204"/>
      <c r="BU73" s="204"/>
      <c r="BV73" s="204"/>
      <c r="BW73" s="204"/>
      <c r="BX73" s="204"/>
      <c r="BY73" s="204"/>
      <c r="BZ73" s="204"/>
      <c r="CA73" s="204"/>
      <c r="CB73" s="204"/>
      <c r="CC73" s="204"/>
      <c r="CD73" s="204"/>
      <c r="CE73" s="204"/>
      <c r="CF73" s="204"/>
      <c r="CG73" s="204"/>
      <c r="CH73" s="204"/>
      <c r="CI73" s="204"/>
      <c r="CJ73" s="204"/>
      <c r="CK73" s="204"/>
      <c r="CL73" s="204"/>
      <c r="CM73" s="204"/>
      <c r="CN73" s="204"/>
      <c r="CO73" s="204"/>
      <c r="CP73" s="204"/>
      <c r="CQ73" s="204"/>
      <c r="CR73" s="204"/>
      <c r="CS73" s="204"/>
      <c r="CT73" s="204"/>
      <c r="CU73" s="204"/>
      <c r="CV73" s="204"/>
      <c r="CW73" s="204"/>
      <c r="CX73" s="204"/>
      <c r="CY73" s="204"/>
    </row>
    <row r="74" spans="1:103" ht="95.25" customHeight="1" x14ac:dyDescent="0.2">
      <c r="A74" s="1820"/>
      <c r="B74" s="1826"/>
      <c r="C74" s="194"/>
      <c r="D74" s="194"/>
      <c r="E74" s="195"/>
      <c r="F74" s="195"/>
      <c r="G74" s="195"/>
      <c r="H74" s="195"/>
      <c r="I74" s="195"/>
      <c r="J74" s="195"/>
      <c r="K74" s="195"/>
      <c r="L74" s="195"/>
      <c r="M74" s="195"/>
      <c r="N74" s="195"/>
      <c r="O74" s="195"/>
      <c r="P74" s="195"/>
      <c r="Q74" s="195"/>
      <c r="R74" s="195"/>
      <c r="S74" s="195"/>
      <c r="T74" s="194"/>
      <c r="U74" s="1830"/>
      <c r="V74" s="194" t="s">
        <v>769</v>
      </c>
      <c r="W74" s="194" t="s">
        <v>770</v>
      </c>
      <c r="X74" s="1241" t="s">
        <v>771</v>
      </c>
      <c r="Y74" s="220">
        <v>105</v>
      </c>
      <c r="Z74" s="199" t="s">
        <v>177</v>
      </c>
      <c r="AA74" s="199"/>
      <c r="AB74" s="195"/>
      <c r="AC74" s="199"/>
      <c r="AD74" s="199"/>
      <c r="AE74" s="199"/>
      <c r="AF74" s="199"/>
      <c r="AG74" s="199"/>
      <c r="AH74" s="199"/>
      <c r="AI74" s="196"/>
      <c r="AJ74" s="199"/>
      <c r="AK74" s="199"/>
      <c r="AL74" s="199"/>
      <c r="AM74" s="199"/>
      <c r="AN74" s="199"/>
      <c r="AO74" s="199"/>
      <c r="AP74" s="199"/>
      <c r="AQ74" s="195"/>
      <c r="AR74" s="195"/>
      <c r="AS74" s="195"/>
      <c r="AT74" s="199"/>
      <c r="AU74" s="195"/>
      <c r="AV74" s="195"/>
      <c r="AW74" s="195"/>
      <c r="AX74" s="199"/>
      <c r="AY74" s="58"/>
      <c r="AZ74" s="199"/>
      <c r="BA74" s="218"/>
      <c r="BB74" s="199"/>
      <c r="BC74" s="199"/>
      <c r="BD74" s="199"/>
      <c r="BE74" s="199"/>
      <c r="BF74" s="199"/>
      <c r="BG74" s="199"/>
      <c r="BH74" s="199"/>
      <c r="BI74" s="199"/>
      <c r="BJ74" s="199"/>
      <c r="BK74" s="199"/>
      <c r="BL74" s="199"/>
      <c r="BM74" s="199"/>
      <c r="BN74" s="199"/>
      <c r="BO74" s="204"/>
      <c r="BP74" s="204"/>
      <c r="BQ74" s="204"/>
      <c r="BR74" s="204"/>
      <c r="BS74" s="204"/>
      <c r="BT74" s="204"/>
      <c r="BU74" s="204"/>
      <c r="BV74" s="204"/>
      <c r="BW74" s="204"/>
      <c r="BX74" s="204"/>
      <c r="BY74" s="204"/>
      <c r="BZ74" s="204"/>
      <c r="CA74" s="204"/>
      <c r="CB74" s="204"/>
      <c r="CC74" s="204"/>
      <c r="CD74" s="204"/>
      <c r="CE74" s="204"/>
      <c r="CF74" s="204"/>
      <c r="CG74" s="204"/>
      <c r="CH74" s="204"/>
      <c r="CI74" s="204"/>
      <c r="CJ74" s="204"/>
      <c r="CK74" s="204"/>
      <c r="CL74" s="204"/>
      <c r="CM74" s="204"/>
      <c r="CN74" s="204"/>
      <c r="CO74" s="204"/>
      <c r="CP74" s="204"/>
      <c r="CQ74" s="204"/>
      <c r="CR74" s="204"/>
      <c r="CS74" s="204"/>
      <c r="CT74" s="204"/>
      <c r="CU74" s="204"/>
      <c r="CV74" s="204"/>
      <c r="CW74" s="204"/>
      <c r="CX74" s="204"/>
      <c r="CY74" s="204"/>
    </row>
    <row r="75" spans="1:103" ht="41.25" customHeight="1" x14ac:dyDescent="0.2">
      <c r="A75" s="1820"/>
      <c r="B75" s="1826"/>
      <c r="C75" s="194"/>
      <c r="D75" s="194"/>
      <c r="E75" s="195"/>
      <c r="F75" s="195"/>
      <c r="G75" s="195"/>
      <c r="H75" s="195"/>
      <c r="I75" s="195"/>
      <c r="J75" s="195"/>
      <c r="K75" s="195"/>
      <c r="L75" s="195"/>
      <c r="M75" s="195"/>
      <c r="N75" s="195"/>
      <c r="O75" s="195"/>
      <c r="P75" s="195"/>
      <c r="Q75" s="195"/>
      <c r="R75" s="195"/>
      <c r="S75" s="195"/>
      <c r="T75" s="194"/>
      <c r="U75" s="1830"/>
      <c r="V75" s="194" t="s">
        <v>778</v>
      </c>
      <c r="W75" s="194" t="s">
        <v>779</v>
      </c>
      <c r="X75" s="1241" t="s">
        <v>780</v>
      </c>
      <c r="Y75" s="220">
        <v>50</v>
      </c>
      <c r="Z75" s="199">
        <v>10</v>
      </c>
      <c r="AA75" s="199">
        <v>15</v>
      </c>
      <c r="AB75" s="195">
        <v>50</v>
      </c>
      <c r="AC75" s="197">
        <f>+Z75/Y75</f>
        <v>0.2</v>
      </c>
      <c r="AD75" s="197">
        <f>+AA75/Y75</f>
        <v>0.3</v>
      </c>
      <c r="AE75" s="197"/>
      <c r="AF75" s="199">
        <v>0</v>
      </c>
      <c r="AG75" s="199">
        <v>0</v>
      </c>
      <c r="AH75" s="199"/>
      <c r="AI75" s="196">
        <v>0</v>
      </c>
      <c r="AJ75" s="199"/>
      <c r="AK75" s="196">
        <f>+AI75</f>
        <v>0</v>
      </c>
      <c r="AL75" s="197">
        <f>+AK75/Z75</f>
        <v>0</v>
      </c>
      <c r="AM75" s="196">
        <f>+AK75</f>
        <v>0</v>
      </c>
      <c r="AN75" s="197">
        <f>+AL75/Z75</f>
        <v>0</v>
      </c>
      <c r="AO75" s="199">
        <v>15</v>
      </c>
      <c r="AP75" s="199">
        <v>133</v>
      </c>
      <c r="AQ75" s="195"/>
      <c r="AR75" s="199">
        <v>23</v>
      </c>
      <c r="AS75" s="195"/>
      <c r="AT75" s="199">
        <v>30</v>
      </c>
      <c r="AU75" s="195"/>
      <c r="AV75" s="199">
        <v>30</v>
      </c>
      <c r="AW75" s="195"/>
      <c r="AX75" s="199">
        <f>AT75+AV75+AP75+AR75</f>
        <v>216</v>
      </c>
      <c r="AY75" s="58">
        <v>1</v>
      </c>
      <c r="AZ75" s="196">
        <f>AX75+AM75</f>
        <v>216</v>
      </c>
      <c r="BA75" s="218">
        <v>1</v>
      </c>
      <c r="BB75" s="199">
        <v>50</v>
      </c>
      <c r="BC75" s="199">
        <v>0</v>
      </c>
      <c r="BD75" s="199"/>
      <c r="BE75" s="199">
        <v>0</v>
      </c>
      <c r="BF75" s="199"/>
      <c r="BG75" s="199">
        <v>0</v>
      </c>
      <c r="BH75" s="199" t="s">
        <v>2200</v>
      </c>
      <c r="BI75" s="199">
        <v>4</v>
      </c>
      <c r="BJ75" s="199"/>
      <c r="BK75" s="199">
        <f>+BI75</f>
        <v>4</v>
      </c>
      <c r="BL75" s="197">
        <f>+BK75/BB75</f>
        <v>0.08</v>
      </c>
      <c r="BM75" s="196">
        <f>BK75+AZ75</f>
        <v>220</v>
      </c>
      <c r="BN75" s="197">
        <v>1</v>
      </c>
      <c r="BO75" s="204"/>
      <c r="BP75" s="204"/>
      <c r="BQ75" s="204"/>
      <c r="BR75" s="204"/>
      <c r="BS75" s="204"/>
      <c r="BT75" s="204"/>
      <c r="BU75" s="204"/>
      <c r="BV75" s="204"/>
      <c r="BW75" s="204"/>
      <c r="BX75" s="204"/>
      <c r="BY75" s="204"/>
      <c r="BZ75" s="204"/>
      <c r="CA75" s="204"/>
      <c r="CB75" s="204"/>
      <c r="CC75" s="204"/>
      <c r="CD75" s="204"/>
      <c r="CE75" s="204"/>
      <c r="CF75" s="204"/>
      <c r="CG75" s="204"/>
      <c r="CH75" s="204"/>
      <c r="CI75" s="204"/>
      <c r="CJ75" s="204"/>
      <c r="CK75" s="204"/>
      <c r="CL75" s="204"/>
      <c r="CM75" s="204"/>
      <c r="CN75" s="204"/>
      <c r="CO75" s="204"/>
      <c r="CP75" s="204"/>
      <c r="CQ75" s="204"/>
      <c r="CR75" s="204"/>
      <c r="CS75" s="204"/>
      <c r="CT75" s="204"/>
      <c r="CU75" s="204"/>
      <c r="CV75" s="204"/>
      <c r="CW75" s="204"/>
      <c r="CX75" s="204"/>
      <c r="CY75" s="204"/>
    </row>
    <row r="76" spans="1:103" ht="76.5" customHeight="1" x14ac:dyDescent="0.2">
      <c r="A76" s="1820"/>
      <c r="B76" s="1826"/>
      <c r="C76" s="194"/>
      <c r="D76" s="194"/>
      <c r="E76" s="195"/>
      <c r="F76" s="195"/>
      <c r="G76" s="195"/>
      <c r="H76" s="195"/>
      <c r="I76" s="195"/>
      <c r="J76" s="195"/>
      <c r="K76" s="195"/>
      <c r="L76" s="195"/>
      <c r="M76" s="195"/>
      <c r="N76" s="195"/>
      <c r="O76" s="195"/>
      <c r="P76" s="195"/>
      <c r="Q76" s="195"/>
      <c r="R76" s="195"/>
      <c r="S76" s="195"/>
      <c r="T76" s="194"/>
      <c r="U76" s="1830"/>
      <c r="V76" s="194" t="s">
        <v>781</v>
      </c>
      <c r="W76" s="194" t="s">
        <v>782</v>
      </c>
      <c r="X76" s="1241" t="s">
        <v>783</v>
      </c>
      <c r="Y76" s="220">
        <v>856</v>
      </c>
      <c r="Z76" s="199">
        <v>150</v>
      </c>
      <c r="AA76" s="199">
        <v>250</v>
      </c>
      <c r="AB76" s="195">
        <v>200</v>
      </c>
      <c r="AC76" s="197">
        <f>+Z76/Y76</f>
        <v>0.17523364485981308</v>
      </c>
      <c r="AD76" s="197">
        <f>+AA76/Y76</f>
        <v>0.29205607476635514</v>
      </c>
      <c r="AE76" s="197">
        <f>+AB76/Y76</f>
        <v>0.23364485981308411</v>
      </c>
      <c r="AF76" s="199">
        <v>150</v>
      </c>
      <c r="AG76" s="199">
        <v>150</v>
      </c>
      <c r="AH76" s="199"/>
      <c r="AI76" s="196">
        <v>150</v>
      </c>
      <c r="AJ76" s="199"/>
      <c r="AK76" s="196">
        <f>+AI76</f>
        <v>150</v>
      </c>
      <c r="AL76" s="197">
        <f>+AK76/Z76</f>
        <v>1</v>
      </c>
      <c r="AM76" s="196">
        <f>+AK76</f>
        <v>150</v>
      </c>
      <c r="AN76" s="197">
        <f>+AM76/Y76</f>
        <v>0.17523364485981308</v>
      </c>
      <c r="AO76" s="199">
        <v>250</v>
      </c>
      <c r="AP76" s="199">
        <v>233</v>
      </c>
      <c r="AQ76" s="195"/>
      <c r="AR76" s="199">
        <v>0</v>
      </c>
      <c r="AS76" s="195"/>
      <c r="AT76" s="199">
        <v>280</v>
      </c>
      <c r="AU76" s="195"/>
      <c r="AV76" s="199">
        <v>280</v>
      </c>
      <c r="AW76" s="195"/>
      <c r="AX76" s="196">
        <f>+AV76</f>
        <v>280</v>
      </c>
      <c r="AY76" s="58">
        <v>1</v>
      </c>
      <c r="AZ76" s="196">
        <f>+AX76+AM76</f>
        <v>430</v>
      </c>
      <c r="BA76" s="218">
        <f>+AZ76/Y76</f>
        <v>0.50233644859813087</v>
      </c>
      <c r="BB76" s="199">
        <v>200</v>
      </c>
      <c r="BC76" s="199">
        <v>0</v>
      </c>
      <c r="BD76" s="199"/>
      <c r="BE76" s="199">
        <v>0</v>
      </c>
      <c r="BF76" s="199"/>
      <c r="BG76" s="199">
        <v>0</v>
      </c>
      <c r="BH76" s="324" t="s">
        <v>2204</v>
      </c>
      <c r="BI76" s="199">
        <v>200</v>
      </c>
      <c r="BJ76" s="199"/>
      <c r="BK76" s="199">
        <f>+BI76</f>
        <v>200</v>
      </c>
      <c r="BL76" s="58">
        <f>BK76/BB76</f>
        <v>1</v>
      </c>
      <c r="BM76" s="196">
        <f>BK76+AZ76</f>
        <v>630</v>
      </c>
      <c r="BN76" s="58">
        <f>BM76/Y76</f>
        <v>0.73598130841121501</v>
      </c>
      <c r="BO76" s="204"/>
      <c r="BP76" s="204"/>
      <c r="BQ76" s="204"/>
      <c r="BR76" s="204"/>
      <c r="BS76" s="204"/>
      <c r="BT76" s="204"/>
      <c r="BU76" s="204"/>
      <c r="BV76" s="204"/>
      <c r="BW76" s="204"/>
      <c r="BX76" s="204"/>
      <c r="BY76" s="204"/>
      <c r="BZ76" s="204"/>
      <c r="CA76" s="204"/>
      <c r="CB76" s="204"/>
      <c r="CC76" s="204"/>
      <c r="CD76" s="204"/>
      <c r="CE76" s="204"/>
      <c r="CF76" s="204"/>
      <c r="CG76" s="204"/>
      <c r="CH76" s="204"/>
      <c r="CI76" s="204"/>
      <c r="CJ76" s="204"/>
      <c r="CK76" s="204"/>
      <c r="CL76" s="204"/>
      <c r="CM76" s="204"/>
      <c r="CN76" s="204"/>
      <c r="CO76" s="204"/>
      <c r="CP76" s="204"/>
      <c r="CQ76" s="204"/>
      <c r="CR76" s="204"/>
      <c r="CS76" s="204"/>
      <c r="CT76" s="204"/>
      <c r="CU76" s="204"/>
      <c r="CV76" s="204"/>
      <c r="CW76" s="204"/>
      <c r="CX76" s="204"/>
      <c r="CY76" s="204"/>
    </row>
    <row r="77" spans="1:103" ht="63" customHeight="1" x14ac:dyDescent="0.2">
      <c r="A77" s="1820"/>
      <c r="B77" s="1826"/>
      <c r="C77" s="194"/>
      <c r="D77" s="194"/>
      <c r="E77" s="195"/>
      <c r="F77" s="195"/>
      <c r="G77" s="195"/>
      <c r="H77" s="195"/>
      <c r="I77" s="195"/>
      <c r="J77" s="195"/>
      <c r="K77" s="195"/>
      <c r="L77" s="195"/>
      <c r="M77" s="195"/>
      <c r="N77" s="195"/>
      <c r="O77" s="195"/>
      <c r="P77" s="195"/>
      <c r="Q77" s="195"/>
      <c r="R77" s="195"/>
      <c r="S77" s="195"/>
      <c r="T77" s="194"/>
      <c r="U77" s="1830"/>
      <c r="V77" s="194" t="s">
        <v>784</v>
      </c>
      <c r="W77" s="194" t="s">
        <v>785</v>
      </c>
      <c r="X77" s="1241" t="s">
        <v>786</v>
      </c>
      <c r="Y77" s="220">
        <v>27144</v>
      </c>
      <c r="Z77" s="199">
        <v>5000</v>
      </c>
      <c r="AA77" s="199">
        <v>7381</v>
      </c>
      <c r="AB77" s="195">
        <v>7381</v>
      </c>
      <c r="AC77" s="197">
        <f>+Z77/Y77</f>
        <v>0.18420277040966695</v>
      </c>
      <c r="AD77" s="197">
        <f>+AA77/Y77</f>
        <v>0.27192012967875034</v>
      </c>
      <c r="AE77" s="197">
        <f>+AB77/Y77</f>
        <v>0.27192012967875034</v>
      </c>
      <c r="AF77" s="199">
        <v>5245</v>
      </c>
      <c r="AG77" s="199">
        <v>5245</v>
      </c>
      <c r="AH77" s="199"/>
      <c r="AI77" s="196">
        <v>5245</v>
      </c>
      <c r="AJ77" s="199"/>
      <c r="AK77" s="196">
        <f>+AI77</f>
        <v>5245</v>
      </c>
      <c r="AL77" s="197">
        <v>1</v>
      </c>
      <c r="AM77" s="196">
        <f>+AK77</f>
        <v>5245</v>
      </c>
      <c r="AN77" s="197">
        <f>+AM77/Y77</f>
        <v>0.19322870615974064</v>
      </c>
      <c r="AO77" s="199">
        <v>7381</v>
      </c>
      <c r="AP77" s="199">
        <v>7381</v>
      </c>
      <c r="AQ77" s="195"/>
      <c r="AR77" s="199">
        <v>0</v>
      </c>
      <c r="AS77" s="195"/>
      <c r="AT77" s="199">
        <v>21330</v>
      </c>
      <c r="AU77" s="195"/>
      <c r="AV77" s="199">
        <f>+AT77</f>
        <v>21330</v>
      </c>
      <c r="AW77" s="195"/>
      <c r="AX77" s="199">
        <f>+AV77</f>
        <v>21330</v>
      </c>
      <c r="AY77" s="58">
        <v>1</v>
      </c>
      <c r="AZ77" s="196">
        <f>+AV77+AM77</f>
        <v>26575</v>
      </c>
      <c r="BA77" s="218">
        <f>+AZ77/Y77</f>
        <v>0.97903772472737993</v>
      </c>
      <c r="BB77" s="199">
        <v>7381</v>
      </c>
      <c r="BC77" s="199">
        <v>0</v>
      </c>
      <c r="BD77" s="199"/>
      <c r="BE77" s="199">
        <v>27144</v>
      </c>
      <c r="BF77" s="199"/>
      <c r="BG77" s="199">
        <v>27144</v>
      </c>
      <c r="BH77" s="199"/>
      <c r="BI77" s="199">
        <f>+BG77</f>
        <v>27144</v>
      </c>
      <c r="BJ77" s="199"/>
      <c r="BK77" s="199">
        <f>+BE77</f>
        <v>27144</v>
      </c>
      <c r="BL77" s="58">
        <v>1</v>
      </c>
      <c r="BM77" s="196">
        <f>BK77+AZ77</f>
        <v>53719</v>
      </c>
      <c r="BN77" s="58">
        <v>1</v>
      </c>
      <c r="BO77" s="204"/>
      <c r="BP77" s="204"/>
      <c r="BQ77" s="204"/>
      <c r="BR77" s="204"/>
      <c r="BS77" s="204"/>
      <c r="BT77" s="204"/>
      <c r="BU77" s="204"/>
      <c r="BV77" s="204"/>
      <c r="BW77" s="204"/>
      <c r="BX77" s="204"/>
      <c r="BY77" s="204"/>
      <c r="BZ77" s="204"/>
      <c r="CA77" s="204"/>
      <c r="CB77" s="204"/>
      <c r="CC77" s="204"/>
      <c r="CD77" s="204"/>
      <c r="CE77" s="204"/>
      <c r="CF77" s="204"/>
      <c r="CG77" s="204"/>
      <c r="CH77" s="204"/>
      <c r="CI77" s="204"/>
      <c r="CJ77" s="204"/>
      <c r="CK77" s="204"/>
      <c r="CL77" s="204"/>
      <c r="CM77" s="204"/>
      <c r="CN77" s="204"/>
      <c r="CO77" s="204"/>
      <c r="CP77" s="204"/>
      <c r="CQ77" s="204"/>
      <c r="CR77" s="204"/>
      <c r="CS77" s="204"/>
      <c r="CT77" s="204"/>
      <c r="CU77" s="204"/>
      <c r="CV77" s="204"/>
      <c r="CW77" s="204"/>
      <c r="CX77" s="204"/>
      <c r="CY77" s="204"/>
    </row>
    <row r="78" spans="1:103" ht="15.75" customHeight="1" x14ac:dyDescent="0.2">
      <c r="A78" s="1820"/>
      <c r="B78" s="1826"/>
      <c r="C78" s="194"/>
      <c r="D78" s="194"/>
      <c r="E78" s="195"/>
      <c r="F78" s="195"/>
      <c r="G78" s="195"/>
      <c r="H78" s="195"/>
      <c r="I78" s="195"/>
      <c r="J78" s="195"/>
      <c r="K78" s="195"/>
      <c r="L78" s="195"/>
      <c r="M78" s="195"/>
      <c r="N78" s="195"/>
      <c r="O78" s="195"/>
      <c r="P78" s="195"/>
      <c r="Q78" s="195"/>
      <c r="R78" s="195"/>
      <c r="S78" s="195"/>
      <c r="T78" s="194"/>
      <c r="U78" s="1831"/>
      <c r="V78" s="246"/>
      <c r="W78" s="246"/>
      <c r="X78" s="1454"/>
      <c r="Y78" s="246"/>
      <c r="Z78" s="247"/>
      <c r="AA78" s="247"/>
      <c r="AB78" s="247"/>
      <c r="AC78" s="252">
        <f>AVERAGE(AC75:AC77)</f>
        <v>0.1864788050898267</v>
      </c>
      <c r="AD78" s="252">
        <f>AVERAGE(AD73:AD77)</f>
        <v>0.4659940511112764</v>
      </c>
      <c r="AE78" s="252">
        <f>AVERAGE(AE76:AE77)</f>
        <v>0.25278249474591724</v>
      </c>
      <c r="AF78" s="247"/>
      <c r="AG78" s="247"/>
      <c r="AH78" s="247"/>
      <c r="AI78" s="251"/>
      <c r="AJ78" s="247"/>
      <c r="AK78" s="247"/>
      <c r="AL78" s="252">
        <f>AVERAGE(AL73:AL77)</f>
        <v>0.73333333333333339</v>
      </c>
      <c r="AM78" s="247"/>
      <c r="AN78" s="253">
        <f>AVERAGE(AN73:AN77)</f>
        <v>0.32544892108822177</v>
      </c>
      <c r="AO78" s="247"/>
      <c r="AP78" s="290"/>
      <c r="AQ78" s="290"/>
      <c r="AR78" s="290"/>
      <c r="AS78" s="290"/>
      <c r="AT78" s="247"/>
      <c r="AU78" s="290"/>
      <c r="AV78" s="290"/>
      <c r="AW78" s="290"/>
      <c r="AX78" s="290"/>
      <c r="AY78" s="214">
        <f>AVERAGE(AY73:AY77)</f>
        <v>1</v>
      </c>
      <c r="AZ78" s="213"/>
      <c r="BA78" s="323">
        <f>AVERAGE(BA73:BA77)</f>
        <v>0.87034354333137764</v>
      </c>
      <c r="BB78" s="290"/>
      <c r="BC78" s="290"/>
      <c r="BD78" s="290"/>
      <c r="BE78" s="290"/>
      <c r="BF78" s="290"/>
      <c r="BG78" s="290"/>
      <c r="BH78" s="290"/>
      <c r="BI78" s="290"/>
      <c r="BJ78" s="290"/>
      <c r="BK78" s="290"/>
      <c r="BL78" s="214">
        <f>AVERAGE(BL73:BL77)</f>
        <v>0.75095238095238104</v>
      </c>
      <c r="BM78" s="290"/>
      <c r="BN78" s="214">
        <f>AVERAGE(BN73:BN77)</f>
        <v>0.91494770805518466</v>
      </c>
      <c r="BO78" s="291"/>
      <c r="BP78" s="291"/>
      <c r="BQ78" s="291"/>
      <c r="BR78" s="291"/>
      <c r="BS78" s="291"/>
      <c r="BT78" s="291"/>
      <c r="BU78" s="291"/>
      <c r="BV78" s="291"/>
      <c r="BW78" s="291"/>
      <c r="BX78" s="291"/>
      <c r="BY78" s="291"/>
      <c r="BZ78" s="291"/>
      <c r="CA78" s="291"/>
      <c r="CB78" s="291"/>
      <c r="CC78" s="291"/>
      <c r="CD78" s="291"/>
      <c r="CE78" s="291"/>
      <c r="CF78" s="291"/>
      <c r="CG78" s="291"/>
      <c r="CH78" s="291"/>
      <c r="CI78" s="291"/>
      <c r="CJ78" s="291"/>
      <c r="CK78" s="291"/>
      <c r="CL78" s="291"/>
      <c r="CM78" s="291"/>
      <c r="CN78" s="291"/>
      <c r="CO78" s="291"/>
      <c r="CP78" s="291"/>
      <c r="CQ78" s="291"/>
      <c r="CR78" s="291"/>
      <c r="CS78" s="291"/>
      <c r="CT78" s="291"/>
      <c r="CU78" s="291"/>
      <c r="CV78" s="291"/>
      <c r="CW78" s="291"/>
      <c r="CX78" s="291"/>
      <c r="CY78" s="291"/>
    </row>
    <row r="79" spans="1:103" ht="42.75" customHeight="1" x14ac:dyDescent="0.2">
      <c r="A79" s="1820"/>
      <c r="B79" s="1826"/>
      <c r="C79" s="194" t="s">
        <v>787</v>
      </c>
      <c r="D79" s="194" t="s">
        <v>788</v>
      </c>
      <c r="E79" s="195"/>
      <c r="F79" s="195"/>
      <c r="G79" s="195"/>
      <c r="H79" s="195"/>
      <c r="I79" s="195"/>
      <c r="J79" s="195"/>
      <c r="K79" s="195"/>
      <c r="L79" s="195"/>
      <c r="M79" s="195"/>
      <c r="N79" s="195"/>
      <c r="O79" s="195"/>
      <c r="P79" s="195"/>
      <c r="Q79" s="195"/>
      <c r="R79" s="195"/>
      <c r="S79" s="195"/>
      <c r="T79" s="194" t="s">
        <v>789</v>
      </c>
      <c r="U79" s="1829" t="s">
        <v>790</v>
      </c>
      <c r="V79" s="194" t="s">
        <v>791</v>
      </c>
      <c r="W79" s="194" t="s">
        <v>792</v>
      </c>
      <c r="X79" s="1459" t="s">
        <v>793</v>
      </c>
      <c r="Y79" s="220">
        <v>4141</v>
      </c>
      <c r="Z79" s="199">
        <v>1249</v>
      </c>
      <c r="AA79" s="199">
        <v>1134</v>
      </c>
      <c r="AB79" s="199">
        <v>1600</v>
      </c>
      <c r="AC79" s="197">
        <f>+Z79/Y79</f>
        <v>0.30161796667471624</v>
      </c>
      <c r="AD79" s="197">
        <f>+AA79/Y79</f>
        <v>0.27384689688481045</v>
      </c>
      <c r="AE79" s="197">
        <f>+AB79/Y79</f>
        <v>0.38638010142477663</v>
      </c>
      <c r="AF79" s="199">
        <f>158+118+199+30</f>
        <v>505</v>
      </c>
      <c r="AG79" s="199">
        <v>505</v>
      </c>
      <c r="AH79" s="199"/>
      <c r="AI79" s="196">
        <v>908</v>
      </c>
      <c r="AJ79" s="199"/>
      <c r="AK79" s="196">
        <f>+AI79</f>
        <v>908</v>
      </c>
      <c r="AL79" s="197">
        <f>+AK79/Z79</f>
        <v>0.72698158526821455</v>
      </c>
      <c r="AM79" s="196">
        <f>+AK79</f>
        <v>908</v>
      </c>
      <c r="AN79" s="197">
        <f>+AM79/Y79</f>
        <v>0.21927070755856073</v>
      </c>
      <c r="AO79" s="199">
        <v>1134</v>
      </c>
      <c r="AP79" s="199">
        <v>227</v>
      </c>
      <c r="AQ79" s="199"/>
      <c r="AR79" s="199">
        <v>0</v>
      </c>
      <c r="AS79" s="195"/>
      <c r="AT79" s="199">
        <v>0</v>
      </c>
      <c r="AU79" s="195"/>
      <c r="AV79" s="199">
        <v>337</v>
      </c>
      <c r="AW79" s="199"/>
      <c r="AX79" s="199">
        <f>AP79+AV79</f>
        <v>564</v>
      </c>
      <c r="AY79" s="58">
        <f>AX79/AO79</f>
        <v>0.49735449735449733</v>
      </c>
      <c r="AZ79" s="196">
        <f>AX79+AM79</f>
        <v>1472</v>
      </c>
      <c r="BA79" s="218">
        <f>AZ79/Y79</f>
        <v>0.35546969331079448</v>
      </c>
      <c r="BB79" s="199">
        <v>1600</v>
      </c>
      <c r="BC79" s="199">
        <v>0</v>
      </c>
      <c r="BD79" s="199"/>
      <c r="BE79" s="199">
        <v>222</v>
      </c>
      <c r="BF79" s="199"/>
      <c r="BG79" s="199">
        <v>616</v>
      </c>
      <c r="BH79" s="324" t="str">
        <f>+BH73</f>
        <v xml:space="preserve">El ultimo reporte es el que se registra </v>
      </c>
      <c r="BI79" s="199">
        <v>1355</v>
      </c>
      <c r="BJ79" s="199"/>
      <c r="BK79" s="199">
        <f>+BI79</f>
        <v>1355</v>
      </c>
      <c r="BL79" s="58">
        <f>BK79/BB79</f>
        <v>0.84687500000000004</v>
      </c>
      <c r="BM79" s="196">
        <f>BK79+AZ79</f>
        <v>2827</v>
      </c>
      <c r="BN79" s="58">
        <f>BM79/Y79</f>
        <v>0.68268534170490225</v>
      </c>
      <c r="BO79" s="204"/>
      <c r="BP79" s="204"/>
      <c r="BQ79" s="204"/>
      <c r="BR79" s="204"/>
      <c r="BS79" s="204"/>
      <c r="BT79" s="204"/>
      <c r="BU79" s="204"/>
      <c r="BV79" s="204"/>
      <c r="BW79" s="204"/>
      <c r="BX79" s="204"/>
      <c r="BY79" s="204"/>
      <c r="BZ79" s="204"/>
      <c r="CA79" s="204"/>
      <c r="CB79" s="204"/>
      <c r="CC79" s="204"/>
      <c r="CD79" s="204"/>
      <c r="CE79" s="204"/>
      <c r="CF79" s="204"/>
      <c r="CG79" s="204"/>
      <c r="CH79" s="204"/>
      <c r="CI79" s="204"/>
      <c r="CJ79" s="204"/>
      <c r="CK79" s="204"/>
      <c r="CL79" s="204"/>
      <c r="CM79" s="204"/>
      <c r="CN79" s="204"/>
      <c r="CO79" s="204"/>
      <c r="CP79" s="204"/>
      <c r="CQ79" s="204"/>
      <c r="CR79" s="204"/>
      <c r="CS79" s="204"/>
      <c r="CT79" s="204"/>
      <c r="CU79" s="204"/>
      <c r="CV79" s="204"/>
      <c r="CW79" s="204"/>
      <c r="CX79" s="204"/>
      <c r="CY79" s="204"/>
    </row>
    <row r="80" spans="1:103" ht="46.5" customHeight="1" x14ac:dyDescent="0.2">
      <c r="A80" s="1820"/>
      <c r="B80" s="1826"/>
      <c r="C80" s="194"/>
      <c r="D80" s="194"/>
      <c r="E80" s="195"/>
      <c r="F80" s="195"/>
      <c r="G80" s="195"/>
      <c r="H80" s="195"/>
      <c r="I80" s="195"/>
      <c r="J80" s="195"/>
      <c r="K80" s="195"/>
      <c r="L80" s="195"/>
      <c r="M80" s="195"/>
      <c r="N80" s="195"/>
      <c r="O80" s="195"/>
      <c r="P80" s="195"/>
      <c r="Q80" s="195"/>
      <c r="R80" s="195"/>
      <c r="S80" s="195"/>
      <c r="T80" s="194"/>
      <c r="U80" s="1830"/>
      <c r="V80" s="194" t="s">
        <v>794</v>
      </c>
      <c r="W80" s="194">
        <v>0</v>
      </c>
      <c r="X80" s="1459" t="s">
        <v>795</v>
      </c>
      <c r="Y80" s="220">
        <v>1300</v>
      </c>
      <c r="Z80" s="199" t="s">
        <v>177</v>
      </c>
      <c r="AA80" s="199"/>
      <c r="AB80" s="199">
        <v>100</v>
      </c>
      <c r="AC80" s="197"/>
      <c r="AD80" s="197"/>
      <c r="AE80" s="197">
        <f>+AB80/Y80</f>
        <v>7.6923076923076927E-2</v>
      </c>
      <c r="AF80" s="199"/>
      <c r="AG80" s="199"/>
      <c r="AH80" s="199"/>
      <c r="AI80" s="196"/>
      <c r="AJ80" s="199"/>
      <c r="AK80" s="199"/>
      <c r="AL80" s="197"/>
      <c r="AM80" s="199">
        <v>55</v>
      </c>
      <c r="AN80" s="197"/>
      <c r="AO80" s="199">
        <v>400</v>
      </c>
      <c r="AP80" s="199">
        <v>0</v>
      </c>
      <c r="AQ80" s="199"/>
      <c r="AR80" s="199">
        <v>0</v>
      </c>
      <c r="AS80" s="195"/>
      <c r="AT80" s="199">
        <v>0</v>
      </c>
      <c r="AU80" s="195"/>
      <c r="AV80" s="199">
        <v>0</v>
      </c>
      <c r="AW80" s="199"/>
      <c r="AX80" s="199">
        <f>+AV80</f>
        <v>0</v>
      </c>
      <c r="AY80" s="58">
        <f>AX80/AO80</f>
        <v>0</v>
      </c>
      <c r="AZ80" s="199">
        <v>0</v>
      </c>
      <c r="BA80" s="218">
        <v>0</v>
      </c>
      <c r="BB80" s="199">
        <v>100</v>
      </c>
      <c r="BC80" s="199">
        <v>0</v>
      </c>
      <c r="BD80" s="199"/>
      <c r="BE80" s="199">
        <v>0</v>
      </c>
      <c r="BF80" s="199"/>
      <c r="BG80" s="199">
        <v>0</v>
      </c>
      <c r="BH80" s="199"/>
      <c r="BI80" s="199">
        <v>0</v>
      </c>
      <c r="BJ80" s="199"/>
      <c r="BK80" s="199">
        <f>BC80</f>
        <v>0</v>
      </c>
      <c r="BL80" s="58">
        <f>BK80/BB80</f>
        <v>0</v>
      </c>
      <c r="BM80" s="199">
        <f>BK80+AZ80</f>
        <v>0</v>
      </c>
      <c r="BN80" s="58">
        <f>BM80/Y80</f>
        <v>0</v>
      </c>
      <c r="BO80" s="204"/>
      <c r="BP80" s="204"/>
      <c r="BQ80" s="204"/>
      <c r="BR80" s="204"/>
      <c r="BS80" s="204"/>
      <c r="BT80" s="204"/>
      <c r="BU80" s="204"/>
      <c r="BV80" s="204"/>
      <c r="BW80" s="204"/>
      <c r="BX80" s="204"/>
      <c r="BY80" s="204"/>
      <c r="BZ80" s="204"/>
      <c r="CA80" s="204"/>
      <c r="CB80" s="204"/>
      <c r="CC80" s="204"/>
      <c r="CD80" s="204"/>
      <c r="CE80" s="204"/>
      <c r="CF80" s="204"/>
      <c r="CG80" s="204"/>
      <c r="CH80" s="204"/>
      <c r="CI80" s="204"/>
      <c r="CJ80" s="204"/>
      <c r="CK80" s="204"/>
      <c r="CL80" s="204"/>
      <c r="CM80" s="204"/>
      <c r="CN80" s="204"/>
      <c r="CO80" s="204"/>
      <c r="CP80" s="204"/>
      <c r="CQ80" s="204"/>
      <c r="CR80" s="204"/>
      <c r="CS80" s="204"/>
      <c r="CT80" s="204"/>
      <c r="CU80" s="204"/>
      <c r="CV80" s="204"/>
      <c r="CW80" s="204"/>
      <c r="CX80" s="204"/>
      <c r="CY80" s="204"/>
    </row>
    <row r="81" spans="1:103" ht="45" customHeight="1" x14ac:dyDescent="0.2">
      <c r="A81" s="1820"/>
      <c r="B81" s="1826"/>
      <c r="C81" s="194"/>
      <c r="D81" s="194"/>
      <c r="E81" s="195"/>
      <c r="F81" s="195"/>
      <c r="G81" s="195"/>
      <c r="H81" s="195"/>
      <c r="I81" s="195"/>
      <c r="J81" s="195"/>
      <c r="K81" s="195"/>
      <c r="L81" s="195"/>
      <c r="M81" s="195"/>
      <c r="N81" s="195"/>
      <c r="O81" s="195"/>
      <c r="P81" s="195"/>
      <c r="Q81" s="195"/>
      <c r="R81" s="195"/>
      <c r="S81" s="195"/>
      <c r="T81" s="194"/>
      <c r="U81" s="1830"/>
      <c r="V81" s="194" t="s">
        <v>796</v>
      </c>
      <c r="W81" s="194" t="s">
        <v>797</v>
      </c>
      <c r="X81" s="1459" t="s">
        <v>798</v>
      </c>
      <c r="Y81" s="220">
        <v>228</v>
      </c>
      <c r="Z81" s="309">
        <v>57</v>
      </c>
      <c r="AA81" s="309">
        <v>57</v>
      </c>
      <c r="AB81" s="199">
        <v>114</v>
      </c>
      <c r="AC81" s="197">
        <f>+Z81/Y81</f>
        <v>0.25</v>
      </c>
      <c r="AD81" s="197">
        <f>+AA81/Y81</f>
        <v>0.25</v>
      </c>
      <c r="AE81" s="197">
        <f>+AB81/Y81</f>
        <v>0.5</v>
      </c>
      <c r="AF81" s="324">
        <v>0</v>
      </c>
      <c r="AG81" s="324">
        <v>0</v>
      </c>
      <c r="AH81" s="199"/>
      <c r="AI81" s="325">
        <v>57</v>
      </c>
      <c r="AJ81" s="199"/>
      <c r="AK81" s="196">
        <f>+AI81</f>
        <v>57</v>
      </c>
      <c r="AL81" s="197">
        <f>+AK81/Z81</f>
        <v>1</v>
      </c>
      <c r="AM81" s="196">
        <f>+AK81</f>
        <v>57</v>
      </c>
      <c r="AN81" s="197">
        <f>+AM81/Y81</f>
        <v>0.25</v>
      </c>
      <c r="AO81" s="199">
        <v>57</v>
      </c>
      <c r="AP81" s="199">
        <v>0</v>
      </c>
      <c r="AQ81" s="199"/>
      <c r="AR81" s="199">
        <v>0</v>
      </c>
      <c r="AS81" s="195"/>
      <c r="AT81" s="199">
        <v>31</v>
      </c>
      <c r="AU81" s="195"/>
      <c r="AV81" s="199">
        <v>55</v>
      </c>
      <c r="AW81" s="199"/>
      <c r="AX81" s="199">
        <f>+AV81</f>
        <v>55</v>
      </c>
      <c r="AY81" s="58">
        <f>+AX81/AO81</f>
        <v>0.96491228070175439</v>
      </c>
      <c r="AZ81" s="196">
        <f>+AX81+AM81</f>
        <v>112</v>
      </c>
      <c r="BA81" s="218">
        <f>+AZ81/Y81</f>
        <v>0.49122807017543857</v>
      </c>
      <c r="BB81" s="199">
        <v>114</v>
      </c>
      <c r="BC81" s="199">
        <v>0</v>
      </c>
      <c r="BD81" s="199"/>
      <c r="BE81" s="199">
        <v>48</v>
      </c>
      <c r="BF81" s="199"/>
      <c r="BG81" s="199">
        <v>0</v>
      </c>
      <c r="BH81" s="199"/>
      <c r="BI81" s="199">
        <v>57</v>
      </c>
      <c r="BJ81" s="199"/>
      <c r="BK81" s="199">
        <f>+BE81+BI81</f>
        <v>105</v>
      </c>
      <c r="BL81" s="58">
        <f>BK81/BB81</f>
        <v>0.92105263157894735</v>
      </c>
      <c r="BM81" s="196">
        <f>BK81+AZ81</f>
        <v>217</v>
      </c>
      <c r="BN81" s="58">
        <f>BM81/Y81</f>
        <v>0.95175438596491224</v>
      </c>
      <c r="BO81" s="204"/>
      <c r="BP81" s="204"/>
      <c r="BQ81" s="204"/>
      <c r="BR81" s="204"/>
      <c r="BS81" s="204"/>
      <c r="BT81" s="204"/>
      <c r="BU81" s="204"/>
      <c r="BV81" s="204"/>
      <c r="BW81" s="204"/>
      <c r="BX81" s="204"/>
      <c r="BY81" s="204"/>
      <c r="BZ81" s="204"/>
      <c r="CA81" s="204"/>
      <c r="CB81" s="204"/>
      <c r="CC81" s="204"/>
      <c r="CD81" s="204"/>
      <c r="CE81" s="204"/>
      <c r="CF81" s="204"/>
      <c r="CG81" s="204"/>
      <c r="CH81" s="204"/>
      <c r="CI81" s="204"/>
      <c r="CJ81" s="204"/>
      <c r="CK81" s="204"/>
      <c r="CL81" s="204"/>
      <c r="CM81" s="204"/>
      <c r="CN81" s="204"/>
      <c r="CO81" s="204"/>
      <c r="CP81" s="204"/>
      <c r="CQ81" s="204"/>
      <c r="CR81" s="204"/>
      <c r="CS81" s="204"/>
      <c r="CT81" s="204"/>
      <c r="CU81" s="204"/>
      <c r="CV81" s="204"/>
      <c r="CW81" s="204"/>
      <c r="CX81" s="204"/>
      <c r="CY81" s="204"/>
    </row>
    <row r="82" spans="1:103" ht="45" customHeight="1" x14ac:dyDescent="0.2">
      <c r="A82" s="1820"/>
      <c r="B82" s="1826"/>
      <c r="C82" s="194"/>
      <c r="D82" s="194"/>
      <c r="E82" s="195"/>
      <c r="F82" s="195"/>
      <c r="G82" s="195"/>
      <c r="H82" s="195"/>
      <c r="I82" s="195"/>
      <c r="J82" s="195"/>
      <c r="K82" s="195"/>
      <c r="L82" s="195"/>
      <c r="M82" s="195"/>
      <c r="N82" s="195"/>
      <c r="O82" s="195"/>
      <c r="P82" s="195"/>
      <c r="Q82" s="195"/>
      <c r="R82" s="195"/>
      <c r="S82" s="195"/>
      <c r="T82" s="194"/>
      <c r="U82" s="1830"/>
      <c r="V82" s="194" t="s">
        <v>799</v>
      </c>
      <c r="W82" s="194" t="s">
        <v>201</v>
      </c>
      <c r="X82" s="1459" t="s">
        <v>800</v>
      </c>
      <c r="Y82" s="220">
        <v>9000</v>
      </c>
      <c r="Z82" s="309">
        <v>3000</v>
      </c>
      <c r="AA82" s="309"/>
      <c r="AB82" s="199">
        <v>3500</v>
      </c>
      <c r="AC82" s="197">
        <f>+Z82/Y82</f>
        <v>0.33333333333333331</v>
      </c>
      <c r="AD82" s="197"/>
      <c r="AE82" s="197">
        <f>+AB82/Y82</f>
        <v>0.3888888888888889</v>
      </c>
      <c r="AF82" s="309">
        <v>3171</v>
      </c>
      <c r="AG82" s="309">
        <v>3171</v>
      </c>
      <c r="AH82" s="199"/>
      <c r="AI82" s="196">
        <v>3171</v>
      </c>
      <c r="AJ82" s="199"/>
      <c r="AK82" s="196">
        <f>+AI82</f>
        <v>3171</v>
      </c>
      <c r="AL82" s="197">
        <v>1</v>
      </c>
      <c r="AM82" s="196">
        <f>+AK82</f>
        <v>3171</v>
      </c>
      <c r="AN82" s="197">
        <f>+AM82/Y82</f>
        <v>0.35233333333333333</v>
      </c>
      <c r="AO82" s="199">
        <v>2000</v>
      </c>
      <c r="AP82" s="199">
        <v>0</v>
      </c>
      <c r="AQ82" s="199"/>
      <c r="AR82" s="199">
        <v>0</v>
      </c>
      <c r="AS82" s="195"/>
      <c r="AT82" s="199">
        <v>0</v>
      </c>
      <c r="AU82" s="195"/>
      <c r="AV82" s="199">
        <v>3742</v>
      </c>
      <c r="AW82" s="199"/>
      <c r="AX82" s="199">
        <f>+AV82</f>
        <v>3742</v>
      </c>
      <c r="AY82" s="58">
        <v>1</v>
      </c>
      <c r="AZ82" s="196">
        <f>AX82+AM82</f>
        <v>6913</v>
      </c>
      <c r="BA82" s="218">
        <f>AZ82/Y82</f>
        <v>0.76811111111111108</v>
      </c>
      <c r="BB82" s="199">
        <v>3500</v>
      </c>
      <c r="BC82" s="199"/>
      <c r="BD82" s="199"/>
      <c r="BE82" s="199"/>
      <c r="BF82" s="199"/>
      <c r="BG82" s="199"/>
      <c r="BH82" s="324" t="s">
        <v>2205</v>
      </c>
      <c r="BI82" s="199">
        <v>1436</v>
      </c>
      <c r="BJ82" s="199"/>
      <c r="BK82" s="199">
        <f>+BI82</f>
        <v>1436</v>
      </c>
      <c r="BL82" s="1227">
        <f>+BK82/BB82</f>
        <v>0.41028571428571431</v>
      </c>
      <c r="BM82" s="196">
        <f>+BK82+AZ82</f>
        <v>8349</v>
      </c>
      <c r="BN82" s="58">
        <f>+BM82/Y82</f>
        <v>0.92766666666666664</v>
      </c>
      <c r="BO82" s="204"/>
      <c r="BP82" s="204"/>
      <c r="BQ82" s="204"/>
      <c r="BR82" s="204"/>
      <c r="BS82" s="204"/>
      <c r="BT82" s="204"/>
      <c r="BU82" s="204"/>
      <c r="BV82" s="204"/>
      <c r="BW82" s="204"/>
      <c r="BX82" s="204"/>
      <c r="BY82" s="204"/>
      <c r="BZ82" s="204"/>
      <c r="CA82" s="204"/>
      <c r="CB82" s="204"/>
      <c r="CC82" s="204"/>
      <c r="CD82" s="204"/>
      <c r="CE82" s="204"/>
      <c r="CF82" s="204"/>
      <c r="CG82" s="204"/>
      <c r="CH82" s="204"/>
      <c r="CI82" s="204"/>
      <c r="CJ82" s="204"/>
      <c r="CK82" s="204"/>
      <c r="CL82" s="204"/>
      <c r="CM82" s="204"/>
      <c r="CN82" s="204"/>
      <c r="CO82" s="204"/>
      <c r="CP82" s="204"/>
      <c r="CQ82" s="204"/>
      <c r="CR82" s="204"/>
      <c r="CS82" s="204"/>
      <c r="CT82" s="204"/>
      <c r="CU82" s="204"/>
      <c r="CV82" s="204"/>
      <c r="CW82" s="204"/>
      <c r="CX82" s="204"/>
      <c r="CY82" s="204"/>
    </row>
    <row r="83" spans="1:103" ht="96" customHeight="1" x14ac:dyDescent="0.2">
      <c r="A83" s="1820"/>
      <c r="B83" s="1826"/>
      <c r="C83" s="194"/>
      <c r="D83" s="194"/>
      <c r="E83" s="195"/>
      <c r="F83" s="195"/>
      <c r="G83" s="195"/>
      <c r="H83" s="195"/>
      <c r="I83" s="195"/>
      <c r="J83" s="195"/>
      <c r="K83" s="195"/>
      <c r="L83" s="195"/>
      <c r="M83" s="195"/>
      <c r="N83" s="195"/>
      <c r="O83" s="195"/>
      <c r="P83" s="195"/>
      <c r="Q83" s="195"/>
      <c r="R83" s="195"/>
      <c r="S83" s="195"/>
      <c r="T83" s="194"/>
      <c r="U83" s="1830"/>
      <c r="V83" s="194" t="s">
        <v>801</v>
      </c>
      <c r="W83" s="326">
        <v>0</v>
      </c>
      <c r="X83" s="1459" t="s">
        <v>802</v>
      </c>
      <c r="Y83" s="294">
        <v>0.8</v>
      </c>
      <c r="Z83" s="321">
        <v>0.4</v>
      </c>
      <c r="AA83" s="321">
        <v>0.4</v>
      </c>
      <c r="AB83" s="197">
        <v>0.4</v>
      </c>
      <c r="AC83" s="197">
        <f>+Z83/Y83</f>
        <v>0.5</v>
      </c>
      <c r="AD83" s="197">
        <f>+AA83/Y83</f>
        <v>0.5</v>
      </c>
      <c r="AE83" s="197">
        <f>+AB83/Y83</f>
        <v>0.5</v>
      </c>
      <c r="AF83" s="327">
        <v>0</v>
      </c>
      <c r="AG83" s="327">
        <v>0</v>
      </c>
      <c r="AH83" s="199"/>
      <c r="AI83" s="196">
        <v>0</v>
      </c>
      <c r="AJ83" s="199"/>
      <c r="AK83" s="196">
        <f>+AI83</f>
        <v>0</v>
      </c>
      <c r="AL83" s="197">
        <f>+AK83/Z83</f>
        <v>0</v>
      </c>
      <c r="AM83" s="196">
        <f>+AK83</f>
        <v>0</v>
      </c>
      <c r="AN83" s="197">
        <f>+AM83/Y83</f>
        <v>0</v>
      </c>
      <c r="AO83" s="199">
        <v>0.4</v>
      </c>
      <c r="AP83" s="199">
        <v>0</v>
      </c>
      <c r="AQ83" s="199"/>
      <c r="AR83" s="199">
        <v>0</v>
      </c>
      <c r="AS83" s="195"/>
      <c r="AT83" s="199">
        <v>0</v>
      </c>
      <c r="AU83" s="195"/>
      <c r="AV83" s="58">
        <v>0.18179999999999999</v>
      </c>
      <c r="AW83" s="199"/>
      <c r="AX83" s="58">
        <f>+AV83</f>
        <v>0.18179999999999999</v>
      </c>
      <c r="AY83" s="58">
        <f>+AX83</f>
        <v>0.18179999999999999</v>
      </c>
      <c r="AZ83" s="197">
        <f>+AY83</f>
        <v>0.18179999999999999</v>
      </c>
      <c r="BA83" s="218">
        <v>9.2299999999999993E-2</v>
      </c>
      <c r="BB83" s="197">
        <v>0.4</v>
      </c>
      <c r="BC83" s="199">
        <v>0</v>
      </c>
      <c r="BD83" s="199"/>
      <c r="BE83" s="199">
        <v>0</v>
      </c>
      <c r="BF83" s="199"/>
      <c r="BG83" s="324" t="s">
        <v>2207</v>
      </c>
      <c r="BH83" s="199"/>
      <c r="BI83" s="324" t="str">
        <f>+BG83</f>
        <v>21,82% 6 programas articulados</v>
      </c>
      <c r="BJ83" s="199"/>
      <c r="BK83" s="324" t="str">
        <f>+BI83</f>
        <v>21,82% 6 programas articulados</v>
      </c>
      <c r="BL83" s="230">
        <v>0.54500000000000004</v>
      </c>
      <c r="BM83" s="197">
        <v>0.36299999999999999</v>
      </c>
      <c r="BN83" s="58">
        <f>+BM83</f>
        <v>0.36299999999999999</v>
      </c>
      <c r="BO83" s="204"/>
      <c r="BP83" s="204"/>
      <c r="BQ83" s="204"/>
      <c r="BR83" s="204"/>
      <c r="BS83" s="204"/>
      <c r="BT83" s="204"/>
      <c r="BU83" s="204"/>
      <c r="BV83" s="204"/>
      <c r="BW83" s="204"/>
      <c r="BX83" s="204"/>
      <c r="BY83" s="204"/>
      <c r="BZ83" s="204"/>
      <c r="CA83" s="204"/>
      <c r="CB83" s="204"/>
      <c r="CC83" s="204"/>
      <c r="CD83" s="204"/>
      <c r="CE83" s="204"/>
      <c r="CF83" s="204"/>
      <c r="CG83" s="204"/>
      <c r="CH83" s="204"/>
      <c r="CI83" s="204"/>
      <c r="CJ83" s="204"/>
      <c r="CK83" s="204"/>
      <c r="CL83" s="204"/>
      <c r="CM83" s="204"/>
      <c r="CN83" s="204"/>
      <c r="CO83" s="204"/>
      <c r="CP83" s="204"/>
      <c r="CQ83" s="204"/>
      <c r="CR83" s="204"/>
      <c r="CS83" s="204"/>
      <c r="CT83" s="204"/>
      <c r="CU83" s="204"/>
      <c r="CV83" s="204"/>
      <c r="CW83" s="204"/>
      <c r="CX83" s="204"/>
      <c r="CY83" s="204"/>
    </row>
    <row r="84" spans="1:103" ht="15.75" customHeight="1" x14ac:dyDescent="0.2">
      <c r="A84" s="1820"/>
      <c r="B84" s="1826"/>
      <c r="C84" s="194"/>
      <c r="D84" s="194"/>
      <c r="E84" s="195"/>
      <c r="F84" s="195"/>
      <c r="G84" s="195"/>
      <c r="H84" s="195"/>
      <c r="I84" s="195"/>
      <c r="J84" s="195"/>
      <c r="K84" s="195"/>
      <c r="L84" s="195"/>
      <c r="M84" s="195"/>
      <c r="N84" s="195"/>
      <c r="O84" s="195"/>
      <c r="P84" s="195"/>
      <c r="Q84" s="195"/>
      <c r="R84" s="195"/>
      <c r="S84" s="195"/>
      <c r="T84" s="194"/>
      <c r="U84" s="1831"/>
      <c r="V84" s="246"/>
      <c r="W84" s="328"/>
      <c r="X84" s="1454"/>
      <c r="Y84" s="246"/>
      <c r="Z84" s="247"/>
      <c r="AA84" s="247"/>
      <c r="AB84" s="247"/>
      <c r="AC84" s="252">
        <f>AVERAGE(AC79:AC83)</f>
        <v>0.34623782500201239</v>
      </c>
      <c r="AD84" s="252">
        <f>AVERAGE(AD79:AD83)</f>
        <v>0.3412822989616035</v>
      </c>
      <c r="AE84" s="252">
        <f>AVERAGE(AE79:AE83)</f>
        <v>0.37043841344734851</v>
      </c>
      <c r="AF84" s="247"/>
      <c r="AG84" s="247"/>
      <c r="AH84" s="247"/>
      <c r="AI84" s="251"/>
      <c r="AJ84" s="247"/>
      <c r="AK84" s="247"/>
      <c r="AL84" s="252">
        <f>AVERAGE(AL79:AL83)</f>
        <v>0.68174539631705366</v>
      </c>
      <c r="AM84" s="247"/>
      <c r="AN84" s="253">
        <f>AVERAGE(AN79:AN83)</f>
        <v>0.20540101022297352</v>
      </c>
      <c r="AO84" s="247"/>
      <c r="AP84" s="290"/>
      <c r="AQ84" s="290"/>
      <c r="AR84" s="290"/>
      <c r="AS84" s="290"/>
      <c r="AT84" s="247"/>
      <c r="AU84" s="290"/>
      <c r="AV84" s="290"/>
      <c r="AW84" s="290"/>
      <c r="AX84" s="290"/>
      <c r="AY84" s="214">
        <f>AVERAGE(AY79:AY83)</f>
        <v>0.52881335561125042</v>
      </c>
      <c r="AZ84" s="213"/>
      <c r="BA84" s="320">
        <f>AVERAGE(BA79:BA83)</f>
        <v>0.34142177491946885</v>
      </c>
      <c r="BB84" s="290"/>
      <c r="BC84" s="290"/>
      <c r="BD84" s="290"/>
      <c r="BE84" s="290"/>
      <c r="BF84" s="290"/>
      <c r="BG84" s="290"/>
      <c r="BH84" s="290"/>
      <c r="BI84" s="290"/>
      <c r="BJ84" s="290"/>
      <c r="BK84" s="290"/>
      <c r="BL84" s="214">
        <f>AVERAGE(BL79:BL83)</f>
        <v>0.54464266917293236</v>
      </c>
      <c r="BM84" s="290"/>
      <c r="BN84" s="214">
        <f>AVERAGE(BN79:BN83)</f>
        <v>0.58502127886729627</v>
      </c>
      <c r="BO84" s="291"/>
      <c r="BP84" s="291"/>
      <c r="BQ84" s="291"/>
      <c r="BR84" s="291"/>
      <c r="BS84" s="291"/>
      <c r="BT84" s="291"/>
      <c r="BU84" s="291"/>
      <c r="BV84" s="291"/>
      <c r="BW84" s="291"/>
      <c r="BX84" s="291"/>
      <c r="BY84" s="291"/>
      <c r="BZ84" s="291"/>
      <c r="CA84" s="291"/>
      <c r="CB84" s="291"/>
      <c r="CC84" s="291"/>
      <c r="CD84" s="291"/>
      <c r="CE84" s="291"/>
      <c r="CF84" s="291"/>
      <c r="CG84" s="291"/>
      <c r="CH84" s="291"/>
      <c r="CI84" s="291"/>
      <c r="CJ84" s="291"/>
      <c r="CK84" s="291"/>
      <c r="CL84" s="291"/>
      <c r="CM84" s="291"/>
      <c r="CN84" s="291"/>
      <c r="CO84" s="291"/>
      <c r="CP84" s="291"/>
      <c r="CQ84" s="291"/>
      <c r="CR84" s="291"/>
      <c r="CS84" s="291"/>
      <c r="CT84" s="291"/>
      <c r="CU84" s="291"/>
      <c r="CV84" s="291"/>
      <c r="CW84" s="291"/>
      <c r="CX84" s="291"/>
      <c r="CY84" s="291"/>
    </row>
    <row r="85" spans="1:103" ht="66.75" customHeight="1" x14ac:dyDescent="0.2">
      <c r="A85" s="1820"/>
      <c r="B85" s="1826"/>
      <c r="C85" s="194" t="s">
        <v>803</v>
      </c>
      <c r="D85" s="194">
        <v>0</v>
      </c>
      <c r="E85" s="195"/>
      <c r="F85" s="195"/>
      <c r="G85" s="195"/>
      <c r="H85" s="195"/>
      <c r="I85" s="195"/>
      <c r="J85" s="195"/>
      <c r="K85" s="195"/>
      <c r="L85" s="195"/>
      <c r="M85" s="195"/>
      <c r="N85" s="195"/>
      <c r="O85" s="195"/>
      <c r="P85" s="195"/>
      <c r="Q85" s="195"/>
      <c r="R85" s="195"/>
      <c r="S85" s="195"/>
      <c r="T85" s="194" t="s">
        <v>804</v>
      </c>
      <c r="U85" s="1829" t="s">
        <v>805</v>
      </c>
      <c r="V85" s="194" t="s">
        <v>806</v>
      </c>
      <c r="W85" s="194" t="s">
        <v>807</v>
      </c>
      <c r="X85" s="1241" t="s">
        <v>808</v>
      </c>
      <c r="Y85" s="329">
        <v>4</v>
      </c>
      <c r="Z85" s="330">
        <v>3</v>
      </c>
      <c r="AA85" s="330">
        <v>4</v>
      </c>
      <c r="AB85" s="199">
        <v>4</v>
      </c>
      <c r="AC85" s="330">
        <v>0</v>
      </c>
      <c r="AD85" s="331">
        <f>+AA85/Y85</f>
        <v>1</v>
      </c>
      <c r="AE85" s="331">
        <v>0.25</v>
      </c>
      <c r="AF85" s="199">
        <v>0</v>
      </c>
      <c r="AG85" s="199">
        <v>0</v>
      </c>
      <c r="AH85" s="199"/>
      <c r="AI85" s="196">
        <v>4</v>
      </c>
      <c r="AJ85" s="199"/>
      <c r="AK85" s="196">
        <f>+AI85</f>
        <v>4</v>
      </c>
      <c r="AL85" s="197">
        <v>1</v>
      </c>
      <c r="AM85" s="196">
        <f>+AK85</f>
        <v>4</v>
      </c>
      <c r="AN85" s="197">
        <v>0.25</v>
      </c>
      <c r="AO85" s="330">
        <v>4</v>
      </c>
      <c r="AP85" s="199">
        <v>0</v>
      </c>
      <c r="AQ85" s="199"/>
      <c r="AR85" s="199">
        <v>0</v>
      </c>
      <c r="AS85" s="199"/>
      <c r="AT85" s="199">
        <v>4</v>
      </c>
      <c r="AU85" s="199"/>
      <c r="AV85" s="239">
        <v>4</v>
      </c>
      <c r="AW85" s="239"/>
      <c r="AX85" s="239">
        <f>+AV85</f>
        <v>4</v>
      </c>
      <c r="AY85" s="307">
        <v>1</v>
      </c>
      <c r="AZ85" s="199">
        <v>4</v>
      </c>
      <c r="BA85" s="233">
        <v>0.5</v>
      </c>
      <c r="BB85" s="199">
        <v>4</v>
      </c>
      <c r="BC85" s="199"/>
      <c r="BD85" s="199"/>
      <c r="BE85" s="199"/>
      <c r="BF85" s="199"/>
      <c r="BG85" s="199" t="s">
        <v>2208</v>
      </c>
      <c r="BH85" s="199" t="s">
        <v>2200</v>
      </c>
      <c r="BI85" s="199" t="str">
        <f>+BG85</f>
        <v>4
Aceptable</v>
      </c>
      <c r="BJ85" s="199"/>
      <c r="BK85" s="199"/>
      <c r="BL85" s="197">
        <v>1</v>
      </c>
      <c r="BM85" s="197">
        <v>1</v>
      </c>
      <c r="BN85" s="197">
        <v>0.75</v>
      </c>
      <c r="BO85" s="204"/>
      <c r="BP85" s="204"/>
      <c r="BQ85" s="204"/>
      <c r="BR85" s="204"/>
      <c r="BS85" s="204"/>
      <c r="BT85" s="204"/>
      <c r="BU85" s="204"/>
      <c r="BV85" s="204"/>
      <c r="BW85" s="204"/>
      <c r="BX85" s="204"/>
      <c r="BY85" s="204"/>
      <c r="BZ85" s="204"/>
      <c r="CA85" s="204"/>
      <c r="CB85" s="204"/>
      <c r="CC85" s="204"/>
      <c r="CD85" s="204"/>
      <c r="CE85" s="204"/>
      <c r="CF85" s="204"/>
      <c r="CG85" s="204"/>
      <c r="CH85" s="204"/>
      <c r="CI85" s="204"/>
      <c r="CJ85" s="204"/>
      <c r="CK85" s="204"/>
      <c r="CL85" s="204"/>
      <c r="CM85" s="204"/>
      <c r="CN85" s="204"/>
      <c r="CO85" s="204"/>
      <c r="CP85" s="204"/>
      <c r="CQ85" s="204"/>
      <c r="CR85" s="204"/>
      <c r="CS85" s="204"/>
      <c r="CT85" s="204"/>
      <c r="CU85" s="204"/>
      <c r="CV85" s="204"/>
      <c r="CW85" s="204"/>
      <c r="CX85" s="204"/>
      <c r="CY85" s="204"/>
    </row>
    <row r="86" spans="1:103" ht="72" customHeight="1" x14ac:dyDescent="0.2">
      <c r="A86" s="1820"/>
      <c r="B86" s="1826"/>
      <c r="C86" s="194"/>
      <c r="D86" s="194"/>
      <c r="E86" s="195"/>
      <c r="F86" s="195"/>
      <c r="G86" s="195"/>
      <c r="H86" s="195"/>
      <c r="I86" s="195"/>
      <c r="J86" s="195"/>
      <c r="K86" s="195"/>
      <c r="L86" s="195"/>
      <c r="M86" s="195"/>
      <c r="N86" s="195"/>
      <c r="O86" s="195"/>
      <c r="P86" s="195"/>
      <c r="Q86" s="195"/>
      <c r="R86" s="195"/>
      <c r="S86" s="195"/>
      <c r="T86" s="194"/>
      <c r="U86" s="1830"/>
      <c r="V86" s="194" t="s">
        <v>809</v>
      </c>
      <c r="W86" s="194">
        <v>1</v>
      </c>
      <c r="X86" s="1241" t="s">
        <v>810</v>
      </c>
      <c r="Y86" s="220">
        <v>1</v>
      </c>
      <c r="Z86" s="199">
        <v>0.15</v>
      </c>
      <c r="AA86" s="199">
        <v>0.15</v>
      </c>
      <c r="AB86" s="197">
        <v>0.35</v>
      </c>
      <c r="AC86" s="197">
        <f>+Z86/Y86</f>
        <v>0.15</v>
      </c>
      <c r="AD86" s="331">
        <f>+AA86/Y86</f>
        <v>0.15</v>
      </c>
      <c r="AE86" s="331">
        <v>0.25</v>
      </c>
      <c r="AF86" s="199">
        <v>0</v>
      </c>
      <c r="AG86" s="197">
        <v>0.05</v>
      </c>
      <c r="AH86" s="197"/>
      <c r="AI86" s="196">
        <v>0.15</v>
      </c>
      <c r="AJ86" s="197"/>
      <c r="AK86" s="196">
        <v>0.15</v>
      </c>
      <c r="AL86" s="197">
        <f>+AK86/Z86</f>
        <v>1</v>
      </c>
      <c r="AM86" s="197">
        <f>+AK86</f>
        <v>0.15</v>
      </c>
      <c r="AN86" s="197">
        <f>+AM86/Y86</f>
        <v>0.15</v>
      </c>
      <c r="AO86" s="199">
        <v>0.15</v>
      </c>
      <c r="AP86" s="199">
        <v>7.4999999999999997E-2</v>
      </c>
      <c r="AQ86" s="199"/>
      <c r="AR86" s="199">
        <v>0</v>
      </c>
      <c r="AS86" s="199"/>
      <c r="AT86" s="199">
        <v>7.4999999999999997E-2</v>
      </c>
      <c r="AU86" s="199"/>
      <c r="AV86" s="239">
        <v>0</v>
      </c>
      <c r="AW86" s="239"/>
      <c r="AX86" s="239">
        <f>AP86+AT86</f>
        <v>0.15</v>
      </c>
      <c r="AY86" s="307">
        <f>AX86/AO86</f>
        <v>1</v>
      </c>
      <c r="AZ86" s="230">
        <f>AX86+AM86</f>
        <v>0.3</v>
      </c>
      <c r="BA86" s="376">
        <f>AZ86</f>
        <v>0.3</v>
      </c>
      <c r="BB86" s="197">
        <v>0.35</v>
      </c>
      <c r="BC86" s="197">
        <v>0.1</v>
      </c>
      <c r="BD86" s="199"/>
      <c r="BE86" s="197">
        <v>0.1</v>
      </c>
      <c r="BF86" s="199"/>
      <c r="BG86" s="1227">
        <v>0</v>
      </c>
      <c r="BH86" s="199"/>
      <c r="BI86" s="197">
        <v>0</v>
      </c>
      <c r="BJ86" s="199"/>
      <c r="BK86" s="197">
        <f>BC86+BE86</f>
        <v>0.2</v>
      </c>
      <c r="BL86" s="58">
        <f>+BK86/BB86</f>
        <v>0.57142857142857151</v>
      </c>
      <c r="BM86" s="230">
        <f>+BK86+AZ86</f>
        <v>0.5</v>
      </c>
      <c r="BN86" s="230">
        <f>BM86</f>
        <v>0.5</v>
      </c>
      <c r="BO86" s="204"/>
      <c r="BP86" s="204"/>
      <c r="BQ86" s="204"/>
      <c r="BR86" s="204"/>
      <c r="BS86" s="204"/>
      <c r="BT86" s="204"/>
      <c r="BU86" s="204"/>
      <c r="BV86" s="204"/>
      <c r="BW86" s="204"/>
      <c r="BX86" s="204"/>
      <c r="BY86" s="204"/>
      <c r="BZ86" s="204"/>
      <c r="CA86" s="204"/>
      <c r="CB86" s="204"/>
      <c r="CC86" s="204"/>
      <c r="CD86" s="204"/>
      <c r="CE86" s="204"/>
      <c r="CF86" s="204"/>
      <c r="CG86" s="204"/>
      <c r="CH86" s="204"/>
      <c r="CI86" s="204"/>
      <c r="CJ86" s="204"/>
      <c r="CK86" s="204"/>
      <c r="CL86" s="204"/>
      <c r="CM86" s="204"/>
      <c r="CN86" s="204"/>
      <c r="CO86" s="204"/>
      <c r="CP86" s="204"/>
      <c r="CQ86" s="204"/>
      <c r="CR86" s="204"/>
      <c r="CS86" s="204"/>
      <c r="CT86" s="204"/>
      <c r="CU86" s="204"/>
      <c r="CV86" s="204"/>
      <c r="CW86" s="204"/>
      <c r="CX86" s="204"/>
      <c r="CY86" s="204"/>
    </row>
    <row r="87" spans="1:103" ht="60.75" customHeight="1" x14ac:dyDescent="0.2">
      <c r="A87" s="1820"/>
      <c r="B87" s="1826"/>
      <c r="C87" s="194"/>
      <c r="D87" s="194"/>
      <c r="E87" s="195"/>
      <c r="F87" s="195"/>
      <c r="G87" s="195"/>
      <c r="H87" s="195"/>
      <c r="I87" s="195"/>
      <c r="J87" s="195"/>
      <c r="K87" s="195"/>
      <c r="L87" s="195"/>
      <c r="M87" s="195"/>
      <c r="N87" s="195"/>
      <c r="O87" s="195"/>
      <c r="P87" s="195"/>
      <c r="Q87" s="195"/>
      <c r="R87" s="195"/>
      <c r="S87" s="195"/>
      <c r="T87" s="194"/>
      <c r="U87" s="1830"/>
      <c r="V87" s="194" t="s">
        <v>811</v>
      </c>
      <c r="W87" s="194">
        <v>28</v>
      </c>
      <c r="X87" s="1241" t="s">
        <v>812</v>
      </c>
      <c r="Y87" s="220">
        <v>14</v>
      </c>
      <c r="Z87" s="199">
        <v>28</v>
      </c>
      <c r="AA87" s="199">
        <v>4</v>
      </c>
      <c r="AB87" s="199">
        <v>5</v>
      </c>
      <c r="AC87" s="197">
        <f>+Z87/Y87</f>
        <v>2</v>
      </c>
      <c r="AD87" s="331">
        <f>+AA87/Y87</f>
        <v>0.2857142857142857</v>
      </c>
      <c r="AE87" s="331">
        <f>+AB87/Y87</f>
        <v>0.35714285714285715</v>
      </c>
      <c r="AF87" s="199">
        <v>0</v>
      </c>
      <c r="AG87" s="199">
        <v>28</v>
      </c>
      <c r="AH87" s="199"/>
      <c r="AI87" s="196">
        <v>28</v>
      </c>
      <c r="AJ87" s="199"/>
      <c r="AK87" s="196">
        <v>28</v>
      </c>
      <c r="AL87" s="197">
        <f>+AK87/Z87</f>
        <v>1</v>
      </c>
      <c r="AM87" s="199">
        <v>0</v>
      </c>
      <c r="AN87" s="197">
        <v>0</v>
      </c>
      <c r="AO87" s="199">
        <v>4</v>
      </c>
      <c r="AP87" s="199">
        <v>0</v>
      </c>
      <c r="AQ87" s="199"/>
      <c r="AR87" s="199">
        <v>0</v>
      </c>
      <c r="AS87" s="199"/>
      <c r="AT87" s="199">
        <v>2</v>
      </c>
      <c r="AU87" s="199"/>
      <c r="AV87" s="239">
        <v>2</v>
      </c>
      <c r="AW87" s="239"/>
      <c r="AX87" s="239">
        <f>+AT87+AV87</f>
        <v>4</v>
      </c>
      <c r="AY87" s="307">
        <v>1</v>
      </c>
      <c r="AZ87" s="199">
        <f>+AX87</f>
        <v>4</v>
      </c>
      <c r="BA87" s="871">
        <f>+AZ87/Y87</f>
        <v>0.2857142857142857</v>
      </c>
      <c r="BB87" s="199">
        <v>5</v>
      </c>
      <c r="BC87" s="199">
        <v>0</v>
      </c>
      <c r="BD87" s="199"/>
      <c r="BE87" s="199">
        <v>3</v>
      </c>
      <c r="BF87" s="199"/>
      <c r="BG87" s="199">
        <v>2</v>
      </c>
      <c r="BH87" s="199"/>
      <c r="BI87" s="199">
        <v>0</v>
      </c>
      <c r="BJ87" s="199"/>
      <c r="BK87" s="199">
        <f>+BE87+BG87</f>
        <v>5</v>
      </c>
      <c r="BL87" s="58">
        <f>+BK87/BB87</f>
        <v>1</v>
      </c>
      <c r="BM87" s="199">
        <f>BK87+AZ87</f>
        <v>9</v>
      </c>
      <c r="BN87" s="58">
        <f>BM87/Y87</f>
        <v>0.6428571428571429</v>
      </c>
      <c r="BO87" s="204"/>
      <c r="BP87" s="204"/>
      <c r="BQ87" s="204"/>
      <c r="BR87" s="204"/>
      <c r="BS87" s="204"/>
      <c r="BT87" s="204"/>
      <c r="BU87" s="204"/>
      <c r="BV87" s="204"/>
      <c r="BW87" s="204"/>
      <c r="BX87" s="204"/>
      <c r="BY87" s="204"/>
      <c r="BZ87" s="204"/>
      <c r="CA87" s="204"/>
      <c r="CB87" s="204"/>
      <c r="CC87" s="204"/>
      <c r="CD87" s="204"/>
      <c r="CE87" s="204"/>
      <c r="CF87" s="204"/>
      <c r="CG87" s="204"/>
      <c r="CH87" s="204"/>
      <c r="CI87" s="204"/>
      <c r="CJ87" s="204"/>
      <c r="CK87" s="204"/>
      <c r="CL87" s="204"/>
      <c r="CM87" s="204"/>
      <c r="CN87" s="204"/>
      <c r="CO87" s="204"/>
      <c r="CP87" s="204"/>
      <c r="CQ87" s="204"/>
      <c r="CR87" s="204"/>
      <c r="CS87" s="204"/>
      <c r="CT87" s="204"/>
      <c r="CU87" s="204"/>
      <c r="CV87" s="204"/>
      <c r="CW87" s="204"/>
      <c r="CX87" s="204"/>
      <c r="CY87" s="204"/>
    </row>
    <row r="88" spans="1:103" ht="64.5" customHeight="1" x14ac:dyDescent="0.2">
      <c r="A88" s="1820"/>
      <c r="B88" s="1826"/>
      <c r="C88" s="194"/>
      <c r="D88" s="194"/>
      <c r="E88" s="195"/>
      <c r="F88" s="195"/>
      <c r="G88" s="195"/>
      <c r="H88" s="195"/>
      <c r="I88" s="195"/>
      <c r="J88" s="195"/>
      <c r="K88" s="195"/>
      <c r="L88" s="195"/>
      <c r="M88" s="195"/>
      <c r="N88" s="195"/>
      <c r="O88" s="195"/>
      <c r="P88" s="195"/>
      <c r="Q88" s="195"/>
      <c r="R88" s="195"/>
      <c r="S88" s="195"/>
      <c r="T88" s="194"/>
      <c r="U88" s="1830"/>
      <c r="V88" s="194" t="s">
        <v>813</v>
      </c>
      <c r="W88" s="194">
        <v>0</v>
      </c>
      <c r="X88" s="1241" t="s">
        <v>814</v>
      </c>
      <c r="Y88" s="220">
        <v>1</v>
      </c>
      <c r="Z88" s="197">
        <v>0.05</v>
      </c>
      <c r="AA88" s="197">
        <v>0.05</v>
      </c>
      <c r="AB88" s="197">
        <v>0.5</v>
      </c>
      <c r="AC88" s="197">
        <f>+Z88/Y88</f>
        <v>0.05</v>
      </c>
      <c r="AD88" s="331">
        <f>+AA88/Y88</f>
        <v>0.05</v>
      </c>
      <c r="AE88" s="331">
        <v>0.5</v>
      </c>
      <c r="AF88" s="58">
        <v>0</v>
      </c>
      <c r="AG88" s="58">
        <v>0</v>
      </c>
      <c r="AH88" s="199"/>
      <c r="AI88" s="197">
        <v>0.05</v>
      </c>
      <c r="AJ88" s="199"/>
      <c r="AK88" s="196">
        <f>+AI88</f>
        <v>0.05</v>
      </c>
      <c r="AL88" s="197">
        <v>0</v>
      </c>
      <c r="AM88" s="196">
        <f>+AK88</f>
        <v>0.05</v>
      </c>
      <c r="AN88" s="197">
        <f>+AM88/Y88</f>
        <v>0.05</v>
      </c>
      <c r="AO88" s="197">
        <v>0.05</v>
      </c>
      <c r="AP88" s="199">
        <v>0</v>
      </c>
      <c r="AQ88" s="199"/>
      <c r="AR88" s="199">
        <v>0</v>
      </c>
      <c r="AS88" s="199"/>
      <c r="AT88" s="199">
        <v>0</v>
      </c>
      <c r="AU88" s="199"/>
      <c r="AV88" s="332">
        <v>0.05</v>
      </c>
      <c r="AW88" s="239"/>
      <c r="AX88" s="332">
        <f>+AV88</f>
        <v>0.05</v>
      </c>
      <c r="AY88" s="307">
        <v>1</v>
      </c>
      <c r="AZ88" s="197">
        <f>AN88+AX88</f>
        <v>0.1</v>
      </c>
      <c r="BA88" s="233">
        <f>AZ88</f>
        <v>0.1</v>
      </c>
      <c r="BB88" s="197">
        <v>0.5</v>
      </c>
      <c r="BC88" s="197">
        <v>0</v>
      </c>
      <c r="BD88" s="199"/>
      <c r="BE88" s="197">
        <v>0</v>
      </c>
      <c r="BF88" s="199"/>
      <c r="BG88" s="197">
        <v>0.3</v>
      </c>
      <c r="BH88" s="199"/>
      <c r="BI88" s="197">
        <v>0.15</v>
      </c>
      <c r="BJ88" s="199"/>
      <c r="BK88" s="197">
        <f>+BG88+BI88</f>
        <v>0.44999999999999996</v>
      </c>
      <c r="BL88" s="197">
        <f>BK88/BB88</f>
        <v>0.89999999999999991</v>
      </c>
      <c r="BM88" s="197">
        <f>AZ88+BK88+5%</f>
        <v>0.6</v>
      </c>
      <c r="BN88" s="197">
        <f>BM88</f>
        <v>0.6</v>
      </c>
      <c r="BO88" s="204"/>
      <c r="BP88" s="204"/>
      <c r="BQ88" s="204"/>
      <c r="BR88" s="204"/>
      <c r="BS88" s="204"/>
      <c r="BT88" s="204"/>
      <c r="BU88" s="204"/>
      <c r="BV88" s="204"/>
      <c r="BW88" s="204"/>
      <c r="BX88" s="204"/>
      <c r="BY88" s="204"/>
      <c r="BZ88" s="204"/>
      <c r="CA88" s="204"/>
      <c r="CB88" s="204"/>
      <c r="CC88" s="204"/>
      <c r="CD88" s="204"/>
      <c r="CE88" s="204"/>
      <c r="CF88" s="204"/>
      <c r="CG88" s="204"/>
      <c r="CH88" s="204"/>
      <c r="CI88" s="204"/>
      <c r="CJ88" s="204"/>
      <c r="CK88" s="204"/>
      <c r="CL88" s="204"/>
      <c r="CM88" s="204"/>
      <c r="CN88" s="204"/>
      <c r="CO88" s="204"/>
      <c r="CP88" s="204"/>
      <c r="CQ88" s="204"/>
      <c r="CR88" s="204"/>
      <c r="CS88" s="204"/>
      <c r="CT88" s="204"/>
      <c r="CU88" s="204"/>
      <c r="CV88" s="204"/>
      <c r="CW88" s="204"/>
      <c r="CX88" s="204"/>
      <c r="CY88" s="204"/>
    </row>
    <row r="89" spans="1:103" ht="45" customHeight="1" x14ac:dyDescent="0.2">
      <c r="A89" s="1820"/>
      <c r="B89" s="1826"/>
      <c r="C89" s="194"/>
      <c r="D89" s="194"/>
      <c r="E89" s="195"/>
      <c r="F89" s="195"/>
      <c r="G89" s="195"/>
      <c r="H89" s="195"/>
      <c r="I89" s="195"/>
      <c r="J89" s="195"/>
      <c r="K89" s="195"/>
      <c r="L89" s="195"/>
      <c r="M89" s="195"/>
      <c r="N89" s="195"/>
      <c r="O89" s="195"/>
      <c r="P89" s="195"/>
      <c r="Q89" s="195"/>
      <c r="R89" s="195"/>
      <c r="S89" s="195"/>
      <c r="T89" s="194"/>
      <c r="U89" s="1830"/>
      <c r="V89" s="194" t="s">
        <v>815</v>
      </c>
      <c r="W89" s="194">
        <v>0</v>
      </c>
      <c r="X89" s="1241" t="s">
        <v>816</v>
      </c>
      <c r="Y89" s="220">
        <v>1</v>
      </c>
      <c r="Z89" s="197">
        <v>0.05</v>
      </c>
      <c r="AA89" s="197">
        <v>0.25</v>
      </c>
      <c r="AB89" s="197">
        <v>0.75</v>
      </c>
      <c r="AC89" s="197">
        <f>+Z89/Y89</f>
        <v>0.05</v>
      </c>
      <c r="AD89" s="331">
        <f>+AA89/Y89</f>
        <v>0.25</v>
      </c>
      <c r="AE89" s="331">
        <v>0.25</v>
      </c>
      <c r="AF89" s="58">
        <v>0</v>
      </c>
      <c r="AG89" s="58">
        <v>0</v>
      </c>
      <c r="AH89" s="199"/>
      <c r="AI89" s="196">
        <v>0</v>
      </c>
      <c r="AJ89" s="199"/>
      <c r="AK89" s="196">
        <f>+AI89</f>
        <v>0</v>
      </c>
      <c r="AL89" s="197">
        <f>+AK89/Z89</f>
        <v>0</v>
      </c>
      <c r="AM89" s="196">
        <f>+AK89</f>
        <v>0</v>
      </c>
      <c r="AN89" s="197">
        <f>+AM89/Y89</f>
        <v>0</v>
      </c>
      <c r="AO89" s="197">
        <v>0.25</v>
      </c>
      <c r="AP89" s="197">
        <v>0.1</v>
      </c>
      <c r="AQ89" s="195"/>
      <c r="AR89" s="199">
        <v>0</v>
      </c>
      <c r="AS89" s="195"/>
      <c r="AT89" s="199">
        <v>0</v>
      </c>
      <c r="AU89" s="195"/>
      <c r="AV89" s="332">
        <v>0.15</v>
      </c>
      <c r="AW89" s="239"/>
      <c r="AX89" s="332">
        <f>AP89+AV89</f>
        <v>0.25</v>
      </c>
      <c r="AY89" s="307">
        <f>AX89/AO89</f>
        <v>1</v>
      </c>
      <c r="AZ89" s="197">
        <f>AX89+AM89</f>
        <v>0.25</v>
      </c>
      <c r="BA89" s="233">
        <f>AZ89</f>
        <v>0.25</v>
      </c>
      <c r="BB89" s="197">
        <v>0.75</v>
      </c>
      <c r="BC89" s="197">
        <v>0.11</v>
      </c>
      <c r="BD89" s="199"/>
      <c r="BE89" s="197">
        <v>0.04</v>
      </c>
      <c r="BF89" s="199"/>
      <c r="BG89" s="197">
        <v>0.08</v>
      </c>
      <c r="BH89" s="199"/>
      <c r="BI89" s="197">
        <v>0.12</v>
      </c>
      <c r="BJ89" s="199"/>
      <c r="BK89" s="197">
        <f>BC89+BE89+BG89+BI89</f>
        <v>0.35</v>
      </c>
      <c r="BL89" s="230">
        <f>+BK89/BB89</f>
        <v>0.46666666666666662</v>
      </c>
      <c r="BM89" s="197">
        <f>BL89+BA89</f>
        <v>0.71666666666666656</v>
      </c>
      <c r="BN89" s="58">
        <v>0.6</v>
      </c>
      <c r="BO89" s="204"/>
      <c r="BP89" s="204"/>
      <c r="BQ89" s="204"/>
      <c r="BR89" s="204"/>
      <c r="BS89" s="204"/>
      <c r="BT89" s="204"/>
      <c r="BU89" s="204"/>
      <c r="BV89" s="204"/>
      <c r="BW89" s="204"/>
      <c r="BX89" s="204"/>
      <c r="BY89" s="204"/>
      <c r="BZ89" s="204"/>
      <c r="CA89" s="204"/>
      <c r="CB89" s="204"/>
      <c r="CC89" s="204"/>
      <c r="CD89" s="204"/>
      <c r="CE89" s="204"/>
      <c r="CF89" s="204"/>
      <c r="CG89" s="204"/>
      <c r="CH89" s="204"/>
      <c r="CI89" s="204"/>
      <c r="CJ89" s="204"/>
      <c r="CK89" s="204"/>
      <c r="CL89" s="204"/>
      <c r="CM89" s="204"/>
      <c r="CN89" s="204"/>
      <c r="CO89" s="204"/>
      <c r="CP89" s="204"/>
      <c r="CQ89" s="204"/>
      <c r="CR89" s="204"/>
      <c r="CS89" s="204"/>
      <c r="CT89" s="204"/>
      <c r="CU89" s="204"/>
      <c r="CV89" s="204"/>
      <c r="CW89" s="204"/>
      <c r="CX89" s="204"/>
      <c r="CY89" s="204"/>
    </row>
    <row r="90" spans="1:103" ht="15.75" customHeight="1" x14ac:dyDescent="0.2">
      <c r="A90" s="1820"/>
      <c r="B90" s="1826"/>
      <c r="C90" s="194"/>
      <c r="D90" s="194"/>
      <c r="E90" s="195"/>
      <c r="F90" s="195"/>
      <c r="G90" s="195"/>
      <c r="H90" s="195"/>
      <c r="I90" s="195"/>
      <c r="J90" s="195"/>
      <c r="K90" s="195"/>
      <c r="L90" s="195"/>
      <c r="M90" s="195"/>
      <c r="N90" s="195"/>
      <c r="O90" s="195"/>
      <c r="P90" s="195"/>
      <c r="Q90" s="195"/>
      <c r="R90" s="195"/>
      <c r="S90" s="195"/>
      <c r="T90" s="194"/>
      <c r="U90" s="1831"/>
      <c r="V90" s="246"/>
      <c r="W90" s="246"/>
      <c r="X90" s="1454"/>
      <c r="Y90" s="246"/>
      <c r="Z90" s="247"/>
      <c r="AA90" s="247"/>
      <c r="AB90" s="247"/>
      <c r="AC90" s="252">
        <f>AVERAGE(AC86:AC89)</f>
        <v>0.56249999999999989</v>
      </c>
      <c r="AD90" s="252">
        <f>AVERAGE(AD85:AD89)</f>
        <v>0.34714285714285709</v>
      </c>
      <c r="AE90" s="252">
        <f>AVERAGE(AE85:AE89)</f>
        <v>0.32142857142857145</v>
      </c>
      <c r="AF90" s="247"/>
      <c r="AG90" s="247"/>
      <c r="AH90" s="247"/>
      <c r="AI90" s="251"/>
      <c r="AJ90" s="247"/>
      <c r="AK90" s="247"/>
      <c r="AL90" s="252">
        <f>AVERAGE(AL85:AL89)</f>
        <v>0.6</v>
      </c>
      <c r="AM90" s="247"/>
      <c r="AN90" s="252">
        <f>AVERAGE(AN85:AN89)</f>
        <v>0.09</v>
      </c>
      <c r="AO90" s="247"/>
      <c r="AP90" s="290"/>
      <c r="AQ90" s="290"/>
      <c r="AR90" s="290"/>
      <c r="AS90" s="290"/>
      <c r="AT90" s="247"/>
      <c r="AU90" s="290"/>
      <c r="AV90" s="290"/>
      <c r="AW90" s="290"/>
      <c r="AX90" s="290"/>
      <c r="AY90" s="214">
        <f>AVERAGE(AY85:AY89)</f>
        <v>1</v>
      </c>
      <c r="AZ90" s="214"/>
      <c r="BA90" s="320">
        <f>AVERAGE(BA85:BA89)</f>
        <v>0.2871428571428572</v>
      </c>
      <c r="BB90" s="290"/>
      <c r="BC90" s="290"/>
      <c r="BD90" s="290"/>
      <c r="BE90" s="290"/>
      <c r="BF90" s="290"/>
      <c r="BG90" s="290"/>
      <c r="BH90" s="290"/>
      <c r="BI90" s="290"/>
      <c r="BJ90" s="290"/>
      <c r="BK90" s="290"/>
      <c r="BL90" s="214">
        <f>AVERAGE(BL85:BL89)</f>
        <v>0.78761904761904766</v>
      </c>
      <c r="BM90" s="290"/>
      <c r="BN90" s="214">
        <f>AVERAGE(BN85:BN89)</f>
        <v>0.61857142857142855</v>
      </c>
      <c r="BO90" s="291"/>
      <c r="BP90" s="291"/>
      <c r="BQ90" s="291"/>
      <c r="BR90" s="291"/>
      <c r="BS90" s="291"/>
      <c r="BT90" s="291"/>
      <c r="BU90" s="291"/>
      <c r="BV90" s="291"/>
      <c r="BW90" s="291"/>
      <c r="BX90" s="291"/>
      <c r="BY90" s="291"/>
      <c r="BZ90" s="291"/>
      <c r="CA90" s="291"/>
      <c r="CB90" s="291"/>
      <c r="CC90" s="291"/>
      <c r="CD90" s="291"/>
      <c r="CE90" s="291"/>
      <c r="CF90" s="291"/>
      <c r="CG90" s="291"/>
      <c r="CH90" s="291"/>
      <c r="CI90" s="291"/>
      <c r="CJ90" s="291"/>
      <c r="CK90" s="291"/>
      <c r="CL90" s="291"/>
      <c r="CM90" s="291"/>
      <c r="CN90" s="291"/>
      <c r="CO90" s="291"/>
      <c r="CP90" s="291"/>
      <c r="CQ90" s="291"/>
      <c r="CR90" s="291"/>
      <c r="CS90" s="291"/>
      <c r="CT90" s="291"/>
      <c r="CU90" s="291"/>
      <c r="CV90" s="291"/>
      <c r="CW90" s="291"/>
      <c r="CX90" s="291"/>
      <c r="CY90" s="291"/>
    </row>
    <row r="91" spans="1:103" ht="54.75" customHeight="1" x14ac:dyDescent="0.2">
      <c r="A91" s="1820"/>
      <c r="B91" s="1826"/>
      <c r="C91" s="194"/>
      <c r="D91" s="194"/>
      <c r="E91" s="195"/>
      <c r="F91" s="195"/>
      <c r="G91" s="195"/>
      <c r="H91" s="195"/>
      <c r="I91" s="195"/>
      <c r="J91" s="195"/>
      <c r="K91" s="195"/>
      <c r="L91" s="195"/>
      <c r="M91" s="195"/>
      <c r="N91" s="195"/>
      <c r="O91" s="195"/>
      <c r="P91" s="195"/>
      <c r="Q91" s="195"/>
      <c r="R91" s="195"/>
      <c r="S91" s="195"/>
      <c r="T91" s="194"/>
      <c r="U91" s="1829" t="s">
        <v>817</v>
      </c>
      <c r="V91" s="194" t="s">
        <v>818</v>
      </c>
      <c r="W91" s="333" t="s">
        <v>819</v>
      </c>
      <c r="X91" s="1241" t="s">
        <v>820</v>
      </c>
      <c r="Y91" s="220">
        <v>1250</v>
      </c>
      <c r="Z91" s="199">
        <v>200</v>
      </c>
      <c r="AA91" s="199">
        <v>350</v>
      </c>
      <c r="AB91" s="199">
        <v>350</v>
      </c>
      <c r="AC91" s="197">
        <f>+Z91/Y91</f>
        <v>0.16</v>
      </c>
      <c r="AD91" s="197">
        <f>+AA91/Y91</f>
        <v>0.28000000000000003</v>
      </c>
      <c r="AE91" s="197">
        <f>AB91/Y91</f>
        <v>0.28000000000000003</v>
      </c>
      <c r="AF91" s="199">
        <v>0</v>
      </c>
      <c r="AG91" s="199">
        <v>150</v>
      </c>
      <c r="AH91" s="199"/>
      <c r="AI91" s="196">
        <v>150</v>
      </c>
      <c r="AJ91" s="199"/>
      <c r="AK91" s="196">
        <f>+AI91</f>
        <v>150</v>
      </c>
      <c r="AL91" s="197">
        <f>+AK91/Z91</f>
        <v>0.75</v>
      </c>
      <c r="AM91" s="196">
        <f>+AK91</f>
        <v>150</v>
      </c>
      <c r="AN91" s="197">
        <f>+AM91/Y91</f>
        <v>0.12</v>
      </c>
      <c r="AO91" s="200">
        <v>350</v>
      </c>
      <c r="AP91" s="200">
        <v>189</v>
      </c>
      <c r="AQ91" s="200"/>
      <c r="AR91" s="200">
        <v>189</v>
      </c>
      <c r="AS91" s="200"/>
      <c r="AT91" s="199">
        <v>300</v>
      </c>
      <c r="AU91" s="200"/>
      <c r="AV91" s="199">
        <v>313</v>
      </c>
      <c r="AW91" s="256"/>
      <c r="AX91" s="256">
        <f>+AV91</f>
        <v>313</v>
      </c>
      <c r="AY91" s="334">
        <f>AX91/AO91</f>
        <v>0.89428571428571424</v>
      </c>
      <c r="AZ91" s="335">
        <v>462</v>
      </c>
      <c r="BA91" s="336">
        <f>AZ91/Y91</f>
        <v>0.36959999999999998</v>
      </c>
      <c r="BB91" s="199">
        <v>350</v>
      </c>
      <c r="BC91" s="199">
        <v>289</v>
      </c>
      <c r="BD91" s="199"/>
      <c r="BE91" s="199">
        <v>0</v>
      </c>
      <c r="BF91" s="199"/>
      <c r="BG91" s="199">
        <v>349</v>
      </c>
      <c r="BH91" s="199"/>
      <c r="BI91" s="199">
        <v>310</v>
      </c>
      <c r="BJ91" s="199"/>
      <c r="BK91" s="199">
        <f>+BC91+BE91+BG91+BI91</f>
        <v>948</v>
      </c>
      <c r="BL91" s="58">
        <v>1</v>
      </c>
      <c r="BM91" s="196">
        <f>BK91+AZ91+5</f>
        <v>1415</v>
      </c>
      <c r="BN91" s="58">
        <v>1</v>
      </c>
      <c r="BO91" s="204"/>
      <c r="BP91" s="204"/>
      <c r="BQ91" s="204"/>
      <c r="BR91" s="204"/>
      <c r="BS91" s="204"/>
      <c r="BT91" s="204"/>
      <c r="BU91" s="204"/>
      <c r="BV91" s="204"/>
      <c r="BW91" s="204"/>
      <c r="BX91" s="204"/>
      <c r="BY91" s="204"/>
      <c r="BZ91" s="204"/>
      <c r="CA91" s="204"/>
      <c r="CB91" s="204"/>
      <c r="CC91" s="204"/>
      <c r="CD91" s="204"/>
      <c r="CE91" s="204"/>
      <c r="CF91" s="204"/>
      <c r="CG91" s="204"/>
      <c r="CH91" s="204"/>
      <c r="CI91" s="204"/>
      <c r="CJ91" s="204"/>
      <c r="CK91" s="204"/>
      <c r="CL91" s="204"/>
      <c r="CM91" s="204"/>
      <c r="CN91" s="204"/>
      <c r="CO91" s="204"/>
      <c r="CP91" s="204"/>
      <c r="CQ91" s="204"/>
      <c r="CR91" s="204"/>
      <c r="CS91" s="204"/>
      <c r="CT91" s="204"/>
      <c r="CU91" s="204"/>
      <c r="CV91" s="204"/>
      <c r="CW91" s="204"/>
      <c r="CX91" s="204"/>
      <c r="CY91" s="204"/>
    </row>
    <row r="92" spans="1:103" ht="59.25" customHeight="1" x14ac:dyDescent="0.2">
      <c r="A92" s="1820"/>
      <c r="B92" s="1826"/>
      <c r="C92" s="194"/>
      <c r="D92" s="194"/>
      <c r="E92" s="195"/>
      <c r="F92" s="195"/>
      <c r="G92" s="195"/>
      <c r="H92" s="195"/>
      <c r="I92" s="195"/>
      <c r="J92" s="195"/>
      <c r="K92" s="195"/>
      <c r="L92" s="195"/>
      <c r="M92" s="195"/>
      <c r="N92" s="195"/>
      <c r="O92" s="195"/>
      <c r="P92" s="195"/>
      <c r="Q92" s="195"/>
      <c r="R92" s="195"/>
      <c r="S92" s="195"/>
      <c r="T92" s="194"/>
      <c r="U92" s="1830"/>
      <c r="V92" s="194" t="s">
        <v>821</v>
      </c>
      <c r="W92" s="194" t="s">
        <v>822</v>
      </c>
      <c r="X92" s="1241" t="s">
        <v>823</v>
      </c>
      <c r="Y92" s="220">
        <v>7</v>
      </c>
      <c r="Z92" s="199" t="s">
        <v>177</v>
      </c>
      <c r="AA92" s="199">
        <v>1</v>
      </c>
      <c r="AB92" s="199">
        <v>1</v>
      </c>
      <c r="AC92" s="199"/>
      <c r="AD92" s="197">
        <f>+AA92/Y92</f>
        <v>0.14285714285714285</v>
      </c>
      <c r="AE92" s="197">
        <f>AB92/Y92</f>
        <v>0.14285714285714285</v>
      </c>
      <c r="AF92" s="199"/>
      <c r="AG92" s="199"/>
      <c r="AH92" s="199"/>
      <c r="AI92" s="196"/>
      <c r="AJ92" s="199"/>
      <c r="AK92" s="199"/>
      <c r="AL92" s="199"/>
      <c r="AM92" s="199"/>
      <c r="AN92" s="199"/>
      <c r="AO92" s="200">
        <v>1</v>
      </c>
      <c r="AP92" s="200">
        <v>0</v>
      </c>
      <c r="AQ92" s="200"/>
      <c r="AR92" s="200">
        <v>0</v>
      </c>
      <c r="AS92" s="200"/>
      <c r="AT92" s="199"/>
      <c r="AU92" s="200"/>
      <c r="AV92" s="199">
        <v>0</v>
      </c>
      <c r="AW92" s="256"/>
      <c r="AX92" s="256">
        <f>AP92</f>
        <v>0</v>
      </c>
      <c r="AY92" s="334">
        <f>AX92/AO92</f>
        <v>0</v>
      </c>
      <c r="AZ92" s="256">
        <f>AX92+AM92</f>
        <v>0</v>
      </c>
      <c r="BA92" s="336">
        <f>AZ92/Y92</f>
        <v>0</v>
      </c>
      <c r="BB92" s="199">
        <v>1</v>
      </c>
      <c r="BC92" s="199">
        <v>0</v>
      </c>
      <c r="BD92" s="199"/>
      <c r="BE92" s="199">
        <v>0.75</v>
      </c>
      <c r="BF92" s="199"/>
      <c r="BG92" s="199">
        <v>3</v>
      </c>
      <c r="BH92" s="199"/>
      <c r="BI92" s="199">
        <v>3</v>
      </c>
      <c r="BJ92" s="199"/>
      <c r="BK92" s="199">
        <f>+BG92</f>
        <v>3</v>
      </c>
      <c r="BL92" s="58">
        <v>1</v>
      </c>
      <c r="BM92" s="199">
        <f>BK92+AZ92</f>
        <v>3</v>
      </c>
      <c r="BN92" s="58">
        <v>1</v>
      </c>
      <c r="BO92" s="204"/>
      <c r="BP92" s="204"/>
      <c r="BQ92" s="204"/>
      <c r="BR92" s="204"/>
      <c r="BS92" s="204"/>
      <c r="BT92" s="204"/>
      <c r="BU92" s="204"/>
      <c r="BV92" s="204"/>
      <c r="BW92" s="204"/>
      <c r="BX92" s="204"/>
      <c r="BY92" s="204"/>
      <c r="BZ92" s="204"/>
      <c r="CA92" s="204"/>
      <c r="CB92" s="204"/>
      <c r="CC92" s="204"/>
      <c r="CD92" s="204"/>
      <c r="CE92" s="204"/>
      <c r="CF92" s="204"/>
      <c r="CG92" s="204"/>
      <c r="CH92" s="204"/>
      <c r="CI92" s="204"/>
      <c r="CJ92" s="204"/>
      <c r="CK92" s="204"/>
      <c r="CL92" s="204"/>
      <c r="CM92" s="204"/>
      <c r="CN92" s="204"/>
      <c r="CO92" s="204"/>
      <c r="CP92" s="204"/>
      <c r="CQ92" s="204"/>
      <c r="CR92" s="204"/>
      <c r="CS92" s="204"/>
      <c r="CT92" s="204"/>
      <c r="CU92" s="204"/>
      <c r="CV92" s="204"/>
      <c r="CW92" s="204"/>
      <c r="CX92" s="204"/>
      <c r="CY92" s="204"/>
    </row>
    <row r="93" spans="1:103" ht="63" customHeight="1" x14ac:dyDescent="0.2">
      <c r="A93" s="1820"/>
      <c r="B93" s="1826"/>
      <c r="C93" s="194"/>
      <c r="D93" s="194"/>
      <c r="E93" s="195"/>
      <c r="F93" s="195"/>
      <c r="G93" s="195"/>
      <c r="H93" s="195"/>
      <c r="I93" s="195"/>
      <c r="J93" s="195"/>
      <c r="K93" s="195"/>
      <c r="L93" s="195"/>
      <c r="M93" s="195"/>
      <c r="N93" s="195"/>
      <c r="O93" s="195"/>
      <c r="P93" s="195"/>
      <c r="Q93" s="195"/>
      <c r="R93" s="195"/>
      <c r="S93" s="195"/>
      <c r="T93" s="194"/>
      <c r="U93" s="1830"/>
      <c r="V93" s="194" t="s">
        <v>824</v>
      </c>
      <c r="W93" s="326" t="s">
        <v>825</v>
      </c>
      <c r="X93" s="1241" t="s">
        <v>826</v>
      </c>
      <c r="Y93" s="215">
        <v>170</v>
      </c>
      <c r="Z93" s="199" t="s">
        <v>177</v>
      </c>
      <c r="AA93" s="199">
        <v>162</v>
      </c>
      <c r="AB93" s="199">
        <v>166</v>
      </c>
      <c r="AC93" s="199"/>
      <c r="AD93" s="197">
        <f>+AA93/Y93</f>
        <v>0.95294117647058818</v>
      </c>
      <c r="AE93" s="197"/>
      <c r="AF93" s="199"/>
      <c r="AG93" s="199"/>
      <c r="AH93" s="199"/>
      <c r="AI93" s="196"/>
      <c r="AJ93" s="199"/>
      <c r="AK93" s="199"/>
      <c r="AL93" s="199"/>
      <c r="AM93" s="199"/>
      <c r="AN93" s="199"/>
      <c r="AO93" s="200">
        <v>162</v>
      </c>
      <c r="AP93" s="200">
        <v>26</v>
      </c>
      <c r="AQ93" s="200"/>
      <c r="AR93" s="200">
        <v>21</v>
      </c>
      <c r="AS93" s="200"/>
      <c r="AT93" s="199">
        <v>107</v>
      </c>
      <c r="AU93" s="200"/>
      <c r="AV93" s="199">
        <v>264</v>
      </c>
      <c r="AW93" s="256"/>
      <c r="AX93" s="256">
        <f>+AV93</f>
        <v>264</v>
      </c>
      <c r="AY93" s="334">
        <v>1</v>
      </c>
      <c r="AZ93" s="256">
        <f>+AX93</f>
        <v>264</v>
      </c>
      <c r="BA93" s="337">
        <v>1</v>
      </c>
      <c r="BB93" s="199">
        <v>166</v>
      </c>
      <c r="BC93" s="199">
        <v>0</v>
      </c>
      <c r="BD93" s="199"/>
      <c r="BE93" s="199">
        <v>125</v>
      </c>
      <c r="BF93" s="199"/>
      <c r="BG93" s="199">
        <v>133</v>
      </c>
      <c r="BH93" s="199"/>
      <c r="BI93" s="199">
        <v>189</v>
      </c>
      <c r="BJ93" s="199"/>
      <c r="BK93" s="1226">
        <f>+BC93+BE93+BG93+BI93</f>
        <v>447</v>
      </c>
      <c r="BL93" s="58">
        <v>1</v>
      </c>
      <c r="BM93" s="199">
        <f>BK93+AZ93</f>
        <v>711</v>
      </c>
      <c r="BN93" s="58">
        <f>IFERROR(IF((+BM93/Y93)&gt;100%,100%,(+BM93/Y93)),"NP")</f>
        <v>1</v>
      </c>
      <c r="BO93" s="204"/>
      <c r="BP93" s="204"/>
      <c r="BQ93" s="204"/>
      <c r="BR93" s="204"/>
      <c r="BS93" s="204"/>
      <c r="BT93" s="204"/>
      <c r="BU93" s="204"/>
      <c r="BV93" s="204"/>
      <c r="BW93" s="204"/>
      <c r="BX93" s="204"/>
      <c r="BY93" s="204"/>
      <c r="BZ93" s="204"/>
      <c r="CA93" s="204"/>
      <c r="CB93" s="204"/>
      <c r="CC93" s="204"/>
      <c r="CD93" s="204"/>
      <c r="CE93" s="204"/>
      <c r="CF93" s="204"/>
      <c r="CG93" s="204"/>
      <c r="CH93" s="204"/>
      <c r="CI93" s="204"/>
      <c r="CJ93" s="204"/>
      <c r="CK93" s="204"/>
      <c r="CL93" s="204"/>
      <c r="CM93" s="204"/>
      <c r="CN93" s="204"/>
      <c r="CO93" s="204"/>
      <c r="CP93" s="204"/>
      <c r="CQ93" s="204"/>
      <c r="CR93" s="204"/>
      <c r="CS93" s="204"/>
      <c r="CT93" s="204"/>
      <c r="CU93" s="204"/>
      <c r="CV93" s="204"/>
      <c r="CW93" s="204"/>
      <c r="CX93" s="204"/>
      <c r="CY93" s="204"/>
    </row>
    <row r="94" spans="1:103" ht="15.75" customHeight="1" x14ac:dyDescent="0.2">
      <c r="A94" s="1820"/>
      <c r="B94" s="1826"/>
      <c r="C94" s="194"/>
      <c r="D94" s="194"/>
      <c r="E94" s="195"/>
      <c r="F94" s="195"/>
      <c r="G94" s="195"/>
      <c r="H94" s="195"/>
      <c r="I94" s="195"/>
      <c r="J94" s="195"/>
      <c r="K94" s="195"/>
      <c r="L94" s="195"/>
      <c r="M94" s="195"/>
      <c r="N94" s="195"/>
      <c r="O94" s="195"/>
      <c r="P94" s="195"/>
      <c r="Q94" s="195"/>
      <c r="R94" s="195"/>
      <c r="S94" s="195"/>
      <c r="T94" s="194"/>
      <c r="U94" s="1831"/>
      <c r="V94" s="246"/>
      <c r="W94" s="328"/>
      <c r="X94" s="1454"/>
      <c r="Y94" s="246"/>
      <c r="Z94" s="247"/>
      <c r="AA94" s="247"/>
      <c r="AB94" s="247"/>
      <c r="AC94" s="252">
        <f>AVERAGE(AC91:AC93)</f>
        <v>0.16</v>
      </c>
      <c r="AD94" s="252">
        <f>AVERAGE(AD91:AD93)</f>
        <v>0.45859943977591033</v>
      </c>
      <c r="AE94" s="252">
        <f>AVERAGE(AE91:AE93)</f>
        <v>0.21142857142857144</v>
      </c>
      <c r="AF94" s="247"/>
      <c r="AG94" s="247"/>
      <c r="AH94" s="247"/>
      <c r="AI94" s="251"/>
      <c r="AJ94" s="247"/>
      <c r="AK94" s="247"/>
      <c r="AL94" s="252">
        <f>AVERAGE(AL91:AL93)</f>
        <v>0.75</v>
      </c>
      <c r="AM94" s="296"/>
      <c r="AN94" s="253">
        <f>AVERAGE(AN91:AN93)</f>
        <v>0.12</v>
      </c>
      <c r="AO94" s="247"/>
      <c r="AP94" s="290"/>
      <c r="AQ94" s="290"/>
      <c r="AR94" s="290"/>
      <c r="AS94" s="290"/>
      <c r="AT94" s="247"/>
      <c r="AU94" s="290"/>
      <c r="AV94" s="290"/>
      <c r="AW94" s="290"/>
      <c r="AX94" s="290"/>
      <c r="AY94" s="214">
        <f>AVERAGE(AY91:AY93)</f>
        <v>0.63142857142857134</v>
      </c>
      <c r="AZ94" s="214"/>
      <c r="BA94" s="320">
        <f>AVERAGE(BA91:BA93)</f>
        <v>0.45653333333333329</v>
      </c>
      <c r="BB94" s="290"/>
      <c r="BC94" s="290"/>
      <c r="BD94" s="290"/>
      <c r="BE94" s="290"/>
      <c r="BF94" s="290"/>
      <c r="BG94" s="290"/>
      <c r="BH94" s="290"/>
      <c r="BI94" s="290"/>
      <c r="BJ94" s="290"/>
      <c r="BK94" s="290"/>
      <c r="BL94" s="320">
        <f>AVERAGE(BL91:BL93)</f>
        <v>1</v>
      </c>
      <c r="BM94" s="290"/>
      <c r="BN94" s="320">
        <f>AVERAGE(BN91:BN93)</f>
        <v>1</v>
      </c>
      <c r="BO94" s="291"/>
      <c r="BP94" s="291"/>
      <c r="BQ94" s="291"/>
      <c r="BR94" s="291"/>
      <c r="BS94" s="291"/>
      <c r="BT94" s="291"/>
      <c r="BU94" s="291"/>
      <c r="BV94" s="291"/>
      <c r="BW94" s="291"/>
      <c r="BX94" s="291"/>
      <c r="BY94" s="291"/>
      <c r="BZ94" s="291"/>
      <c r="CA94" s="291"/>
      <c r="CB94" s="291"/>
      <c r="CC94" s="291"/>
      <c r="CD94" s="291"/>
      <c r="CE94" s="291"/>
      <c r="CF94" s="291"/>
      <c r="CG94" s="291"/>
      <c r="CH94" s="291"/>
      <c r="CI94" s="291"/>
      <c r="CJ94" s="291"/>
      <c r="CK94" s="291"/>
      <c r="CL94" s="291"/>
      <c r="CM94" s="291"/>
      <c r="CN94" s="291"/>
      <c r="CO94" s="291"/>
      <c r="CP94" s="291"/>
      <c r="CQ94" s="291"/>
      <c r="CR94" s="291"/>
      <c r="CS94" s="291"/>
      <c r="CT94" s="291"/>
      <c r="CU94" s="291"/>
      <c r="CV94" s="291"/>
      <c r="CW94" s="291"/>
      <c r="CX94" s="291"/>
      <c r="CY94" s="291"/>
    </row>
    <row r="95" spans="1:103" ht="80.25" customHeight="1" x14ac:dyDescent="0.2">
      <c r="A95" s="1820"/>
      <c r="B95" s="1826"/>
      <c r="C95" s="194"/>
      <c r="D95" s="194"/>
      <c r="E95" s="195"/>
      <c r="F95" s="195"/>
      <c r="G95" s="195"/>
      <c r="H95" s="195"/>
      <c r="I95" s="195"/>
      <c r="J95" s="195"/>
      <c r="K95" s="195"/>
      <c r="L95" s="195"/>
      <c r="M95" s="195"/>
      <c r="N95" s="195"/>
      <c r="O95" s="195"/>
      <c r="P95" s="195"/>
      <c r="Q95" s="195"/>
      <c r="R95" s="195"/>
      <c r="S95" s="195"/>
      <c r="T95" s="194"/>
      <c r="U95" s="1829" t="s">
        <v>827</v>
      </c>
      <c r="V95" s="194" t="s">
        <v>828</v>
      </c>
      <c r="W95" s="194" t="s">
        <v>829</v>
      </c>
      <c r="X95" s="1241" t="s">
        <v>830</v>
      </c>
      <c r="Y95" s="220">
        <v>4</v>
      </c>
      <c r="Z95" s="199" t="s">
        <v>177</v>
      </c>
      <c r="AA95" s="199">
        <v>1</v>
      </c>
      <c r="AB95" s="199"/>
      <c r="AC95" s="199"/>
      <c r="AD95" s="197">
        <v>0.25</v>
      </c>
      <c r="AE95" s="197"/>
      <c r="AF95" s="199"/>
      <c r="AG95" s="199"/>
      <c r="AH95" s="199"/>
      <c r="AI95" s="196"/>
      <c r="AJ95" s="199"/>
      <c r="AK95" s="199"/>
      <c r="AL95" s="199"/>
      <c r="AM95" s="199"/>
      <c r="AN95" s="199"/>
      <c r="AO95" s="199">
        <v>1</v>
      </c>
      <c r="AP95" s="199">
        <v>0</v>
      </c>
      <c r="AQ95" s="199"/>
      <c r="AR95" s="199">
        <v>1</v>
      </c>
      <c r="AS95" s="199"/>
      <c r="AT95" s="199">
        <v>1</v>
      </c>
      <c r="AU95" s="199"/>
      <c r="AV95" s="199">
        <v>3</v>
      </c>
      <c r="AW95" s="199"/>
      <c r="AX95" s="199">
        <f>+AR95+AV95</f>
        <v>4</v>
      </c>
      <c r="AY95" s="58">
        <v>1</v>
      </c>
      <c r="AZ95" s="200">
        <f>+AX95</f>
        <v>4</v>
      </c>
      <c r="BA95" s="237">
        <f>+AZ95/Y95</f>
        <v>1</v>
      </c>
      <c r="BB95" s="199"/>
      <c r="BC95" s="199"/>
      <c r="BD95" s="199"/>
      <c r="BE95" s="199"/>
      <c r="BF95" s="199"/>
      <c r="BG95" s="199"/>
      <c r="BH95" s="199"/>
      <c r="BI95" s="199"/>
      <c r="BJ95" s="199"/>
      <c r="BK95" s="199">
        <f>+BG95</f>
        <v>0</v>
      </c>
      <c r="BL95" s="197">
        <v>0</v>
      </c>
      <c r="BM95" s="199"/>
      <c r="BN95" s="58">
        <f>BA95</f>
        <v>1</v>
      </c>
      <c r="BO95" s="204"/>
      <c r="BP95" s="204"/>
      <c r="BQ95" s="204"/>
      <c r="BR95" s="204"/>
      <c r="BS95" s="204"/>
      <c r="BT95" s="204"/>
      <c r="BU95" s="204"/>
      <c r="BV95" s="204"/>
      <c r="BW95" s="204"/>
      <c r="BX95" s="204"/>
      <c r="BY95" s="204"/>
      <c r="BZ95" s="204"/>
      <c r="CA95" s="204"/>
      <c r="CB95" s="204"/>
      <c r="CC95" s="204"/>
      <c r="CD95" s="204"/>
      <c r="CE95" s="204"/>
      <c r="CF95" s="204"/>
      <c r="CG95" s="204"/>
      <c r="CH95" s="204"/>
      <c r="CI95" s="204"/>
      <c r="CJ95" s="204"/>
      <c r="CK95" s="204"/>
      <c r="CL95" s="204"/>
      <c r="CM95" s="204"/>
      <c r="CN95" s="204"/>
      <c r="CO95" s="204"/>
      <c r="CP95" s="204"/>
      <c r="CQ95" s="204"/>
      <c r="CR95" s="204"/>
      <c r="CS95" s="204"/>
      <c r="CT95" s="204"/>
      <c r="CU95" s="204"/>
      <c r="CV95" s="204"/>
      <c r="CW95" s="204"/>
      <c r="CX95" s="204"/>
      <c r="CY95" s="204"/>
    </row>
    <row r="96" spans="1:103" ht="53.25" customHeight="1" x14ac:dyDescent="0.2">
      <c r="A96" s="1820"/>
      <c r="B96" s="1826"/>
      <c r="C96" s="194"/>
      <c r="D96" s="194"/>
      <c r="E96" s="195"/>
      <c r="F96" s="195"/>
      <c r="G96" s="195"/>
      <c r="H96" s="195"/>
      <c r="I96" s="195"/>
      <c r="J96" s="195"/>
      <c r="K96" s="195"/>
      <c r="L96" s="195"/>
      <c r="M96" s="195"/>
      <c r="N96" s="195"/>
      <c r="O96" s="195"/>
      <c r="P96" s="195"/>
      <c r="Q96" s="195"/>
      <c r="R96" s="195"/>
      <c r="S96" s="195"/>
      <c r="T96" s="194"/>
      <c r="U96" s="1830"/>
      <c r="V96" s="194" t="s">
        <v>831</v>
      </c>
      <c r="W96" s="194">
        <v>1</v>
      </c>
      <c r="X96" s="1241" t="s">
        <v>832</v>
      </c>
      <c r="Y96" s="220">
        <v>4</v>
      </c>
      <c r="Z96" s="199">
        <v>1</v>
      </c>
      <c r="AA96" s="199">
        <v>1</v>
      </c>
      <c r="AB96" s="197">
        <v>0.02</v>
      </c>
      <c r="AC96" s="197">
        <f>+Z96/Y96</f>
        <v>0.25</v>
      </c>
      <c r="AD96" s="197">
        <v>0.25</v>
      </c>
      <c r="AE96" s="197">
        <v>0.25</v>
      </c>
      <c r="AF96" s="199">
        <v>0</v>
      </c>
      <c r="AG96" s="199">
        <v>0</v>
      </c>
      <c r="AH96" s="199"/>
      <c r="AI96" s="196">
        <v>0</v>
      </c>
      <c r="AJ96" s="199"/>
      <c r="AK96" s="196">
        <f>+AI96</f>
        <v>0</v>
      </c>
      <c r="AL96" s="197">
        <v>0</v>
      </c>
      <c r="AM96" s="196">
        <f>+AK96</f>
        <v>0</v>
      </c>
      <c r="AN96" s="197">
        <v>0</v>
      </c>
      <c r="AO96" s="199">
        <v>1</v>
      </c>
      <c r="AP96" s="199">
        <v>0</v>
      </c>
      <c r="AQ96" s="199"/>
      <c r="AR96" s="199">
        <v>0</v>
      </c>
      <c r="AS96" s="199"/>
      <c r="AT96" s="199">
        <v>1</v>
      </c>
      <c r="AU96" s="199"/>
      <c r="AV96" s="199">
        <v>1</v>
      </c>
      <c r="AW96" s="199"/>
      <c r="AX96" s="199">
        <f>+AV96+AT96</f>
        <v>2</v>
      </c>
      <c r="AY96" s="58">
        <f>+AT96/AO96</f>
        <v>1</v>
      </c>
      <c r="AZ96" s="200">
        <f>+AX96</f>
        <v>2</v>
      </c>
      <c r="BA96" s="237">
        <f>+AZ96/Y96</f>
        <v>0.5</v>
      </c>
      <c r="BB96" s="199">
        <v>1</v>
      </c>
      <c r="BC96" s="199">
        <v>0</v>
      </c>
      <c r="BD96" s="199"/>
      <c r="BE96" s="199"/>
      <c r="BF96" s="199"/>
      <c r="BG96" s="199">
        <v>1</v>
      </c>
      <c r="BH96" s="199"/>
      <c r="BI96" s="199"/>
      <c r="BJ96" s="199"/>
      <c r="BK96" s="199">
        <f>+BG96</f>
        <v>1</v>
      </c>
      <c r="BL96" s="197">
        <v>1</v>
      </c>
      <c r="BM96" s="199">
        <f>+AZ96+BG96</f>
        <v>3</v>
      </c>
      <c r="BN96" s="58">
        <f>+BM96/Y96</f>
        <v>0.75</v>
      </c>
      <c r="BO96" s="204"/>
      <c r="BP96" s="204"/>
      <c r="BQ96" s="204"/>
      <c r="BR96" s="204"/>
      <c r="BS96" s="204"/>
      <c r="BT96" s="204"/>
      <c r="BU96" s="204"/>
      <c r="BV96" s="204"/>
      <c r="BW96" s="204"/>
      <c r="BX96" s="204"/>
      <c r="BY96" s="204"/>
      <c r="BZ96" s="204"/>
      <c r="CA96" s="204"/>
      <c r="CB96" s="204"/>
      <c r="CC96" s="204"/>
      <c r="CD96" s="204"/>
      <c r="CE96" s="204"/>
      <c r="CF96" s="204"/>
      <c r="CG96" s="204"/>
      <c r="CH96" s="204"/>
      <c r="CI96" s="204"/>
      <c r="CJ96" s="204"/>
      <c r="CK96" s="204"/>
      <c r="CL96" s="204"/>
      <c r="CM96" s="204"/>
      <c r="CN96" s="204"/>
      <c r="CO96" s="204"/>
      <c r="CP96" s="204"/>
      <c r="CQ96" s="204"/>
      <c r="CR96" s="204"/>
      <c r="CS96" s="204"/>
      <c r="CT96" s="204"/>
      <c r="CU96" s="204"/>
      <c r="CV96" s="204"/>
      <c r="CW96" s="204"/>
      <c r="CX96" s="204"/>
      <c r="CY96" s="204"/>
    </row>
    <row r="97" spans="1:103" ht="59.25" customHeight="1" x14ac:dyDescent="0.2">
      <c r="A97" s="1820"/>
      <c r="B97" s="1826"/>
      <c r="C97" s="194"/>
      <c r="D97" s="194"/>
      <c r="E97" s="195"/>
      <c r="F97" s="195"/>
      <c r="G97" s="195"/>
      <c r="H97" s="195"/>
      <c r="I97" s="195"/>
      <c r="J97" s="195"/>
      <c r="K97" s="195"/>
      <c r="L97" s="195"/>
      <c r="M97" s="195"/>
      <c r="N97" s="195"/>
      <c r="O97" s="195"/>
      <c r="P97" s="195"/>
      <c r="Q97" s="195"/>
      <c r="R97" s="195"/>
      <c r="S97" s="195"/>
      <c r="T97" s="194"/>
      <c r="U97" s="1830"/>
      <c r="V97" s="194" t="s">
        <v>833</v>
      </c>
      <c r="W97" s="194" t="s">
        <v>834</v>
      </c>
      <c r="X97" s="1241" t="s">
        <v>835</v>
      </c>
      <c r="Y97" s="215">
        <v>3418</v>
      </c>
      <c r="Z97" s="199">
        <v>2801</v>
      </c>
      <c r="AA97" s="199">
        <v>932</v>
      </c>
      <c r="AB97" s="199"/>
      <c r="AC97" s="197">
        <v>0.25</v>
      </c>
      <c r="AD97" s="197">
        <f>+AA97/Y97</f>
        <v>0.272674078408426</v>
      </c>
      <c r="AE97" s="197"/>
      <c r="AF97" s="199">
        <v>0</v>
      </c>
      <c r="AG97" s="199">
        <v>0</v>
      </c>
      <c r="AH97" s="199"/>
      <c r="AI97" s="196">
        <v>2801</v>
      </c>
      <c r="AJ97" s="199"/>
      <c r="AK97" s="196">
        <f>+AI97</f>
        <v>2801</v>
      </c>
      <c r="AL97" s="197">
        <f>+AK97/Z97</f>
        <v>1</v>
      </c>
      <c r="AM97" s="196">
        <f>+AK97</f>
        <v>2801</v>
      </c>
      <c r="AN97" s="58">
        <v>0.59379999999999999</v>
      </c>
      <c r="AO97" s="199">
        <v>1421</v>
      </c>
      <c r="AP97" s="199">
        <v>27</v>
      </c>
      <c r="AQ97" s="199"/>
      <c r="AR97" s="199">
        <v>47</v>
      </c>
      <c r="AS97" s="199"/>
      <c r="AT97" s="199">
        <v>107</v>
      </c>
      <c r="AU97" s="199"/>
      <c r="AV97" s="199">
        <v>157</v>
      </c>
      <c r="AW97" s="199"/>
      <c r="AX97" s="281">
        <f>+AT97+AV97</f>
        <v>264</v>
      </c>
      <c r="AY97" s="197">
        <f>+AX97/AO97</f>
        <v>0.18578465869106264</v>
      </c>
      <c r="AZ97" s="202">
        <f>AM97+AT97+AV97</f>
        <v>3065</v>
      </c>
      <c r="BA97" s="237">
        <f>+AZ97/Y97</f>
        <v>0.89672322995904041</v>
      </c>
      <c r="BB97" s="199">
        <v>807</v>
      </c>
      <c r="BC97" s="199">
        <v>0</v>
      </c>
      <c r="BD97" s="199"/>
      <c r="BE97" s="199"/>
      <c r="BF97" s="199"/>
      <c r="BG97" s="199">
        <v>807</v>
      </c>
      <c r="BH97" s="199"/>
      <c r="BI97" s="199"/>
      <c r="BJ97" s="199"/>
      <c r="BK97" s="199">
        <f>+BG97</f>
        <v>807</v>
      </c>
      <c r="BL97" s="197">
        <v>1</v>
      </c>
      <c r="BM97" s="196">
        <f>+AZ97+543+BK97</f>
        <v>4415</v>
      </c>
      <c r="BN97" s="58">
        <v>1</v>
      </c>
      <c r="BO97" s="204"/>
      <c r="BP97" s="204"/>
      <c r="BQ97" s="204"/>
      <c r="BR97" s="204"/>
      <c r="BS97" s="204"/>
      <c r="BT97" s="204"/>
      <c r="BU97" s="204"/>
      <c r="BV97" s="204"/>
      <c r="BW97" s="204"/>
      <c r="BX97" s="204"/>
      <c r="BY97" s="204"/>
      <c r="BZ97" s="204"/>
      <c r="CA97" s="204"/>
      <c r="CB97" s="204"/>
      <c r="CC97" s="204"/>
      <c r="CD97" s="204"/>
      <c r="CE97" s="204"/>
      <c r="CF97" s="204"/>
      <c r="CG97" s="204"/>
      <c r="CH97" s="204"/>
      <c r="CI97" s="204"/>
      <c r="CJ97" s="204"/>
      <c r="CK97" s="204"/>
      <c r="CL97" s="204"/>
      <c r="CM97" s="204"/>
      <c r="CN97" s="204"/>
      <c r="CO97" s="204"/>
      <c r="CP97" s="204"/>
      <c r="CQ97" s="204"/>
      <c r="CR97" s="204"/>
      <c r="CS97" s="204"/>
      <c r="CT97" s="204"/>
      <c r="CU97" s="204"/>
      <c r="CV97" s="204"/>
      <c r="CW97" s="204"/>
      <c r="CX97" s="204"/>
      <c r="CY97" s="204"/>
    </row>
    <row r="98" spans="1:103" ht="51" customHeight="1" x14ac:dyDescent="0.2">
      <c r="A98" s="1820"/>
      <c r="B98" s="1826"/>
      <c r="C98" s="194"/>
      <c r="D98" s="194"/>
      <c r="E98" s="195"/>
      <c r="F98" s="195"/>
      <c r="G98" s="195"/>
      <c r="H98" s="195"/>
      <c r="I98" s="195"/>
      <c r="J98" s="195"/>
      <c r="K98" s="195"/>
      <c r="L98" s="195"/>
      <c r="M98" s="195"/>
      <c r="N98" s="195"/>
      <c r="O98" s="195"/>
      <c r="P98" s="195"/>
      <c r="Q98" s="195"/>
      <c r="R98" s="195"/>
      <c r="S98" s="195"/>
      <c r="T98" s="194"/>
      <c r="U98" s="1830"/>
      <c r="V98" s="194" t="s">
        <v>836</v>
      </c>
      <c r="W98" s="194" t="s">
        <v>837</v>
      </c>
      <c r="X98" s="1241" t="s">
        <v>838</v>
      </c>
      <c r="Y98" s="215">
        <v>25</v>
      </c>
      <c r="Z98" s="199">
        <v>5</v>
      </c>
      <c r="AA98" s="199"/>
      <c r="AB98" s="199"/>
      <c r="AC98" s="197">
        <f>+Z98/Y98</f>
        <v>0.2</v>
      </c>
      <c r="AD98" s="197"/>
      <c r="AE98" s="197"/>
      <c r="AF98" s="199">
        <v>0</v>
      </c>
      <c r="AG98" s="199">
        <v>0</v>
      </c>
      <c r="AH98" s="199"/>
      <c r="AI98" s="196">
        <v>0</v>
      </c>
      <c r="AJ98" s="199"/>
      <c r="AK98" s="196">
        <f>+AI98</f>
        <v>0</v>
      </c>
      <c r="AL98" s="197">
        <f>+AK98/Z98</f>
        <v>0</v>
      </c>
      <c r="AM98" s="196">
        <f>+AK98</f>
        <v>0</v>
      </c>
      <c r="AN98" s="197">
        <f>+AM98/Y98</f>
        <v>0</v>
      </c>
      <c r="AO98" s="199"/>
      <c r="AP98" s="195"/>
      <c r="AQ98" s="195"/>
      <c r="AR98" s="195"/>
      <c r="AS98" s="195"/>
      <c r="AT98" s="199"/>
      <c r="AU98" s="195"/>
      <c r="AV98" s="195"/>
      <c r="AW98" s="195"/>
      <c r="AX98" s="195"/>
      <c r="AY98" s="195"/>
      <c r="AZ98" s="195"/>
      <c r="BA98" s="233">
        <v>0</v>
      </c>
      <c r="BB98" s="199">
        <v>15</v>
      </c>
      <c r="BC98" s="199">
        <v>0</v>
      </c>
      <c r="BD98" s="199"/>
      <c r="BE98" s="199"/>
      <c r="BF98" s="199"/>
      <c r="BG98" s="199">
        <v>15</v>
      </c>
      <c r="BH98" s="199"/>
      <c r="BI98" s="199"/>
      <c r="BJ98" s="199"/>
      <c r="BK98" s="199">
        <f>+BG98</f>
        <v>15</v>
      </c>
      <c r="BL98" s="197">
        <v>1</v>
      </c>
      <c r="BM98" s="199">
        <f>+BK98</f>
        <v>15</v>
      </c>
      <c r="BN98" s="197">
        <f>+BM98/Y98</f>
        <v>0.6</v>
      </c>
      <c r="BO98" s="204"/>
      <c r="BP98" s="204"/>
      <c r="BQ98" s="204"/>
      <c r="BR98" s="204"/>
      <c r="BS98" s="204"/>
      <c r="BT98" s="204"/>
      <c r="BU98" s="204"/>
      <c r="BV98" s="204"/>
      <c r="BW98" s="204"/>
      <c r="BX98" s="204"/>
      <c r="BY98" s="204"/>
      <c r="BZ98" s="204"/>
      <c r="CA98" s="204"/>
      <c r="CB98" s="204"/>
      <c r="CC98" s="204"/>
      <c r="CD98" s="204"/>
      <c r="CE98" s="204"/>
      <c r="CF98" s="204"/>
      <c r="CG98" s="204"/>
      <c r="CH98" s="204"/>
      <c r="CI98" s="204"/>
      <c r="CJ98" s="204"/>
      <c r="CK98" s="204"/>
      <c r="CL98" s="204"/>
      <c r="CM98" s="204"/>
      <c r="CN98" s="204"/>
      <c r="CO98" s="204"/>
      <c r="CP98" s="204"/>
      <c r="CQ98" s="204"/>
      <c r="CR98" s="204"/>
      <c r="CS98" s="204"/>
      <c r="CT98" s="204"/>
      <c r="CU98" s="204"/>
      <c r="CV98" s="204"/>
      <c r="CW98" s="204"/>
      <c r="CX98" s="204"/>
      <c r="CY98" s="204"/>
    </row>
    <row r="99" spans="1:103" ht="15.75" customHeight="1" x14ac:dyDescent="0.2">
      <c r="A99" s="1820"/>
      <c r="B99" s="1826"/>
      <c r="C99" s="194"/>
      <c r="D99" s="194"/>
      <c r="E99" s="195"/>
      <c r="F99" s="195"/>
      <c r="G99" s="195"/>
      <c r="H99" s="195"/>
      <c r="I99" s="195"/>
      <c r="J99" s="195"/>
      <c r="K99" s="195"/>
      <c r="L99" s="195"/>
      <c r="M99" s="195"/>
      <c r="N99" s="195"/>
      <c r="O99" s="195"/>
      <c r="P99" s="195"/>
      <c r="Q99" s="195"/>
      <c r="R99" s="195"/>
      <c r="S99" s="195"/>
      <c r="T99" s="194"/>
      <c r="U99" s="1831"/>
      <c r="V99" s="246"/>
      <c r="W99" s="246"/>
      <c r="X99" s="1454"/>
      <c r="Y99" s="246"/>
      <c r="Z99" s="247"/>
      <c r="AA99" s="247"/>
      <c r="AB99" s="247"/>
      <c r="AC99" s="252">
        <f>AVERAGE(AC96:AC98)</f>
        <v>0.23333333333333331</v>
      </c>
      <c r="AD99" s="252">
        <f>AVERAGE(AD95:AD98)</f>
        <v>0.25755802613614204</v>
      </c>
      <c r="AE99" s="252"/>
      <c r="AF99" s="247"/>
      <c r="AG99" s="247"/>
      <c r="AH99" s="247"/>
      <c r="AI99" s="251"/>
      <c r="AJ99" s="247"/>
      <c r="AK99" s="247"/>
      <c r="AL99" s="252">
        <f>AVERAGE(AL95:AL98)</f>
        <v>0.33333333333333331</v>
      </c>
      <c r="AM99" s="247"/>
      <c r="AN99" s="295">
        <f>AVERAGE(AN95:AN98)</f>
        <v>0.19793333333333332</v>
      </c>
      <c r="AO99" s="247"/>
      <c r="AP99" s="290"/>
      <c r="AQ99" s="290"/>
      <c r="AR99" s="290"/>
      <c r="AS99" s="290"/>
      <c r="AT99" s="247"/>
      <c r="AU99" s="290"/>
      <c r="AV99" s="290"/>
      <c r="AW99" s="290"/>
      <c r="AX99" s="290"/>
      <c r="AY99" s="214">
        <f>AVERAGE(AY95:AY98)</f>
        <v>0.72859488623035418</v>
      </c>
      <c r="AZ99" s="214"/>
      <c r="BA99" s="320">
        <f>AVERAGE(BA95:BA98)</f>
        <v>0.5991808074897601</v>
      </c>
      <c r="BB99" s="290"/>
      <c r="BC99" s="290"/>
      <c r="BD99" s="290"/>
      <c r="BE99" s="290"/>
      <c r="BF99" s="290"/>
      <c r="BG99" s="290"/>
      <c r="BH99" s="290"/>
      <c r="BI99" s="290"/>
      <c r="BJ99" s="290"/>
      <c r="BK99" s="290"/>
      <c r="BL99" s="1442">
        <f>AVERAGE(BL95:BL98)</f>
        <v>0.75</v>
      </c>
      <c r="BM99" s="290"/>
      <c r="BN99" s="1443">
        <f>AVERAGE(BN95:BN98)</f>
        <v>0.83750000000000002</v>
      </c>
      <c r="BO99" s="291"/>
      <c r="BP99" s="291"/>
      <c r="BQ99" s="291"/>
      <c r="BR99" s="291"/>
      <c r="BS99" s="291"/>
      <c r="BT99" s="291"/>
      <c r="BU99" s="291"/>
      <c r="BV99" s="291"/>
      <c r="BW99" s="291"/>
      <c r="BX99" s="291"/>
      <c r="BY99" s="291"/>
      <c r="BZ99" s="291"/>
      <c r="CA99" s="291"/>
      <c r="CB99" s="291"/>
      <c r="CC99" s="291"/>
      <c r="CD99" s="291"/>
      <c r="CE99" s="291"/>
      <c r="CF99" s="291"/>
      <c r="CG99" s="291"/>
      <c r="CH99" s="291"/>
      <c r="CI99" s="291"/>
      <c r="CJ99" s="291"/>
      <c r="CK99" s="291"/>
      <c r="CL99" s="291"/>
      <c r="CM99" s="291"/>
      <c r="CN99" s="291"/>
      <c r="CO99" s="291"/>
      <c r="CP99" s="291"/>
      <c r="CQ99" s="291"/>
      <c r="CR99" s="291"/>
      <c r="CS99" s="291"/>
      <c r="CT99" s="291"/>
      <c r="CU99" s="291"/>
      <c r="CV99" s="291"/>
      <c r="CW99" s="291"/>
      <c r="CX99" s="291"/>
      <c r="CY99" s="291"/>
    </row>
    <row r="100" spans="1:103" ht="15.75" customHeight="1" x14ac:dyDescent="0.2">
      <c r="A100" s="1820"/>
      <c r="B100" s="1827"/>
      <c r="C100" s="262"/>
      <c r="D100" s="262"/>
      <c r="E100" s="263"/>
      <c r="F100" s="263"/>
      <c r="G100" s="263"/>
      <c r="H100" s="263"/>
      <c r="I100" s="263"/>
      <c r="J100" s="263"/>
      <c r="K100" s="263"/>
      <c r="L100" s="263"/>
      <c r="M100" s="263"/>
      <c r="N100" s="263"/>
      <c r="O100" s="263"/>
      <c r="P100" s="263"/>
      <c r="Q100" s="263"/>
      <c r="R100" s="263"/>
      <c r="S100" s="263"/>
      <c r="T100" s="262"/>
      <c r="U100" s="192"/>
      <c r="V100" s="262"/>
      <c r="W100" s="262"/>
      <c r="X100" s="1460"/>
      <c r="Y100" s="262"/>
      <c r="Z100" s="264"/>
      <c r="AA100" s="264"/>
      <c r="AB100" s="264"/>
      <c r="AC100" s="265">
        <f>+(AC99+AC94+AC90+AC84+AC78+AC72+AC67+AC62+AC57+AC52)/10</f>
        <v>0.2668712925410216</v>
      </c>
      <c r="AD100" s="265">
        <f>+(AD99+AD94+AD90+AD84+AD78+AD72+AD67+AD62+AD57+AD52)/10</f>
        <v>0.35573196662595408</v>
      </c>
      <c r="AE100" s="265">
        <f>+(AE99+AE94+AE90+AE84+AE78+AE72+AE67+AE62+AE57+AE52)/10</f>
        <v>0.24848615366130708</v>
      </c>
      <c r="AF100" s="264"/>
      <c r="AG100" s="264"/>
      <c r="AH100" s="264"/>
      <c r="AI100" s="338"/>
      <c r="AJ100" s="264"/>
      <c r="AK100" s="264"/>
      <c r="AL100" s="265">
        <f>+(AL99+AL94+AL90+AL84+AL78+AL72+AL67+AL62+AL57+AL52)/10</f>
        <v>0.585361342580767</v>
      </c>
      <c r="AM100" s="264"/>
      <c r="AN100" s="339">
        <f>+(AN99+AN94+AN90+AN84+AN78+AN72+AN67+AN62+AN57+AN52)/10</f>
        <v>0.19057870516762102</v>
      </c>
      <c r="AO100" s="264"/>
      <c r="AP100" s="272"/>
      <c r="AQ100" s="272"/>
      <c r="AR100" s="272"/>
      <c r="AS100" s="272"/>
      <c r="AT100" s="340"/>
      <c r="AU100" s="272"/>
      <c r="AV100" s="272"/>
      <c r="AW100" s="272"/>
      <c r="AX100" s="272"/>
      <c r="AY100" s="341">
        <f>+(AY99+AY94+AY90+AY84+AY78+AY72+AY67+AY62+AY57+AY52)/10</f>
        <v>0.86319156834776511</v>
      </c>
      <c r="AZ100" s="341"/>
      <c r="BA100" s="342">
        <f>+(BA99+BA94+BA90+BA84+BA78+BA72+BA67+BA62+BA57+BA52)/10</f>
        <v>0.51959755944461627</v>
      </c>
      <c r="BB100" s="263"/>
      <c r="BC100" s="263"/>
      <c r="BD100" s="263"/>
      <c r="BE100" s="263"/>
      <c r="BF100" s="263"/>
      <c r="BG100" s="263"/>
      <c r="BH100" s="263"/>
      <c r="BI100" s="263"/>
      <c r="BJ100" s="263"/>
      <c r="BK100" s="263"/>
      <c r="BL100" s="271">
        <f>+(BL99+BL94+BL90+BL84+BL78+BL72+BL67+BL62+BL57+BL52)/10</f>
        <v>0.85663931263507642</v>
      </c>
      <c r="BM100" s="263"/>
      <c r="BN100" s="271">
        <f>+(BN99+BN94+BN90+BN84+BN78+BN72+BN67+BN62+BN57+BN52)/10</f>
        <v>0.81211184128851488</v>
      </c>
      <c r="BO100" s="272"/>
      <c r="BP100" s="272"/>
      <c r="BQ100" s="272"/>
      <c r="BR100" s="272"/>
      <c r="BS100" s="272"/>
      <c r="BT100" s="272"/>
      <c r="BU100" s="272"/>
      <c r="BV100" s="272"/>
      <c r="BW100" s="272"/>
      <c r="BX100" s="272"/>
      <c r="BY100" s="272"/>
      <c r="BZ100" s="272"/>
      <c r="CA100" s="272"/>
      <c r="CB100" s="272"/>
      <c r="CC100" s="272"/>
      <c r="CD100" s="272"/>
      <c r="CE100" s="272"/>
      <c r="CF100" s="272"/>
      <c r="CG100" s="272"/>
      <c r="CH100" s="272"/>
      <c r="CI100" s="272"/>
      <c r="CJ100" s="272"/>
      <c r="CK100" s="272"/>
      <c r="CL100" s="272"/>
      <c r="CM100" s="272"/>
      <c r="CN100" s="272"/>
      <c r="CO100" s="272"/>
      <c r="CP100" s="272"/>
      <c r="CQ100" s="272"/>
      <c r="CR100" s="272"/>
      <c r="CS100" s="272"/>
      <c r="CT100" s="272"/>
      <c r="CU100" s="272"/>
      <c r="CV100" s="272"/>
      <c r="CW100" s="272"/>
      <c r="CX100" s="272"/>
      <c r="CY100" s="272"/>
    </row>
    <row r="101" spans="1:103" ht="57" customHeight="1" x14ac:dyDescent="0.2">
      <c r="A101" s="1820"/>
      <c r="B101" s="1828" t="s">
        <v>839</v>
      </c>
      <c r="C101" s="343" t="s">
        <v>840</v>
      </c>
      <c r="D101" s="326" t="s">
        <v>841</v>
      </c>
      <c r="E101" s="195"/>
      <c r="F101" s="195"/>
      <c r="G101" s="195"/>
      <c r="H101" s="195"/>
      <c r="I101" s="195"/>
      <c r="J101" s="195"/>
      <c r="K101" s="195"/>
      <c r="L101" s="195"/>
      <c r="M101" s="195"/>
      <c r="N101" s="195"/>
      <c r="O101" s="195"/>
      <c r="P101" s="195"/>
      <c r="Q101" s="195"/>
      <c r="R101" s="195"/>
      <c r="S101" s="195"/>
      <c r="T101" s="343" t="s">
        <v>842</v>
      </c>
      <c r="U101" s="1829" t="s">
        <v>843</v>
      </c>
      <c r="V101" s="194" t="s">
        <v>844</v>
      </c>
      <c r="W101" s="194" t="s">
        <v>845</v>
      </c>
      <c r="X101" s="346" t="s">
        <v>846</v>
      </c>
      <c r="Y101" s="344">
        <v>1</v>
      </c>
      <c r="Z101" s="344">
        <v>1</v>
      </c>
      <c r="AA101" s="344">
        <v>1</v>
      </c>
      <c r="AB101" s="344"/>
      <c r="AC101" s="345">
        <v>0.25</v>
      </c>
      <c r="AD101" s="345">
        <v>0.25</v>
      </c>
      <c r="AE101" s="345"/>
      <c r="AF101" s="217">
        <v>0.2</v>
      </c>
      <c r="AG101" s="217">
        <v>0.8</v>
      </c>
      <c r="AH101" s="197"/>
      <c r="AI101" s="197">
        <v>0.25</v>
      </c>
      <c r="AJ101" s="197"/>
      <c r="AK101" s="197">
        <v>0.25</v>
      </c>
      <c r="AL101" s="197">
        <v>1</v>
      </c>
      <c r="AM101" s="197">
        <f>+AK101</f>
        <v>0.25</v>
      </c>
      <c r="AN101" s="197">
        <f>+AM101</f>
        <v>0.25</v>
      </c>
      <c r="AO101" s="344">
        <v>1</v>
      </c>
      <c r="AP101" s="197">
        <v>0.5</v>
      </c>
      <c r="AQ101" s="199"/>
      <c r="AR101" s="197">
        <v>0.5</v>
      </c>
      <c r="AS101" s="199"/>
      <c r="AT101" s="197">
        <v>0.24</v>
      </c>
      <c r="AU101" s="199"/>
      <c r="AV101" s="197">
        <v>0.2</v>
      </c>
      <c r="AW101" s="199"/>
      <c r="AX101" s="197">
        <v>1</v>
      </c>
      <c r="AY101" s="197">
        <v>1</v>
      </c>
      <c r="AZ101" s="197">
        <v>1</v>
      </c>
      <c r="BA101" s="233">
        <v>1</v>
      </c>
      <c r="BB101" s="197">
        <v>1</v>
      </c>
      <c r="BC101" s="197">
        <v>0.1</v>
      </c>
      <c r="BD101" s="199"/>
      <c r="BE101" s="197">
        <v>0.35</v>
      </c>
      <c r="BF101" s="199"/>
      <c r="BG101" s="197">
        <v>0.27</v>
      </c>
      <c r="BH101" s="199"/>
      <c r="BI101" s="58">
        <v>0.255</v>
      </c>
      <c r="BJ101" s="199"/>
      <c r="BK101" s="197">
        <f>BC101+BE101+BG101+BI101</f>
        <v>0.97499999999999998</v>
      </c>
      <c r="BL101" s="197">
        <f>BK101/BB101</f>
        <v>0.97499999999999998</v>
      </c>
      <c r="BM101" s="58">
        <f>100%</f>
        <v>1</v>
      </c>
      <c r="BN101" s="230">
        <v>0.74</v>
      </c>
      <c r="BO101" s="204"/>
      <c r="BP101" s="204"/>
      <c r="BQ101" s="204"/>
      <c r="BR101" s="204"/>
      <c r="BS101" s="204"/>
      <c r="BT101" s="204"/>
      <c r="BU101" s="204"/>
      <c r="BV101" s="204"/>
      <c r="BW101" s="204"/>
      <c r="BX101" s="204"/>
      <c r="BY101" s="204"/>
      <c r="BZ101" s="204"/>
      <c r="CA101" s="204"/>
      <c r="CB101" s="204"/>
      <c r="CC101" s="204"/>
      <c r="CD101" s="204"/>
      <c r="CE101" s="204"/>
      <c r="CF101" s="204"/>
      <c r="CG101" s="204"/>
      <c r="CH101" s="204"/>
      <c r="CI101" s="204"/>
      <c r="CJ101" s="204"/>
      <c r="CK101" s="204"/>
      <c r="CL101" s="204"/>
      <c r="CM101" s="204"/>
      <c r="CN101" s="204"/>
      <c r="CO101" s="204"/>
      <c r="CP101" s="204"/>
      <c r="CQ101" s="204"/>
      <c r="CR101" s="204"/>
      <c r="CS101" s="204"/>
      <c r="CT101" s="204"/>
      <c r="CU101" s="204"/>
      <c r="CV101" s="204"/>
      <c r="CW101" s="204"/>
      <c r="CX101" s="204"/>
      <c r="CY101" s="204"/>
    </row>
    <row r="102" spans="1:103" ht="45" customHeight="1" x14ac:dyDescent="0.2">
      <c r="A102" s="1820"/>
      <c r="B102" s="1823"/>
      <c r="C102" s="343" t="s">
        <v>847</v>
      </c>
      <c r="D102" s="346" t="s">
        <v>848</v>
      </c>
      <c r="E102" s="195"/>
      <c r="F102" s="195"/>
      <c r="G102" s="195"/>
      <c r="H102" s="195"/>
      <c r="I102" s="195"/>
      <c r="J102" s="195"/>
      <c r="K102" s="195"/>
      <c r="L102" s="195"/>
      <c r="M102" s="195"/>
      <c r="N102" s="195"/>
      <c r="O102" s="195"/>
      <c r="P102" s="195"/>
      <c r="Q102" s="195"/>
      <c r="R102" s="195"/>
      <c r="S102" s="195"/>
      <c r="T102" s="343" t="s">
        <v>849</v>
      </c>
      <c r="U102" s="1830"/>
      <c r="V102" s="194" t="s">
        <v>850</v>
      </c>
      <c r="W102" s="194">
        <v>0</v>
      </c>
      <c r="X102" s="346" t="s">
        <v>851</v>
      </c>
      <c r="Y102" s="220">
        <f>19*4</f>
        <v>76</v>
      </c>
      <c r="Z102" s="347">
        <v>19</v>
      </c>
      <c r="AA102" s="216">
        <v>19</v>
      </c>
      <c r="AB102" s="344">
        <f>+BB102</f>
        <v>19</v>
      </c>
      <c r="AC102" s="345">
        <f>+Z102/Y102</f>
        <v>0.25</v>
      </c>
      <c r="AD102" s="345">
        <v>0.25</v>
      </c>
      <c r="AE102" s="345">
        <f>+AB102/Y102</f>
        <v>0.25</v>
      </c>
      <c r="AF102" s="216">
        <v>0</v>
      </c>
      <c r="AG102" s="216">
        <v>19</v>
      </c>
      <c r="AH102" s="199"/>
      <c r="AI102" s="298">
        <v>19</v>
      </c>
      <c r="AJ102" s="199"/>
      <c r="AK102" s="196">
        <v>19</v>
      </c>
      <c r="AL102" s="197">
        <f>+AK102/Z102</f>
        <v>1</v>
      </c>
      <c r="AM102" s="196">
        <v>17</v>
      </c>
      <c r="AN102" s="197">
        <f>+AM102/Y102</f>
        <v>0.22368421052631579</v>
      </c>
      <c r="AO102" s="216">
        <v>19</v>
      </c>
      <c r="AP102" s="199">
        <v>0</v>
      </c>
      <c r="AQ102" s="199"/>
      <c r="AR102" s="199">
        <v>7</v>
      </c>
      <c r="AS102" s="199"/>
      <c r="AT102" s="199">
        <v>8</v>
      </c>
      <c r="AU102" s="199"/>
      <c r="AV102" s="199">
        <v>4</v>
      </c>
      <c r="AW102" s="199"/>
      <c r="AX102" s="199">
        <f>+AR102+AT102+AV102</f>
        <v>19</v>
      </c>
      <c r="AY102" s="197">
        <f>+AX102/AO102</f>
        <v>1</v>
      </c>
      <c r="AZ102" s="196">
        <f>+AX102+AM102</f>
        <v>36</v>
      </c>
      <c r="BA102" s="233">
        <f>+AZ102/Y102</f>
        <v>0.47368421052631576</v>
      </c>
      <c r="BB102" s="199">
        <v>19</v>
      </c>
      <c r="BC102" s="199">
        <v>5</v>
      </c>
      <c r="BD102" s="199"/>
      <c r="BE102" s="199">
        <v>5</v>
      </c>
      <c r="BF102" s="199"/>
      <c r="BG102" s="199">
        <v>5</v>
      </c>
      <c r="BH102" s="199"/>
      <c r="BI102" s="199">
        <v>1</v>
      </c>
      <c r="BJ102" s="199"/>
      <c r="BK102" s="199">
        <f>BC102+BE102+BG102+BI102</f>
        <v>16</v>
      </c>
      <c r="BL102" s="58">
        <f>BK102/BB102</f>
        <v>0.84210526315789469</v>
      </c>
      <c r="BM102" s="196">
        <f>BK102+AZ102</f>
        <v>52</v>
      </c>
      <c r="BN102" s="230">
        <f>BM102/Y102</f>
        <v>0.68421052631578949</v>
      </c>
      <c r="BO102" s="204"/>
      <c r="BP102" s="204"/>
      <c r="BQ102" s="204"/>
      <c r="BR102" s="204"/>
      <c r="BS102" s="204"/>
      <c r="BT102" s="204"/>
      <c r="BU102" s="204"/>
      <c r="BV102" s="204"/>
      <c r="BW102" s="204"/>
      <c r="BX102" s="204"/>
      <c r="BY102" s="204"/>
      <c r="BZ102" s="204"/>
      <c r="CA102" s="204"/>
      <c r="CB102" s="204"/>
      <c r="CC102" s="204"/>
      <c r="CD102" s="204"/>
      <c r="CE102" s="204"/>
      <c r="CF102" s="204"/>
      <c r="CG102" s="204"/>
      <c r="CH102" s="204"/>
      <c r="CI102" s="204"/>
      <c r="CJ102" s="204"/>
      <c r="CK102" s="204"/>
      <c r="CL102" s="204"/>
      <c r="CM102" s="204"/>
      <c r="CN102" s="204"/>
      <c r="CO102" s="204"/>
      <c r="CP102" s="204"/>
      <c r="CQ102" s="204"/>
      <c r="CR102" s="204"/>
      <c r="CS102" s="204"/>
      <c r="CT102" s="204"/>
      <c r="CU102" s="204"/>
      <c r="CV102" s="204"/>
      <c r="CW102" s="204"/>
      <c r="CX102" s="204"/>
      <c r="CY102" s="204"/>
    </row>
    <row r="103" spans="1:103" ht="36.75" customHeight="1" x14ac:dyDescent="0.2">
      <c r="A103" s="1820"/>
      <c r="B103" s="1823"/>
      <c r="C103" s="343" t="s">
        <v>852</v>
      </c>
      <c r="D103" s="346" t="s">
        <v>853</v>
      </c>
      <c r="E103" s="195"/>
      <c r="F103" s="195"/>
      <c r="G103" s="195"/>
      <c r="H103" s="195"/>
      <c r="I103" s="195"/>
      <c r="J103" s="195"/>
      <c r="K103" s="195"/>
      <c r="L103" s="195"/>
      <c r="M103" s="195"/>
      <c r="N103" s="195"/>
      <c r="O103" s="195"/>
      <c r="P103" s="195"/>
      <c r="Q103" s="195"/>
      <c r="R103" s="195"/>
      <c r="S103" s="195"/>
      <c r="T103" s="343" t="s">
        <v>854</v>
      </c>
      <c r="U103" s="1830"/>
      <c r="V103" s="194" t="s">
        <v>855</v>
      </c>
      <c r="W103" s="326">
        <v>1</v>
      </c>
      <c r="X103" s="1241" t="s">
        <v>856</v>
      </c>
      <c r="Y103" s="347">
        <v>4</v>
      </c>
      <c r="Z103" s="347">
        <v>0.75</v>
      </c>
      <c r="AA103" s="348">
        <v>1</v>
      </c>
      <c r="AB103" s="344">
        <f>+BB103</f>
        <v>1</v>
      </c>
      <c r="AC103" s="345">
        <v>0.25</v>
      </c>
      <c r="AD103" s="349">
        <v>0.25</v>
      </c>
      <c r="AE103" s="349">
        <v>0.25</v>
      </c>
      <c r="AF103" s="347">
        <v>0</v>
      </c>
      <c r="AG103" s="347">
        <v>1</v>
      </c>
      <c r="AH103" s="199"/>
      <c r="AI103" s="298">
        <v>1</v>
      </c>
      <c r="AJ103" s="199"/>
      <c r="AK103" s="196">
        <v>1</v>
      </c>
      <c r="AL103" s="197">
        <v>1</v>
      </c>
      <c r="AM103" s="196">
        <f>+AK103</f>
        <v>1</v>
      </c>
      <c r="AN103" s="197">
        <f>+AM103/Y103</f>
        <v>0.25</v>
      </c>
      <c r="AO103" s="350">
        <v>1</v>
      </c>
      <c r="AP103" s="275">
        <v>0.25</v>
      </c>
      <c r="AQ103" s="195"/>
      <c r="AR103" s="199">
        <v>0.25</v>
      </c>
      <c r="AS103" s="195"/>
      <c r="AT103" s="256">
        <v>0.25</v>
      </c>
      <c r="AU103" s="351"/>
      <c r="AV103" s="199">
        <v>0.25</v>
      </c>
      <c r="AW103" s="195"/>
      <c r="AX103" s="352">
        <f>+AP103+AR103+AT103+AV103</f>
        <v>1</v>
      </c>
      <c r="AY103" s="197">
        <f>+AX103/AO103</f>
        <v>1</v>
      </c>
      <c r="AZ103" s="275">
        <f>+AX103+AM103</f>
        <v>2</v>
      </c>
      <c r="BA103" s="233">
        <v>0.51</v>
      </c>
      <c r="BB103" s="197">
        <v>1</v>
      </c>
      <c r="BC103" s="197">
        <v>0.25</v>
      </c>
      <c r="BD103" s="199"/>
      <c r="BE103" s="197">
        <v>0.25</v>
      </c>
      <c r="BF103" s="199"/>
      <c r="BG103" s="197">
        <v>0.25</v>
      </c>
      <c r="BH103" s="324" t="s">
        <v>2237</v>
      </c>
      <c r="BI103" s="197">
        <v>0.25</v>
      </c>
      <c r="BJ103" s="199"/>
      <c r="BK103" s="197">
        <v>1</v>
      </c>
      <c r="BL103" s="197">
        <v>1</v>
      </c>
      <c r="BM103" s="230">
        <v>0.75</v>
      </c>
      <c r="BN103" s="230">
        <f>BM103</f>
        <v>0.75</v>
      </c>
      <c r="BO103" s="204"/>
      <c r="BP103" s="204"/>
      <c r="BQ103" s="204"/>
      <c r="BR103" s="204"/>
      <c r="BS103" s="204"/>
      <c r="BT103" s="204"/>
      <c r="BU103" s="204"/>
      <c r="BV103" s="204"/>
      <c r="BW103" s="204"/>
      <c r="BX103" s="204"/>
      <c r="BY103" s="204"/>
      <c r="BZ103" s="204"/>
      <c r="CA103" s="204"/>
      <c r="CB103" s="204"/>
      <c r="CC103" s="204"/>
      <c r="CD103" s="204"/>
      <c r="CE103" s="204"/>
      <c r="CF103" s="204"/>
      <c r="CG103" s="204"/>
      <c r="CH103" s="204"/>
      <c r="CI103" s="204"/>
      <c r="CJ103" s="204"/>
      <c r="CK103" s="204"/>
      <c r="CL103" s="204"/>
      <c r="CM103" s="204"/>
      <c r="CN103" s="204"/>
      <c r="CO103" s="204"/>
      <c r="CP103" s="204"/>
      <c r="CQ103" s="204"/>
      <c r="CR103" s="204"/>
      <c r="CS103" s="204"/>
      <c r="CT103" s="204"/>
      <c r="CU103" s="204"/>
      <c r="CV103" s="204"/>
      <c r="CW103" s="204"/>
      <c r="CX103" s="204"/>
      <c r="CY103" s="204"/>
    </row>
    <row r="104" spans="1:103" ht="60" customHeight="1" x14ac:dyDescent="0.2">
      <c r="A104" s="1820"/>
      <c r="B104" s="1823"/>
      <c r="C104" s="343" t="s">
        <v>857</v>
      </c>
      <c r="D104" s="292">
        <v>0.89600000000000002</v>
      </c>
      <c r="E104" s="195"/>
      <c r="F104" s="195"/>
      <c r="G104" s="195"/>
      <c r="H104" s="195"/>
      <c r="I104" s="195"/>
      <c r="J104" s="195"/>
      <c r="K104" s="195"/>
      <c r="L104" s="195"/>
      <c r="M104" s="195"/>
      <c r="N104" s="195"/>
      <c r="O104" s="195"/>
      <c r="P104" s="195"/>
      <c r="Q104" s="195"/>
      <c r="R104" s="195"/>
      <c r="S104" s="195"/>
      <c r="T104" s="343" t="s">
        <v>858</v>
      </c>
      <c r="U104" s="1830"/>
      <c r="V104" s="194" t="s">
        <v>859</v>
      </c>
      <c r="W104" s="326">
        <v>1</v>
      </c>
      <c r="X104" s="1241" t="s">
        <v>860</v>
      </c>
      <c r="Y104" s="205">
        <f>25*4</f>
        <v>100</v>
      </c>
      <c r="Z104" s="353">
        <v>25</v>
      </c>
      <c r="AA104" s="353">
        <v>25</v>
      </c>
      <c r="AB104" s="344"/>
      <c r="AC104" s="354">
        <v>0.25</v>
      </c>
      <c r="AD104" s="354">
        <v>0.25</v>
      </c>
      <c r="AE104" s="354"/>
      <c r="AF104" s="205">
        <v>0</v>
      </c>
      <c r="AG104" s="205">
        <v>0</v>
      </c>
      <c r="AH104" s="199"/>
      <c r="AI104" s="196">
        <v>14</v>
      </c>
      <c r="AJ104" s="199"/>
      <c r="AK104" s="196">
        <f>+AI104</f>
        <v>14</v>
      </c>
      <c r="AL104" s="197">
        <f>+AF104/Z104</f>
        <v>0</v>
      </c>
      <c r="AM104" s="196">
        <f>+AK104</f>
        <v>14</v>
      </c>
      <c r="AN104" s="197">
        <f>+AM104/Y104</f>
        <v>0.14000000000000001</v>
      </c>
      <c r="AO104" s="353">
        <v>25</v>
      </c>
      <c r="AP104" s="199">
        <v>13</v>
      </c>
      <c r="AQ104" s="195"/>
      <c r="AR104" s="199">
        <v>14</v>
      </c>
      <c r="AS104" s="195"/>
      <c r="AT104" s="256">
        <v>56</v>
      </c>
      <c r="AU104" s="351"/>
      <c r="AV104" s="274">
        <v>23</v>
      </c>
      <c r="AW104" s="195"/>
      <c r="AX104" s="199">
        <f>+AR104+AP104+AV104+AT104</f>
        <v>106</v>
      </c>
      <c r="AY104" s="197">
        <v>1</v>
      </c>
      <c r="AZ104" s="196">
        <f>+AX104+AM104</f>
        <v>120</v>
      </c>
      <c r="BA104" s="233">
        <v>0.51</v>
      </c>
      <c r="BB104" s="197">
        <v>1</v>
      </c>
      <c r="BC104" s="197">
        <v>0.31</v>
      </c>
      <c r="BD104" s="199"/>
      <c r="BE104" s="197">
        <v>0.5</v>
      </c>
      <c r="BF104" s="199"/>
      <c r="BG104" s="197">
        <v>0.19</v>
      </c>
      <c r="BH104" s="324" t="s">
        <v>2238</v>
      </c>
      <c r="BI104" s="197">
        <v>0</v>
      </c>
      <c r="BJ104" s="199"/>
      <c r="BK104" s="197">
        <f>BC104+BE104+BG104</f>
        <v>1</v>
      </c>
      <c r="BL104" s="197">
        <f>BK104</f>
        <v>1</v>
      </c>
      <c r="BM104" s="275">
        <v>120</v>
      </c>
      <c r="BN104" s="230">
        <v>0.75</v>
      </c>
      <c r="BO104" s="204"/>
      <c r="BP104" s="204"/>
      <c r="BQ104" s="204"/>
      <c r="BR104" s="204"/>
      <c r="BS104" s="204"/>
      <c r="BT104" s="204"/>
      <c r="BU104" s="204"/>
      <c r="BV104" s="204"/>
      <c r="BW104" s="204"/>
      <c r="BX104" s="204"/>
      <c r="BY104" s="204"/>
      <c r="BZ104" s="204"/>
      <c r="CA104" s="204"/>
      <c r="CB104" s="204"/>
      <c r="CC104" s="204"/>
      <c r="CD104" s="204"/>
      <c r="CE104" s="204"/>
      <c r="CF104" s="204"/>
      <c r="CG104" s="204"/>
      <c r="CH104" s="204"/>
      <c r="CI104" s="204"/>
      <c r="CJ104" s="204"/>
      <c r="CK104" s="204"/>
      <c r="CL104" s="204"/>
      <c r="CM104" s="204"/>
      <c r="CN104" s="204"/>
      <c r="CO104" s="204"/>
      <c r="CP104" s="204"/>
      <c r="CQ104" s="204"/>
      <c r="CR104" s="204"/>
      <c r="CS104" s="204"/>
      <c r="CT104" s="204"/>
      <c r="CU104" s="204"/>
      <c r="CV104" s="204"/>
      <c r="CW104" s="204"/>
      <c r="CX104" s="204"/>
      <c r="CY104" s="204"/>
    </row>
    <row r="105" spans="1:103" ht="51" customHeight="1" x14ac:dyDescent="0.2">
      <c r="A105" s="1820"/>
      <c r="B105" s="1823"/>
      <c r="C105" s="343" t="s">
        <v>861</v>
      </c>
      <c r="D105" s="292">
        <v>0.91700000000000004</v>
      </c>
      <c r="E105" s="195"/>
      <c r="F105" s="195"/>
      <c r="G105" s="195"/>
      <c r="H105" s="195"/>
      <c r="I105" s="195"/>
      <c r="J105" s="195"/>
      <c r="K105" s="195"/>
      <c r="L105" s="195"/>
      <c r="M105" s="195"/>
      <c r="N105" s="195"/>
      <c r="O105" s="195"/>
      <c r="P105" s="195"/>
      <c r="Q105" s="195"/>
      <c r="R105" s="195"/>
      <c r="S105" s="195"/>
      <c r="T105" s="343" t="s">
        <v>862</v>
      </c>
      <c r="U105" s="1830"/>
      <c r="V105" s="194" t="s">
        <v>863</v>
      </c>
      <c r="W105" s="194">
        <v>15</v>
      </c>
      <c r="X105" s="1241" t="s">
        <v>864</v>
      </c>
      <c r="Y105" s="355">
        <v>5</v>
      </c>
      <c r="Z105" s="355">
        <v>5</v>
      </c>
      <c r="AA105" s="355">
        <v>5</v>
      </c>
      <c r="AB105" s="355">
        <f>+BB105</f>
        <v>5</v>
      </c>
      <c r="AC105" s="356">
        <v>0.25</v>
      </c>
      <c r="AD105" s="356">
        <v>0.25</v>
      </c>
      <c r="AE105" s="356">
        <v>0.25</v>
      </c>
      <c r="AF105" s="355">
        <v>5</v>
      </c>
      <c r="AG105" s="355">
        <v>5</v>
      </c>
      <c r="AH105" s="357"/>
      <c r="AI105" s="196">
        <v>5</v>
      </c>
      <c r="AJ105" s="281"/>
      <c r="AK105" s="196">
        <f>+AI105</f>
        <v>5</v>
      </c>
      <c r="AL105" s="197">
        <v>1</v>
      </c>
      <c r="AM105" s="281">
        <f>+AK105</f>
        <v>5</v>
      </c>
      <c r="AN105" s="197">
        <v>0.25</v>
      </c>
      <c r="AO105" s="199">
        <v>5</v>
      </c>
      <c r="AP105" s="199">
        <v>5</v>
      </c>
      <c r="AQ105" s="199"/>
      <c r="AR105" s="276">
        <v>0</v>
      </c>
      <c r="AS105" s="199"/>
      <c r="AT105" s="256">
        <v>15</v>
      </c>
      <c r="AU105" s="256"/>
      <c r="AV105" s="199">
        <v>15</v>
      </c>
      <c r="AW105" s="199"/>
      <c r="AX105" s="199">
        <f>+AP105</f>
        <v>5</v>
      </c>
      <c r="AY105" s="358">
        <v>0</v>
      </c>
      <c r="AZ105" s="199">
        <v>5</v>
      </c>
      <c r="BA105" s="233">
        <v>0</v>
      </c>
      <c r="BB105" s="199">
        <v>5</v>
      </c>
      <c r="BC105" s="199">
        <v>13.2</v>
      </c>
      <c r="BD105" s="199"/>
      <c r="BE105" s="199">
        <v>8.1999999999999993</v>
      </c>
      <c r="BF105" s="199"/>
      <c r="BG105" s="199">
        <v>10.8</v>
      </c>
      <c r="BH105" s="324" t="s">
        <v>2239</v>
      </c>
      <c r="BI105" s="199">
        <v>4.5999999999999996</v>
      </c>
      <c r="BJ105" s="199"/>
      <c r="BK105" s="199">
        <f>+BI105</f>
        <v>4.5999999999999996</v>
      </c>
      <c r="BL105" s="197">
        <v>1</v>
      </c>
      <c r="BM105" s="199">
        <f>BK105</f>
        <v>4.5999999999999996</v>
      </c>
      <c r="BN105" s="230">
        <f>51%+(6.25%*3)</f>
        <v>0.69750000000000001</v>
      </c>
      <c r="BO105" s="204"/>
      <c r="BP105" s="204"/>
      <c r="BQ105" s="204"/>
      <c r="BR105" s="204"/>
      <c r="BS105" s="204"/>
      <c r="BT105" s="204"/>
      <c r="BU105" s="204"/>
      <c r="BV105" s="204"/>
      <c r="BW105" s="204"/>
      <c r="BX105" s="204"/>
      <c r="BY105" s="204"/>
      <c r="BZ105" s="204"/>
      <c r="CA105" s="204"/>
      <c r="CB105" s="204"/>
      <c r="CC105" s="204"/>
      <c r="CD105" s="204"/>
      <c r="CE105" s="204"/>
      <c r="CF105" s="204"/>
      <c r="CG105" s="204"/>
      <c r="CH105" s="204"/>
      <c r="CI105" s="204"/>
      <c r="CJ105" s="204"/>
      <c r="CK105" s="204"/>
      <c r="CL105" s="204"/>
      <c r="CM105" s="204"/>
      <c r="CN105" s="204"/>
      <c r="CO105" s="204"/>
      <c r="CP105" s="204"/>
      <c r="CQ105" s="204"/>
      <c r="CR105" s="204"/>
      <c r="CS105" s="204"/>
      <c r="CT105" s="204"/>
      <c r="CU105" s="204"/>
      <c r="CV105" s="204"/>
      <c r="CW105" s="204"/>
      <c r="CX105" s="204"/>
      <c r="CY105" s="204"/>
    </row>
    <row r="106" spans="1:103" ht="63.75" customHeight="1" x14ac:dyDescent="0.2">
      <c r="A106" s="1820"/>
      <c r="B106" s="1823"/>
      <c r="C106" s="359"/>
      <c r="D106" s="359"/>
      <c r="E106" s="195"/>
      <c r="F106" s="195"/>
      <c r="G106" s="195"/>
      <c r="H106" s="195"/>
      <c r="I106" s="195"/>
      <c r="J106" s="195"/>
      <c r="K106" s="195"/>
      <c r="L106" s="195"/>
      <c r="M106" s="195"/>
      <c r="N106" s="195"/>
      <c r="O106" s="195"/>
      <c r="P106" s="195"/>
      <c r="Q106" s="195"/>
      <c r="R106" s="195"/>
      <c r="S106" s="195"/>
      <c r="T106" s="359"/>
      <c r="U106" s="1830"/>
      <c r="V106" s="194" t="s">
        <v>865</v>
      </c>
      <c r="W106" s="194">
        <v>142</v>
      </c>
      <c r="X106" s="1241" t="s">
        <v>866</v>
      </c>
      <c r="Y106" s="205">
        <f>142*4</f>
        <v>568</v>
      </c>
      <c r="Z106" s="360">
        <v>142</v>
      </c>
      <c r="AA106" s="360">
        <v>142</v>
      </c>
      <c r="AB106" s="360">
        <v>142</v>
      </c>
      <c r="AC106" s="361">
        <f>+Z106/Y106</f>
        <v>0.25</v>
      </c>
      <c r="AD106" s="361">
        <v>0.25</v>
      </c>
      <c r="AE106" s="361">
        <v>0.25</v>
      </c>
      <c r="AF106" s="205">
        <v>142</v>
      </c>
      <c r="AG106" s="205">
        <v>142</v>
      </c>
      <c r="AH106" s="199"/>
      <c r="AI106" s="196">
        <v>142</v>
      </c>
      <c r="AJ106" s="199"/>
      <c r="AK106" s="196">
        <f>+AI106</f>
        <v>142</v>
      </c>
      <c r="AL106" s="197">
        <v>1</v>
      </c>
      <c r="AM106" s="362">
        <f>+AK106</f>
        <v>142</v>
      </c>
      <c r="AN106" s="197">
        <f>+AM106/Y106</f>
        <v>0.25</v>
      </c>
      <c r="AO106" s="360">
        <v>142</v>
      </c>
      <c r="AP106" s="199">
        <v>142</v>
      </c>
      <c r="AQ106" s="199"/>
      <c r="AR106" s="199">
        <v>142</v>
      </c>
      <c r="AS106" s="199"/>
      <c r="AT106" s="256">
        <v>142</v>
      </c>
      <c r="AU106" s="256"/>
      <c r="AV106" s="199">
        <v>142</v>
      </c>
      <c r="AW106" s="199"/>
      <c r="AX106" s="199">
        <f>+AP106</f>
        <v>142</v>
      </c>
      <c r="AY106" s="197">
        <v>0.5</v>
      </c>
      <c r="AZ106" s="362">
        <f>+AX106+AM106</f>
        <v>284</v>
      </c>
      <c r="BA106" s="233">
        <v>0.51</v>
      </c>
      <c r="BB106" s="199">
        <v>142</v>
      </c>
      <c r="BC106" s="199">
        <v>142</v>
      </c>
      <c r="BD106" s="199"/>
      <c r="BE106" s="199">
        <v>142</v>
      </c>
      <c r="BF106" s="199"/>
      <c r="BG106" s="199">
        <v>142</v>
      </c>
      <c r="BH106" s="199"/>
      <c r="BI106" s="199">
        <v>142</v>
      </c>
      <c r="BJ106" s="199"/>
      <c r="BK106" s="199">
        <f>BC106</f>
        <v>142</v>
      </c>
      <c r="BL106" s="58">
        <f>BK106/BB106</f>
        <v>1</v>
      </c>
      <c r="BM106" s="362">
        <f>BK106+AZ106</f>
        <v>426</v>
      </c>
      <c r="BN106" s="58">
        <f>+BM106/Y106</f>
        <v>0.75</v>
      </c>
      <c r="BO106" s="204"/>
      <c r="BP106" s="204"/>
      <c r="BQ106" s="204"/>
      <c r="BR106" s="204"/>
      <c r="BS106" s="204"/>
      <c r="BT106" s="204"/>
      <c r="BU106" s="204"/>
      <c r="BV106" s="204"/>
      <c r="BW106" s="204"/>
      <c r="BX106" s="204"/>
      <c r="BY106" s="204"/>
      <c r="BZ106" s="204"/>
      <c r="CA106" s="204"/>
      <c r="CB106" s="204"/>
      <c r="CC106" s="204"/>
      <c r="CD106" s="204"/>
      <c r="CE106" s="204"/>
      <c r="CF106" s="204"/>
      <c r="CG106" s="204"/>
      <c r="CH106" s="204"/>
      <c r="CI106" s="204"/>
      <c r="CJ106" s="204"/>
      <c r="CK106" s="204"/>
      <c r="CL106" s="204"/>
      <c r="CM106" s="204"/>
      <c r="CN106" s="204"/>
      <c r="CO106" s="204"/>
      <c r="CP106" s="204"/>
      <c r="CQ106" s="204"/>
      <c r="CR106" s="204"/>
      <c r="CS106" s="204"/>
      <c r="CT106" s="204"/>
      <c r="CU106" s="204"/>
      <c r="CV106" s="204"/>
      <c r="CW106" s="204"/>
      <c r="CX106" s="204"/>
      <c r="CY106" s="204"/>
    </row>
    <row r="107" spans="1:103" ht="45.75" customHeight="1" x14ac:dyDescent="0.2">
      <c r="A107" s="1820"/>
      <c r="B107" s="1823"/>
      <c r="C107" s="359"/>
      <c r="D107" s="359"/>
      <c r="E107" s="195"/>
      <c r="F107" s="195"/>
      <c r="G107" s="195"/>
      <c r="H107" s="195"/>
      <c r="I107" s="195"/>
      <c r="J107" s="195"/>
      <c r="K107" s="195"/>
      <c r="L107" s="195"/>
      <c r="M107" s="195"/>
      <c r="N107" s="195"/>
      <c r="O107" s="195"/>
      <c r="P107" s="195"/>
      <c r="Q107" s="195"/>
      <c r="R107" s="195"/>
      <c r="S107" s="195"/>
      <c r="T107" s="359"/>
      <c r="U107" s="1830"/>
      <c r="V107" s="194" t="s">
        <v>867</v>
      </c>
      <c r="W107" s="194">
        <v>0</v>
      </c>
      <c r="X107" s="1241" t="s">
        <v>868</v>
      </c>
      <c r="Y107" s="220">
        <v>4</v>
      </c>
      <c r="Z107" s="274">
        <v>1</v>
      </c>
      <c r="AA107" s="363">
        <v>1</v>
      </c>
      <c r="AB107" s="363">
        <v>1</v>
      </c>
      <c r="AC107" s="361">
        <f>+Z107/Y107</f>
        <v>0.25</v>
      </c>
      <c r="AD107" s="361">
        <v>0.25</v>
      </c>
      <c r="AE107" s="361">
        <v>0.25</v>
      </c>
      <c r="AF107" s="274">
        <v>0</v>
      </c>
      <c r="AG107" s="274">
        <v>0</v>
      </c>
      <c r="AH107" s="199"/>
      <c r="AI107" s="196">
        <v>0</v>
      </c>
      <c r="AJ107" s="199"/>
      <c r="AK107" s="196">
        <f>+AI107</f>
        <v>0</v>
      </c>
      <c r="AL107" s="197">
        <v>0</v>
      </c>
      <c r="AM107" s="362">
        <f>+AK107</f>
        <v>0</v>
      </c>
      <c r="AN107" s="197">
        <v>0</v>
      </c>
      <c r="AO107" s="363">
        <v>1</v>
      </c>
      <c r="AP107" s="199">
        <v>0</v>
      </c>
      <c r="AQ107" s="199"/>
      <c r="AR107" s="199">
        <v>0</v>
      </c>
      <c r="AS107" s="199"/>
      <c r="AT107" s="199">
        <v>0</v>
      </c>
      <c r="AU107" s="199"/>
      <c r="AV107" s="199">
        <v>0</v>
      </c>
      <c r="AW107" s="199"/>
      <c r="AX107" s="199">
        <f>+AP107</f>
        <v>0</v>
      </c>
      <c r="AY107" s="197">
        <v>0</v>
      </c>
      <c r="AZ107" s="199">
        <v>0</v>
      </c>
      <c r="BA107" s="233">
        <v>0</v>
      </c>
      <c r="BB107" s="199">
        <v>1</v>
      </c>
      <c r="BC107" s="199">
        <v>0</v>
      </c>
      <c r="BD107" s="199"/>
      <c r="BE107" s="199">
        <v>1</v>
      </c>
      <c r="BF107" s="199"/>
      <c r="BG107" s="199">
        <v>0</v>
      </c>
      <c r="BH107" s="199"/>
      <c r="BI107" s="199">
        <v>0</v>
      </c>
      <c r="BJ107" s="199"/>
      <c r="BK107" s="199">
        <f>+BE107+BG107</f>
        <v>1</v>
      </c>
      <c r="BL107" s="58">
        <v>1</v>
      </c>
      <c r="BM107" s="199">
        <f t="shared" ref="BM107:BM112" si="4">BK107+AZ107</f>
        <v>1</v>
      </c>
      <c r="BN107" s="58">
        <f>BM107/Y107</f>
        <v>0.25</v>
      </c>
      <c r="BO107" s="204"/>
      <c r="BP107" s="204"/>
      <c r="BQ107" s="204"/>
      <c r="BR107" s="204"/>
      <c r="BS107" s="204"/>
      <c r="BT107" s="204"/>
      <c r="BU107" s="204"/>
      <c r="BV107" s="204"/>
      <c r="BW107" s="204"/>
      <c r="BX107" s="204"/>
      <c r="BY107" s="204"/>
      <c r="BZ107" s="204"/>
      <c r="CA107" s="204"/>
      <c r="CB107" s="204"/>
      <c r="CC107" s="204"/>
      <c r="CD107" s="204"/>
      <c r="CE107" s="204"/>
      <c r="CF107" s="204"/>
      <c r="CG107" s="204"/>
      <c r="CH107" s="204"/>
      <c r="CI107" s="204"/>
      <c r="CJ107" s="204"/>
      <c r="CK107" s="204"/>
      <c r="CL107" s="204"/>
      <c r="CM107" s="204"/>
      <c r="CN107" s="204"/>
      <c r="CO107" s="204"/>
      <c r="CP107" s="204"/>
      <c r="CQ107" s="204"/>
      <c r="CR107" s="204"/>
      <c r="CS107" s="204"/>
      <c r="CT107" s="204"/>
      <c r="CU107" s="204"/>
      <c r="CV107" s="204"/>
      <c r="CW107" s="204"/>
      <c r="CX107" s="204"/>
      <c r="CY107" s="204"/>
    </row>
    <row r="108" spans="1:103" ht="51" customHeight="1" x14ac:dyDescent="0.2">
      <c r="A108" s="1820"/>
      <c r="B108" s="1823"/>
      <c r="C108" s="359"/>
      <c r="D108" s="359"/>
      <c r="E108" s="195"/>
      <c r="F108" s="195"/>
      <c r="G108" s="195"/>
      <c r="H108" s="195"/>
      <c r="I108" s="195"/>
      <c r="J108" s="195"/>
      <c r="K108" s="195"/>
      <c r="L108" s="195"/>
      <c r="M108" s="195"/>
      <c r="N108" s="195"/>
      <c r="O108" s="195"/>
      <c r="P108" s="195"/>
      <c r="Q108" s="195"/>
      <c r="R108" s="195"/>
      <c r="S108" s="195"/>
      <c r="T108" s="359"/>
      <c r="U108" s="1830"/>
      <c r="V108" s="194" t="s">
        <v>869</v>
      </c>
      <c r="W108" s="194" t="s">
        <v>870</v>
      </c>
      <c r="X108" s="1241" t="s">
        <v>871</v>
      </c>
      <c r="Y108" s="356">
        <v>0.4</v>
      </c>
      <c r="Z108" s="356">
        <v>0.1</v>
      </c>
      <c r="AA108" s="361">
        <v>0.1</v>
      </c>
      <c r="AB108" s="364">
        <v>1E-4</v>
      </c>
      <c r="AC108" s="361">
        <f>+Z108/Y108</f>
        <v>0.25</v>
      </c>
      <c r="AD108" s="361">
        <v>0.25</v>
      </c>
      <c r="AE108" s="364">
        <v>1E-4</v>
      </c>
      <c r="AF108" s="356">
        <v>0</v>
      </c>
      <c r="AG108" s="356">
        <v>0.12</v>
      </c>
      <c r="AH108" s="274"/>
      <c r="AI108" s="365">
        <v>0.12</v>
      </c>
      <c r="AJ108" s="274"/>
      <c r="AK108" s="358">
        <v>0.25</v>
      </c>
      <c r="AL108" s="365">
        <v>1</v>
      </c>
      <c r="AM108" s="365">
        <v>0.12</v>
      </c>
      <c r="AN108" s="365">
        <f t="shared" ref="AN108:AN113" si="5">+AM108/Y108</f>
        <v>0.3</v>
      </c>
      <c r="AO108" s="361">
        <v>0.1</v>
      </c>
      <c r="AP108" s="197">
        <v>0</v>
      </c>
      <c r="AQ108" s="199"/>
      <c r="AR108" s="199">
        <v>3.5000000000000003E-2</v>
      </c>
      <c r="AS108" s="199"/>
      <c r="AT108" s="199">
        <v>8.5000000000000006E-2</v>
      </c>
      <c r="AU108" s="195"/>
      <c r="AV108" s="274">
        <v>0.15</v>
      </c>
      <c r="AW108" s="195"/>
      <c r="AX108" s="197">
        <f>+AV108+AT108+AR108+AP108</f>
        <v>0.27</v>
      </c>
      <c r="AY108" s="197">
        <v>1</v>
      </c>
      <c r="AZ108" s="197">
        <f>+AX108+AM108</f>
        <v>0.39</v>
      </c>
      <c r="BA108" s="233">
        <f>+AZ108/Y108</f>
        <v>0.97499999999999998</v>
      </c>
      <c r="BB108" s="58">
        <v>0.1</v>
      </c>
      <c r="BC108" s="199">
        <v>0</v>
      </c>
      <c r="BD108" s="199"/>
      <c r="BE108" s="197">
        <v>0.02</v>
      </c>
      <c r="BF108" s="199"/>
      <c r="BG108" s="197">
        <v>0</v>
      </c>
      <c r="BH108" s="199"/>
      <c r="BI108" s="199">
        <v>6.4000000000000001E-2</v>
      </c>
      <c r="BJ108" s="199"/>
      <c r="BK108" s="197">
        <f>+BE108+BI108</f>
        <v>8.4000000000000005E-2</v>
      </c>
      <c r="BL108" s="58">
        <f>+BK108/BB108</f>
        <v>0.84</v>
      </c>
      <c r="BM108" s="197">
        <f>+AZ108+BK108</f>
        <v>0.47400000000000003</v>
      </c>
      <c r="BN108" s="197">
        <v>1</v>
      </c>
      <c r="BO108" s="204"/>
      <c r="BP108" s="204"/>
      <c r="BQ108" s="204"/>
      <c r="BR108" s="204"/>
      <c r="BS108" s="204"/>
      <c r="BT108" s="204"/>
      <c r="BU108" s="204"/>
      <c r="BV108" s="204"/>
      <c r="BW108" s="204"/>
      <c r="BX108" s="204"/>
      <c r="BY108" s="204"/>
      <c r="BZ108" s="204"/>
      <c r="CA108" s="204"/>
      <c r="CB108" s="204"/>
      <c r="CC108" s="204"/>
      <c r="CD108" s="204"/>
      <c r="CE108" s="204"/>
      <c r="CF108" s="204"/>
      <c r="CG108" s="204"/>
      <c r="CH108" s="204"/>
      <c r="CI108" s="204"/>
      <c r="CJ108" s="204"/>
      <c r="CK108" s="204"/>
      <c r="CL108" s="204"/>
      <c r="CM108" s="204"/>
      <c r="CN108" s="204"/>
      <c r="CO108" s="204"/>
      <c r="CP108" s="204"/>
      <c r="CQ108" s="204"/>
      <c r="CR108" s="204"/>
      <c r="CS108" s="204"/>
      <c r="CT108" s="204"/>
      <c r="CU108" s="204"/>
      <c r="CV108" s="204"/>
      <c r="CW108" s="204"/>
      <c r="CX108" s="204"/>
      <c r="CY108" s="204"/>
    </row>
    <row r="109" spans="1:103" ht="55.5" customHeight="1" x14ac:dyDescent="0.2">
      <c r="A109" s="1820"/>
      <c r="B109" s="1823"/>
      <c r="C109" s="359"/>
      <c r="D109" s="359"/>
      <c r="E109" s="195"/>
      <c r="F109" s="195"/>
      <c r="G109" s="195"/>
      <c r="H109" s="195"/>
      <c r="I109" s="195"/>
      <c r="J109" s="195"/>
      <c r="K109" s="195"/>
      <c r="L109" s="195"/>
      <c r="M109" s="195"/>
      <c r="N109" s="195"/>
      <c r="O109" s="195"/>
      <c r="P109" s="195"/>
      <c r="Q109" s="195"/>
      <c r="R109" s="195"/>
      <c r="S109" s="195"/>
      <c r="T109" s="359"/>
      <c r="U109" s="1830"/>
      <c r="V109" s="194" t="s">
        <v>872</v>
      </c>
      <c r="W109" s="333">
        <v>4138</v>
      </c>
      <c r="X109" s="1241" t="s">
        <v>873</v>
      </c>
      <c r="Y109" s="220">
        <v>15000</v>
      </c>
      <c r="Z109" s="205">
        <v>3750</v>
      </c>
      <c r="AA109" s="360">
        <v>3750</v>
      </c>
      <c r="AB109" s="360">
        <f>+BB109</f>
        <v>3750</v>
      </c>
      <c r="AC109" s="361">
        <f>+Z109/Y109</f>
        <v>0.25</v>
      </c>
      <c r="AD109" s="361">
        <v>0.25</v>
      </c>
      <c r="AE109" s="361">
        <f>+AB109/Y109</f>
        <v>0.25</v>
      </c>
      <c r="AF109" s="205">
        <v>378</v>
      </c>
      <c r="AG109" s="205">
        <v>862</v>
      </c>
      <c r="AH109" s="199"/>
      <c r="AI109" s="196">
        <v>4558</v>
      </c>
      <c r="AJ109" s="199"/>
      <c r="AK109" s="196">
        <f>+AI109</f>
        <v>4558</v>
      </c>
      <c r="AL109" s="197">
        <v>1</v>
      </c>
      <c r="AM109" s="196">
        <f t="shared" ref="AM109:AM115" si="6">+AK109</f>
        <v>4558</v>
      </c>
      <c r="AN109" s="197">
        <f t="shared" si="5"/>
        <v>0.30386666666666667</v>
      </c>
      <c r="AO109" s="360">
        <v>3750</v>
      </c>
      <c r="AP109" s="195">
        <v>2150</v>
      </c>
      <c r="AQ109" s="195"/>
      <c r="AR109" s="195">
        <v>1461</v>
      </c>
      <c r="AS109" s="195"/>
      <c r="AT109" s="199">
        <v>811</v>
      </c>
      <c r="AU109" s="195"/>
      <c r="AV109" s="239">
        <v>1310</v>
      </c>
      <c r="AW109" s="195"/>
      <c r="AX109" s="195">
        <f>+AP109+AR109+AT109+AV109</f>
        <v>5732</v>
      </c>
      <c r="AY109" s="284">
        <f>+AX109/AA109</f>
        <v>1.5285333333333333</v>
      </c>
      <c r="AZ109" s="196">
        <f>+AX109+AM109</f>
        <v>10290</v>
      </c>
      <c r="BA109" s="233">
        <f>+AZ109/Y109</f>
        <v>0.68600000000000005</v>
      </c>
      <c r="BB109" s="199">
        <v>3750</v>
      </c>
      <c r="BC109" s="199">
        <v>1899</v>
      </c>
      <c r="BD109" s="199"/>
      <c r="BE109" s="199">
        <v>4531</v>
      </c>
      <c r="BF109" s="199"/>
      <c r="BG109" s="199">
        <v>4010</v>
      </c>
      <c r="BH109" s="324" t="s">
        <v>2216</v>
      </c>
      <c r="BI109" s="199">
        <v>1434</v>
      </c>
      <c r="BJ109" s="199"/>
      <c r="BK109" s="199">
        <f>BC109+BE109+BG109+BI109</f>
        <v>11874</v>
      </c>
      <c r="BL109" s="58">
        <v>1</v>
      </c>
      <c r="BM109" s="196">
        <f>BK109+AZ109</f>
        <v>22164</v>
      </c>
      <c r="BN109" s="58">
        <v>1</v>
      </c>
      <c r="BO109" s="204"/>
      <c r="BP109" s="204"/>
      <c r="BQ109" s="204"/>
      <c r="BR109" s="204"/>
      <c r="BS109" s="204"/>
      <c r="BT109" s="204"/>
      <c r="BU109" s="204"/>
      <c r="BV109" s="204"/>
      <c r="BW109" s="204"/>
      <c r="BX109" s="204"/>
      <c r="BY109" s="204"/>
      <c r="BZ109" s="204"/>
      <c r="CA109" s="204"/>
      <c r="CB109" s="204"/>
      <c r="CC109" s="204"/>
      <c r="CD109" s="204"/>
      <c r="CE109" s="204"/>
      <c r="CF109" s="204"/>
      <c r="CG109" s="204"/>
      <c r="CH109" s="204"/>
      <c r="CI109" s="204"/>
      <c r="CJ109" s="204"/>
      <c r="CK109" s="204"/>
      <c r="CL109" s="204"/>
      <c r="CM109" s="204"/>
      <c r="CN109" s="204"/>
      <c r="CO109" s="204"/>
      <c r="CP109" s="204"/>
      <c r="CQ109" s="204"/>
      <c r="CR109" s="204"/>
      <c r="CS109" s="204"/>
      <c r="CT109" s="204"/>
      <c r="CU109" s="204"/>
      <c r="CV109" s="204"/>
      <c r="CW109" s="204"/>
      <c r="CX109" s="204"/>
      <c r="CY109" s="204"/>
    </row>
    <row r="110" spans="1:103" ht="49.5" customHeight="1" x14ac:dyDescent="0.2">
      <c r="A110" s="1820"/>
      <c r="B110" s="1823"/>
      <c r="C110" s="359"/>
      <c r="D110" s="359"/>
      <c r="E110" s="195"/>
      <c r="F110" s="195"/>
      <c r="G110" s="195"/>
      <c r="H110" s="195"/>
      <c r="I110" s="195"/>
      <c r="J110" s="195"/>
      <c r="K110" s="195"/>
      <c r="L110" s="195"/>
      <c r="M110" s="195"/>
      <c r="N110" s="195"/>
      <c r="O110" s="195"/>
      <c r="P110" s="195"/>
      <c r="Q110" s="195"/>
      <c r="R110" s="195"/>
      <c r="S110" s="195"/>
      <c r="T110" s="359"/>
      <c r="U110" s="1830"/>
      <c r="V110" s="194" t="s">
        <v>874</v>
      </c>
      <c r="W110" s="194">
        <v>500</v>
      </c>
      <c r="X110" s="1241" t="s">
        <v>875</v>
      </c>
      <c r="Y110" s="215">
        <f>500*4</f>
        <v>2000</v>
      </c>
      <c r="Z110" s="347">
        <v>500</v>
      </c>
      <c r="AA110" s="366">
        <v>500</v>
      </c>
      <c r="AB110" s="366">
        <v>500</v>
      </c>
      <c r="AC110" s="361">
        <f>+Z110/Y110</f>
        <v>0.25</v>
      </c>
      <c r="AD110" s="361">
        <v>0.25</v>
      </c>
      <c r="AE110" s="361">
        <v>0.25</v>
      </c>
      <c r="AF110" s="347">
        <v>225</v>
      </c>
      <c r="AG110" s="347">
        <v>420</v>
      </c>
      <c r="AH110" s="347"/>
      <c r="AI110" s="196">
        <v>420</v>
      </c>
      <c r="AJ110" s="199"/>
      <c r="AK110" s="196">
        <f>+AI110</f>
        <v>420</v>
      </c>
      <c r="AL110" s="197">
        <f>+AK110/Z110</f>
        <v>0.84</v>
      </c>
      <c r="AM110" s="196">
        <f t="shared" si="6"/>
        <v>420</v>
      </c>
      <c r="AN110" s="197">
        <f t="shared" si="5"/>
        <v>0.21</v>
      </c>
      <c r="AO110" s="366">
        <v>500</v>
      </c>
      <c r="AP110" s="195">
        <v>74</v>
      </c>
      <c r="AQ110" s="195"/>
      <c r="AR110" s="195">
        <v>176</v>
      </c>
      <c r="AS110" s="195"/>
      <c r="AT110" s="199">
        <v>125</v>
      </c>
      <c r="AU110" s="195"/>
      <c r="AV110" s="239">
        <v>125</v>
      </c>
      <c r="AW110" s="195"/>
      <c r="AX110" s="195">
        <f>+AT110+AP110+AR110+AV110</f>
        <v>500</v>
      </c>
      <c r="AY110" s="284">
        <f>+AX110/AA110</f>
        <v>1</v>
      </c>
      <c r="AZ110" s="196">
        <f>+AX110+AM110</f>
        <v>920</v>
      </c>
      <c r="BA110" s="233">
        <f>+AZ110/Y110</f>
        <v>0.46</v>
      </c>
      <c r="BB110" s="199">
        <v>500</v>
      </c>
      <c r="BC110" s="199">
        <v>53</v>
      </c>
      <c r="BD110" s="199"/>
      <c r="BE110" s="199">
        <v>139</v>
      </c>
      <c r="BF110" s="199"/>
      <c r="BG110" s="199">
        <v>184</v>
      </c>
      <c r="BH110" s="199"/>
      <c r="BI110" s="199">
        <v>124</v>
      </c>
      <c r="BJ110" s="199"/>
      <c r="BK110" s="199">
        <f>BC110+BE110+BG110+BI110</f>
        <v>500</v>
      </c>
      <c r="BL110" s="58">
        <f>BK110/BB110</f>
        <v>1</v>
      </c>
      <c r="BM110" s="196">
        <f t="shared" si="4"/>
        <v>1420</v>
      </c>
      <c r="BN110" s="58">
        <f>BM110/Y110</f>
        <v>0.71</v>
      </c>
      <c r="BO110" s="204"/>
      <c r="BP110" s="204"/>
      <c r="BQ110" s="204"/>
      <c r="BR110" s="204"/>
      <c r="BS110" s="204"/>
      <c r="BT110" s="204"/>
      <c r="BU110" s="204"/>
      <c r="BV110" s="204"/>
      <c r="BW110" s="204"/>
      <c r="BX110" s="204"/>
      <c r="BY110" s="204"/>
      <c r="BZ110" s="204"/>
      <c r="CA110" s="204"/>
      <c r="CB110" s="204"/>
      <c r="CC110" s="204"/>
      <c r="CD110" s="204"/>
      <c r="CE110" s="204"/>
      <c r="CF110" s="204"/>
      <c r="CG110" s="204"/>
      <c r="CH110" s="204"/>
      <c r="CI110" s="204"/>
      <c r="CJ110" s="204"/>
      <c r="CK110" s="204"/>
      <c r="CL110" s="204"/>
      <c r="CM110" s="204"/>
      <c r="CN110" s="204"/>
      <c r="CO110" s="204"/>
      <c r="CP110" s="204"/>
      <c r="CQ110" s="204"/>
      <c r="CR110" s="204"/>
      <c r="CS110" s="204"/>
      <c r="CT110" s="204"/>
      <c r="CU110" s="204"/>
      <c r="CV110" s="204"/>
      <c r="CW110" s="204"/>
      <c r="CX110" s="204"/>
      <c r="CY110" s="204"/>
    </row>
    <row r="111" spans="1:103" ht="44.25" customHeight="1" x14ac:dyDescent="0.2">
      <c r="A111" s="1820"/>
      <c r="B111" s="1823"/>
      <c r="C111" s="359"/>
      <c r="D111" s="359"/>
      <c r="E111" s="195"/>
      <c r="F111" s="195"/>
      <c r="G111" s="195"/>
      <c r="H111" s="195"/>
      <c r="I111" s="195"/>
      <c r="J111" s="195"/>
      <c r="K111" s="195"/>
      <c r="L111" s="195"/>
      <c r="M111" s="195"/>
      <c r="N111" s="195"/>
      <c r="O111" s="195"/>
      <c r="P111" s="195"/>
      <c r="Q111" s="195"/>
      <c r="R111" s="195"/>
      <c r="S111" s="195"/>
      <c r="T111" s="359"/>
      <c r="U111" s="1830"/>
      <c r="V111" s="194" t="s">
        <v>876</v>
      </c>
      <c r="W111" s="326">
        <v>1</v>
      </c>
      <c r="X111" s="1241" t="s">
        <v>877</v>
      </c>
      <c r="Y111" s="355">
        <v>224</v>
      </c>
      <c r="Z111" s="367">
        <v>57</v>
      </c>
      <c r="AA111" s="360">
        <v>57</v>
      </c>
      <c r="AB111" s="360">
        <f>+BB111</f>
        <v>56</v>
      </c>
      <c r="AC111" s="361">
        <v>0.25</v>
      </c>
      <c r="AD111" s="361">
        <v>0.25</v>
      </c>
      <c r="AE111" s="361">
        <f>+AB111/Y111</f>
        <v>0.25</v>
      </c>
      <c r="AF111" s="367">
        <v>3</v>
      </c>
      <c r="AG111" s="367">
        <v>56</v>
      </c>
      <c r="AH111" s="199"/>
      <c r="AI111" s="196">
        <v>58</v>
      </c>
      <c r="AJ111" s="199"/>
      <c r="AK111" s="196">
        <f>+AI111</f>
        <v>58</v>
      </c>
      <c r="AL111" s="197">
        <v>1</v>
      </c>
      <c r="AM111" s="196">
        <f t="shared" si="6"/>
        <v>58</v>
      </c>
      <c r="AN111" s="197">
        <f t="shared" si="5"/>
        <v>0.25892857142857145</v>
      </c>
      <c r="AO111" s="360">
        <v>57</v>
      </c>
      <c r="AP111" s="195">
        <v>25</v>
      </c>
      <c r="AQ111" s="195"/>
      <c r="AR111" s="195">
        <v>4</v>
      </c>
      <c r="AS111" s="195"/>
      <c r="AT111" s="199"/>
      <c r="AU111" s="195"/>
      <c r="AV111" s="239">
        <v>17</v>
      </c>
      <c r="AW111" s="195"/>
      <c r="AX111" s="195">
        <f>+AP111+AR111+AV111</f>
        <v>46</v>
      </c>
      <c r="AY111" s="284">
        <f>+AX111/AA111</f>
        <v>0.80701754385964908</v>
      </c>
      <c r="AZ111" s="196">
        <f>+AX111+AM111+8</f>
        <v>112</v>
      </c>
      <c r="BA111" s="233">
        <v>0.51</v>
      </c>
      <c r="BB111" s="199">
        <v>56</v>
      </c>
      <c r="BC111" s="199">
        <v>65</v>
      </c>
      <c r="BD111" s="199"/>
      <c r="BE111" s="199">
        <v>57</v>
      </c>
      <c r="BF111" s="199"/>
      <c r="BG111" s="199"/>
      <c r="BH111" s="199"/>
      <c r="BI111" s="199">
        <v>57</v>
      </c>
      <c r="BJ111" s="199"/>
      <c r="BK111" s="199">
        <f>+BE111</f>
        <v>57</v>
      </c>
      <c r="BL111" s="197">
        <v>1</v>
      </c>
      <c r="BM111" s="196">
        <f>BK111+AZ111</f>
        <v>169</v>
      </c>
      <c r="BN111" s="58">
        <f>BM111/Y111</f>
        <v>0.7544642857142857</v>
      </c>
      <c r="BO111" s="204"/>
      <c r="BP111" s="204"/>
      <c r="BQ111" s="204"/>
      <c r="BR111" s="204"/>
      <c r="BS111" s="204"/>
      <c r="BT111" s="204"/>
      <c r="BU111" s="204"/>
      <c r="BV111" s="204"/>
      <c r="BW111" s="204"/>
      <c r="BX111" s="204"/>
      <c r="BY111" s="204"/>
      <c r="BZ111" s="204"/>
      <c r="CA111" s="204"/>
      <c r="CB111" s="204"/>
      <c r="CC111" s="204"/>
      <c r="CD111" s="204"/>
      <c r="CE111" s="204"/>
      <c r="CF111" s="204"/>
      <c r="CG111" s="204"/>
      <c r="CH111" s="204"/>
      <c r="CI111" s="204"/>
      <c r="CJ111" s="204"/>
      <c r="CK111" s="204"/>
      <c r="CL111" s="204"/>
      <c r="CM111" s="204"/>
      <c r="CN111" s="204"/>
      <c r="CO111" s="204"/>
      <c r="CP111" s="204"/>
      <c r="CQ111" s="204"/>
      <c r="CR111" s="204"/>
      <c r="CS111" s="204"/>
      <c r="CT111" s="204"/>
      <c r="CU111" s="204"/>
      <c r="CV111" s="204"/>
      <c r="CW111" s="204"/>
      <c r="CX111" s="204"/>
      <c r="CY111" s="204"/>
    </row>
    <row r="112" spans="1:103" ht="62.25" customHeight="1" x14ac:dyDescent="0.2">
      <c r="A112" s="1820"/>
      <c r="B112" s="1823"/>
      <c r="C112" s="359"/>
      <c r="D112" s="359"/>
      <c r="E112" s="195"/>
      <c r="F112" s="195"/>
      <c r="G112" s="195"/>
      <c r="H112" s="195"/>
      <c r="I112" s="195"/>
      <c r="J112" s="195"/>
      <c r="K112" s="195"/>
      <c r="L112" s="195"/>
      <c r="M112" s="195"/>
      <c r="N112" s="195"/>
      <c r="O112" s="195"/>
      <c r="P112" s="195"/>
      <c r="Q112" s="195"/>
      <c r="R112" s="195"/>
      <c r="S112" s="195"/>
      <c r="T112" s="359"/>
      <c r="U112" s="1830"/>
      <c r="V112" s="194" t="s">
        <v>878</v>
      </c>
      <c r="W112" s="326">
        <v>1</v>
      </c>
      <c r="X112" s="1241" t="s">
        <v>879</v>
      </c>
      <c r="Y112" s="215">
        <f>164*4</f>
        <v>656</v>
      </c>
      <c r="Z112" s="274">
        <v>164</v>
      </c>
      <c r="AA112" s="363">
        <v>164</v>
      </c>
      <c r="AB112" s="363">
        <v>164</v>
      </c>
      <c r="AC112" s="361">
        <v>0.25</v>
      </c>
      <c r="AD112" s="361">
        <v>0.25</v>
      </c>
      <c r="AE112" s="361">
        <f>+AB112/Y112</f>
        <v>0.25</v>
      </c>
      <c r="AF112" s="274">
        <v>146</v>
      </c>
      <c r="AG112" s="274">
        <v>147</v>
      </c>
      <c r="AH112" s="199"/>
      <c r="AI112" s="196">
        <v>164</v>
      </c>
      <c r="AJ112" s="199"/>
      <c r="AK112" s="196">
        <f>+AI112</f>
        <v>164</v>
      </c>
      <c r="AL112" s="197">
        <f>+AK112/Z112</f>
        <v>1</v>
      </c>
      <c r="AM112" s="196">
        <f t="shared" si="6"/>
        <v>164</v>
      </c>
      <c r="AN112" s="197">
        <f t="shared" si="5"/>
        <v>0.25</v>
      </c>
      <c r="AO112" s="363">
        <v>164</v>
      </c>
      <c r="AP112" s="195">
        <v>45</v>
      </c>
      <c r="AQ112" s="195"/>
      <c r="AR112" s="195">
        <v>56</v>
      </c>
      <c r="AS112" s="195"/>
      <c r="AT112" s="199">
        <v>56</v>
      </c>
      <c r="AU112" s="195"/>
      <c r="AV112" s="199">
        <v>30</v>
      </c>
      <c r="AW112" s="195"/>
      <c r="AX112" s="195">
        <f>+AP112+AR112+AT112+AV112</f>
        <v>187</v>
      </c>
      <c r="AY112" s="284">
        <v>1</v>
      </c>
      <c r="AZ112" s="196">
        <f>+AX112+AM112</f>
        <v>351</v>
      </c>
      <c r="BA112" s="233">
        <v>0.51</v>
      </c>
      <c r="BB112" s="199">
        <f>AB112</f>
        <v>164</v>
      </c>
      <c r="BC112" s="1445">
        <v>47</v>
      </c>
      <c r="BD112" s="1445"/>
      <c r="BE112" s="1445">
        <v>64</v>
      </c>
      <c r="BF112" s="1445"/>
      <c r="BG112" s="1445">
        <v>28</v>
      </c>
      <c r="BH112" s="1446"/>
      <c r="BI112" s="199">
        <v>25</v>
      </c>
      <c r="BJ112" s="199"/>
      <c r="BK112" s="199">
        <f>BC112+BE112+BG112+BI112</f>
        <v>164</v>
      </c>
      <c r="BL112" s="230">
        <f>BK112/BB112</f>
        <v>1</v>
      </c>
      <c r="BM112" s="196">
        <f t="shared" si="4"/>
        <v>515</v>
      </c>
      <c r="BN112" s="58">
        <f>BM112/Y112</f>
        <v>0.78506097560975607</v>
      </c>
      <c r="BO112" s="204"/>
      <c r="BP112" s="204"/>
      <c r="BQ112" s="204"/>
      <c r="BR112" s="204"/>
      <c r="BS112" s="204"/>
      <c r="BT112" s="204"/>
      <c r="BU112" s="204"/>
      <c r="BV112" s="204"/>
      <c r="BW112" s="204"/>
      <c r="BX112" s="204"/>
      <c r="BY112" s="204"/>
      <c r="BZ112" s="204"/>
      <c r="CA112" s="204"/>
      <c r="CB112" s="204"/>
      <c r="CC112" s="204"/>
      <c r="CD112" s="204"/>
      <c r="CE112" s="204"/>
      <c r="CF112" s="204"/>
      <c r="CG112" s="204"/>
      <c r="CH112" s="204"/>
      <c r="CI112" s="204"/>
      <c r="CJ112" s="204"/>
      <c r="CK112" s="204"/>
      <c r="CL112" s="204"/>
      <c r="CM112" s="204"/>
      <c r="CN112" s="204"/>
      <c r="CO112" s="204"/>
      <c r="CP112" s="204"/>
      <c r="CQ112" s="204"/>
      <c r="CR112" s="204"/>
      <c r="CS112" s="204"/>
      <c r="CT112" s="204"/>
      <c r="CU112" s="204"/>
      <c r="CV112" s="204"/>
      <c r="CW112" s="204"/>
      <c r="CX112" s="204"/>
      <c r="CY112" s="204"/>
    </row>
    <row r="113" spans="1:103" ht="55.5" customHeight="1" x14ac:dyDescent="0.2">
      <c r="A113" s="1820"/>
      <c r="B113" s="1823"/>
      <c r="C113" s="359"/>
      <c r="D113" s="359"/>
      <c r="E113" s="195"/>
      <c r="F113" s="195"/>
      <c r="G113" s="195"/>
      <c r="H113" s="195"/>
      <c r="I113" s="195"/>
      <c r="J113" s="195"/>
      <c r="K113" s="195"/>
      <c r="L113" s="195"/>
      <c r="M113" s="195"/>
      <c r="N113" s="195"/>
      <c r="O113" s="195"/>
      <c r="P113" s="195"/>
      <c r="Q113" s="195"/>
      <c r="R113" s="195"/>
      <c r="S113" s="195"/>
      <c r="T113" s="359"/>
      <c r="U113" s="1830"/>
      <c r="V113" s="194" t="s">
        <v>880</v>
      </c>
      <c r="W113" s="326">
        <v>1</v>
      </c>
      <c r="X113" s="1241" t="s">
        <v>881</v>
      </c>
      <c r="Y113" s="367">
        <v>2206980</v>
      </c>
      <c r="Z113" s="367">
        <v>555495</v>
      </c>
      <c r="AA113" s="360">
        <v>559245</v>
      </c>
      <c r="AB113" s="360">
        <f>+BB113</f>
        <v>594797</v>
      </c>
      <c r="AC113" s="361">
        <v>0.25</v>
      </c>
      <c r="AD113" s="361">
        <f>+AA113/Y113</f>
        <v>0.25339830900144089</v>
      </c>
      <c r="AE113" s="361">
        <v>0.25</v>
      </c>
      <c r="AF113" s="367">
        <v>584890</v>
      </c>
      <c r="AG113" s="367">
        <v>582059</v>
      </c>
      <c r="AH113" s="368"/>
      <c r="AI113" s="367">
        <v>582059</v>
      </c>
      <c r="AJ113" s="199"/>
      <c r="AK113" s="196">
        <v>582059</v>
      </c>
      <c r="AL113" s="197">
        <v>1</v>
      </c>
      <c r="AM113" s="196">
        <f t="shared" si="6"/>
        <v>582059</v>
      </c>
      <c r="AN113" s="197">
        <f t="shared" si="5"/>
        <v>0.26373551187595717</v>
      </c>
      <c r="AO113" s="360">
        <v>559245</v>
      </c>
      <c r="AP113" s="315">
        <v>580930</v>
      </c>
      <c r="AQ113" s="315"/>
      <c r="AR113" s="315">
        <v>579872</v>
      </c>
      <c r="AS113" s="315"/>
      <c r="AT113" s="281">
        <v>591583</v>
      </c>
      <c r="AU113" s="315"/>
      <c r="AV113" s="281">
        <v>594158</v>
      </c>
      <c r="AW113" s="315"/>
      <c r="AX113" s="315">
        <f>+AV113</f>
        <v>594158</v>
      </c>
      <c r="AY113" s="284">
        <v>0.5</v>
      </c>
      <c r="AZ113" s="281">
        <v>1176217</v>
      </c>
      <c r="BA113" s="376">
        <f>+AZ113/Y113</f>
        <v>0.53295317583303881</v>
      </c>
      <c r="BB113" s="199">
        <v>594797</v>
      </c>
      <c r="BC113" s="199">
        <v>619175</v>
      </c>
      <c r="BD113" s="199"/>
      <c r="BE113" s="199">
        <v>630887</v>
      </c>
      <c r="BF113" s="199"/>
      <c r="BG113" s="199"/>
      <c r="BH113" s="324" t="s">
        <v>2237</v>
      </c>
      <c r="BI113" s="199">
        <v>671344</v>
      </c>
      <c r="BJ113" s="199"/>
      <c r="BK113" s="199">
        <f>+BI113</f>
        <v>671344</v>
      </c>
      <c r="BL113" s="197">
        <v>1</v>
      </c>
      <c r="BM113" s="196">
        <f>BK113+AZ113</f>
        <v>1847561</v>
      </c>
      <c r="BN113" s="58">
        <f>+BM113/Y113</f>
        <v>0.83714442360148256</v>
      </c>
      <c r="BO113" s="204"/>
      <c r="BP113" s="204"/>
      <c r="BQ113" s="204"/>
      <c r="BR113" s="204"/>
      <c r="BS113" s="204"/>
      <c r="BT113" s="204"/>
      <c r="BU113" s="204"/>
      <c r="BV113" s="204"/>
      <c r="BW113" s="204"/>
      <c r="BX113" s="204"/>
      <c r="BY113" s="204"/>
      <c r="BZ113" s="204"/>
      <c r="CA113" s="204"/>
      <c r="CB113" s="204"/>
      <c r="CC113" s="204"/>
      <c r="CD113" s="204"/>
      <c r="CE113" s="204"/>
      <c r="CF113" s="204"/>
      <c r="CG113" s="204"/>
      <c r="CH113" s="204"/>
      <c r="CI113" s="204"/>
      <c r="CJ113" s="204"/>
      <c r="CK113" s="204"/>
      <c r="CL113" s="204"/>
      <c r="CM113" s="204"/>
      <c r="CN113" s="204"/>
      <c r="CO113" s="204"/>
      <c r="CP113" s="204"/>
      <c r="CQ113" s="204"/>
      <c r="CR113" s="204"/>
      <c r="CS113" s="204"/>
      <c r="CT113" s="204"/>
      <c r="CU113" s="204"/>
      <c r="CV113" s="204"/>
      <c r="CW113" s="204"/>
      <c r="CX113" s="204"/>
      <c r="CY113" s="204"/>
    </row>
    <row r="114" spans="1:103" ht="51" customHeight="1" x14ac:dyDescent="0.2">
      <c r="A114" s="1820"/>
      <c r="B114" s="1823"/>
      <c r="C114" s="359"/>
      <c r="D114" s="359"/>
      <c r="E114" s="195"/>
      <c r="F114" s="195"/>
      <c r="G114" s="195"/>
      <c r="H114" s="195"/>
      <c r="I114" s="195"/>
      <c r="J114" s="195"/>
      <c r="K114" s="195"/>
      <c r="L114" s="195"/>
      <c r="M114" s="195"/>
      <c r="N114" s="195"/>
      <c r="O114" s="195"/>
      <c r="P114" s="195"/>
      <c r="Q114" s="195"/>
      <c r="R114" s="195"/>
      <c r="S114" s="195"/>
      <c r="T114" s="359"/>
      <c r="U114" s="1830"/>
      <c r="V114" s="194" t="s">
        <v>882</v>
      </c>
      <c r="W114" s="326">
        <v>0.75</v>
      </c>
      <c r="X114" s="1241" t="s">
        <v>883</v>
      </c>
      <c r="Y114" s="294">
        <v>1</v>
      </c>
      <c r="Z114" s="274">
        <v>100</v>
      </c>
      <c r="AA114" s="361">
        <v>0.75</v>
      </c>
      <c r="AB114" s="361">
        <f>+BB114</f>
        <v>0.85</v>
      </c>
      <c r="AC114" s="361">
        <v>0.25</v>
      </c>
      <c r="AD114" s="361">
        <v>0.75</v>
      </c>
      <c r="AE114" s="361"/>
      <c r="AF114" s="365">
        <v>0</v>
      </c>
      <c r="AG114" s="365">
        <v>0.65</v>
      </c>
      <c r="AH114" s="199"/>
      <c r="AI114" s="358">
        <v>0.65</v>
      </c>
      <c r="AJ114" s="199"/>
      <c r="AK114" s="197">
        <v>0.65</v>
      </c>
      <c r="AL114" s="197">
        <f>+AG114</f>
        <v>0.65</v>
      </c>
      <c r="AM114" s="197">
        <f t="shared" si="6"/>
        <v>0.65</v>
      </c>
      <c r="AN114" s="197">
        <v>0.65</v>
      </c>
      <c r="AO114" s="361">
        <v>0.75</v>
      </c>
      <c r="AP114" s="195"/>
      <c r="AQ114" s="195"/>
      <c r="AR114" s="195"/>
      <c r="AS114" s="195"/>
      <c r="AT114" s="199"/>
      <c r="AU114" s="195"/>
      <c r="AV114" s="197">
        <v>0.87</v>
      </c>
      <c r="AW114" s="195"/>
      <c r="AX114" s="284">
        <f>+AV114</f>
        <v>0.87</v>
      </c>
      <c r="AY114" s="284">
        <v>1</v>
      </c>
      <c r="AZ114" s="197">
        <f>+AX114</f>
        <v>0.87</v>
      </c>
      <c r="BA114" s="233">
        <v>1</v>
      </c>
      <c r="BB114" s="197">
        <v>0.85</v>
      </c>
      <c r="BC114" s="197">
        <v>0.93</v>
      </c>
      <c r="BD114" s="199"/>
      <c r="BE114" s="197">
        <v>0.93</v>
      </c>
      <c r="BF114" s="199"/>
      <c r="BG114" s="199"/>
      <c r="BH114" s="324" t="s">
        <v>2240</v>
      </c>
      <c r="BI114" s="197">
        <v>0.8</v>
      </c>
      <c r="BJ114" s="199"/>
      <c r="BK114" s="197">
        <v>1</v>
      </c>
      <c r="BL114" s="197">
        <v>1</v>
      </c>
      <c r="BM114" s="197">
        <v>0.93</v>
      </c>
      <c r="BN114" s="197">
        <v>0.66700000000000004</v>
      </c>
      <c r="BO114" s="204"/>
      <c r="BP114" s="204"/>
      <c r="BQ114" s="204"/>
      <c r="BR114" s="204"/>
      <c r="BS114" s="204"/>
      <c r="BT114" s="204"/>
      <c r="BU114" s="204"/>
      <c r="BV114" s="204"/>
      <c r="BW114" s="204"/>
      <c r="BX114" s="204"/>
      <c r="BY114" s="204"/>
      <c r="BZ114" s="204"/>
      <c r="CA114" s="204"/>
      <c r="CB114" s="204"/>
      <c r="CC114" s="204"/>
      <c r="CD114" s="204"/>
      <c r="CE114" s="204"/>
      <c r="CF114" s="204"/>
      <c r="CG114" s="204"/>
      <c r="CH114" s="204"/>
      <c r="CI114" s="204"/>
      <c r="CJ114" s="204"/>
      <c r="CK114" s="204"/>
      <c r="CL114" s="204"/>
      <c r="CM114" s="204"/>
      <c r="CN114" s="204"/>
      <c r="CO114" s="204"/>
      <c r="CP114" s="204"/>
      <c r="CQ114" s="204"/>
      <c r="CR114" s="204"/>
      <c r="CS114" s="204"/>
      <c r="CT114" s="204"/>
      <c r="CU114" s="204"/>
      <c r="CV114" s="204"/>
      <c r="CW114" s="204"/>
      <c r="CX114" s="204"/>
      <c r="CY114" s="204"/>
    </row>
    <row r="115" spans="1:103" ht="45.75" customHeight="1" x14ac:dyDescent="0.2">
      <c r="A115" s="1820"/>
      <c r="B115" s="1823"/>
      <c r="C115" s="359"/>
      <c r="D115" s="359"/>
      <c r="E115" s="195"/>
      <c r="F115" s="195"/>
      <c r="G115" s="195"/>
      <c r="H115" s="195"/>
      <c r="I115" s="195"/>
      <c r="J115" s="195"/>
      <c r="K115" s="195"/>
      <c r="L115" s="195"/>
      <c r="M115" s="195"/>
      <c r="N115" s="195"/>
      <c r="O115" s="195"/>
      <c r="P115" s="195"/>
      <c r="Q115" s="195"/>
      <c r="R115" s="195"/>
      <c r="S115" s="195"/>
      <c r="T115" s="359"/>
      <c r="U115" s="1830"/>
      <c r="V115" s="194" t="s">
        <v>884</v>
      </c>
      <c r="W115" s="326" t="s">
        <v>885</v>
      </c>
      <c r="X115" s="1241" t="s">
        <v>886</v>
      </c>
      <c r="Y115" s="369">
        <v>135590745230</v>
      </c>
      <c r="Z115" s="369">
        <v>25000000000</v>
      </c>
      <c r="AA115" s="370">
        <v>0</v>
      </c>
      <c r="AB115" s="370"/>
      <c r="AC115" s="361">
        <v>0.25</v>
      </c>
      <c r="AD115" s="361"/>
      <c r="AE115" s="361"/>
      <c r="AF115" s="274">
        <v>0</v>
      </c>
      <c r="AG115" s="282">
        <v>22750594357</v>
      </c>
      <c r="AH115" s="199"/>
      <c r="AI115" s="196">
        <v>24059162773</v>
      </c>
      <c r="AJ115" s="199"/>
      <c r="AK115" s="196">
        <f>+AI115</f>
        <v>24059162773</v>
      </c>
      <c r="AL115" s="197">
        <f>+AK115/Z115</f>
        <v>0.96236651092000003</v>
      </c>
      <c r="AM115" s="196">
        <f t="shared" si="6"/>
        <v>24059162773</v>
      </c>
      <c r="AN115" s="197">
        <f>+AM115/Y115</f>
        <v>0.17743956442004136</v>
      </c>
      <c r="AO115" s="370">
        <v>0</v>
      </c>
      <c r="AP115" s="371"/>
      <c r="AQ115" s="371"/>
      <c r="AR115" s="371"/>
      <c r="AS115" s="371"/>
      <c r="AT115" s="372"/>
      <c r="AU115" s="371"/>
      <c r="AV115" s="371"/>
      <c r="AW115" s="371"/>
      <c r="AX115" s="371"/>
      <c r="AY115" s="371"/>
      <c r="AZ115" s="1682">
        <v>133149285752</v>
      </c>
      <c r="BA115" s="1679">
        <v>1</v>
      </c>
      <c r="BB115" s="199"/>
      <c r="BC115" s="199"/>
      <c r="BD115" s="199"/>
      <c r="BE115" s="199"/>
      <c r="BF115" s="199"/>
      <c r="BG115" s="199"/>
      <c r="BH115" s="199"/>
      <c r="BI115" s="199"/>
      <c r="BJ115" s="199"/>
      <c r="BK115" s="1680">
        <v>30563319526</v>
      </c>
      <c r="BL115" s="197">
        <v>1</v>
      </c>
      <c r="BM115" s="1681">
        <f>+BK115+AZ115</f>
        <v>163712605278</v>
      </c>
      <c r="BN115" s="197">
        <v>1</v>
      </c>
      <c r="BO115" s="204"/>
      <c r="BP115" s="204"/>
      <c r="BQ115" s="204"/>
      <c r="BR115" s="204"/>
      <c r="BS115" s="204"/>
      <c r="BT115" s="204"/>
      <c r="BU115" s="204"/>
      <c r="BV115" s="204"/>
      <c r="BW115" s="204"/>
      <c r="BX115" s="204"/>
      <c r="BY115" s="204"/>
      <c r="BZ115" s="204"/>
      <c r="CA115" s="204"/>
      <c r="CB115" s="204"/>
      <c r="CC115" s="204"/>
      <c r="CD115" s="204"/>
      <c r="CE115" s="204"/>
      <c r="CF115" s="204"/>
      <c r="CG115" s="204"/>
      <c r="CH115" s="204"/>
      <c r="CI115" s="204"/>
      <c r="CJ115" s="204"/>
      <c r="CK115" s="204"/>
      <c r="CL115" s="204"/>
      <c r="CM115" s="204"/>
      <c r="CN115" s="204"/>
      <c r="CO115" s="204"/>
      <c r="CP115" s="204"/>
      <c r="CQ115" s="204"/>
      <c r="CR115" s="204"/>
      <c r="CS115" s="204"/>
      <c r="CT115" s="204"/>
      <c r="CU115" s="204"/>
      <c r="CV115" s="204"/>
      <c r="CW115" s="204"/>
      <c r="CX115" s="204"/>
      <c r="CY115" s="204"/>
    </row>
    <row r="116" spans="1:103" ht="15.75" customHeight="1" x14ac:dyDescent="0.2">
      <c r="A116" s="1820"/>
      <c r="B116" s="1823"/>
      <c r="C116" s="359"/>
      <c r="D116" s="359"/>
      <c r="E116" s="195"/>
      <c r="F116" s="195"/>
      <c r="G116" s="195"/>
      <c r="H116" s="195"/>
      <c r="I116" s="195"/>
      <c r="J116" s="195"/>
      <c r="K116" s="195"/>
      <c r="L116" s="195"/>
      <c r="M116" s="195"/>
      <c r="N116" s="195"/>
      <c r="O116" s="195"/>
      <c r="P116" s="195"/>
      <c r="Q116" s="195"/>
      <c r="R116" s="195"/>
      <c r="S116" s="195"/>
      <c r="T116" s="359"/>
      <c r="U116" s="1831"/>
      <c r="V116" s="246"/>
      <c r="W116" s="328"/>
      <c r="X116" s="1454"/>
      <c r="Y116" s="246"/>
      <c r="Z116" s="247"/>
      <c r="AA116" s="247"/>
      <c r="AB116" s="247"/>
      <c r="AC116" s="252">
        <f>AVERAGE(AC101:AC115)</f>
        <v>0.25</v>
      </c>
      <c r="AD116" s="252">
        <f>AVERAGE(AD101:AD115)</f>
        <v>0.28595702207153151</v>
      </c>
      <c r="AE116" s="252">
        <f>AVERAGE(AE101:AE115)</f>
        <v>0.22728181818181817</v>
      </c>
      <c r="AF116" s="247"/>
      <c r="AG116" s="247"/>
      <c r="AH116" s="247"/>
      <c r="AI116" s="251"/>
      <c r="AJ116" s="247"/>
      <c r="AK116" s="247"/>
      <c r="AL116" s="252">
        <f>AVERAGE(AL101:AL115)</f>
        <v>0.83015776739466673</v>
      </c>
      <c r="AM116" s="247"/>
      <c r="AN116" s="252">
        <f>AVERAGE(AN101:AN115)</f>
        <v>0.25184363499450352</v>
      </c>
      <c r="AO116" s="247"/>
      <c r="AP116" s="291"/>
      <c r="AQ116" s="291"/>
      <c r="AR116" s="291"/>
      <c r="AS116" s="291"/>
      <c r="AT116" s="299"/>
      <c r="AU116" s="291"/>
      <c r="AV116" s="291"/>
      <c r="AW116" s="291"/>
      <c r="AX116" s="291"/>
      <c r="AY116" s="373">
        <f>AVERAGE(AY101:AY115)</f>
        <v>0.80968220551378445</v>
      </c>
      <c r="AZ116" s="291"/>
      <c r="BA116" s="374">
        <f>AVERAGE(BA101:BA115)</f>
        <v>0.57850915909062361</v>
      </c>
      <c r="BB116" s="290"/>
      <c r="BC116" s="290"/>
      <c r="BD116" s="290"/>
      <c r="BE116" s="290"/>
      <c r="BF116" s="290"/>
      <c r="BG116" s="290"/>
      <c r="BH116" s="290"/>
      <c r="BI116" s="290"/>
      <c r="BJ116" s="290"/>
      <c r="BK116" s="290"/>
      <c r="BL116" s="1238">
        <f>AVERAGE(BL101:BL115)</f>
        <v>0.97714035087719298</v>
      </c>
      <c r="BM116" s="290"/>
      <c r="BN116" s="1169">
        <f>AVERAGE(BN101:BN115)</f>
        <v>0.75835868074942092</v>
      </c>
      <c r="BO116" s="291"/>
      <c r="BP116" s="291"/>
      <c r="BQ116" s="291"/>
      <c r="BR116" s="291"/>
      <c r="BS116" s="291"/>
      <c r="BT116" s="291"/>
      <c r="BU116" s="291"/>
      <c r="BV116" s="291"/>
      <c r="BW116" s="291"/>
      <c r="BX116" s="291"/>
      <c r="BY116" s="291"/>
      <c r="BZ116" s="291"/>
      <c r="CA116" s="291"/>
      <c r="CB116" s="291"/>
      <c r="CC116" s="291"/>
      <c r="CD116" s="291"/>
      <c r="CE116" s="291"/>
      <c r="CF116" s="291"/>
      <c r="CG116" s="291"/>
      <c r="CH116" s="291"/>
      <c r="CI116" s="291"/>
      <c r="CJ116" s="291"/>
      <c r="CK116" s="291"/>
      <c r="CL116" s="291"/>
      <c r="CM116" s="291"/>
      <c r="CN116" s="291"/>
      <c r="CO116" s="291"/>
      <c r="CP116" s="291"/>
      <c r="CQ116" s="291"/>
      <c r="CR116" s="291"/>
      <c r="CS116" s="291"/>
      <c r="CT116" s="291"/>
      <c r="CU116" s="291"/>
      <c r="CV116" s="291"/>
      <c r="CW116" s="291"/>
      <c r="CX116" s="291"/>
      <c r="CY116" s="291"/>
    </row>
    <row r="117" spans="1:103" ht="93.75" customHeight="1" x14ac:dyDescent="0.2">
      <c r="A117" s="1820"/>
      <c r="B117" s="1823"/>
      <c r="C117" s="359"/>
      <c r="D117" s="359"/>
      <c r="E117" s="195"/>
      <c r="F117" s="195"/>
      <c r="G117" s="195"/>
      <c r="H117" s="195"/>
      <c r="I117" s="195"/>
      <c r="J117" s="195"/>
      <c r="K117" s="195"/>
      <c r="L117" s="195"/>
      <c r="M117" s="195"/>
      <c r="N117" s="195"/>
      <c r="O117" s="195"/>
      <c r="P117" s="195"/>
      <c r="Q117" s="195"/>
      <c r="R117" s="195"/>
      <c r="S117" s="195"/>
      <c r="T117" s="359"/>
      <c r="U117" s="1829" t="s">
        <v>887</v>
      </c>
      <c r="V117" s="194" t="s">
        <v>888</v>
      </c>
      <c r="W117" s="194" t="s">
        <v>889</v>
      </c>
      <c r="X117" s="1459" t="s">
        <v>890</v>
      </c>
      <c r="Y117" s="220">
        <v>160</v>
      </c>
      <c r="Z117" s="216">
        <v>40</v>
      </c>
      <c r="AA117" s="216">
        <v>40</v>
      </c>
      <c r="AB117" s="216">
        <f t="shared" ref="AB117:AB122" si="7">+BB117</f>
        <v>40</v>
      </c>
      <c r="AC117" s="217">
        <f>+Z117/Y117</f>
        <v>0.25</v>
      </c>
      <c r="AD117" s="217">
        <v>0.25</v>
      </c>
      <c r="AE117" s="217"/>
      <c r="AF117" s="216">
        <v>15</v>
      </c>
      <c r="AG117" s="216">
        <v>15</v>
      </c>
      <c r="AH117" s="199"/>
      <c r="AI117" s="196">
        <v>40</v>
      </c>
      <c r="AJ117" s="199"/>
      <c r="AK117" s="196">
        <f>+AI117</f>
        <v>40</v>
      </c>
      <c r="AL117" s="197">
        <f>+AF117/Z117</f>
        <v>0.375</v>
      </c>
      <c r="AM117" s="196">
        <f>+AK117</f>
        <v>40</v>
      </c>
      <c r="AN117" s="197">
        <f>+AM117/Y117</f>
        <v>0.25</v>
      </c>
      <c r="AO117" s="216">
        <v>40</v>
      </c>
      <c r="AP117" s="199">
        <v>1</v>
      </c>
      <c r="AQ117" s="199"/>
      <c r="AR117" s="199">
        <v>18</v>
      </c>
      <c r="AS117" s="199"/>
      <c r="AT117" s="199">
        <v>12</v>
      </c>
      <c r="AU117" s="199"/>
      <c r="AV117" s="199">
        <v>9</v>
      </c>
      <c r="AW117" s="199"/>
      <c r="AX117" s="199">
        <f>+AP117+AR117+AT117+AV117</f>
        <v>40</v>
      </c>
      <c r="AY117" s="197">
        <f t="shared" ref="AY117:AY122" si="8">+AX117/AA117</f>
        <v>1</v>
      </c>
      <c r="AZ117" s="196">
        <f>+AX117+AM117</f>
        <v>80</v>
      </c>
      <c r="BA117" s="233">
        <v>1</v>
      </c>
      <c r="BB117" s="199">
        <v>40</v>
      </c>
      <c r="BC117" s="199">
        <v>15</v>
      </c>
      <c r="BD117" s="199"/>
      <c r="BE117" s="199">
        <v>6</v>
      </c>
      <c r="BF117" s="199"/>
      <c r="BG117" s="199">
        <v>1</v>
      </c>
      <c r="BH117" s="324"/>
      <c r="BI117" s="199">
        <v>27</v>
      </c>
      <c r="BJ117" s="199"/>
      <c r="BK117" s="199">
        <f>BC117+BE117+BG117+BI117</f>
        <v>49</v>
      </c>
      <c r="BL117" s="197">
        <v>1</v>
      </c>
      <c r="BM117" s="196">
        <f>AZ117+BK117</f>
        <v>129</v>
      </c>
      <c r="BN117" s="58">
        <f>+BM117/Y117</f>
        <v>0.80625000000000002</v>
      </c>
      <c r="BO117" s="204"/>
      <c r="BP117" s="204"/>
      <c r="BQ117" s="204"/>
      <c r="BR117" s="204"/>
      <c r="BS117" s="204"/>
      <c r="BT117" s="204"/>
      <c r="BU117" s="204"/>
      <c r="BV117" s="204"/>
      <c r="BW117" s="204"/>
      <c r="BX117" s="204"/>
      <c r="BY117" s="204"/>
      <c r="BZ117" s="204"/>
      <c r="CA117" s="204"/>
      <c r="CB117" s="204"/>
      <c r="CC117" s="204"/>
      <c r="CD117" s="204"/>
      <c r="CE117" s="204"/>
      <c r="CF117" s="204"/>
      <c r="CG117" s="204"/>
      <c r="CH117" s="204"/>
      <c r="CI117" s="204"/>
      <c r="CJ117" s="204"/>
      <c r="CK117" s="204"/>
      <c r="CL117" s="204"/>
      <c r="CM117" s="204"/>
      <c r="CN117" s="204"/>
      <c r="CO117" s="204"/>
      <c r="CP117" s="204"/>
      <c r="CQ117" s="204"/>
      <c r="CR117" s="204"/>
      <c r="CS117" s="204"/>
      <c r="CT117" s="204"/>
      <c r="CU117" s="204"/>
      <c r="CV117" s="204"/>
      <c r="CW117" s="204"/>
      <c r="CX117" s="204"/>
      <c r="CY117" s="204"/>
    </row>
    <row r="118" spans="1:103" ht="55.5" customHeight="1" x14ac:dyDescent="0.2">
      <c r="A118" s="1820"/>
      <c r="B118" s="1823"/>
      <c r="C118" s="359"/>
      <c r="D118" s="359"/>
      <c r="E118" s="195"/>
      <c r="F118" s="195"/>
      <c r="G118" s="195"/>
      <c r="H118" s="195"/>
      <c r="I118" s="195"/>
      <c r="J118" s="195"/>
      <c r="K118" s="195"/>
      <c r="L118" s="195"/>
      <c r="M118" s="195"/>
      <c r="N118" s="195"/>
      <c r="O118" s="195"/>
      <c r="P118" s="195"/>
      <c r="Q118" s="195"/>
      <c r="R118" s="195"/>
      <c r="S118" s="195"/>
      <c r="T118" s="359"/>
      <c r="U118" s="1830"/>
      <c r="V118" s="194" t="s">
        <v>891</v>
      </c>
      <c r="W118" s="194" t="s">
        <v>892</v>
      </c>
      <c r="X118" s="1459" t="s">
        <v>893</v>
      </c>
      <c r="Y118" s="294">
        <v>1</v>
      </c>
      <c r="Z118" s="216">
        <v>1</v>
      </c>
      <c r="AA118" s="216">
        <v>1</v>
      </c>
      <c r="AB118" s="216">
        <f t="shared" si="7"/>
        <v>1</v>
      </c>
      <c r="AC118" s="217">
        <v>0.25</v>
      </c>
      <c r="AD118" s="217">
        <v>0.25</v>
      </c>
      <c r="AE118" s="217"/>
      <c r="AF118" s="216">
        <v>0.25</v>
      </c>
      <c r="AG118" s="216">
        <v>7.0000000000000007E-2</v>
      </c>
      <c r="AH118" s="216"/>
      <c r="AI118" s="196">
        <v>0</v>
      </c>
      <c r="AJ118" s="199"/>
      <c r="AK118" s="196">
        <f>+AI118</f>
        <v>0</v>
      </c>
      <c r="AL118" s="197">
        <v>0</v>
      </c>
      <c r="AM118" s="197">
        <v>0.32</v>
      </c>
      <c r="AN118" s="197">
        <f>+AL118</f>
        <v>0</v>
      </c>
      <c r="AO118" s="216">
        <v>1</v>
      </c>
      <c r="AP118" s="197">
        <v>0</v>
      </c>
      <c r="AQ118" s="195"/>
      <c r="AR118" s="195"/>
      <c r="AS118" s="195"/>
      <c r="AT118" s="199">
        <v>0.33</v>
      </c>
      <c r="AU118" s="195"/>
      <c r="AV118" s="239">
        <v>0.67</v>
      </c>
      <c r="AW118" s="195"/>
      <c r="AX118" s="197">
        <f>+AT118+AV118</f>
        <v>1</v>
      </c>
      <c r="AY118" s="358">
        <f t="shared" si="8"/>
        <v>1</v>
      </c>
      <c r="AZ118" s="197">
        <v>1</v>
      </c>
      <c r="BA118" s="233">
        <v>1</v>
      </c>
      <c r="BB118" s="197">
        <v>1</v>
      </c>
      <c r="BC118" s="197">
        <v>0.25</v>
      </c>
      <c r="BD118" s="199"/>
      <c r="BE118" s="197">
        <v>0.08</v>
      </c>
      <c r="BF118" s="199"/>
      <c r="BG118" s="197">
        <v>0.67</v>
      </c>
      <c r="BH118" s="324"/>
      <c r="BI118" s="199">
        <v>0</v>
      </c>
      <c r="BJ118" s="199"/>
      <c r="BK118" s="197">
        <f>+BC118+BE118+BG118</f>
        <v>1</v>
      </c>
      <c r="BL118" s="197">
        <f>BK118</f>
        <v>1</v>
      </c>
      <c r="BM118" s="58">
        <f>100%</f>
        <v>1</v>
      </c>
      <c r="BN118" s="58">
        <v>0.75</v>
      </c>
      <c r="BO118" s="204"/>
      <c r="BP118" s="204"/>
      <c r="BQ118" s="204"/>
      <c r="BR118" s="204"/>
      <c r="BS118" s="204"/>
      <c r="BT118" s="204"/>
      <c r="BU118" s="204"/>
      <c r="BV118" s="204"/>
      <c r="BW118" s="204"/>
      <c r="BX118" s="204"/>
      <c r="BY118" s="204"/>
      <c r="BZ118" s="204"/>
      <c r="CA118" s="204"/>
      <c r="CB118" s="204"/>
      <c r="CC118" s="204"/>
      <c r="CD118" s="204"/>
      <c r="CE118" s="204"/>
      <c r="CF118" s="204"/>
      <c r="CG118" s="204"/>
      <c r="CH118" s="204"/>
      <c r="CI118" s="204"/>
      <c r="CJ118" s="204"/>
      <c r="CK118" s="204"/>
      <c r="CL118" s="204"/>
      <c r="CM118" s="204"/>
      <c r="CN118" s="204"/>
      <c r="CO118" s="204"/>
      <c r="CP118" s="204"/>
      <c r="CQ118" s="204"/>
      <c r="CR118" s="204"/>
      <c r="CS118" s="204"/>
      <c r="CT118" s="204"/>
      <c r="CU118" s="204"/>
      <c r="CV118" s="204"/>
      <c r="CW118" s="204"/>
      <c r="CX118" s="204"/>
      <c r="CY118" s="204"/>
    </row>
    <row r="119" spans="1:103" ht="69" customHeight="1" x14ac:dyDescent="0.2">
      <c r="A119" s="1820"/>
      <c r="B119" s="1823"/>
      <c r="C119" s="359"/>
      <c r="D119" s="359"/>
      <c r="E119" s="195"/>
      <c r="F119" s="195"/>
      <c r="G119" s="195"/>
      <c r="H119" s="195"/>
      <c r="I119" s="195"/>
      <c r="J119" s="195"/>
      <c r="K119" s="195"/>
      <c r="L119" s="195"/>
      <c r="M119" s="195"/>
      <c r="N119" s="195"/>
      <c r="O119" s="195"/>
      <c r="P119" s="195"/>
      <c r="Q119" s="195"/>
      <c r="R119" s="195"/>
      <c r="S119" s="195"/>
      <c r="T119" s="359"/>
      <c r="U119" s="1830"/>
      <c r="V119" s="194" t="s">
        <v>894</v>
      </c>
      <c r="W119" s="333" t="s">
        <v>895</v>
      </c>
      <c r="X119" s="1459" t="s">
        <v>896</v>
      </c>
      <c r="Y119" s="344">
        <v>20230</v>
      </c>
      <c r="Z119" s="344">
        <v>5057</v>
      </c>
      <c r="AA119" s="344">
        <v>5057</v>
      </c>
      <c r="AB119" s="216">
        <f t="shared" si="7"/>
        <v>5057</v>
      </c>
      <c r="AC119" s="217">
        <f>+Z119/Y119</f>
        <v>0.24997528423133961</v>
      </c>
      <c r="AD119" s="345">
        <v>0.25</v>
      </c>
      <c r="AE119" s="217">
        <f>+AB119/Y119</f>
        <v>0.24997528423133961</v>
      </c>
      <c r="AF119" s="344">
        <v>20</v>
      </c>
      <c r="AG119" s="344">
        <v>669</v>
      </c>
      <c r="AH119" s="199"/>
      <c r="AI119" s="196">
        <v>695</v>
      </c>
      <c r="AJ119" s="199"/>
      <c r="AK119" s="196">
        <f>+AI119</f>
        <v>695</v>
      </c>
      <c r="AL119" s="230">
        <f>+AK119/Z119</f>
        <v>0.13743326082657703</v>
      </c>
      <c r="AM119" s="196">
        <f>+AK119</f>
        <v>695</v>
      </c>
      <c r="AN119" s="375">
        <f>+AM119/Y119</f>
        <v>3.4354918437963421E-2</v>
      </c>
      <c r="AO119" s="344">
        <v>5057</v>
      </c>
      <c r="AP119" s="193">
        <v>139</v>
      </c>
      <c r="AQ119" s="193">
        <v>966</v>
      </c>
      <c r="AR119" s="193">
        <v>489</v>
      </c>
      <c r="AS119" s="193">
        <v>209</v>
      </c>
      <c r="AT119" s="199">
        <v>966</v>
      </c>
      <c r="AU119" s="239"/>
      <c r="AV119" s="239">
        <v>1026</v>
      </c>
      <c r="AW119" s="239"/>
      <c r="AX119" s="199">
        <f>+AT119+AR119+AP119+AV119</f>
        <v>2620</v>
      </c>
      <c r="AY119" s="197">
        <f t="shared" si="8"/>
        <v>0.51809373146134075</v>
      </c>
      <c r="AZ119" s="196">
        <f>+AX119+AM119</f>
        <v>3315</v>
      </c>
      <c r="BA119" s="376">
        <f>+AZ119/Y119</f>
        <v>0.1638655462184874</v>
      </c>
      <c r="BB119" s="199">
        <v>5057</v>
      </c>
      <c r="BC119" s="199">
        <v>540</v>
      </c>
      <c r="BD119" s="199"/>
      <c r="BE119" s="199">
        <v>640</v>
      </c>
      <c r="BF119" s="199"/>
      <c r="BG119" s="199">
        <v>245</v>
      </c>
      <c r="BH119" s="199"/>
      <c r="BI119" s="199">
        <v>105</v>
      </c>
      <c r="BJ119" s="199"/>
      <c r="BK119" s="199">
        <f>+BC119+BE119+BG119+BI119</f>
        <v>1530</v>
      </c>
      <c r="BL119" s="58">
        <f>BK119/BB119</f>
        <v>0.30255091951750052</v>
      </c>
      <c r="BM119" s="196">
        <f>BK119+AZ119</f>
        <v>4845</v>
      </c>
      <c r="BN119" s="58">
        <f>BM119/Y119</f>
        <v>0.23949579831932774</v>
      </c>
      <c r="BO119" s="204"/>
      <c r="BP119" s="204"/>
      <c r="BQ119" s="204"/>
      <c r="BR119" s="204"/>
      <c r="BS119" s="204"/>
      <c r="BT119" s="204"/>
      <c r="BU119" s="204"/>
      <c r="BV119" s="204"/>
      <c r="BW119" s="204"/>
      <c r="BX119" s="204"/>
      <c r="BY119" s="204"/>
      <c r="BZ119" s="204"/>
      <c r="CA119" s="204"/>
      <c r="CB119" s="204"/>
      <c r="CC119" s="204"/>
      <c r="CD119" s="204"/>
      <c r="CE119" s="204"/>
      <c r="CF119" s="204"/>
      <c r="CG119" s="204"/>
      <c r="CH119" s="204"/>
      <c r="CI119" s="204"/>
      <c r="CJ119" s="204"/>
      <c r="CK119" s="204"/>
      <c r="CL119" s="204"/>
      <c r="CM119" s="204"/>
      <c r="CN119" s="204"/>
      <c r="CO119" s="204"/>
      <c r="CP119" s="204"/>
      <c r="CQ119" s="204"/>
      <c r="CR119" s="204"/>
      <c r="CS119" s="204"/>
      <c r="CT119" s="204"/>
      <c r="CU119" s="204"/>
      <c r="CV119" s="204"/>
      <c r="CW119" s="204"/>
      <c r="CX119" s="204"/>
      <c r="CY119" s="204"/>
    </row>
    <row r="120" spans="1:103" ht="88.5" customHeight="1" x14ac:dyDescent="0.2">
      <c r="A120" s="1820"/>
      <c r="B120" s="1823"/>
      <c r="C120" s="359"/>
      <c r="D120" s="359"/>
      <c r="E120" s="195"/>
      <c r="F120" s="195"/>
      <c r="G120" s="195"/>
      <c r="H120" s="195"/>
      <c r="I120" s="195"/>
      <c r="J120" s="195"/>
      <c r="K120" s="195"/>
      <c r="L120" s="195"/>
      <c r="M120" s="195"/>
      <c r="N120" s="195"/>
      <c r="O120" s="195"/>
      <c r="P120" s="195"/>
      <c r="Q120" s="195"/>
      <c r="R120" s="195"/>
      <c r="S120" s="195"/>
      <c r="T120" s="359"/>
      <c r="U120" s="1830"/>
      <c r="V120" s="194" t="s">
        <v>897</v>
      </c>
      <c r="W120" s="194">
        <v>0</v>
      </c>
      <c r="X120" s="1459" t="s">
        <v>898</v>
      </c>
      <c r="Y120" s="216">
        <v>3021</v>
      </c>
      <c r="Z120" s="216">
        <v>755</v>
      </c>
      <c r="AA120" s="216">
        <v>755</v>
      </c>
      <c r="AB120" s="216">
        <f t="shared" si="7"/>
        <v>755</v>
      </c>
      <c r="AC120" s="217">
        <f>+Z120/Y120</f>
        <v>0.2499172459450513</v>
      </c>
      <c r="AD120" s="217">
        <f>+AA120/Y120</f>
        <v>0.2499172459450513</v>
      </c>
      <c r="AE120" s="217">
        <f>+AB120/Y120</f>
        <v>0.2499172459450513</v>
      </c>
      <c r="AF120" s="216">
        <v>0</v>
      </c>
      <c r="AG120" s="216">
        <v>0</v>
      </c>
      <c r="AH120" s="199"/>
      <c r="AI120" s="196">
        <v>0</v>
      </c>
      <c r="AJ120" s="199"/>
      <c r="AK120" s="199">
        <v>0</v>
      </c>
      <c r="AL120" s="197">
        <v>0</v>
      </c>
      <c r="AM120" s="199">
        <v>0</v>
      </c>
      <c r="AN120" s="197">
        <v>0</v>
      </c>
      <c r="AO120" s="216">
        <v>755</v>
      </c>
      <c r="AP120" s="199">
        <v>0</v>
      </c>
      <c r="AQ120" s="239"/>
      <c r="AR120" s="239">
        <v>99</v>
      </c>
      <c r="AS120" s="239"/>
      <c r="AT120" s="199">
        <v>415</v>
      </c>
      <c r="AU120" s="239"/>
      <c r="AV120" s="239">
        <v>227</v>
      </c>
      <c r="AW120" s="239"/>
      <c r="AX120" s="199">
        <f>+AR120+AT120+AV120</f>
        <v>741</v>
      </c>
      <c r="AY120" s="197">
        <f t="shared" si="8"/>
        <v>0.98145695364238406</v>
      </c>
      <c r="AZ120" s="199">
        <f>+AX120+AM120</f>
        <v>741</v>
      </c>
      <c r="BA120" s="233">
        <f>+AZ120/Y120</f>
        <v>0.24528301886792453</v>
      </c>
      <c r="BB120" s="199">
        <v>755</v>
      </c>
      <c r="BC120" s="199">
        <v>155</v>
      </c>
      <c r="BD120" s="199"/>
      <c r="BE120" s="199">
        <v>161</v>
      </c>
      <c r="BF120" s="199"/>
      <c r="BG120" s="199">
        <v>60</v>
      </c>
      <c r="BH120" s="199"/>
      <c r="BI120" s="199">
        <v>989</v>
      </c>
      <c r="BJ120" s="199"/>
      <c r="BK120" s="199">
        <f>BC120+BE120+BG120+BI120</f>
        <v>1365</v>
      </c>
      <c r="BL120" s="230">
        <v>1</v>
      </c>
      <c r="BM120" s="199">
        <f>BK120+AZ120</f>
        <v>2106</v>
      </c>
      <c r="BN120" s="230">
        <f>BM120/Y120</f>
        <v>0.69712015888778545</v>
      </c>
      <c r="BO120" s="204"/>
      <c r="BP120" s="204"/>
      <c r="BQ120" s="204"/>
      <c r="BR120" s="204"/>
      <c r="BS120" s="204"/>
      <c r="BT120" s="204"/>
      <c r="BU120" s="204"/>
      <c r="BV120" s="204"/>
      <c r="BW120" s="204"/>
      <c r="BX120" s="204"/>
      <c r="BY120" s="204"/>
      <c r="BZ120" s="204"/>
      <c r="CA120" s="204"/>
      <c r="CB120" s="204"/>
      <c r="CC120" s="204"/>
      <c r="CD120" s="204"/>
      <c r="CE120" s="204"/>
      <c r="CF120" s="204"/>
      <c r="CG120" s="204"/>
      <c r="CH120" s="204"/>
      <c r="CI120" s="204"/>
      <c r="CJ120" s="204"/>
      <c r="CK120" s="204"/>
      <c r="CL120" s="204"/>
      <c r="CM120" s="204"/>
      <c r="CN120" s="204"/>
      <c r="CO120" s="204"/>
      <c r="CP120" s="204"/>
      <c r="CQ120" s="204"/>
      <c r="CR120" s="204"/>
      <c r="CS120" s="204"/>
      <c r="CT120" s="204"/>
      <c r="CU120" s="204"/>
      <c r="CV120" s="204"/>
      <c r="CW120" s="204"/>
      <c r="CX120" s="204"/>
      <c r="CY120" s="204"/>
    </row>
    <row r="121" spans="1:103" ht="91.5" customHeight="1" x14ac:dyDescent="0.2">
      <c r="A121" s="1820"/>
      <c r="B121" s="1823"/>
      <c r="C121" s="359"/>
      <c r="D121" s="359"/>
      <c r="E121" s="195"/>
      <c r="F121" s="195"/>
      <c r="G121" s="195"/>
      <c r="H121" s="195"/>
      <c r="I121" s="195"/>
      <c r="J121" s="195"/>
      <c r="K121" s="195"/>
      <c r="L121" s="195"/>
      <c r="M121" s="195"/>
      <c r="N121" s="195"/>
      <c r="O121" s="195"/>
      <c r="P121" s="195"/>
      <c r="Q121" s="195"/>
      <c r="R121" s="195"/>
      <c r="S121" s="195"/>
      <c r="T121" s="359"/>
      <c r="U121" s="1830"/>
      <c r="V121" s="194" t="s">
        <v>899</v>
      </c>
      <c r="W121" s="194">
        <v>0</v>
      </c>
      <c r="X121" s="1459" t="s">
        <v>900</v>
      </c>
      <c r="Y121" s="216">
        <v>400</v>
      </c>
      <c r="Z121" s="216">
        <v>100</v>
      </c>
      <c r="AA121" s="216">
        <v>100</v>
      </c>
      <c r="AB121" s="216">
        <f t="shared" si="7"/>
        <v>100</v>
      </c>
      <c r="AC121" s="217">
        <f>+Z121/Y121</f>
        <v>0.25</v>
      </c>
      <c r="AD121" s="217">
        <v>0.25</v>
      </c>
      <c r="AE121" s="217">
        <f>+AB121/Y121</f>
        <v>0.25</v>
      </c>
      <c r="AF121" s="216">
        <v>0</v>
      </c>
      <c r="AG121" s="216">
        <v>0</v>
      </c>
      <c r="AH121" s="199"/>
      <c r="AI121" s="196">
        <v>0</v>
      </c>
      <c r="AJ121" s="199"/>
      <c r="AK121" s="199">
        <v>0</v>
      </c>
      <c r="AL121" s="197">
        <v>0</v>
      </c>
      <c r="AM121" s="199">
        <v>0</v>
      </c>
      <c r="AN121" s="197">
        <v>0</v>
      </c>
      <c r="AO121" s="216">
        <v>100</v>
      </c>
      <c r="AP121" s="199">
        <v>0</v>
      </c>
      <c r="AQ121" s="199"/>
      <c r="AR121" s="199"/>
      <c r="AS121" s="199"/>
      <c r="AT121" s="199">
        <v>0</v>
      </c>
      <c r="AU121" s="199"/>
      <c r="AV121" s="199">
        <v>51</v>
      </c>
      <c r="AW121" s="199"/>
      <c r="AX121" s="199">
        <f>+AV121</f>
        <v>51</v>
      </c>
      <c r="AY121" s="197">
        <f t="shared" si="8"/>
        <v>0.51</v>
      </c>
      <c r="AZ121" s="199">
        <f>+AX121+AM121</f>
        <v>51</v>
      </c>
      <c r="BA121" s="233">
        <f>+AZ121/Y121</f>
        <v>0.1275</v>
      </c>
      <c r="BB121" s="199">
        <v>100</v>
      </c>
      <c r="BC121" s="199">
        <v>0</v>
      </c>
      <c r="BD121" s="199"/>
      <c r="BE121" s="199">
        <v>0</v>
      </c>
      <c r="BF121" s="199"/>
      <c r="BG121" s="199">
        <v>0</v>
      </c>
      <c r="BH121" s="199"/>
      <c r="BI121" s="199">
        <v>83</v>
      </c>
      <c r="BJ121" s="199"/>
      <c r="BK121" s="199">
        <f>+BI121</f>
        <v>83</v>
      </c>
      <c r="BL121" s="58">
        <f>BK121/BB121</f>
        <v>0.83</v>
      </c>
      <c r="BM121" s="199">
        <f>BK121+AZ121</f>
        <v>134</v>
      </c>
      <c r="BN121" s="230">
        <f>BM121/Y121</f>
        <v>0.33500000000000002</v>
      </c>
      <c r="BO121" s="204"/>
      <c r="BP121" s="204"/>
      <c r="BQ121" s="204"/>
      <c r="BR121" s="204"/>
      <c r="BS121" s="204"/>
      <c r="BT121" s="204"/>
      <c r="BU121" s="204"/>
      <c r="BV121" s="204"/>
      <c r="BW121" s="204"/>
      <c r="BX121" s="204"/>
      <c r="BY121" s="204"/>
      <c r="BZ121" s="204"/>
      <c r="CA121" s="204"/>
      <c r="CB121" s="204"/>
      <c r="CC121" s="204"/>
      <c r="CD121" s="204"/>
      <c r="CE121" s="204"/>
      <c r="CF121" s="204"/>
      <c r="CG121" s="204"/>
      <c r="CH121" s="204"/>
      <c r="CI121" s="204"/>
      <c r="CJ121" s="204"/>
      <c r="CK121" s="204"/>
      <c r="CL121" s="204"/>
      <c r="CM121" s="204"/>
      <c r="CN121" s="204"/>
      <c r="CO121" s="204"/>
      <c r="CP121" s="204"/>
      <c r="CQ121" s="204"/>
      <c r="CR121" s="204"/>
      <c r="CS121" s="204"/>
      <c r="CT121" s="204"/>
      <c r="CU121" s="204"/>
      <c r="CV121" s="204"/>
      <c r="CW121" s="204"/>
      <c r="CX121" s="204"/>
      <c r="CY121" s="204"/>
    </row>
    <row r="122" spans="1:103" ht="80.25" customHeight="1" x14ac:dyDescent="0.2">
      <c r="A122" s="1820"/>
      <c r="B122" s="1823"/>
      <c r="C122" s="359"/>
      <c r="D122" s="359"/>
      <c r="E122" s="195"/>
      <c r="F122" s="195"/>
      <c r="G122" s="195"/>
      <c r="H122" s="195"/>
      <c r="I122" s="195"/>
      <c r="J122" s="195"/>
      <c r="K122" s="195"/>
      <c r="L122" s="195"/>
      <c r="M122" s="195"/>
      <c r="N122" s="195"/>
      <c r="O122" s="195"/>
      <c r="P122" s="195"/>
      <c r="Q122" s="195"/>
      <c r="R122" s="195"/>
      <c r="S122" s="195"/>
      <c r="T122" s="359"/>
      <c r="U122" s="1830"/>
      <c r="V122" s="194" t="s">
        <v>901</v>
      </c>
      <c r="W122" s="194">
        <v>0</v>
      </c>
      <c r="X122" s="1459" t="s">
        <v>902</v>
      </c>
      <c r="Y122" s="347">
        <v>4</v>
      </c>
      <c r="Z122" s="347">
        <v>1</v>
      </c>
      <c r="AA122" s="347">
        <v>1</v>
      </c>
      <c r="AB122" s="216">
        <f t="shared" si="7"/>
        <v>1</v>
      </c>
      <c r="AC122" s="217">
        <f>+Z122/Y122</f>
        <v>0.25</v>
      </c>
      <c r="AD122" s="217">
        <v>0.25</v>
      </c>
      <c r="AE122" s="217"/>
      <c r="AF122" s="216">
        <v>0</v>
      </c>
      <c r="AG122" s="216">
        <v>0</v>
      </c>
      <c r="AH122" s="199"/>
      <c r="AI122" s="196">
        <v>0</v>
      </c>
      <c r="AJ122" s="199"/>
      <c r="AK122" s="199">
        <v>0</v>
      </c>
      <c r="AL122" s="197">
        <v>0</v>
      </c>
      <c r="AM122" s="199">
        <v>0</v>
      </c>
      <c r="AN122" s="197">
        <v>0</v>
      </c>
      <c r="AO122" s="347">
        <v>1</v>
      </c>
      <c r="AP122" s="199">
        <v>0</v>
      </c>
      <c r="AQ122" s="199"/>
      <c r="AR122" s="199"/>
      <c r="AS122" s="199"/>
      <c r="AT122" s="199">
        <v>0</v>
      </c>
      <c r="AU122" s="199"/>
      <c r="AV122" s="199">
        <v>0</v>
      </c>
      <c r="AW122" s="199"/>
      <c r="AX122" s="199">
        <v>0</v>
      </c>
      <c r="AY122" s="197">
        <f t="shared" si="8"/>
        <v>0</v>
      </c>
      <c r="AZ122" s="199">
        <f>+AX122+AM122</f>
        <v>0</v>
      </c>
      <c r="BA122" s="233">
        <f>+AZ122/Y122</f>
        <v>0</v>
      </c>
      <c r="BB122" s="199">
        <v>1</v>
      </c>
      <c r="BC122" s="199">
        <v>0</v>
      </c>
      <c r="BD122" s="199"/>
      <c r="BE122" s="199">
        <v>0</v>
      </c>
      <c r="BF122" s="195"/>
      <c r="BG122" s="199">
        <v>0</v>
      </c>
      <c r="BH122" s="1447" t="s">
        <v>2241</v>
      </c>
      <c r="BI122" s="199">
        <v>4</v>
      </c>
      <c r="BJ122" s="195"/>
      <c r="BK122" s="199">
        <f>+BI122</f>
        <v>4</v>
      </c>
      <c r="BL122" s="1227">
        <v>1</v>
      </c>
      <c r="BM122" s="195"/>
      <c r="BN122" s="197">
        <v>1</v>
      </c>
      <c r="BO122" s="204"/>
      <c r="BP122" s="204"/>
      <c r="BQ122" s="204"/>
      <c r="BR122" s="204"/>
      <c r="BS122" s="204"/>
      <c r="BT122" s="204"/>
      <c r="BU122" s="204"/>
      <c r="BV122" s="204"/>
      <c r="BW122" s="204"/>
      <c r="BX122" s="204"/>
      <c r="BY122" s="204"/>
      <c r="BZ122" s="204"/>
      <c r="CA122" s="204"/>
      <c r="CB122" s="204"/>
      <c r="CC122" s="204"/>
      <c r="CD122" s="204"/>
      <c r="CE122" s="204"/>
      <c r="CF122" s="204"/>
      <c r="CG122" s="204"/>
      <c r="CH122" s="204"/>
      <c r="CI122" s="204"/>
      <c r="CJ122" s="204"/>
      <c r="CK122" s="204"/>
      <c r="CL122" s="204"/>
      <c r="CM122" s="204"/>
      <c r="CN122" s="204"/>
      <c r="CO122" s="204"/>
      <c r="CP122" s="204"/>
      <c r="CQ122" s="204"/>
      <c r="CR122" s="204"/>
      <c r="CS122" s="204"/>
      <c r="CT122" s="204"/>
      <c r="CU122" s="204"/>
      <c r="CV122" s="204"/>
      <c r="CW122" s="204"/>
      <c r="CX122" s="204"/>
      <c r="CY122" s="204"/>
    </row>
    <row r="123" spans="1:103" ht="40.5" customHeight="1" x14ac:dyDescent="0.2">
      <c r="A123" s="1820"/>
      <c r="B123" s="1823"/>
      <c r="C123" s="359"/>
      <c r="D123" s="359"/>
      <c r="E123" s="195"/>
      <c r="F123" s="195"/>
      <c r="G123" s="195"/>
      <c r="H123" s="195"/>
      <c r="I123" s="195"/>
      <c r="J123" s="195"/>
      <c r="K123" s="195"/>
      <c r="L123" s="195"/>
      <c r="M123" s="195"/>
      <c r="N123" s="195"/>
      <c r="O123" s="195"/>
      <c r="P123" s="195"/>
      <c r="Q123" s="195"/>
      <c r="R123" s="195"/>
      <c r="S123" s="195"/>
      <c r="T123" s="359"/>
      <c r="U123" s="1831"/>
      <c r="V123" s="246"/>
      <c r="W123" s="246"/>
      <c r="X123" s="1454"/>
      <c r="Y123" s="246"/>
      <c r="Z123" s="247"/>
      <c r="AA123" s="247"/>
      <c r="AB123" s="247"/>
      <c r="AC123" s="252">
        <f>AVERAGE(AC117:AC122)</f>
        <v>0.24998208836273181</v>
      </c>
      <c r="AD123" s="252">
        <f>AVERAGE(AD117:AD122)</f>
        <v>0.24998620765750856</v>
      </c>
      <c r="AE123" s="252">
        <f>AVERAGE(AE117:AE122)</f>
        <v>0.24996417672546364</v>
      </c>
      <c r="AF123" s="247"/>
      <c r="AG123" s="247"/>
      <c r="AH123" s="247"/>
      <c r="AI123" s="251"/>
      <c r="AJ123" s="247"/>
      <c r="AK123" s="247"/>
      <c r="AL123" s="253">
        <f>AVERAGE(AL117:AL122)</f>
        <v>8.5405543471096176E-2</v>
      </c>
      <c r="AM123" s="377"/>
      <c r="AN123" s="253">
        <f>AVERAGE(AN117:AN122)</f>
        <v>4.7392486406327233E-2</v>
      </c>
      <c r="AO123" s="247"/>
      <c r="AP123" s="247"/>
      <c r="AQ123" s="247"/>
      <c r="AR123" s="247"/>
      <c r="AS123" s="247"/>
      <c r="AT123" s="247"/>
      <c r="AU123" s="247"/>
      <c r="AV123" s="247"/>
      <c r="AW123" s="247"/>
      <c r="AX123" s="247"/>
      <c r="AY123" s="378">
        <f>AVERAGE(AY117:AY122)</f>
        <v>0.66825844751728747</v>
      </c>
      <c r="AZ123" s="247"/>
      <c r="BA123" s="255">
        <f>AVERAGE(BA117:BA122)</f>
        <v>0.4227747608477353</v>
      </c>
      <c r="BB123" s="290"/>
      <c r="BC123" s="290"/>
      <c r="BD123" s="290"/>
      <c r="BE123" s="290"/>
      <c r="BF123" s="290"/>
      <c r="BG123" s="290"/>
      <c r="BH123" s="290"/>
      <c r="BI123" s="290"/>
      <c r="BJ123" s="290"/>
      <c r="BK123" s="290"/>
      <c r="BL123" s="295">
        <f>AVERAGE(BL117:BL122)</f>
        <v>0.85542515325291679</v>
      </c>
      <c r="BM123" s="296"/>
      <c r="BN123" s="253">
        <f>AVERAGE(BN117:BN122)</f>
        <v>0.6379776595345189</v>
      </c>
      <c r="BO123" s="291"/>
      <c r="BP123" s="291"/>
      <c r="BQ123" s="291"/>
      <c r="BR123" s="291"/>
      <c r="BS123" s="291"/>
      <c r="BT123" s="291"/>
      <c r="BU123" s="291"/>
      <c r="BV123" s="291"/>
      <c r="BW123" s="291"/>
      <c r="BX123" s="291"/>
      <c r="BY123" s="291"/>
      <c r="BZ123" s="291"/>
      <c r="CA123" s="291"/>
      <c r="CB123" s="291"/>
      <c r="CC123" s="291"/>
      <c r="CD123" s="291"/>
      <c r="CE123" s="291"/>
      <c r="CF123" s="291"/>
      <c r="CG123" s="291"/>
      <c r="CH123" s="291"/>
      <c r="CI123" s="291"/>
      <c r="CJ123" s="291"/>
      <c r="CK123" s="291"/>
      <c r="CL123" s="291"/>
      <c r="CM123" s="291"/>
      <c r="CN123" s="291"/>
      <c r="CO123" s="291"/>
      <c r="CP123" s="291"/>
      <c r="CQ123" s="291"/>
      <c r="CR123" s="291"/>
      <c r="CS123" s="291"/>
      <c r="CT123" s="291"/>
      <c r="CU123" s="291"/>
      <c r="CV123" s="291"/>
      <c r="CW123" s="291"/>
      <c r="CX123" s="291"/>
      <c r="CY123" s="291"/>
    </row>
    <row r="124" spans="1:103" ht="35.25" customHeight="1" x14ac:dyDescent="0.2">
      <c r="A124" s="1820"/>
      <c r="B124" s="1823"/>
      <c r="C124" s="359"/>
      <c r="D124" s="359"/>
      <c r="E124" s="195"/>
      <c r="F124" s="195"/>
      <c r="G124" s="195"/>
      <c r="H124" s="195"/>
      <c r="I124" s="195"/>
      <c r="J124" s="195"/>
      <c r="K124" s="195"/>
      <c r="L124" s="195"/>
      <c r="M124" s="195"/>
      <c r="N124" s="195"/>
      <c r="O124" s="195"/>
      <c r="P124" s="195"/>
      <c r="Q124" s="195"/>
      <c r="R124" s="195"/>
      <c r="S124" s="195"/>
      <c r="T124" s="359"/>
      <c r="U124" s="1829" t="s">
        <v>903</v>
      </c>
      <c r="V124" s="194" t="s">
        <v>904</v>
      </c>
      <c r="W124" s="194">
        <v>0</v>
      </c>
      <c r="X124" s="1461" t="s">
        <v>2253</v>
      </c>
      <c r="Y124" s="872">
        <v>5</v>
      </c>
      <c r="Z124" s="216">
        <v>4.99</v>
      </c>
      <c r="AA124" s="379">
        <v>4.99</v>
      </c>
      <c r="AB124" s="199">
        <v>0</v>
      </c>
      <c r="AC124" s="217">
        <v>0.25</v>
      </c>
      <c r="AD124" s="217">
        <v>0.25</v>
      </c>
      <c r="AE124" s="217">
        <f>+AB124/Y124</f>
        <v>0</v>
      </c>
      <c r="AF124" s="216">
        <v>0</v>
      </c>
      <c r="AG124" s="216">
        <v>0</v>
      </c>
      <c r="AH124" s="199"/>
      <c r="AI124" s="196">
        <v>0</v>
      </c>
      <c r="AJ124" s="199"/>
      <c r="AK124" s="199">
        <v>0</v>
      </c>
      <c r="AL124" s="197">
        <v>0</v>
      </c>
      <c r="AM124" s="199">
        <v>0</v>
      </c>
      <c r="AN124" s="197">
        <v>0.25</v>
      </c>
      <c r="AO124" s="379">
        <v>4.99</v>
      </c>
      <c r="AP124" s="199">
        <v>0</v>
      </c>
      <c r="AQ124" s="199"/>
      <c r="AR124" s="276"/>
      <c r="AS124" s="199"/>
      <c r="AT124" s="199">
        <v>0</v>
      </c>
      <c r="AU124" s="199"/>
      <c r="AV124" s="199">
        <v>0</v>
      </c>
      <c r="AW124" s="199"/>
      <c r="AX124" s="199">
        <v>0</v>
      </c>
      <c r="AY124" s="197">
        <v>1</v>
      </c>
      <c r="AZ124" s="197">
        <f>+AN124</f>
        <v>0.25</v>
      </c>
      <c r="BA124" s="233">
        <v>0.51</v>
      </c>
      <c r="BB124" s="199">
        <v>0</v>
      </c>
      <c r="BC124" s="199">
        <v>0</v>
      </c>
      <c r="BD124" s="199"/>
      <c r="BE124" s="199">
        <v>0</v>
      </c>
      <c r="BF124" s="199"/>
      <c r="BG124" s="199" t="s">
        <v>2217</v>
      </c>
      <c r="BH124" s="324" t="s">
        <v>2218</v>
      </c>
      <c r="BI124" s="199">
        <v>0.54115000000000002</v>
      </c>
      <c r="BJ124" s="199"/>
      <c r="BK124" s="199">
        <f>+BI124</f>
        <v>0.54115000000000002</v>
      </c>
      <c r="BL124" s="197">
        <v>1</v>
      </c>
      <c r="BM124" s="199">
        <f>+BK124</f>
        <v>0.54115000000000002</v>
      </c>
      <c r="BN124" s="58">
        <v>0.75</v>
      </c>
      <c r="BO124" s="204"/>
      <c r="BP124" s="204"/>
      <c r="BQ124" s="204"/>
      <c r="BR124" s="204"/>
      <c r="BS124" s="204"/>
      <c r="BT124" s="204"/>
      <c r="BU124" s="204"/>
      <c r="BV124" s="204"/>
      <c r="BW124" s="204"/>
      <c r="BX124" s="204"/>
      <c r="BY124" s="204"/>
      <c r="BZ124" s="204"/>
      <c r="CA124" s="204"/>
      <c r="CB124" s="204"/>
      <c r="CC124" s="204"/>
      <c r="CD124" s="204"/>
      <c r="CE124" s="204"/>
      <c r="CF124" s="204"/>
      <c r="CG124" s="204"/>
      <c r="CH124" s="204"/>
      <c r="CI124" s="204"/>
      <c r="CJ124" s="204"/>
      <c r="CK124" s="204"/>
      <c r="CL124" s="204"/>
      <c r="CM124" s="204"/>
      <c r="CN124" s="204"/>
      <c r="CO124" s="204"/>
      <c r="CP124" s="204"/>
      <c r="CQ124" s="204"/>
      <c r="CR124" s="204"/>
      <c r="CS124" s="204"/>
      <c r="CT124" s="204"/>
      <c r="CU124" s="204"/>
      <c r="CV124" s="204"/>
      <c r="CW124" s="204"/>
      <c r="CX124" s="204"/>
      <c r="CY124" s="204"/>
    </row>
    <row r="125" spans="1:103" ht="62.25" customHeight="1" x14ac:dyDescent="0.2">
      <c r="A125" s="1820"/>
      <c r="B125" s="1823"/>
      <c r="C125" s="359"/>
      <c r="D125" s="359"/>
      <c r="E125" s="195"/>
      <c r="F125" s="195"/>
      <c r="G125" s="195"/>
      <c r="H125" s="195"/>
      <c r="I125" s="195"/>
      <c r="J125" s="195"/>
      <c r="K125" s="195"/>
      <c r="L125" s="195"/>
      <c r="M125" s="195"/>
      <c r="N125" s="195"/>
      <c r="O125" s="195"/>
      <c r="P125" s="195"/>
      <c r="Q125" s="195"/>
      <c r="R125" s="195"/>
      <c r="S125" s="195"/>
      <c r="T125" s="359"/>
      <c r="U125" s="1830"/>
      <c r="V125" s="194" t="s">
        <v>905</v>
      </c>
      <c r="W125" s="194">
        <v>0</v>
      </c>
      <c r="X125" s="1241" t="s">
        <v>906</v>
      </c>
      <c r="Y125" s="220">
        <f>48*4</f>
        <v>192</v>
      </c>
      <c r="Z125" s="216">
        <v>48</v>
      </c>
      <c r="AA125" s="216">
        <v>48</v>
      </c>
      <c r="AB125" s="199">
        <v>48</v>
      </c>
      <c r="AC125" s="217">
        <f>+Z125/Y125</f>
        <v>0.25</v>
      </c>
      <c r="AD125" s="217">
        <v>0.25</v>
      </c>
      <c r="AE125" s="217">
        <f>+AB125/Y125</f>
        <v>0.25</v>
      </c>
      <c r="AF125" s="216">
        <v>0</v>
      </c>
      <c r="AG125" s="216">
        <v>0</v>
      </c>
      <c r="AH125" s="199"/>
      <c r="AI125" s="196">
        <v>0</v>
      </c>
      <c r="AJ125" s="199"/>
      <c r="AK125" s="199">
        <v>0</v>
      </c>
      <c r="AL125" s="197">
        <v>0</v>
      </c>
      <c r="AM125" s="199">
        <v>0</v>
      </c>
      <c r="AN125" s="197">
        <v>0</v>
      </c>
      <c r="AO125" s="216">
        <v>48</v>
      </c>
      <c r="AP125" s="199">
        <v>0</v>
      </c>
      <c r="AQ125" s="199"/>
      <c r="AR125" s="276"/>
      <c r="AS125" s="199"/>
      <c r="AT125" s="199">
        <v>0</v>
      </c>
      <c r="AU125" s="199"/>
      <c r="AV125" s="199">
        <v>0</v>
      </c>
      <c r="AW125" s="199"/>
      <c r="AX125" s="199">
        <v>0</v>
      </c>
      <c r="AY125" s="197">
        <v>0</v>
      </c>
      <c r="AZ125" s="275">
        <f>+AN125</f>
        <v>0</v>
      </c>
      <c r="BA125" s="233">
        <f>+AZ125</f>
        <v>0</v>
      </c>
      <c r="BB125" s="199">
        <v>48</v>
      </c>
      <c r="BC125" s="199">
        <v>3</v>
      </c>
      <c r="BD125" s="199"/>
      <c r="BE125" s="199">
        <v>12</v>
      </c>
      <c r="BF125" s="199"/>
      <c r="BG125" s="199">
        <v>44</v>
      </c>
      <c r="BI125" s="199">
        <v>86</v>
      </c>
      <c r="BJ125" s="199"/>
      <c r="BK125" s="199">
        <f>+BE125+BG125+BC125+BI125</f>
        <v>145</v>
      </c>
      <c r="BL125" s="1227">
        <v>1</v>
      </c>
      <c r="BM125" s="1226">
        <f>+BK125</f>
        <v>145</v>
      </c>
      <c r="BN125" s="58">
        <f>+BM125/Y125</f>
        <v>0.75520833333333337</v>
      </c>
      <c r="BO125" s="204"/>
      <c r="BP125" s="204"/>
      <c r="BQ125" s="204"/>
      <c r="BR125" s="204"/>
      <c r="BS125" s="204"/>
      <c r="BT125" s="204"/>
      <c r="BU125" s="204"/>
      <c r="BV125" s="204"/>
      <c r="BW125" s="204"/>
      <c r="BX125" s="204"/>
      <c r="BY125" s="204"/>
      <c r="BZ125" s="204"/>
      <c r="CA125" s="204"/>
      <c r="CB125" s="204"/>
      <c r="CC125" s="204"/>
      <c r="CD125" s="204"/>
      <c r="CE125" s="204"/>
      <c r="CF125" s="204"/>
      <c r="CG125" s="204"/>
      <c r="CH125" s="204"/>
      <c r="CI125" s="204"/>
      <c r="CJ125" s="204"/>
      <c r="CK125" s="204"/>
      <c r="CL125" s="204"/>
      <c r="CM125" s="204"/>
      <c r="CN125" s="204"/>
      <c r="CO125" s="204"/>
      <c r="CP125" s="204"/>
      <c r="CQ125" s="204"/>
      <c r="CR125" s="204"/>
      <c r="CS125" s="204"/>
      <c r="CT125" s="204"/>
      <c r="CU125" s="204"/>
      <c r="CV125" s="204"/>
      <c r="CW125" s="204"/>
      <c r="CX125" s="204"/>
      <c r="CY125" s="204"/>
    </row>
    <row r="126" spans="1:103" ht="75" customHeight="1" x14ac:dyDescent="0.2">
      <c r="A126" s="1820"/>
      <c r="B126" s="1823"/>
      <c r="C126" s="359"/>
      <c r="D126" s="359"/>
      <c r="E126" s="195"/>
      <c r="F126" s="195"/>
      <c r="G126" s="195"/>
      <c r="H126" s="195"/>
      <c r="I126" s="195"/>
      <c r="J126" s="195"/>
      <c r="K126" s="195"/>
      <c r="L126" s="195"/>
      <c r="M126" s="195"/>
      <c r="N126" s="195"/>
      <c r="O126" s="195"/>
      <c r="P126" s="195"/>
      <c r="Q126" s="195"/>
      <c r="R126" s="195"/>
      <c r="S126" s="195"/>
      <c r="T126" s="359"/>
      <c r="U126" s="1830"/>
      <c r="V126" s="194" t="s">
        <v>907</v>
      </c>
      <c r="W126" s="333" t="s">
        <v>908</v>
      </c>
      <c r="X126" s="1241" t="s">
        <v>909</v>
      </c>
      <c r="Y126" s="220">
        <f>7600*4</f>
        <v>30400</v>
      </c>
      <c r="Z126" s="216">
        <v>7600</v>
      </c>
      <c r="AA126" s="216">
        <v>7600</v>
      </c>
      <c r="AB126" s="199">
        <v>7600</v>
      </c>
      <c r="AC126" s="217">
        <f>+Z126/Y126</f>
        <v>0.25</v>
      </c>
      <c r="AD126" s="217">
        <v>0.25</v>
      </c>
      <c r="AE126" s="217">
        <f>+AB126/Y126</f>
        <v>0.25</v>
      </c>
      <c r="AF126" s="216">
        <v>719</v>
      </c>
      <c r="AG126" s="216">
        <v>923</v>
      </c>
      <c r="AH126" s="199"/>
      <c r="AI126" s="196">
        <v>2029</v>
      </c>
      <c r="AJ126" s="199"/>
      <c r="AK126" s="196">
        <f>+AI126</f>
        <v>2029</v>
      </c>
      <c r="AL126" s="230">
        <f>+AK126/Z126</f>
        <v>0.26697368421052631</v>
      </c>
      <c r="AM126" s="196">
        <f>+AK126</f>
        <v>2029</v>
      </c>
      <c r="AN126" s="230">
        <f>+AM126/Y126</f>
        <v>6.6743421052631577E-2</v>
      </c>
      <c r="AO126" s="216">
        <v>7600</v>
      </c>
      <c r="AP126" s="199">
        <v>1877</v>
      </c>
      <c r="AQ126" s="199"/>
      <c r="AR126" s="199">
        <v>1978</v>
      </c>
      <c r="AS126" s="199"/>
      <c r="AT126" s="199">
        <v>3270</v>
      </c>
      <c r="AU126" s="199"/>
      <c r="AV126" s="199">
        <v>3902</v>
      </c>
      <c r="AW126" s="199"/>
      <c r="AX126" s="199">
        <f>+AP126+AR126+AT126+AV126</f>
        <v>11027</v>
      </c>
      <c r="AY126" s="197">
        <v>1</v>
      </c>
      <c r="AZ126" s="196">
        <f>+AX126+AM126</f>
        <v>13056</v>
      </c>
      <c r="BA126" s="233">
        <f>+AZ126/(Y126*4)</f>
        <v>0.10736842105263159</v>
      </c>
      <c r="BB126" s="199">
        <v>7600</v>
      </c>
      <c r="BC126" s="199">
        <v>1716</v>
      </c>
      <c r="BD126" s="199"/>
      <c r="BE126" s="199">
        <v>2268</v>
      </c>
      <c r="BF126" s="199"/>
      <c r="BG126" s="199">
        <v>2038</v>
      </c>
      <c r="BH126" s="199"/>
      <c r="BI126" s="199">
        <v>2350</v>
      </c>
      <c r="BJ126" s="199"/>
      <c r="BK126" s="199">
        <f>+BE126+BG126+BC126+BI126</f>
        <v>8372</v>
      </c>
      <c r="BL126" s="197">
        <v>1</v>
      </c>
      <c r="BM126" s="196">
        <f>BK126+AZ126</f>
        <v>21428</v>
      </c>
      <c r="BN126" s="58">
        <f>BM126/Y126</f>
        <v>0.70486842105263159</v>
      </c>
      <c r="BO126" s="204"/>
      <c r="BP126" s="204"/>
      <c r="BQ126" s="204"/>
      <c r="BR126" s="204"/>
      <c r="BS126" s="204"/>
      <c r="BT126" s="204"/>
      <c r="BU126" s="204"/>
      <c r="BV126" s="204"/>
      <c r="BW126" s="204"/>
      <c r="BX126" s="204"/>
      <c r="BY126" s="204"/>
      <c r="BZ126" s="204"/>
      <c r="CA126" s="204"/>
      <c r="CB126" s="204"/>
      <c r="CC126" s="204"/>
      <c r="CD126" s="204"/>
      <c r="CE126" s="204"/>
      <c r="CF126" s="204"/>
      <c r="CG126" s="204"/>
      <c r="CH126" s="204"/>
      <c r="CI126" s="204"/>
      <c r="CJ126" s="204"/>
      <c r="CK126" s="204"/>
      <c r="CL126" s="204"/>
      <c r="CM126" s="204"/>
      <c r="CN126" s="204"/>
      <c r="CO126" s="204"/>
      <c r="CP126" s="204"/>
      <c r="CQ126" s="204"/>
      <c r="CR126" s="204"/>
      <c r="CS126" s="204"/>
      <c r="CT126" s="204"/>
      <c r="CU126" s="204"/>
      <c r="CV126" s="204"/>
      <c r="CW126" s="204"/>
      <c r="CX126" s="204"/>
      <c r="CY126" s="204"/>
    </row>
    <row r="127" spans="1:103" ht="45" customHeight="1" x14ac:dyDescent="0.2">
      <c r="A127" s="1820"/>
      <c r="B127" s="1823"/>
      <c r="C127" s="359"/>
      <c r="D127" s="359"/>
      <c r="E127" s="195"/>
      <c r="F127" s="195"/>
      <c r="G127" s="195"/>
      <c r="H127" s="195"/>
      <c r="I127" s="195"/>
      <c r="J127" s="195"/>
      <c r="K127" s="195"/>
      <c r="L127" s="195"/>
      <c r="M127" s="195"/>
      <c r="N127" s="195"/>
      <c r="O127" s="195"/>
      <c r="P127" s="195"/>
      <c r="Q127" s="195"/>
      <c r="R127" s="195"/>
      <c r="S127" s="195"/>
      <c r="T127" s="359"/>
      <c r="U127" s="1830"/>
      <c r="V127" s="194" t="s">
        <v>910</v>
      </c>
      <c r="W127" s="194" t="s">
        <v>911</v>
      </c>
      <c r="X127" s="1241" t="s">
        <v>912</v>
      </c>
      <c r="Y127" s="220">
        <v>0</v>
      </c>
      <c r="Z127" s="276" t="s">
        <v>177</v>
      </c>
      <c r="AA127" s="276">
        <v>0</v>
      </c>
      <c r="AB127" s="199">
        <v>0</v>
      </c>
      <c r="AC127" s="365"/>
      <c r="AD127" s="365">
        <v>0.33</v>
      </c>
      <c r="AE127" s="217">
        <v>0.25</v>
      </c>
      <c r="AF127" s="274"/>
      <c r="AG127" s="274"/>
      <c r="AH127" s="199"/>
      <c r="AI127" s="196"/>
      <c r="AJ127" s="199"/>
      <c r="AK127" s="199"/>
      <c r="AL127" s="199"/>
      <c r="AM127" s="199"/>
      <c r="AN127" s="199"/>
      <c r="AO127" s="372">
        <v>0</v>
      </c>
      <c r="AP127" s="199">
        <v>0</v>
      </c>
      <c r="AQ127" s="199"/>
      <c r="AR127" s="199">
        <v>0</v>
      </c>
      <c r="AS127" s="199"/>
      <c r="AT127" s="199">
        <v>0</v>
      </c>
      <c r="AU127" s="199"/>
      <c r="AV127" s="199">
        <v>0</v>
      </c>
      <c r="AW127" s="199"/>
      <c r="AX127" s="199">
        <v>0</v>
      </c>
      <c r="AY127" s="197">
        <v>1</v>
      </c>
      <c r="AZ127" s="197">
        <v>0.5</v>
      </c>
      <c r="BA127" s="233">
        <v>0.51</v>
      </c>
      <c r="BB127" s="199">
        <v>0</v>
      </c>
      <c r="BC127" s="199">
        <v>0</v>
      </c>
      <c r="BD127" s="199"/>
      <c r="BE127" s="199">
        <v>0</v>
      </c>
      <c r="BF127" s="199"/>
      <c r="BG127" s="199">
        <v>0</v>
      </c>
      <c r="BH127" s="324" t="s">
        <v>2218</v>
      </c>
      <c r="BI127" s="199">
        <v>0</v>
      </c>
      <c r="BJ127" s="199"/>
      <c r="BK127" s="199">
        <v>0</v>
      </c>
      <c r="BL127" s="197">
        <v>1</v>
      </c>
      <c r="BM127" s="199">
        <v>0</v>
      </c>
      <c r="BN127" s="58">
        <v>0.75</v>
      </c>
      <c r="BO127" s="204"/>
      <c r="BP127" s="204"/>
      <c r="BQ127" s="204"/>
      <c r="BR127" s="204"/>
      <c r="BS127" s="204"/>
      <c r="BT127" s="204"/>
      <c r="BU127" s="204"/>
      <c r="BV127" s="204"/>
      <c r="BW127" s="204"/>
      <c r="BX127" s="204"/>
      <c r="BY127" s="204"/>
      <c r="BZ127" s="204"/>
      <c r="CA127" s="204"/>
      <c r="CB127" s="204"/>
      <c r="CC127" s="204"/>
      <c r="CD127" s="204"/>
      <c r="CE127" s="204"/>
      <c r="CF127" s="204"/>
      <c r="CG127" s="204"/>
      <c r="CH127" s="204"/>
      <c r="CI127" s="204"/>
      <c r="CJ127" s="204"/>
      <c r="CK127" s="204"/>
      <c r="CL127" s="204"/>
      <c r="CM127" s="204"/>
      <c r="CN127" s="204"/>
      <c r="CO127" s="204"/>
      <c r="CP127" s="204"/>
      <c r="CQ127" s="204"/>
      <c r="CR127" s="204"/>
      <c r="CS127" s="204"/>
      <c r="CT127" s="204"/>
      <c r="CU127" s="204"/>
      <c r="CV127" s="204"/>
      <c r="CW127" s="204"/>
      <c r="CX127" s="204"/>
      <c r="CY127" s="204"/>
    </row>
    <row r="128" spans="1:103" ht="54.75" customHeight="1" x14ac:dyDescent="0.2">
      <c r="A128" s="1820"/>
      <c r="B128" s="1823"/>
      <c r="C128" s="359"/>
      <c r="D128" s="359"/>
      <c r="E128" s="195"/>
      <c r="F128" s="195"/>
      <c r="G128" s="195"/>
      <c r="H128" s="195"/>
      <c r="I128" s="195"/>
      <c r="J128" s="195"/>
      <c r="K128" s="195"/>
      <c r="L128" s="195"/>
      <c r="M128" s="195"/>
      <c r="N128" s="195"/>
      <c r="O128" s="195"/>
      <c r="P128" s="195"/>
      <c r="Q128" s="195"/>
      <c r="R128" s="195"/>
      <c r="S128" s="195"/>
      <c r="T128" s="359"/>
      <c r="U128" s="1830"/>
      <c r="V128" s="194" t="s">
        <v>913</v>
      </c>
      <c r="W128" s="326" t="s">
        <v>914</v>
      </c>
      <c r="X128" s="1241" t="s">
        <v>915</v>
      </c>
      <c r="Y128" s="380">
        <f>143850*4</f>
        <v>575400</v>
      </c>
      <c r="Z128" s="216">
        <v>143850</v>
      </c>
      <c r="AA128" s="216">
        <v>143850</v>
      </c>
      <c r="AB128" s="199">
        <v>129465</v>
      </c>
      <c r="AC128" s="217">
        <v>0.25</v>
      </c>
      <c r="AD128" s="217">
        <v>0.25</v>
      </c>
      <c r="AE128" s="217">
        <f>+AB128/Y128</f>
        <v>0.22500000000000001</v>
      </c>
      <c r="AF128" s="216">
        <v>1038</v>
      </c>
      <c r="AG128" s="216">
        <v>1038</v>
      </c>
      <c r="AH128" s="381">
        <v>1338</v>
      </c>
      <c r="AI128" s="196">
        <v>74147</v>
      </c>
      <c r="AJ128" s="199"/>
      <c r="AK128" s="196">
        <f>+AI128</f>
        <v>74147</v>
      </c>
      <c r="AL128" s="230">
        <f>+AK128/Z128</f>
        <v>0.51544664581160926</v>
      </c>
      <c r="AM128" s="281">
        <f>+AK128</f>
        <v>74147</v>
      </c>
      <c r="AN128" s="58">
        <f>+AM128/(143850*4)</f>
        <v>0.12886166145290232</v>
      </c>
      <c r="AO128" s="216">
        <v>143850</v>
      </c>
      <c r="AP128" s="199">
        <v>2500</v>
      </c>
      <c r="AQ128" s="199"/>
      <c r="AR128" s="199">
        <v>1441</v>
      </c>
      <c r="AS128" s="199"/>
      <c r="AT128" s="199">
        <v>4334</v>
      </c>
      <c r="AU128" s="199"/>
      <c r="AV128" s="199">
        <v>92886</v>
      </c>
      <c r="AW128" s="199"/>
      <c r="AX128" s="199">
        <f>+AP128+AR128+AT128+AV128</f>
        <v>101161</v>
      </c>
      <c r="AY128" s="230">
        <f>+AX128/AA128</f>
        <v>0.70323948557525195</v>
      </c>
      <c r="AZ128" s="382">
        <f>+AX128+AM128</f>
        <v>175308</v>
      </c>
      <c r="BA128" s="376">
        <f>+AZ128/(143850*4)</f>
        <v>0.30467153284671533</v>
      </c>
      <c r="BB128" s="1226">
        <v>129465</v>
      </c>
      <c r="BC128" s="1448">
        <v>582</v>
      </c>
      <c r="BD128" s="1448"/>
      <c r="BE128" s="1448">
        <v>1116</v>
      </c>
      <c r="BF128" s="1448"/>
      <c r="BG128" s="1448">
        <v>3064</v>
      </c>
      <c r="BH128" s="1446" t="s">
        <v>2242</v>
      </c>
      <c r="BI128" s="199">
        <v>56806</v>
      </c>
      <c r="BJ128" s="199"/>
      <c r="BK128" s="1226">
        <f>+BC128+BE128+BG128+BI128</f>
        <v>61568</v>
      </c>
      <c r="BL128" s="58">
        <f>+BK128/BB128</f>
        <v>0.47555710037461862</v>
      </c>
      <c r="BM128" s="1683">
        <f>+BK128+AZ128</f>
        <v>236876</v>
      </c>
      <c r="BN128" s="1684">
        <f>BM128/Y128</f>
        <v>0.4116718804310045</v>
      </c>
      <c r="BO128" s="254"/>
      <c r="BP128" s="254"/>
      <c r="BQ128" s="254"/>
      <c r="BR128" s="254"/>
      <c r="BS128" s="254"/>
      <c r="BT128" s="254"/>
      <c r="BU128" s="254"/>
      <c r="BV128" s="254"/>
      <c r="BW128" s="254"/>
      <c r="BX128" s="254"/>
      <c r="BY128" s="254"/>
      <c r="BZ128" s="254"/>
      <c r="CA128" s="254"/>
      <c r="CB128" s="254"/>
      <c r="CC128" s="254"/>
      <c r="CD128" s="254"/>
      <c r="CE128" s="254"/>
      <c r="CF128" s="254"/>
      <c r="CG128" s="254"/>
      <c r="CH128" s="254"/>
      <c r="CI128" s="254"/>
      <c r="CJ128" s="254"/>
      <c r="CK128" s="254"/>
      <c r="CL128" s="254"/>
      <c r="CM128" s="254"/>
      <c r="CN128" s="254"/>
      <c r="CO128" s="254"/>
      <c r="CP128" s="254"/>
      <c r="CQ128" s="254"/>
      <c r="CR128" s="254"/>
      <c r="CS128" s="254"/>
      <c r="CT128" s="254"/>
      <c r="CU128" s="254"/>
      <c r="CV128" s="254"/>
      <c r="CW128" s="254"/>
      <c r="CX128" s="254"/>
      <c r="CY128" s="254"/>
    </row>
    <row r="129" spans="1:103" ht="15.75" customHeight="1" x14ac:dyDescent="0.2">
      <c r="A129" s="1820"/>
      <c r="B129" s="1823"/>
      <c r="C129" s="359"/>
      <c r="D129" s="359"/>
      <c r="E129" s="195"/>
      <c r="F129" s="195"/>
      <c r="G129" s="195"/>
      <c r="H129" s="195"/>
      <c r="I129" s="195"/>
      <c r="J129" s="195"/>
      <c r="K129" s="195"/>
      <c r="L129" s="195"/>
      <c r="M129" s="195"/>
      <c r="N129" s="195"/>
      <c r="O129" s="195"/>
      <c r="P129" s="195"/>
      <c r="Q129" s="195"/>
      <c r="R129" s="195"/>
      <c r="S129" s="195"/>
      <c r="T129" s="359"/>
      <c r="U129" s="1831"/>
      <c r="V129" s="246"/>
      <c r="W129" s="328"/>
      <c r="X129" s="1454"/>
      <c r="Y129" s="246"/>
      <c r="Z129" s="247"/>
      <c r="AA129" s="247"/>
      <c r="AB129" s="247"/>
      <c r="AC129" s="252">
        <f>AVERAGE(AC124:AC128)</f>
        <v>0.25</v>
      </c>
      <c r="AD129" s="252">
        <f>AVERAGE(AD124:AD128)</f>
        <v>0.26600000000000001</v>
      </c>
      <c r="AE129" s="252"/>
      <c r="AF129" s="247"/>
      <c r="AG129" s="247"/>
      <c r="AH129" s="247"/>
      <c r="AI129" s="251"/>
      <c r="AJ129" s="247"/>
      <c r="AK129" s="247"/>
      <c r="AL129" s="253">
        <f>AVERAGE(AL124:AL128)</f>
        <v>0.19560508250553388</v>
      </c>
      <c r="AM129" s="247"/>
      <c r="AN129" s="253">
        <f>AVERAGE(AN124:AN128)</f>
        <v>0.11140127062638347</v>
      </c>
      <c r="AO129" s="247"/>
      <c r="AP129" s="247"/>
      <c r="AQ129" s="247"/>
      <c r="AR129" s="247"/>
      <c r="AS129" s="247"/>
      <c r="AT129" s="247"/>
      <c r="AU129" s="247"/>
      <c r="AV129" s="247"/>
      <c r="AW129" s="247"/>
      <c r="AX129" s="247"/>
      <c r="AY129" s="253">
        <f>AVERAGE(AY124:AY128)</f>
        <v>0.74064789711505041</v>
      </c>
      <c r="AZ129" s="296"/>
      <c r="BA129" s="255">
        <f>AVERAGE(BA124:BA128)</f>
        <v>0.28640799077986939</v>
      </c>
      <c r="BB129" s="290"/>
      <c r="BC129" s="290"/>
      <c r="BD129" s="290"/>
      <c r="BE129" s="290"/>
      <c r="BF129" s="290"/>
      <c r="BG129" s="290"/>
      <c r="BH129" s="290"/>
      <c r="BI129" s="290"/>
      <c r="BJ129" s="290"/>
      <c r="BK129" s="290"/>
      <c r="BL129" s="1238">
        <f>AVERAGE(BL124:BL128)</f>
        <v>0.89511142007492384</v>
      </c>
      <c r="BM129" s="290"/>
      <c r="BN129" s="1237">
        <f>AVERAGE(BN124:BN128)</f>
        <v>0.67434972696339401</v>
      </c>
      <c r="BO129" s="291"/>
      <c r="BP129" s="291"/>
      <c r="BQ129" s="291"/>
      <c r="BR129" s="291"/>
      <c r="BS129" s="291"/>
      <c r="BT129" s="291"/>
      <c r="BU129" s="291"/>
      <c r="BV129" s="291"/>
      <c r="BW129" s="291"/>
      <c r="BX129" s="291"/>
      <c r="BY129" s="291"/>
      <c r="BZ129" s="291"/>
      <c r="CA129" s="291"/>
      <c r="CB129" s="291"/>
      <c r="CC129" s="291"/>
      <c r="CD129" s="291"/>
      <c r="CE129" s="291"/>
      <c r="CF129" s="291"/>
      <c r="CG129" s="291"/>
      <c r="CH129" s="291"/>
      <c r="CI129" s="291"/>
      <c r="CJ129" s="291"/>
      <c r="CK129" s="291"/>
      <c r="CL129" s="291"/>
      <c r="CM129" s="291"/>
      <c r="CN129" s="291"/>
      <c r="CO129" s="291"/>
      <c r="CP129" s="291"/>
      <c r="CQ129" s="291"/>
      <c r="CR129" s="291"/>
      <c r="CS129" s="291"/>
      <c r="CT129" s="291"/>
      <c r="CU129" s="291"/>
      <c r="CV129" s="291"/>
      <c r="CW129" s="291"/>
      <c r="CX129" s="291"/>
      <c r="CY129" s="291"/>
    </row>
    <row r="130" spans="1:103" ht="72.75" customHeight="1" x14ac:dyDescent="0.2">
      <c r="A130" s="1820"/>
      <c r="B130" s="1823"/>
      <c r="C130" s="359"/>
      <c r="D130" s="359"/>
      <c r="E130" s="195"/>
      <c r="F130" s="195"/>
      <c r="G130" s="195"/>
      <c r="H130" s="195"/>
      <c r="I130" s="195"/>
      <c r="J130" s="195"/>
      <c r="K130" s="195"/>
      <c r="L130" s="195"/>
      <c r="M130" s="195"/>
      <c r="N130" s="195"/>
      <c r="O130" s="195"/>
      <c r="P130" s="195"/>
      <c r="Q130" s="195"/>
      <c r="R130" s="195"/>
      <c r="S130" s="195"/>
      <c r="T130" s="359"/>
      <c r="U130" s="1829" t="s">
        <v>916</v>
      </c>
      <c r="V130" s="194" t="s">
        <v>917</v>
      </c>
      <c r="W130" s="194" t="s">
        <v>918</v>
      </c>
      <c r="X130" s="1241" t="s">
        <v>919</v>
      </c>
      <c r="Y130" s="216">
        <v>4</v>
      </c>
      <c r="Z130" s="216">
        <v>1</v>
      </c>
      <c r="AA130" s="216">
        <v>1</v>
      </c>
      <c r="AB130" s="199">
        <v>1</v>
      </c>
      <c r="AC130" s="217">
        <f>+Z130/Y130</f>
        <v>0.25</v>
      </c>
      <c r="AD130" s="217">
        <v>0.25</v>
      </c>
      <c r="AE130" s="217">
        <f>+AB130/Y130</f>
        <v>0.25</v>
      </c>
      <c r="AF130" s="216">
        <v>1</v>
      </c>
      <c r="AG130" s="216">
        <v>1</v>
      </c>
      <c r="AH130" s="199"/>
      <c r="AI130" s="196">
        <v>1</v>
      </c>
      <c r="AJ130" s="199"/>
      <c r="AK130" s="196">
        <f>+AI130</f>
        <v>1</v>
      </c>
      <c r="AL130" s="197">
        <f>+AK130/Z130</f>
        <v>1</v>
      </c>
      <c r="AM130" s="196">
        <f>+AK130</f>
        <v>1</v>
      </c>
      <c r="AN130" s="197">
        <f>+AM130/Y130</f>
        <v>0.25</v>
      </c>
      <c r="AO130" s="216">
        <v>1</v>
      </c>
      <c r="AP130" s="199">
        <v>0</v>
      </c>
      <c r="AQ130" s="199"/>
      <c r="AR130" s="199">
        <v>0</v>
      </c>
      <c r="AS130" s="199"/>
      <c r="AT130" s="199">
        <v>1</v>
      </c>
      <c r="AU130" s="199"/>
      <c r="AV130" s="199">
        <v>0</v>
      </c>
      <c r="AW130" s="199"/>
      <c r="AX130" s="199">
        <f>+AT130</f>
        <v>1</v>
      </c>
      <c r="AY130" s="197">
        <v>1</v>
      </c>
      <c r="AZ130" s="196">
        <f>+AM130+AX130</f>
        <v>2</v>
      </c>
      <c r="BA130" s="233">
        <v>0.51</v>
      </c>
      <c r="BB130" s="199">
        <v>1</v>
      </c>
      <c r="BC130" s="199">
        <v>0</v>
      </c>
      <c r="BD130" s="199"/>
      <c r="BE130" s="199">
        <v>0</v>
      </c>
      <c r="BF130" s="199"/>
      <c r="BG130" s="199">
        <v>0</v>
      </c>
      <c r="BH130" s="324" t="s">
        <v>2218</v>
      </c>
      <c r="BI130" s="199">
        <v>1</v>
      </c>
      <c r="BJ130" s="199"/>
      <c r="BK130" s="199">
        <f>+BI130</f>
        <v>1</v>
      </c>
      <c r="BL130" s="58">
        <f>BK130/BB130</f>
        <v>1</v>
      </c>
      <c r="BM130" s="275">
        <f>BL130+AZ130</f>
        <v>3</v>
      </c>
      <c r="BN130" s="58">
        <v>0.75</v>
      </c>
      <c r="BO130" s="204"/>
      <c r="BP130" s="204"/>
      <c r="BQ130" s="204"/>
      <c r="BR130" s="204"/>
      <c r="BS130" s="204"/>
      <c r="BT130" s="204"/>
      <c r="BU130" s="204"/>
      <c r="BV130" s="204"/>
      <c r="BW130" s="204"/>
      <c r="BX130" s="204"/>
      <c r="BY130" s="204"/>
      <c r="BZ130" s="204"/>
      <c r="CA130" s="204"/>
      <c r="CB130" s="204"/>
      <c r="CC130" s="204"/>
      <c r="CD130" s="204"/>
      <c r="CE130" s="204"/>
      <c r="CF130" s="204"/>
      <c r="CG130" s="204"/>
      <c r="CH130" s="204"/>
      <c r="CI130" s="204"/>
      <c r="CJ130" s="204"/>
      <c r="CK130" s="204"/>
      <c r="CL130" s="204"/>
      <c r="CM130" s="204"/>
      <c r="CN130" s="204"/>
      <c r="CO130" s="204"/>
      <c r="CP130" s="204"/>
      <c r="CQ130" s="204"/>
      <c r="CR130" s="204"/>
      <c r="CS130" s="204"/>
      <c r="CT130" s="204"/>
      <c r="CU130" s="204"/>
      <c r="CV130" s="204"/>
      <c r="CW130" s="204"/>
      <c r="CX130" s="204"/>
      <c r="CY130" s="204"/>
    </row>
    <row r="131" spans="1:103" ht="84.75" customHeight="1" x14ac:dyDescent="0.2">
      <c r="A131" s="1820"/>
      <c r="B131" s="1823"/>
      <c r="C131" s="359"/>
      <c r="D131" s="359"/>
      <c r="E131" s="195"/>
      <c r="F131" s="195"/>
      <c r="G131" s="195"/>
      <c r="H131" s="195"/>
      <c r="I131" s="195"/>
      <c r="J131" s="195"/>
      <c r="K131" s="195"/>
      <c r="L131" s="195"/>
      <c r="M131" s="195"/>
      <c r="N131" s="195"/>
      <c r="O131" s="195"/>
      <c r="P131" s="195"/>
      <c r="Q131" s="195"/>
      <c r="R131" s="195"/>
      <c r="S131" s="195"/>
      <c r="T131" s="359"/>
      <c r="U131" s="1830"/>
      <c r="V131" s="194" t="s">
        <v>920</v>
      </c>
      <c r="W131" s="194" t="s">
        <v>921</v>
      </c>
      <c r="X131" s="1241" t="s">
        <v>922</v>
      </c>
      <c r="Y131" s="216">
        <f>38*4</f>
        <v>152</v>
      </c>
      <c r="Z131" s="216">
        <v>38</v>
      </c>
      <c r="AA131" s="216">
        <v>38</v>
      </c>
      <c r="AB131" s="199">
        <v>38</v>
      </c>
      <c r="AC131" s="217">
        <f>+Z131/Y131</f>
        <v>0.25</v>
      </c>
      <c r="AD131" s="217">
        <v>0.25</v>
      </c>
      <c r="AE131" s="217">
        <f t="shared" ref="AE131:AE145" si="9">+AB131/Y131</f>
        <v>0.25</v>
      </c>
      <c r="AF131" s="216">
        <v>3.9899999999999998</v>
      </c>
      <c r="AG131" s="216">
        <v>25</v>
      </c>
      <c r="AH131" s="199"/>
      <c r="AI131" s="196">
        <v>38</v>
      </c>
      <c r="AJ131" s="199"/>
      <c r="AK131" s="196">
        <f>+AI131</f>
        <v>38</v>
      </c>
      <c r="AL131" s="197">
        <f>+AK131/Z131</f>
        <v>1</v>
      </c>
      <c r="AM131" s="196">
        <f>+AK131</f>
        <v>38</v>
      </c>
      <c r="AN131" s="197">
        <f>+AM131/Y131</f>
        <v>0.25</v>
      </c>
      <c r="AO131" s="216">
        <v>38</v>
      </c>
      <c r="AP131" s="199">
        <v>0</v>
      </c>
      <c r="AQ131" s="199"/>
      <c r="AR131" s="199">
        <v>12</v>
      </c>
      <c r="AS131" s="199"/>
      <c r="AT131" s="199">
        <v>18</v>
      </c>
      <c r="AU131" s="199"/>
      <c r="AV131" s="199">
        <v>8</v>
      </c>
      <c r="AW131" s="199"/>
      <c r="AX131" s="199">
        <f>+AR131+AT131+AV131</f>
        <v>38</v>
      </c>
      <c r="AY131" s="197">
        <v>1</v>
      </c>
      <c r="AZ131" s="196">
        <f>+AM131+AX131</f>
        <v>76</v>
      </c>
      <c r="BA131" s="376">
        <v>0.51</v>
      </c>
      <c r="BB131" s="199">
        <v>38</v>
      </c>
      <c r="BC131" s="1445">
        <v>2</v>
      </c>
      <c r="BD131" s="1445"/>
      <c r="BE131" s="1445">
        <v>4</v>
      </c>
      <c r="BF131" s="199"/>
      <c r="BG131" s="199">
        <v>10</v>
      </c>
      <c r="BH131" s="1446"/>
      <c r="BI131" s="199">
        <v>12</v>
      </c>
      <c r="BJ131" s="199"/>
      <c r="BK131" s="199">
        <f>+BC131+BE131+BG131+BI131</f>
        <v>28</v>
      </c>
      <c r="BL131" s="58">
        <f>BK131/BB131</f>
        <v>0.73684210526315785</v>
      </c>
      <c r="BM131" s="196">
        <f>BK131+AZ131</f>
        <v>104</v>
      </c>
      <c r="BN131" s="58">
        <f>BM131/Y131</f>
        <v>0.68421052631578949</v>
      </c>
      <c r="BO131" s="204"/>
      <c r="BP131" s="204"/>
      <c r="BQ131" s="204"/>
      <c r="BR131" s="204"/>
      <c r="BS131" s="204"/>
      <c r="BT131" s="204"/>
      <c r="BU131" s="204"/>
      <c r="BV131" s="204"/>
      <c r="BW131" s="204"/>
      <c r="BX131" s="204"/>
      <c r="BY131" s="204"/>
      <c r="BZ131" s="204"/>
      <c r="CA131" s="204"/>
      <c r="CB131" s="204"/>
      <c r="CC131" s="204"/>
      <c r="CD131" s="204"/>
      <c r="CE131" s="204"/>
      <c r="CF131" s="204"/>
      <c r="CG131" s="204"/>
      <c r="CH131" s="204"/>
      <c r="CI131" s="204"/>
      <c r="CJ131" s="204"/>
      <c r="CK131" s="204"/>
      <c r="CL131" s="204"/>
      <c r="CM131" s="204"/>
      <c r="CN131" s="204"/>
      <c r="CO131" s="204"/>
      <c r="CP131" s="204"/>
      <c r="CQ131" s="204"/>
      <c r="CR131" s="204"/>
      <c r="CS131" s="204"/>
      <c r="CT131" s="204"/>
      <c r="CU131" s="204"/>
      <c r="CV131" s="204"/>
      <c r="CW131" s="204"/>
      <c r="CX131" s="204"/>
      <c r="CY131" s="204"/>
    </row>
    <row r="132" spans="1:103" ht="85.5" customHeight="1" x14ac:dyDescent="0.2">
      <c r="A132" s="1820"/>
      <c r="B132" s="1823"/>
      <c r="C132" s="359"/>
      <c r="D132" s="359"/>
      <c r="E132" s="195"/>
      <c r="F132" s="195"/>
      <c r="G132" s="195"/>
      <c r="H132" s="195"/>
      <c r="I132" s="195"/>
      <c r="J132" s="195"/>
      <c r="K132" s="195"/>
      <c r="L132" s="195"/>
      <c r="M132" s="195"/>
      <c r="N132" s="195"/>
      <c r="O132" s="195"/>
      <c r="P132" s="195"/>
      <c r="Q132" s="195"/>
      <c r="R132" s="195"/>
      <c r="S132" s="195"/>
      <c r="T132" s="359"/>
      <c r="U132" s="1830"/>
      <c r="V132" s="194" t="s">
        <v>923</v>
      </c>
      <c r="W132" s="194" t="s">
        <v>924</v>
      </c>
      <c r="X132" s="1241" t="s">
        <v>925</v>
      </c>
      <c r="Y132" s="216">
        <f>48*4</f>
        <v>192</v>
      </c>
      <c r="Z132" s="216">
        <v>48</v>
      </c>
      <c r="AA132" s="216">
        <v>48</v>
      </c>
      <c r="AB132" s="199">
        <v>48</v>
      </c>
      <c r="AC132" s="217">
        <v>0.25</v>
      </c>
      <c r="AD132" s="217">
        <v>0.25</v>
      </c>
      <c r="AE132" s="217">
        <f t="shared" si="9"/>
        <v>0.25</v>
      </c>
      <c r="AF132" s="216">
        <v>0.75</v>
      </c>
      <c r="AG132" s="216">
        <v>48</v>
      </c>
      <c r="AH132" s="199"/>
      <c r="AI132" s="196">
        <v>48</v>
      </c>
      <c r="AJ132" s="199"/>
      <c r="AK132" s="196">
        <f>+AI132</f>
        <v>48</v>
      </c>
      <c r="AL132" s="197">
        <f>+AK132/Z132</f>
        <v>1</v>
      </c>
      <c r="AM132" s="196">
        <f>+AK132</f>
        <v>48</v>
      </c>
      <c r="AN132" s="197">
        <f>+AM132/Y132</f>
        <v>0.25</v>
      </c>
      <c r="AO132" s="216">
        <v>48</v>
      </c>
      <c r="AP132" s="199">
        <v>0</v>
      </c>
      <c r="AQ132" s="199"/>
      <c r="AR132" s="199">
        <v>1</v>
      </c>
      <c r="AS132" s="199"/>
      <c r="AT132" s="199">
        <v>13</v>
      </c>
      <c r="AU132" s="199"/>
      <c r="AV132" s="199">
        <v>35</v>
      </c>
      <c r="AW132" s="199"/>
      <c r="AX132" s="199">
        <f>+AR132+AT132+AV132</f>
        <v>49</v>
      </c>
      <c r="AY132" s="197">
        <v>1</v>
      </c>
      <c r="AZ132" s="196">
        <f>+AM132+AP132+AR132+AT132+AV132</f>
        <v>97</v>
      </c>
      <c r="BA132" s="233">
        <v>0.51</v>
      </c>
      <c r="BB132" s="199">
        <v>48</v>
      </c>
      <c r="BC132" s="199">
        <v>5</v>
      </c>
      <c r="BD132" s="199"/>
      <c r="BE132" s="199">
        <v>5</v>
      </c>
      <c r="BF132" s="199"/>
      <c r="BG132" s="199">
        <v>7</v>
      </c>
      <c r="BH132" s="199"/>
      <c r="BI132" s="199">
        <v>31</v>
      </c>
      <c r="BJ132" s="199"/>
      <c r="BK132" s="199">
        <f>+BC132+BE132+BG132+BI132</f>
        <v>48</v>
      </c>
      <c r="BL132" s="197">
        <f>+BK132/BB132</f>
        <v>1</v>
      </c>
      <c r="BM132" s="196">
        <f>AZ132+BE132+BG132+BC132+BI132</f>
        <v>145</v>
      </c>
      <c r="BN132" s="58">
        <f>BM132/Y132</f>
        <v>0.75520833333333337</v>
      </c>
      <c r="BO132" s="204"/>
      <c r="BP132" s="204"/>
      <c r="BQ132" s="204"/>
      <c r="BR132" s="204"/>
      <c r="BS132" s="204"/>
      <c r="BT132" s="204"/>
      <c r="BU132" s="204"/>
      <c r="BV132" s="204"/>
      <c r="BW132" s="204"/>
      <c r="BX132" s="204"/>
      <c r="BY132" s="204"/>
      <c r="BZ132" s="204"/>
      <c r="CA132" s="204"/>
      <c r="CB132" s="204"/>
      <c r="CC132" s="204"/>
      <c r="CD132" s="204"/>
      <c r="CE132" s="204"/>
      <c r="CF132" s="204"/>
      <c r="CG132" s="204"/>
      <c r="CH132" s="204"/>
      <c r="CI132" s="204"/>
      <c r="CJ132" s="204"/>
      <c r="CK132" s="204"/>
      <c r="CL132" s="204"/>
      <c r="CM132" s="204"/>
      <c r="CN132" s="204"/>
      <c r="CO132" s="204"/>
      <c r="CP132" s="204"/>
      <c r="CQ132" s="204"/>
      <c r="CR132" s="204"/>
      <c r="CS132" s="204"/>
      <c r="CT132" s="204"/>
      <c r="CU132" s="204"/>
      <c r="CV132" s="204"/>
      <c r="CW132" s="204"/>
      <c r="CX132" s="204"/>
      <c r="CY132" s="204"/>
    </row>
    <row r="133" spans="1:103" ht="79.5" customHeight="1" x14ac:dyDescent="0.2">
      <c r="A133" s="1820"/>
      <c r="B133" s="1823"/>
      <c r="C133" s="359"/>
      <c r="D133" s="359"/>
      <c r="E133" s="195"/>
      <c r="F133" s="195"/>
      <c r="G133" s="195"/>
      <c r="H133" s="195"/>
      <c r="I133" s="195"/>
      <c r="J133" s="195"/>
      <c r="K133" s="195"/>
      <c r="L133" s="195"/>
      <c r="M133" s="195"/>
      <c r="N133" s="195"/>
      <c r="O133" s="195"/>
      <c r="P133" s="195"/>
      <c r="Q133" s="195"/>
      <c r="R133" s="195"/>
      <c r="S133" s="195"/>
      <c r="T133" s="359"/>
      <c r="U133" s="1830"/>
      <c r="V133" s="194" t="s">
        <v>926</v>
      </c>
      <c r="W133" s="194" t="s">
        <v>924</v>
      </c>
      <c r="X133" s="1241" t="s">
        <v>927</v>
      </c>
      <c r="Y133" s="216">
        <f>48*4</f>
        <v>192</v>
      </c>
      <c r="Z133" s="216">
        <v>48</v>
      </c>
      <c r="AA133" s="216">
        <v>48</v>
      </c>
      <c r="AB133" s="199">
        <v>48</v>
      </c>
      <c r="AC133" s="217">
        <f>+Z133/Y133</f>
        <v>0.25</v>
      </c>
      <c r="AD133" s="217">
        <v>0.25</v>
      </c>
      <c r="AE133" s="217">
        <f t="shared" si="9"/>
        <v>0.25</v>
      </c>
      <c r="AF133" s="216">
        <v>75</v>
      </c>
      <c r="AG133" s="216">
        <v>85</v>
      </c>
      <c r="AH133" s="199"/>
      <c r="AI133" s="298">
        <v>38</v>
      </c>
      <c r="AJ133" s="199"/>
      <c r="AK133" s="196">
        <f>+AG133</f>
        <v>85</v>
      </c>
      <c r="AL133" s="197">
        <v>1</v>
      </c>
      <c r="AM133" s="196">
        <f>+AI133</f>
        <v>38</v>
      </c>
      <c r="AN133" s="197">
        <f>+AM133/Y133</f>
        <v>0.19791666666666666</v>
      </c>
      <c r="AO133" s="216">
        <v>48</v>
      </c>
      <c r="AP133" s="199">
        <v>0</v>
      </c>
      <c r="AQ133" s="199"/>
      <c r="AR133" s="199">
        <v>15</v>
      </c>
      <c r="AS133" s="199"/>
      <c r="AT133" s="199">
        <v>15</v>
      </c>
      <c r="AU133" s="199"/>
      <c r="AV133" s="199">
        <v>18</v>
      </c>
      <c r="AW133" s="199"/>
      <c r="AX133" s="199">
        <f>+AR133+AT133+AV133</f>
        <v>48</v>
      </c>
      <c r="AY133" s="197">
        <f>AX133/AO133</f>
        <v>1</v>
      </c>
      <c r="AZ133" s="196">
        <f>+AM133+AP133+AR133+AT133+AV133</f>
        <v>86</v>
      </c>
      <c r="BA133" s="233">
        <f>+AZ133/Y133</f>
        <v>0.44791666666666669</v>
      </c>
      <c r="BB133" s="199">
        <v>48</v>
      </c>
      <c r="BC133" s="1445">
        <v>3</v>
      </c>
      <c r="BD133" s="1445"/>
      <c r="BE133" s="1445">
        <v>4</v>
      </c>
      <c r="BF133" s="1445"/>
      <c r="BG133" s="1445">
        <v>20</v>
      </c>
      <c r="BH133" s="1446"/>
      <c r="BI133" s="199">
        <v>18</v>
      </c>
      <c r="BJ133" s="199"/>
      <c r="BK133" s="199">
        <f>BC133+BE133+BG133+BI133</f>
        <v>45</v>
      </c>
      <c r="BL133" s="58">
        <f>BK133/BB133</f>
        <v>0.9375</v>
      </c>
      <c r="BM133" s="196">
        <f>BK133+AZ133</f>
        <v>131</v>
      </c>
      <c r="BN133" s="58">
        <f>BM133/Y133</f>
        <v>0.68229166666666663</v>
      </c>
      <c r="BO133" s="204"/>
      <c r="BP133" s="204"/>
      <c r="BQ133" s="204"/>
      <c r="BR133" s="204"/>
      <c r="BS133" s="204"/>
      <c r="BT133" s="204"/>
      <c r="BU133" s="204"/>
      <c r="BV133" s="204"/>
      <c r="BW133" s="204"/>
      <c r="BX133" s="204"/>
      <c r="BY133" s="204"/>
      <c r="BZ133" s="204"/>
      <c r="CA133" s="204"/>
      <c r="CB133" s="204"/>
      <c r="CC133" s="204"/>
      <c r="CD133" s="204"/>
      <c r="CE133" s="204"/>
      <c r="CF133" s="204"/>
      <c r="CG133" s="204"/>
      <c r="CH133" s="204"/>
      <c r="CI133" s="204"/>
      <c r="CJ133" s="204"/>
      <c r="CK133" s="204"/>
      <c r="CL133" s="204"/>
      <c r="CM133" s="204"/>
      <c r="CN133" s="204"/>
      <c r="CO133" s="204"/>
      <c r="CP133" s="204"/>
      <c r="CQ133" s="204"/>
      <c r="CR133" s="204"/>
      <c r="CS133" s="204"/>
      <c r="CT133" s="204"/>
      <c r="CU133" s="204"/>
      <c r="CV133" s="204"/>
      <c r="CW133" s="204"/>
      <c r="CX133" s="204"/>
      <c r="CY133" s="204"/>
    </row>
    <row r="134" spans="1:103" ht="71.25" customHeight="1" x14ac:dyDescent="0.2">
      <c r="A134" s="1820"/>
      <c r="B134" s="1823"/>
      <c r="C134" s="359"/>
      <c r="D134" s="359"/>
      <c r="E134" s="195"/>
      <c r="F134" s="195"/>
      <c r="G134" s="195"/>
      <c r="H134" s="195"/>
      <c r="I134" s="195"/>
      <c r="J134" s="195"/>
      <c r="K134" s="195"/>
      <c r="L134" s="195"/>
      <c r="M134" s="195"/>
      <c r="N134" s="195"/>
      <c r="O134" s="195"/>
      <c r="P134" s="195"/>
      <c r="Q134" s="195"/>
      <c r="R134" s="195"/>
      <c r="S134" s="195"/>
      <c r="T134" s="359"/>
      <c r="U134" s="1830"/>
      <c r="V134" s="194" t="s">
        <v>928</v>
      </c>
      <c r="W134" s="194" t="s">
        <v>929</v>
      </c>
      <c r="X134" s="1241" t="s">
        <v>2188</v>
      </c>
      <c r="Y134" s="216">
        <v>113</v>
      </c>
      <c r="Z134" s="216">
        <v>69</v>
      </c>
      <c r="AA134" s="216">
        <v>113</v>
      </c>
      <c r="AB134" s="199">
        <v>68.900000000000006</v>
      </c>
      <c r="AC134" s="217">
        <v>0.25</v>
      </c>
      <c r="AD134" s="217">
        <v>0.25</v>
      </c>
      <c r="AE134" s="217">
        <v>0.25</v>
      </c>
      <c r="AF134" s="216" t="s">
        <v>930</v>
      </c>
      <c r="AG134" s="216">
        <v>68.91</v>
      </c>
      <c r="AH134" s="274"/>
      <c r="AI134" s="205">
        <v>69</v>
      </c>
      <c r="AJ134" s="274"/>
      <c r="AK134" s="205">
        <f>+AI134</f>
        <v>69</v>
      </c>
      <c r="AL134" s="365">
        <v>1</v>
      </c>
      <c r="AM134" s="196">
        <f>+AK134</f>
        <v>69</v>
      </c>
      <c r="AN134" s="197">
        <v>0.25</v>
      </c>
      <c r="AO134" s="216">
        <v>113</v>
      </c>
      <c r="AP134" s="199">
        <v>68.900000000000006</v>
      </c>
      <c r="AQ134" s="199"/>
      <c r="AR134" s="199">
        <v>68.900000000000006</v>
      </c>
      <c r="AS134" s="199"/>
      <c r="AT134" s="199" t="s">
        <v>931</v>
      </c>
      <c r="AU134" s="199"/>
      <c r="AV134" s="199" t="str">
        <f>+AT134</f>
        <v>68.91</v>
      </c>
      <c r="AW134" s="199"/>
      <c r="AX134" s="199">
        <f>+AP134</f>
        <v>68.900000000000006</v>
      </c>
      <c r="AY134" s="197">
        <v>1</v>
      </c>
      <c r="AZ134" s="199">
        <f>+AX134</f>
        <v>68.900000000000006</v>
      </c>
      <c r="BA134" s="233">
        <v>0.51</v>
      </c>
      <c r="BB134" s="199">
        <v>68.900000000000006</v>
      </c>
      <c r="BC134" s="199">
        <v>44.14</v>
      </c>
      <c r="BD134" s="199"/>
      <c r="BE134" s="199">
        <v>50.42</v>
      </c>
      <c r="BF134" s="199"/>
      <c r="BG134" s="199">
        <v>88.7</v>
      </c>
      <c r="BH134" s="324" t="s">
        <v>2218</v>
      </c>
      <c r="BI134" s="199">
        <v>88.7</v>
      </c>
      <c r="BJ134" s="199"/>
      <c r="BK134" s="199">
        <f>+BG134</f>
        <v>88.7</v>
      </c>
      <c r="BL134" s="197">
        <v>1</v>
      </c>
      <c r="BM134" s="199">
        <f>+BK134</f>
        <v>88.7</v>
      </c>
      <c r="BN134" s="58">
        <v>0.75</v>
      </c>
      <c r="BO134" s="204"/>
      <c r="BP134" s="204"/>
      <c r="BQ134" s="204"/>
      <c r="BR134" s="204"/>
      <c r="BS134" s="204"/>
      <c r="BT134" s="204"/>
      <c r="BU134" s="204"/>
      <c r="BV134" s="204"/>
      <c r="BW134" s="204"/>
      <c r="BX134" s="204"/>
      <c r="BY134" s="204"/>
      <c r="BZ134" s="204"/>
      <c r="CA134" s="204"/>
      <c r="CB134" s="204"/>
      <c r="CC134" s="204"/>
      <c r="CD134" s="204"/>
      <c r="CE134" s="204"/>
      <c r="CF134" s="204"/>
      <c r="CG134" s="204"/>
      <c r="CH134" s="204"/>
      <c r="CI134" s="204"/>
      <c r="CJ134" s="204"/>
      <c r="CK134" s="204"/>
      <c r="CL134" s="204"/>
      <c r="CM134" s="204"/>
      <c r="CN134" s="204"/>
      <c r="CO134" s="204"/>
      <c r="CP134" s="204"/>
      <c r="CQ134" s="204"/>
      <c r="CR134" s="204"/>
      <c r="CS134" s="204"/>
      <c r="CT134" s="204"/>
      <c r="CU134" s="204"/>
      <c r="CV134" s="204"/>
      <c r="CW134" s="204"/>
      <c r="CX134" s="204"/>
      <c r="CY134" s="204"/>
    </row>
    <row r="135" spans="1:103" ht="51" customHeight="1" x14ac:dyDescent="0.2">
      <c r="A135" s="1820"/>
      <c r="B135" s="1823"/>
      <c r="C135" s="359"/>
      <c r="D135" s="359"/>
      <c r="E135" s="195"/>
      <c r="F135" s="195"/>
      <c r="G135" s="195"/>
      <c r="H135" s="195"/>
      <c r="I135" s="195"/>
      <c r="J135" s="195"/>
      <c r="K135" s="195"/>
      <c r="L135" s="195"/>
      <c r="M135" s="195"/>
      <c r="N135" s="195"/>
      <c r="O135" s="195"/>
      <c r="P135" s="195"/>
      <c r="Q135" s="195"/>
      <c r="R135" s="195"/>
      <c r="S135" s="195"/>
      <c r="T135" s="359"/>
      <c r="U135" s="1830"/>
      <c r="V135" s="194" t="s">
        <v>932</v>
      </c>
      <c r="W135" s="194" t="s">
        <v>933</v>
      </c>
      <c r="X135" s="1241" t="s">
        <v>934</v>
      </c>
      <c r="Y135" s="383">
        <v>12.7</v>
      </c>
      <c r="Z135" s="216">
        <v>11</v>
      </c>
      <c r="AA135" s="216">
        <v>12.7</v>
      </c>
      <c r="AB135" s="199">
        <v>11.24</v>
      </c>
      <c r="AC135" s="217">
        <v>0.25</v>
      </c>
      <c r="AD135" s="217">
        <v>0.25</v>
      </c>
      <c r="AE135" s="217">
        <v>0.25</v>
      </c>
      <c r="AF135" s="216">
        <v>11.23</v>
      </c>
      <c r="AG135" s="216">
        <v>11.23</v>
      </c>
      <c r="AH135" s="274"/>
      <c r="AI135" s="205">
        <v>11</v>
      </c>
      <c r="AJ135" s="274"/>
      <c r="AK135" s="205">
        <f>+AI135</f>
        <v>11</v>
      </c>
      <c r="AL135" s="365">
        <v>1</v>
      </c>
      <c r="AM135" s="196">
        <f>+AK135</f>
        <v>11</v>
      </c>
      <c r="AN135" s="197">
        <v>0.25</v>
      </c>
      <c r="AO135" s="216">
        <v>12.7</v>
      </c>
      <c r="AP135" s="199">
        <v>11.24</v>
      </c>
      <c r="AQ135" s="199"/>
      <c r="AR135" s="199">
        <v>11.24</v>
      </c>
      <c r="AS135" s="199"/>
      <c r="AT135" s="199">
        <v>11.24</v>
      </c>
      <c r="AU135" s="199"/>
      <c r="AV135" s="199">
        <f>+AT135</f>
        <v>11.24</v>
      </c>
      <c r="AW135" s="199"/>
      <c r="AX135" s="199">
        <f>+AP135</f>
        <v>11.24</v>
      </c>
      <c r="AY135" s="197">
        <v>1</v>
      </c>
      <c r="AZ135" s="199">
        <f>+AX135</f>
        <v>11.24</v>
      </c>
      <c r="BA135" s="233">
        <v>0.51</v>
      </c>
      <c r="BB135" s="199">
        <v>11.24</v>
      </c>
      <c r="BC135" s="199">
        <v>12.19</v>
      </c>
      <c r="BD135" s="199"/>
      <c r="BE135" s="199">
        <v>8.6999999999999993</v>
      </c>
      <c r="BF135" s="199"/>
      <c r="BG135" s="199">
        <v>8.6999999999999993</v>
      </c>
      <c r="BH135" s="324" t="s">
        <v>2218</v>
      </c>
      <c r="BI135" s="199">
        <v>8.6999999999999993</v>
      </c>
      <c r="BJ135" s="199"/>
      <c r="BK135" s="199">
        <f>+BE135</f>
        <v>8.6999999999999993</v>
      </c>
      <c r="BL135" s="197">
        <v>1</v>
      </c>
      <c r="BM135" s="199">
        <f>+BK135</f>
        <v>8.6999999999999993</v>
      </c>
      <c r="BN135" s="58">
        <v>0.75</v>
      </c>
      <c r="BO135" s="204"/>
      <c r="BP135" s="204"/>
      <c r="BQ135" s="204"/>
      <c r="BR135" s="204"/>
      <c r="BS135" s="204"/>
      <c r="BT135" s="204"/>
      <c r="BU135" s="204"/>
      <c r="BV135" s="204"/>
      <c r="BW135" s="204"/>
      <c r="BX135" s="204"/>
      <c r="BY135" s="204"/>
      <c r="BZ135" s="204"/>
      <c r="CA135" s="204"/>
      <c r="CB135" s="204"/>
      <c r="CC135" s="204"/>
      <c r="CD135" s="204"/>
      <c r="CE135" s="204"/>
      <c r="CF135" s="204"/>
      <c r="CG135" s="204"/>
      <c r="CH135" s="204"/>
      <c r="CI135" s="204"/>
      <c r="CJ135" s="204"/>
      <c r="CK135" s="204"/>
      <c r="CL135" s="204"/>
      <c r="CM135" s="204"/>
      <c r="CN135" s="204"/>
      <c r="CO135" s="204"/>
      <c r="CP135" s="204"/>
      <c r="CQ135" s="204"/>
      <c r="CR135" s="204"/>
      <c r="CS135" s="204"/>
      <c r="CT135" s="204"/>
      <c r="CU135" s="204"/>
      <c r="CV135" s="204"/>
      <c r="CW135" s="204"/>
      <c r="CX135" s="204"/>
      <c r="CY135" s="204"/>
    </row>
    <row r="136" spans="1:103" ht="46.5" customHeight="1" x14ac:dyDescent="0.2">
      <c r="A136" s="1820"/>
      <c r="B136" s="1823"/>
      <c r="C136" s="359"/>
      <c r="D136" s="359"/>
      <c r="E136" s="195"/>
      <c r="F136" s="195"/>
      <c r="G136" s="195"/>
      <c r="H136" s="195"/>
      <c r="I136" s="195"/>
      <c r="J136" s="195"/>
      <c r="K136" s="195"/>
      <c r="L136" s="195"/>
      <c r="M136" s="195"/>
      <c r="N136" s="195"/>
      <c r="O136" s="195"/>
      <c r="P136" s="195"/>
      <c r="Q136" s="195"/>
      <c r="R136" s="195"/>
      <c r="S136" s="195"/>
      <c r="T136" s="359"/>
      <c r="U136" s="1830"/>
      <c r="V136" s="194" t="s">
        <v>935</v>
      </c>
      <c r="W136" s="194" t="s">
        <v>936</v>
      </c>
      <c r="X136" s="1241" t="s">
        <v>937</v>
      </c>
      <c r="Y136" s="383">
        <v>6.4</v>
      </c>
      <c r="Z136" s="383">
        <v>6.5</v>
      </c>
      <c r="AA136" s="216">
        <v>6.4</v>
      </c>
      <c r="AB136" s="199">
        <v>6.65</v>
      </c>
      <c r="AC136" s="217">
        <v>0.12</v>
      </c>
      <c r="AD136" s="217">
        <v>0.25</v>
      </c>
      <c r="AE136" s="217">
        <v>0.25</v>
      </c>
      <c r="AF136" s="216" t="s">
        <v>938</v>
      </c>
      <c r="AG136" s="216">
        <v>6.5</v>
      </c>
      <c r="AH136" s="274"/>
      <c r="AI136" s="205">
        <v>7</v>
      </c>
      <c r="AJ136" s="274"/>
      <c r="AK136" s="205">
        <f>+AI136</f>
        <v>7</v>
      </c>
      <c r="AL136" s="365">
        <v>1</v>
      </c>
      <c r="AM136" s="196">
        <f>+AK136</f>
        <v>7</v>
      </c>
      <c r="AN136" s="197">
        <v>0</v>
      </c>
      <c r="AO136" s="216">
        <v>6.4</v>
      </c>
      <c r="AP136" s="199">
        <v>6.65</v>
      </c>
      <c r="AQ136" s="199"/>
      <c r="AR136" s="199"/>
      <c r="AS136" s="199"/>
      <c r="AT136" s="199">
        <v>6.65</v>
      </c>
      <c r="AU136" s="199"/>
      <c r="AV136" s="199">
        <f>+AT136</f>
        <v>6.65</v>
      </c>
      <c r="AW136" s="199"/>
      <c r="AX136" s="199">
        <f>+AP136</f>
        <v>6.65</v>
      </c>
      <c r="AY136" s="197">
        <v>0</v>
      </c>
      <c r="AZ136" s="199">
        <f>+AX136</f>
        <v>6.65</v>
      </c>
      <c r="BA136" s="233">
        <v>0.79</v>
      </c>
      <c r="BB136" s="199">
        <v>6.65</v>
      </c>
      <c r="BC136" s="199">
        <v>5.54</v>
      </c>
      <c r="BD136" s="199"/>
      <c r="BE136" s="199">
        <v>4.3</v>
      </c>
      <c r="BF136" s="199"/>
      <c r="BG136" s="199">
        <v>4.3</v>
      </c>
      <c r="BH136" s="324" t="s">
        <v>2218</v>
      </c>
      <c r="BI136" s="199">
        <v>4.3</v>
      </c>
      <c r="BJ136" s="199"/>
      <c r="BK136" s="199">
        <f>+BE136</f>
        <v>4.3</v>
      </c>
      <c r="BL136" s="197">
        <v>1</v>
      </c>
      <c r="BM136" s="199">
        <f>+BK136</f>
        <v>4.3</v>
      </c>
      <c r="BN136" s="58">
        <v>0.75</v>
      </c>
      <c r="BO136" s="204"/>
      <c r="BP136" s="204"/>
      <c r="BQ136" s="204"/>
      <c r="BR136" s="204"/>
      <c r="BS136" s="204"/>
      <c r="BT136" s="204"/>
      <c r="BU136" s="204"/>
      <c r="BV136" s="204"/>
      <c r="BW136" s="204"/>
      <c r="BX136" s="204"/>
      <c r="BY136" s="204"/>
      <c r="BZ136" s="204"/>
      <c r="CA136" s="204"/>
      <c r="CB136" s="204"/>
      <c r="CC136" s="204"/>
      <c r="CD136" s="204"/>
      <c r="CE136" s="204"/>
      <c r="CF136" s="204"/>
      <c r="CG136" s="204"/>
      <c r="CH136" s="204"/>
      <c r="CI136" s="204"/>
      <c r="CJ136" s="204"/>
      <c r="CK136" s="204"/>
      <c r="CL136" s="204"/>
      <c r="CM136" s="204"/>
      <c r="CN136" s="204"/>
      <c r="CO136" s="204"/>
      <c r="CP136" s="204"/>
      <c r="CQ136" s="204"/>
      <c r="CR136" s="204"/>
      <c r="CS136" s="204"/>
      <c r="CT136" s="204"/>
      <c r="CU136" s="204"/>
      <c r="CV136" s="204"/>
      <c r="CW136" s="204"/>
      <c r="CX136" s="204"/>
      <c r="CY136" s="204"/>
    </row>
    <row r="137" spans="1:103" ht="45" customHeight="1" x14ac:dyDescent="0.2">
      <c r="A137" s="1820"/>
      <c r="B137" s="1823"/>
      <c r="C137" s="359"/>
      <c r="D137" s="359"/>
      <c r="E137" s="195"/>
      <c r="F137" s="195"/>
      <c r="G137" s="195"/>
      <c r="H137" s="195"/>
      <c r="I137" s="195"/>
      <c r="J137" s="195"/>
      <c r="K137" s="195"/>
      <c r="L137" s="195"/>
      <c r="M137" s="195"/>
      <c r="N137" s="195"/>
      <c r="O137" s="195"/>
      <c r="P137" s="195"/>
      <c r="Q137" s="195"/>
      <c r="R137" s="195"/>
      <c r="S137" s="195"/>
      <c r="T137" s="359"/>
      <c r="U137" s="1830"/>
      <c r="V137" s="194" t="s">
        <v>939</v>
      </c>
      <c r="W137" s="194" t="s">
        <v>940</v>
      </c>
      <c r="X137" s="1241" t="s">
        <v>2189</v>
      </c>
      <c r="Y137" s="383">
        <v>2.59</v>
      </c>
      <c r="Z137" s="216">
        <v>2</v>
      </c>
      <c r="AA137" s="383">
        <v>2.59</v>
      </c>
      <c r="AB137" s="199">
        <v>1.63</v>
      </c>
      <c r="AC137" s="217">
        <v>0.12</v>
      </c>
      <c r="AD137" s="217">
        <v>0.25</v>
      </c>
      <c r="AE137" s="217">
        <v>0.25</v>
      </c>
      <c r="AF137" s="216" t="s">
        <v>941</v>
      </c>
      <c r="AG137" s="216">
        <v>1.63</v>
      </c>
      <c r="AH137" s="274"/>
      <c r="AI137" s="205">
        <v>2</v>
      </c>
      <c r="AJ137" s="274"/>
      <c r="AK137" s="205">
        <f>+AI137</f>
        <v>2</v>
      </c>
      <c r="AL137" s="365">
        <v>1</v>
      </c>
      <c r="AM137" s="196">
        <f>+AK137</f>
        <v>2</v>
      </c>
      <c r="AN137" s="197">
        <v>0.25</v>
      </c>
      <c r="AO137" s="383">
        <v>2.59</v>
      </c>
      <c r="AP137" s="199">
        <v>1.63</v>
      </c>
      <c r="AQ137" s="199"/>
      <c r="AR137" s="199">
        <v>1.63</v>
      </c>
      <c r="AS137" s="199"/>
      <c r="AT137" s="199">
        <v>1.63</v>
      </c>
      <c r="AU137" s="199"/>
      <c r="AV137" s="199">
        <f>+AT137</f>
        <v>1.63</v>
      </c>
      <c r="AW137" s="199"/>
      <c r="AX137" s="199">
        <f>+AP137</f>
        <v>1.63</v>
      </c>
      <c r="AY137" s="197">
        <v>1</v>
      </c>
      <c r="AZ137" s="199">
        <f>+AX137</f>
        <v>1.63</v>
      </c>
      <c r="BA137" s="233">
        <v>0.51</v>
      </c>
      <c r="BB137" s="199">
        <v>1.63</v>
      </c>
      <c r="BC137" s="199">
        <v>2.36</v>
      </c>
      <c r="BD137" s="199"/>
      <c r="BE137" s="199">
        <v>2.36</v>
      </c>
      <c r="BF137" s="199"/>
      <c r="BG137" s="199">
        <v>2.36</v>
      </c>
      <c r="BH137" s="324" t="s">
        <v>2218</v>
      </c>
      <c r="BI137" s="199">
        <v>2.36</v>
      </c>
      <c r="BJ137" s="199"/>
      <c r="BK137" s="199">
        <v>2.36</v>
      </c>
      <c r="BL137" s="197">
        <v>1</v>
      </c>
      <c r="BM137" s="199">
        <v>2.36</v>
      </c>
      <c r="BN137" s="58">
        <v>0.75</v>
      </c>
      <c r="BO137" s="204"/>
      <c r="BP137" s="204"/>
      <c r="BQ137" s="204"/>
      <c r="BR137" s="204"/>
      <c r="BS137" s="204"/>
      <c r="BT137" s="204"/>
      <c r="BU137" s="204"/>
      <c r="BV137" s="204"/>
      <c r="BW137" s="204"/>
      <c r="BX137" s="204"/>
      <c r="BY137" s="204"/>
      <c r="BZ137" s="204"/>
      <c r="CA137" s="204"/>
      <c r="CB137" s="204"/>
      <c r="CC137" s="204"/>
      <c r="CD137" s="204"/>
      <c r="CE137" s="204"/>
      <c r="CF137" s="204"/>
      <c r="CG137" s="204"/>
      <c r="CH137" s="204"/>
      <c r="CI137" s="204"/>
      <c r="CJ137" s="204"/>
      <c r="CK137" s="204"/>
      <c r="CL137" s="204"/>
      <c r="CM137" s="204"/>
      <c r="CN137" s="204"/>
      <c r="CO137" s="204"/>
      <c r="CP137" s="204"/>
      <c r="CQ137" s="204"/>
      <c r="CR137" s="204"/>
      <c r="CS137" s="204"/>
      <c r="CT137" s="204"/>
      <c r="CU137" s="204"/>
      <c r="CV137" s="204"/>
      <c r="CW137" s="204"/>
      <c r="CX137" s="204"/>
      <c r="CY137" s="204"/>
    </row>
    <row r="138" spans="1:103" ht="47.25" customHeight="1" x14ac:dyDescent="0.2">
      <c r="A138" s="1820"/>
      <c r="B138" s="1823"/>
      <c r="C138" s="359"/>
      <c r="D138" s="359"/>
      <c r="E138" s="195"/>
      <c r="F138" s="195"/>
      <c r="G138" s="195"/>
      <c r="H138" s="195"/>
      <c r="I138" s="195"/>
      <c r="J138" s="195"/>
      <c r="K138" s="195"/>
      <c r="L138" s="195"/>
      <c r="M138" s="195"/>
      <c r="N138" s="195"/>
      <c r="O138" s="195"/>
      <c r="P138" s="195"/>
      <c r="Q138" s="195"/>
      <c r="R138" s="195"/>
      <c r="S138" s="195"/>
      <c r="T138" s="359"/>
      <c r="U138" s="1830"/>
      <c r="V138" s="194" t="s">
        <v>942</v>
      </c>
      <c r="W138" s="194" t="s">
        <v>943</v>
      </c>
      <c r="X138" s="1241" t="s">
        <v>944</v>
      </c>
      <c r="Y138" s="220">
        <v>2.2999999999999998</v>
      </c>
      <c r="Z138" s="216" t="s">
        <v>177</v>
      </c>
      <c r="AA138" s="383">
        <v>2.2999999999999998</v>
      </c>
      <c r="AB138" s="199">
        <v>0</v>
      </c>
      <c r="AC138" s="217"/>
      <c r="AD138" s="217">
        <v>0.25</v>
      </c>
      <c r="AE138" s="217">
        <v>0.25</v>
      </c>
      <c r="AF138" s="216"/>
      <c r="AG138" s="216"/>
      <c r="AH138" s="274"/>
      <c r="AI138" s="216"/>
      <c r="AJ138" s="274"/>
      <c r="AK138" s="274"/>
      <c r="AL138" s="199"/>
      <c r="AM138" s="199"/>
      <c r="AN138" s="199"/>
      <c r="AO138" s="383">
        <v>2.2999999999999998</v>
      </c>
      <c r="AP138" s="199">
        <v>0</v>
      </c>
      <c r="AQ138" s="199"/>
      <c r="AR138" s="199">
        <v>0</v>
      </c>
      <c r="AS138" s="199"/>
      <c r="AT138" s="199">
        <v>0</v>
      </c>
      <c r="AU138" s="199"/>
      <c r="AV138" s="199">
        <v>2.2999999999999998</v>
      </c>
      <c r="AW138" s="199"/>
      <c r="AX138" s="199">
        <f>+AV138</f>
        <v>2.2999999999999998</v>
      </c>
      <c r="AY138" s="197">
        <v>1</v>
      </c>
      <c r="AZ138" s="199">
        <f>+AX138</f>
        <v>2.2999999999999998</v>
      </c>
      <c r="BA138" s="233">
        <v>0.51</v>
      </c>
      <c r="BB138" s="199">
        <v>0</v>
      </c>
      <c r="BC138" s="199">
        <v>0</v>
      </c>
      <c r="BD138" s="199"/>
      <c r="BE138" s="199">
        <v>1.7</v>
      </c>
      <c r="BF138" s="199"/>
      <c r="BG138" s="199">
        <v>1.7</v>
      </c>
      <c r="BH138" s="324" t="s">
        <v>2218</v>
      </c>
      <c r="BI138" s="199">
        <v>0</v>
      </c>
      <c r="BJ138" s="199"/>
      <c r="BK138" s="199">
        <f>+BI138</f>
        <v>0</v>
      </c>
      <c r="BL138" s="197">
        <v>1</v>
      </c>
      <c r="BM138" s="199">
        <f>+BK138</f>
        <v>0</v>
      </c>
      <c r="BN138" s="58">
        <v>0.75</v>
      </c>
      <c r="BO138" s="204"/>
      <c r="BP138" s="204"/>
      <c r="BQ138" s="204"/>
      <c r="BR138" s="204"/>
      <c r="BS138" s="204"/>
      <c r="BT138" s="204"/>
      <c r="BU138" s="204"/>
      <c r="BV138" s="204"/>
      <c r="BW138" s="204"/>
      <c r="BX138" s="204"/>
      <c r="BY138" s="204"/>
      <c r="BZ138" s="204"/>
      <c r="CA138" s="204"/>
      <c r="CB138" s="204"/>
      <c r="CC138" s="204"/>
      <c r="CD138" s="204"/>
      <c r="CE138" s="204"/>
      <c r="CF138" s="204"/>
      <c r="CG138" s="204"/>
      <c r="CH138" s="204"/>
      <c r="CI138" s="204"/>
      <c r="CJ138" s="204"/>
      <c r="CK138" s="204"/>
      <c r="CL138" s="204"/>
      <c r="CM138" s="204"/>
      <c r="CN138" s="204"/>
      <c r="CO138" s="204"/>
      <c r="CP138" s="204"/>
      <c r="CQ138" s="204"/>
      <c r="CR138" s="204"/>
      <c r="CS138" s="204"/>
      <c r="CT138" s="204"/>
      <c r="CU138" s="204"/>
      <c r="CV138" s="204"/>
      <c r="CW138" s="204"/>
      <c r="CX138" s="204"/>
      <c r="CY138" s="204"/>
    </row>
    <row r="139" spans="1:103" ht="63" customHeight="1" x14ac:dyDescent="0.2">
      <c r="A139" s="1820"/>
      <c r="B139" s="1823"/>
      <c r="C139" s="359"/>
      <c r="D139" s="359"/>
      <c r="E139" s="195"/>
      <c r="F139" s="195"/>
      <c r="G139" s="195"/>
      <c r="H139" s="195"/>
      <c r="I139" s="195"/>
      <c r="J139" s="195"/>
      <c r="K139" s="195"/>
      <c r="L139" s="195"/>
      <c r="M139" s="195"/>
      <c r="N139" s="195"/>
      <c r="O139" s="195"/>
      <c r="P139" s="195"/>
      <c r="Q139" s="195"/>
      <c r="R139" s="195"/>
      <c r="S139" s="195"/>
      <c r="T139" s="359"/>
      <c r="U139" s="1830"/>
      <c r="V139" s="194" t="s">
        <v>945</v>
      </c>
      <c r="W139" s="326" t="s">
        <v>946</v>
      </c>
      <c r="X139" s="1241" t="s">
        <v>947</v>
      </c>
      <c r="Y139" s="216">
        <f>36*4</f>
        <v>144</v>
      </c>
      <c r="Z139" s="216">
        <v>19</v>
      </c>
      <c r="AA139" s="216">
        <v>19</v>
      </c>
      <c r="AB139" s="199">
        <v>36</v>
      </c>
      <c r="AC139" s="217">
        <f t="shared" ref="AC139:AC145" si="10">+Z139/Y139</f>
        <v>0.13194444444444445</v>
      </c>
      <c r="AD139" s="217">
        <v>0.25</v>
      </c>
      <c r="AE139" s="217">
        <f t="shared" si="9"/>
        <v>0.25</v>
      </c>
      <c r="AF139" s="216">
        <v>9</v>
      </c>
      <c r="AG139" s="216">
        <v>9</v>
      </c>
      <c r="AH139" s="216"/>
      <c r="AI139" s="205">
        <v>17</v>
      </c>
      <c r="AJ139" s="274"/>
      <c r="AK139" s="205">
        <f>+AI139</f>
        <v>17</v>
      </c>
      <c r="AL139" s="230">
        <f t="shared" ref="AL139:AL145" si="11">+AK139/Z139</f>
        <v>0.89473684210526316</v>
      </c>
      <c r="AM139" s="196">
        <f>+AK139</f>
        <v>17</v>
      </c>
      <c r="AN139" s="197">
        <f t="shared" ref="AN139:AN145" si="12">+AM139/Y139</f>
        <v>0.11805555555555555</v>
      </c>
      <c r="AO139" s="216">
        <v>19</v>
      </c>
      <c r="AP139" s="199">
        <v>0</v>
      </c>
      <c r="AQ139" s="199"/>
      <c r="AR139" s="199">
        <v>10</v>
      </c>
      <c r="AS139" s="199"/>
      <c r="AT139" s="199">
        <v>5</v>
      </c>
      <c r="AU139" s="199"/>
      <c r="AV139" s="199">
        <v>4</v>
      </c>
      <c r="AW139" s="199"/>
      <c r="AX139" s="199">
        <f t="shared" ref="AX139:AX145" si="13">+AR139+AT139+AV139</f>
        <v>19</v>
      </c>
      <c r="AY139" s="197">
        <f>+AX139/AO139</f>
        <v>1</v>
      </c>
      <c r="AZ139" s="196">
        <f t="shared" ref="AZ139:AZ145" si="14">+AM139+AX139</f>
        <v>36</v>
      </c>
      <c r="BA139" s="233">
        <f t="shared" ref="BA139:BA145" si="15">+AZ139/Y139</f>
        <v>0.25</v>
      </c>
      <c r="BB139" s="199">
        <v>36</v>
      </c>
      <c r="BC139" s="1445">
        <v>0</v>
      </c>
      <c r="BD139" s="1445"/>
      <c r="BE139" s="1445">
        <v>0</v>
      </c>
      <c r="BF139" s="199"/>
      <c r="BG139" s="199">
        <v>50</v>
      </c>
      <c r="BH139" s="324" t="s">
        <v>2243</v>
      </c>
      <c r="BI139" s="199">
        <v>25</v>
      </c>
      <c r="BJ139" s="199"/>
      <c r="BK139" s="199">
        <f>+BG139+BI139</f>
        <v>75</v>
      </c>
      <c r="BL139" s="58">
        <v>1</v>
      </c>
      <c r="BM139" s="196">
        <f>BK139+AZ139</f>
        <v>111</v>
      </c>
      <c r="BN139" s="58">
        <f t="shared" ref="BN139:BN144" si="16">BM139/Y139</f>
        <v>0.77083333333333337</v>
      </c>
      <c r="BO139" s="204"/>
      <c r="BP139" s="204"/>
      <c r="BQ139" s="204"/>
      <c r="BR139" s="204"/>
      <c r="BS139" s="204"/>
      <c r="BT139" s="204"/>
      <c r="BU139" s="204"/>
      <c r="BV139" s="204"/>
      <c r="BW139" s="204"/>
      <c r="BX139" s="204"/>
      <c r="BY139" s="204"/>
      <c r="BZ139" s="204"/>
      <c r="CA139" s="204"/>
      <c r="CB139" s="204"/>
      <c r="CC139" s="204"/>
      <c r="CD139" s="204"/>
      <c r="CE139" s="204"/>
      <c r="CF139" s="204"/>
      <c r="CG139" s="204"/>
      <c r="CH139" s="204"/>
      <c r="CI139" s="204"/>
      <c r="CJ139" s="204"/>
      <c r="CK139" s="204"/>
      <c r="CL139" s="204"/>
      <c r="CM139" s="204"/>
      <c r="CN139" s="204"/>
      <c r="CO139" s="204"/>
      <c r="CP139" s="204"/>
      <c r="CQ139" s="204"/>
      <c r="CR139" s="204"/>
      <c r="CS139" s="204"/>
      <c r="CT139" s="204"/>
      <c r="CU139" s="204"/>
      <c r="CV139" s="204"/>
      <c r="CW139" s="204"/>
      <c r="CX139" s="204"/>
      <c r="CY139" s="204"/>
    </row>
    <row r="140" spans="1:103" ht="79.5" customHeight="1" x14ac:dyDescent="0.2">
      <c r="A140" s="1820"/>
      <c r="B140" s="1823"/>
      <c r="C140" s="359"/>
      <c r="D140" s="359"/>
      <c r="E140" s="195"/>
      <c r="F140" s="195"/>
      <c r="G140" s="195"/>
      <c r="H140" s="195"/>
      <c r="I140" s="195"/>
      <c r="J140" s="195"/>
      <c r="K140" s="195"/>
      <c r="L140" s="195"/>
      <c r="M140" s="195"/>
      <c r="N140" s="195"/>
      <c r="O140" s="195"/>
      <c r="P140" s="195"/>
      <c r="Q140" s="195"/>
      <c r="R140" s="195"/>
      <c r="S140" s="195"/>
      <c r="T140" s="359"/>
      <c r="U140" s="1830"/>
      <c r="V140" s="194" t="s">
        <v>948</v>
      </c>
      <c r="W140" s="326" t="s">
        <v>949</v>
      </c>
      <c r="X140" s="1241" t="s">
        <v>950</v>
      </c>
      <c r="Y140" s="216">
        <v>400</v>
      </c>
      <c r="Z140" s="216">
        <v>19</v>
      </c>
      <c r="AA140" s="216">
        <v>19</v>
      </c>
      <c r="AB140" s="199">
        <v>19</v>
      </c>
      <c r="AC140" s="217">
        <f t="shared" si="10"/>
        <v>4.7500000000000001E-2</v>
      </c>
      <c r="AD140" s="217">
        <v>0.25</v>
      </c>
      <c r="AE140" s="217">
        <f t="shared" si="9"/>
        <v>4.7500000000000001E-2</v>
      </c>
      <c r="AF140" s="216">
        <v>9</v>
      </c>
      <c r="AG140" s="216">
        <v>9</v>
      </c>
      <c r="AH140" s="274"/>
      <c r="AI140" s="205">
        <v>17</v>
      </c>
      <c r="AJ140" s="274"/>
      <c r="AK140" s="205">
        <f>+AI140</f>
        <v>17</v>
      </c>
      <c r="AL140" s="230">
        <f t="shared" si="11"/>
        <v>0.89473684210526316</v>
      </c>
      <c r="AM140" s="196">
        <f>+AK140</f>
        <v>17</v>
      </c>
      <c r="AN140" s="197">
        <f t="shared" si="12"/>
        <v>4.2500000000000003E-2</v>
      </c>
      <c r="AO140" s="216">
        <v>19</v>
      </c>
      <c r="AP140" s="199">
        <v>0</v>
      </c>
      <c r="AQ140" s="199"/>
      <c r="AR140" s="199">
        <v>8</v>
      </c>
      <c r="AS140" s="199"/>
      <c r="AT140" s="199">
        <v>4</v>
      </c>
      <c r="AU140" s="199"/>
      <c r="AV140" s="199">
        <v>7</v>
      </c>
      <c r="AW140" s="199"/>
      <c r="AX140" s="199">
        <f t="shared" si="13"/>
        <v>19</v>
      </c>
      <c r="AY140" s="197">
        <f>+AX140/AO140</f>
        <v>1</v>
      </c>
      <c r="AZ140" s="196">
        <v>200</v>
      </c>
      <c r="BA140" s="376">
        <f t="shared" si="15"/>
        <v>0.5</v>
      </c>
      <c r="BB140" s="199">
        <v>100</v>
      </c>
      <c r="BC140" s="199">
        <v>0</v>
      </c>
      <c r="BD140" s="199"/>
      <c r="BE140" s="199">
        <v>10</v>
      </c>
      <c r="BF140" s="199"/>
      <c r="BG140" s="362">
        <f>+BB140*0.75</f>
        <v>75</v>
      </c>
      <c r="BH140" s="324" t="s">
        <v>2219</v>
      </c>
      <c r="BI140" s="199">
        <v>100</v>
      </c>
      <c r="BJ140" s="199"/>
      <c r="BK140" s="362">
        <f>+BI140</f>
        <v>100</v>
      </c>
      <c r="BL140" s="58">
        <v>1</v>
      </c>
      <c r="BM140" s="196">
        <f>AZ140+BK140</f>
        <v>300</v>
      </c>
      <c r="BN140" s="58">
        <f t="shared" si="16"/>
        <v>0.75</v>
      </c>
      <c r="BO140" s="204"/>
      <c r="BP140" s="204"/>
      <c r="BQ140" s="204"/>
      <c r="BR140" s="204"/>
      <c r="BS140" s="204"/>
      <c r="BT140" s="204"/>
      <c r="BU140" s="204"/>
      <c r="BV140" s="204"/>
      <c r="BW140" s="204"/>
      <c r="BX140" s="204"/>
      <c r="BY140" s="204"/>
      <c r="BZ140" s="204"/>
      <c r="CA140" s="204"/>
      <c r="CB140" s="204"/>
      <c r="CC140" s="204"/>
      <c r="CD140" s="204"/>
      <c r="CE140" s="204"/>
      <c r="CF140" s="204"/>
      <c r="CG140" s="204"/>
      <c r="CH140" s="204"/>
      <c r="CI140" s="204"/>
      <c r="CJ140" s="204"/>
      <c r="CK140" s="204"/>
      <c r="CL140" s="204"/>
      <c r="CM140" s="204"/>
      <c r="CN140" s="204"/>
      <c r="CO140" s="204"/>
      <c r="CP140" s="204"/>
      <c r="CQ140" s="204"/>
      <c r="CR140" s="204"/>
      <c r="CS140" s="204"/>
      <c r="CT140" s="204"/>
      <c r="CU140" s="204"/>
      <c r="CV140" s="204"/>
      <c r="CW140" s="204"/>
      <c r="CX140" s="204"/>
      <c r="CY140" s="204"/>
    </row>
    <row r="141" spans="1:103" ht="102.75" customHeight="1" x14ac:dyDescent="0.2">
      <c r="A141" s="1820"/>
      <c r="B141" s="1823"/>
      <c r="C141" s="359"/>
      <c r="D141" s="359"/>
      <c r="E141" s="195"/>
      <c r="F141" s="195"/>
      <c r="G141" s="195"/>
      <c r="H141" s="195"/>
      <c r="I141" s="195"/>
      <c r="J141" s="195"/>
      <c r="K141" s="195"/>
      <c r="L141" s="195"/>
      <c r="M141" s="195"/>
      <c r="N141" s="195"/>
      <c r="O141" s="195"/>
      <c r="P141" s="195"/>
      <c r="Q141" s="195"/>
      <c r="R141" s="195"/>
      <c r="S141" s="195"/>
      <c r="T141" s="359"/>
      <c r="U141" s="1830"/>
      <c r="V141" s="194" t="s">
        <v>951</v>
      </c>
      <c r="W141" s="194" t="s">
        <v>952</v>
      </c>
      <c r="X141" s="1241" t="s">
        <v>953</v>
      </c>
      <c r="Y141" s="220">
        <v>400</v>
      </c>
      <c r="Z141" s="216">
        <v>100</v>
      </c>
      <c r="AA141" s="216">
        <v>100</v>
      </c>
      <c r="AB141" s="199">
        <v>100</v>
      </c>
      <c r="AC141" s="217">
        <f t="shared" si="10"/>
        <v>0.25</v>
      </c>
      <c r="AD141" s="217">
        <v>0.25</v>
      </c>
      <c r="AE141" s="217">
        <f t="shared" si="9"/>
        <v>0.25</v>
      </c>
      <c r="AF141" s="216">
        <v>0</v>
      </c>
      <c r="AG141" s="216">
        <v>82</v>
      </c>
      <c r="AH141" s="199"/>
      <c r="AI141" s="196">
        <v>100</v>
      </c>
      <c r="AJ141" s="199"/>
      <c r="AK141" s="205">
        <f>+AI141</f>
        <v>100</v>
      </c>
      <c r="AL141" s="197">
        <f t="shared" si="11"/>
        <v>1</v>
      </c>
      <c r="AM141" s="196">
        <f>+AK141</f>
        <v>100</v>
      </c>
      <c r="AN141" s="197">
        <f t="shared" si="12"/>
        <v>0.25</v>
      </c>
      <c r="AO141" s="216">
        <v>100</v>
      </c>
      <c r="AP141" s="199">
        <v>0</v>
      </c>
      <c r="AQ141" s="199"/>
      <c r="AR141" s="199">
        <v>14</v>
      </c>
      <c r="AS141" s="199"/>
      <c r="AT141" s="199">
        <v>101</v>
      </c>
      <c r="AU141" s="199"/>
      <c r="AV141" s="199">
        <v>30</v>
      </c>
      <c r="AW141" s="199"/>
      <c r="AX141" s="199">
        <f t="shared" si="13"/>
        <v>145</v>
      </c>
      <c r="AY141" s="197">
        <v>1</v>
      </c>
      <c r="AZ141" s="196">
        <f t="shared" si="14"/>
        <v>245</v>
      </c>
      <c r="BA141" s="233">
        <f t="shared" si="15"/>
        <v>0.61250000000000004</v>
      </c>
      <c r="BB141" s="199">
        <v>100</v>
      </c>
      <c r="BC141" s="199">
        <v>0</v>
      </c>
      <c r="BD141" s="199"/>
      <c r="BE141" s="199">
        <v>95</v>
      </c>
      <c r="BF141" s="199"/>
      <c r="BG141" s="199">
        <v>100</v>
      </c>
      <c r="BH141" s="199"/>
      <c r="BI141" s="199">
        <v>0</v>
      </c>
      <c r="BJ141" s="199"/>
      <c r="BK141" s="199">
        <f>+BG141</f>
        <v>100</v>
      </c>
      <c r="BL141" s="58">
        <f>+BK141/BB141</f>
        <v>1</v>
      </c>
      <c r="BM141" s="196">
        <f>AZ141+BK141</f>
        <v>345</v>
      </c>
      <c r="BN141" s="58">
        <f t="shared" si="16"/>
        <v>0.86250000000000004</v>
      </c>
      <c r="BO141" s="204"/>
      <c r="BP141" s="204"/>
      <c r="BQ141" s="204"/>
      <c r="BR141" s="204"/>
      <c r="BS141" s="204"/>
      <c r="BT141" s="204"/>
      <c r="BU141" s="204"/>
      <c r="BV141" s="204"/>
      <c r="BW141" s="204"/>
      <c r="BX141" s="204"/>
      <c r="BY141" s="204"/>
      <c r="BZ141" s="204"/>
      <c r="CA141" s="204"/>
      <c r="CB141" s="204"/>
      <c r="CC141" s="204"/>
      <c r="CD141" s="204"/>
      <c r="CE141" s="204"/>
      <c r="CF141" s="204"/>
      <c r="CG141" s="204"/>
      <c r="CH141" s="204"/>
      <c r="CI141" s="204"/>
      <c r="CJ141" s="204"/>
      <c r="CK141" s="204"/>
      <c r="CL141" s="204"/>
      <c r="CM141" s="204"/>
      <c r="CN141" s="204"/>
      <c r="CO141" s="204"/>
      <c r="CP141" s="204"/>
      <c r="CQ141" s="204"/>
      <c r="CR141" s="204"/>
      <c r="CS141" s="204"/>
      <c r="CT141" s="204"/>
      <c r="CU141" s="204"/>
      <c r="CV141" s="204"/>
      <c r="CW141" s="204"/>
      <c r="CX141" s="204"/>
      <c r="CY141" s="204"/>
    </row>
    <row r="142" spans="1:103" ht="76.5" customHeight="1" x14ac:dyDescent="0.2">
      <c r="A142" s="1820"/>
      <c r="B142" s="1823"/>
      <c r="C142" s="359"/>
      <c r="D142" s="359"/>
      <c r="E142" s="195"/>
      <c r="F142" s="195"/>
      <c r="G142" s="195"/>
      <c r="H142" s="195"/>
      <c r="I142" s="195"/>
      <c r="J142" s="195"/>
      <c r="K142" s="195"/>
      <c r="L142" s="195"/>
      <c r="M142" s="195"/>
      <c r="N142" s="195"/>
      <c r="O142" s="195"/>
      <c r="P142" s="195"/>
      <c r="Q142" s="195"/>
      <c r="R142" s="195"/>
      <c r="S142" s="195"/>
      <c r="T142" s="359"/>
      <c r="U142" s="1830"/>
      <c r="V142" s="194" t="s">
        <v>954</v>
      </c>
      <c r="W142" s="194" t="s">
        <v>955</v>
      </c>
      <c r="X142" s="1241" t="s">
        <v>956</v>
      </c>
      <c r="Y142" s="220">
        <f>18*4</f>
        <v>72</v>
      </c>
      <c r="Z142" s="216">
        <v>18</v>
      </c>
      <c r="AA142" s="216">
        <v>18</v>
      </c>
      <c r="AB142" s="199">
        <v>18</v>
      </c>
      <c r="AC142" s="217">
        <f t="shared" si="10"/>
        <v>0.25</v>
      </c>
      <c r="AD142" s="217">
        <v>0.25</v>
      </c>
      <c r="AE142" s="217">
        <f t="shared" si="9"/>
        <v>0.25</v>
      </c>
      <c r="AF142" s="216">
        <v>9</v>
      </c>
      <c r="AG142" s="216">
        <v>15</v>
      </c>
      <c r="AH142" s="199"/>
      <c r="AI142" s="196">
        <v>17</v>
      </c>
      <c r="AJ142" s="199"/>
      <c r="AK142" s="205">
        <f>+AI142</f>
        <v>17</v>
      </c>
      <c r="AL142" s="197">
        <f t="shared" si="11"/>
        <v>0.94444444444444442</v>
      </c>
      <c r="AM142" s="196">
        <f>+AK142</f>
        <v>17</v>
      </c>
      <c r="AN142" s="197">
        <f t="shared" si="12"/>
        <v>0.2361111111111111</v>
      </c>
      <c r="AO142" s="216">
        <v>18</v>
      </c>
      <c r="AP142" s="199">
        <v>0</v>
      </c>
      <c r="AQ142" s="199"/>
      <c r="AR142" s="199">
        <v>6</v>
      </c>
      <c r="AS142" s="199"/>
      <c r="AT142" s="199">
        <v>4</v>
      </c>
      <c r="AU142" s="199"/>
      <c r="AV142" s="199">
        <v>8</v>
      </c>
      <c r="AW142" s="199"/>
      <c r="AX142" s="199">
        <f t="shared" si="13"/>
        <v>18</v>
      </c>
      <c r="AY142" s="197">
        <f>+AX142/AO142</f>
        <v>1</v>
      </c>
      <c r="AZ142" s="196">
        <f t="shared" si="14"/>
        <v>35</v>
      </c>
      <c r="BA142" s="233">
        <f t="shared" si="15"/>
        <v>0.4861111111111111</v>
      </c>
      <c r="BB142" s="199">
        <v>18</v>
      </c>
      <c r="BC142" s="199">
        <v>0</v>
      </c>
      <c r="BD142" s="199"/>
      <c r="BE142" s="199">
        <v>10</v>
      </c>
      <c r="BF142" s="199"/>
      <c r="BG142" s="199">
        <v>8</v>
      </c>
      <c r="BH142" s="199"/>
      <c r="BI142" s="199">
        <v>1</v>
      </c>
      <c r="BJ142" s="199"/>
      <c r="BK142" s="199">
        <f>+BE142+BG142+BI142</f>
        <v>19</v>
      </c>
      <c r="BL142" s="58">
        <v>1</v>
      </c>
      <c r="BM142" s="196">
        <f>BK142+AZ142</f>
        <v>54</v>
      </c>
      <c r="BN142" s="58">
        <f t="shared" si="16"/>
        <v>0.75</v>
      </c>
      <c r="BO142" s="204"/>
      <c r="BP142" s="204"/>
      <c r="BQ142" s="204"/>
      <c r="BR142" s="204"/>
      <c r="BS142" s="204"/>
      <c r="BT142" s="204"/>
      <c r="BU142" s="204"/>
      <c r="BV142" s="204"/>
      <c r="BW142" s="204"/>
      <c r="BX142" s="204"/>
      <c r="BY142" s="204"/>
      <c r="BZ142" s="204"/>
      <c r="CA142" s="204"/>
      <c r="CB142" s="204"/>
      <c r="CC142" s="204"/>
      <c r="CD142" s="204"/>
      <c r="CE142" s="204"/>
      <c r="CF142" s="204"/>
      <c r="CG142" s="204"/>
      <c r="CH142" s="204"/>
      <c r="CI142" s="204"/>
      <c r="CJ142" s="204"/>
      <c r="CK142" s="204"/>
      <c r="CL142" s="204"/>
      <c r="CM142" s="204"/>
      <c r="CN142" s="204"/>
      <c r="CO142" s="204"/>
      <c r="CP142" s="204"/>
      <c r="CQ142" s="204"/>
      <c r="CR142" s="204"/>
      <c r="CS142" s="204"/>
      <c r="CT142" s="204"/>
      <c r="CU142" s="204"/>
      <c r="CV142" s="204"/>
      <c r="CW142" s="204"/>
      <c r="CX142" s="204"/>
      <c r="CY142" s="204"/>
    </row>
    <row r="143" spans="1:103" ht="88.5" customHeight="1" x14ac:dyDescent="0.2">
      <c r="A143" s="1820"/>
      <c r="B143" s="1823"/>
      <c r="C143" s="359"/>
      <c r="D143" s="359"/>
      <c r="E143" s="195"/>
      <c r="F143" s="195"/>
      <c r="G143" s="195"/>
      <c r="H143" s="195"/>
      <c r="I143" s="195"/>
      <c r="J143" s="195"/>
      <c r="K143" s="195"/>
      <c r="L143" s="195"/>
      <c r="M143" s="195"/>
      <c r="N143" s="195"/>
      <c r="O143" s="195"/>
      <c r="P143" s="195"/>
      <c r="Q143" s="195"/>
      <c r="R143" s="195"/>
      <c r="S143" s="195"/>
      <c r="T143" s="359"/>
      <c r="U143" s="1830"/>
      <c r="V143" s="194" t="s">
        <v>957</v>
      </c>
      <c r="W143" s="194" t="s">
        <v>958</v>
      </c>
      <c r="X143" s="1241" t="s">
        <v>959</v>
      </c>
      <c r="Y143" s="220">
        <f>75*4</f>
        <v>300</v>
      </c>
      <c r="Z143" s="216">
        <v>75</v>
      </c>
      <c r="AA143" s="216">
        <v>75</v>
      </c>
      <c r="AB143" s="199">
        <v>75</v>
      </c>
      <c r="AC143" s="217">
        <f t="shared" si="10"/>
        <v>0.25</v>
      </c>
      <c r="AD143" s="217">
        <v>0.25</v>
      </c>
      <c r="AE143" s="217">
        <f t="shared" si="9"/>
        <v>0.25</v>
      </c>
      <c r="AF143" s="216">
        <v>75</v>
      </c>
      <c r="AG143" s="216">
        <v>75</v>
      </c>
      <c r="AH143" s="384"/>
      <c r="AI143" s="298">
        <v>17</v>
      </c>
      <c r="AJ143" s="199"/>
      <c r="AK143" s="196">
        <f>+AF143</f>
        <v>75</v>
      </c>
      <c r="AL143" s="197">
        <f t="shared" si="11"/>
        <v>1</v>
      </c>
      <c r="AM143" s="196">
        <v>75</v>
      </c>
      <c r="AN143" s="197">
        <f t="shared" si="12"/>
        <v>0.25</v>
      </c>
      <c r="AO143" s="216">
        <v>75</v>
      </c>
      <c r="AP143" s="199">
        <v>0</v>
      </c>
      <c r="AQ143" s="199"/>
      <c r="AR143" s="199">
        <v>25</v>
      </c>
      <c r="AS143" s="199"/>
      <c r="AT143" s="199">
        <v>25</v>
      </c>
      <c r="AU143" s="199"/>
      <c r="AV143" s="199">
        <v>30</v>
      </c>
      <c r="AW143" s="199"/>
      <c r="AX143" s="199">
        <f t="shared" si="13"/>
        <v>80</v>
      </c>
      <c r="AY143" s="197">
        <v>1</v>
      </c>
      <c r="AZ143" s="196">
        <f t="shared" si="14"/>
        <v>155</v>
      </c>
      <c r="BA143" s="376">
        <f t="shared" si="15"/>
        <v>0.51666666666666672</v>
      </c>
      <c r="BB143" s="199">
        <v>75</v>
      </c>
      <c r="BC143" s="199">
        <v>0</v>
      </c>
      <c r="BD143" s="199"/>
      <c r="BE143" s="199">
        <v>25</v>
      </c>
      <c r="BF143" s="199"/>
      <c r="BG143" s="199">
        <v>25</v>
      </c>
      <c r="BH143" s="199"/>
      <c r="BI143" s="199">
        <v>25</v>
      </c>
      <c r="BJ143" s="199"/>
      <c r="BK143" s="199">
        <f>+BE143+BG143+BI143</f>
        <v>75</v>
      </c>
      <c r="BL143" s="58">
        <f>BK143/BB143</f>
        <v>1</v>
      </c>
      <c r="BM143" s="196">
        <f>BK143+AZ143</f>
        <v>230</v>
      </c>
      <c r="BN143" s="58">
        <f t="shared" si="16"/>
        <v>0.76666666666666672</v>
      </c>
      <c r="BO143" s="204"/>
      <c r="BP143" s="204"/>
      <c r="BQ143" s="204"/>
      <c r="BR143" s="204"/>
      <c r="BS143" s="204"/>
      <c r="BT143" s="204"/>
      <c r="BU143" s="204"/>
      <c r="BV143" s="204"/>
      <c r="BW143" s="204"/>
      <c r="BX143" s="204"/>
      <c r="BY143" s="204"/>
      <c r="BZ143" s="204"/>
      <c r="CA143" s="204"/>
      <c r="CB143" s="204"/>
      <c r="CC143" s="204"/>
      <c r="CD143" s="204"/>
      <c r="CE143" s="204"/>
      <c r="CF143" s="204"/>
      <c r="CG143" s="204"/>
      <c r="CH143" s="204"/>
      <c r="CI143" s="204"/>
      <c r="CJ143" s="204"/>
      <c r="CK143" s="204"/>
      <c r="CL143" s="204"/>
      <c r="CM143" s="204"/>
      <c r="CN143" s="204"/>
      <c r="CO143" s="204"/>
      <c r="CP143" s="204"/>
      <c r="CQ143" s="204"/>
      <c r="CR143" s="204"/>
      <c r="CS143" s="204"/>
      <c r="CT143" s="204"/>
      <c r="CU143" s="204"/>
      <c r="CV143" s="204"/>
      <c r="CW143" s="204"/>
      <c r="CX143" s="204"/>
      <c r="CY143" s="204"/>
    </row>
    <row r="144" spans="1:103" ht="76.5" customHeight="1" x14ac:dyDescent="0.2">
      <c r="A144" s="1820"/>
      <c r="B144" s="1823"/>
      <c r="C144" s="359"/>
      <c r="D144" s="359"/>
      <c r="E144" s="195"/>
      <c r="F144" s="195"/>
      <c r="G144" s="195"/>
      <c r="H144" s="195"/>
      <c r="I144" s="195"/>
      <c r="J144" s="195"/>
      <c r="K144" s="195"/>
      <c r="L144" s="195"/>
      <c r="M144" s="195"/>
      <c r="N144" s="195"/>
      <c r="O144" s="195"/>
      <c r="P144" s="195"/>
      <c r="Q144" s="195"/>
      <c r="R144" s="195"/>
      <c r="S144" s="195"/>
      <c r="T144" s="359"/>
      <c r="U144" s="1830"/>
      <c r="V144" s="194" t="s">
        <v>960</v>
      </c>
      <c r="W144" s="194" t="s">
        <v>961</v>
      </c>
      <c r="X144" s="1241" t="s">
        <v>962</v>
      </c>
      <c r="Y144" s="220">
        <f>18*4</f>
        <v>72</v>
      </c>
      <c r="Z144" s="216">
        <v>18</v>
      </c>
      <c r="AA144" s="216">
        <v>18</v>
      </c>
      <c r="AB144" s="199">
        <v>18</v>
      </c>
      <c r="AC144" s="217">
        <f t="shared" si="10"/>
        <v>0.25</v>
      </c>
      <c r="AD144" s="217">
        <v>0.25</v>
      </c>
      <c r="AE144" s="217">
        <f t="shared" si="9"/>
        <v>0.25</v>
      </c>
      <c r="AF144" s="216">
        <v>0</v>
      </c>
      <c r="AG144" s="216">
        <v>15</v>
      </c>
      <c r="AH144" s="199"/>
      <c r="AI144" s="196">
        <v>17</v>
      </c>
      <c r="AJ144" s="199"/>
      <c r="AK144" s="205">
        <f>+AI144</f>
        <v>17</v>
      </c>
      <c r="AL144" s="197">
        <f t="shared" si="11"/>
        <v>0.94444444444444442</v>
      </c>
      <c r="AM144" s="196">
        <f>+AK144</f>
        <v>17</v>
      </c>
      <c r="AN144" s="197">
        <f t="shared" si="12"/>
        <v>0.2361111111111111</v>
      </c>
      <c r="AO144" s="216">
        <v>18</v>
      </c>
      <c r="AP144" s="199">
        <v>0</v>
      </c>
      <c r="AQ144" s="199"/>
      <c r="AR144" s="199">
        <v>4</v>
      </c>
      <c r="AS144" s="199"/>
      <c r="AT144" s="199">
        <v>4</v>
      </c>
      <c r="AU144" s="199"/>
      <c r="AV144" s="199">
        <v>10</v>
      </c>
      <c r="AW144" s="199"/>
      <c r="AX144" s="199">
        <f t="shared" si="13"/>
        <v>18</v>
      </c>
      <c r="AY144" s="197">
        <f>+AX144/AO144</f>
        <v>1</v>
      </c>
      <c r="AZ144" s="196">
        <f t="shared" si="14"/>
        <v>35</v>
      </c>
      <c r="BA144" s="233">
        <f t="shared" si="15"/>
        <v>0.4861111111111111</v>
      </c>
      <c r="BB144" s="199">
        <v>18</v>
      </c>
      <c r="BC144" s="199">
        <v>0</v>
      </c>
      <c r="BD144" s="199"/>
      <c r="BE144" s="199">
        <v>0</v>
      </c>
      <c r="BF144" s="199"/>
      <c r="BG144" s="199">
        <v>6</v>
      </c>
      <c r="BH144" s="199">
        <v>9</v>
      </c>
      <c r="BI144" s="199">
        <v>1</v>
      </c>
      <c r="BJ144" s="199"/>
      <c r="BK144" s="199">
        <f>+BG144+BH144+BI144</f>
        <v>16</v>
      </c>
      <c r="BL144" s="197">
        <f>+BK144/BB144</f>
        <v>0.88888888888888884</v>
      </c>
      <c r="BM144" s="196">
        <f>BK144+AZ144</f>
        <v>51</v>
      </c>
      <c r="BN144" s="230">
        <f t="shared" si="16"/>
        <v>0.70833333333333337</v>
      </c>
      <c r="BO144" s="204"/>
      <c r="BP144" s="204"/>
      <c r="BQ144" s="204"/>
      <c r="BR144" s="204"/>
      <c r="BS144" s="204"/>
      <c r="BT144" s="204"/>
      <c r="BU144" s="204"/>
      <c r="BV144" s="204"/>
      <c r="BW144" s="204"/>
      <c r="BX144" s="204"/>
      <c r="BY144" s="204"/>
      <c r="BZ144" s="204"/>
      <c r="CA144" s="204"/>
      <c r="CB144" s="204"/>
      <c r="CC144" s="204"/>
      <c r="CD144" s="204"/>
      <c r="CE144" s="204"/>
      <c r="CF144" s="204"/>
      <c r="CG144" s="204"/>
      <c r="CH144" s="204"/>
      <c r="CI144" s="204"/>
      <c r="CJ144" s="204"/>
      <c r="CK144" s="204"/>
      <c r="CL144" s="204"/>
      <c r="CM144" s="204"/>
      <c r="CN144" s="204"/>
      <c r="CO144" s="204"/>
      <c r="CP144" s="204"/>
      <c r="CQ144" s="204"/>
      <c r="CR144" s="204"/>
      <c r="CS144" s="204"/>
      <c r="CT144" s="204"/>
      <c r="CU144" s="204"/>
      <c r="CV144" s="204"/>
      <c r="CW144" s="204"/>
      <c r="CX144" s="204"/>
      <c r="CY144" s="204"/>
    </row>
    <row r="145" spans="1:103" ht="66.75" customHeight="1" x14ac:dyDescent="0.2">
      <c r="A145" s="1820"/>
      <c r="B145" s="1823"/>
      <c r="C145" s="359"/>
      <c r="D145" s="359"/>
      <c r="E145" s="195"/>
      <c r="F145" s="195"/>
      <c r="G145" s="195"/>
      <c r="H145" s="195"/>
      <c r="I145" s="195"/>
      <c r="J145" s="195"/>
      <c r="K145" s="195"/>
      <c r="L145" s="195"/>
      <c r="M145" s="195"/>
      <c r="N145" s="195"/>
      <c r="O145" s="195"/>
      <c r="P145" s="195"/>
      <c r="Q145" s="195"/>
      <c r="R145" s="195"/>
      <c r="S145" s="195"/>
      <c r="T145" s="359"/>
      <c r="U145" s="1830"/>
      <c r="V145" s="194" t="s">
        <v>963</v>
      </c>
      <c r="W145" s="194" t="s">
        <v>964</v>
      </c>
      <c r="X145" s="1241" t="s">
        <v>965</v>
      </c>
      <c r="Y145" s="216">
        <f>100*4</f>
        <v>400</v>
      </c>
      <c r="Z145" s="216">
        <v>100</v>
      </c>
      <c r="AA145" s="216">
        <v>100</v>
      </c>
      <c r="AB145" s="199">
        <v>100</v>
      </c>
      <c r="AC145" s="217">
        <f t="shared" si="10"/>
        <v>0.25</v>
      </c>
      <c r="AD145" s="217">
        <v>0.25</v>
      </c>
      <c r="AE145" s="217">
        <f t="shared" si="9"/>
        <v>0.25</v>
      </c>
      <c r="AF145" s="216">
        <v>21</v>
      </c>
      <c r="AG145" s="216">
        <v>21</v>
      </c>
      <c r="AH145" s="199"/>
      <c r="AI145" s="196">
        <v>100</v>
      </c>
      <c r="AJ145" s="199"/>
      <c r="AK145" s="205">
        <f>+AI145</f>
        <v>100</v>
      </c>
      <c r="AL145" s="197">
        <f t="shared" si="11"/>
        <v>1</v>
      </c>
      <c r="AM145" s="196">
        <f>+AK145</f>
        <v>100</v>
      </c>
      <c r="AN145" s="230">
        <f t="shared" si="12"/>
        <v>0.25</v>
      </c>
      <c r="AO145" s="216">
        <v>100</v>
      </c>
      <c r="AP145" s="199">
        <v>0</v>
      </c>
      <c r="AQ145" s="199"/>
      <c r="AR145" s="199">
        <v>30</v>
      </c>
      <c r="AS145" s="199"/>
      <c r="AT145" s="199">
        <v>25</v>
      </c>
      <c r="AU145" s="199"/>
      <c r="AV145" s="199">
        <v>45</v>
      </c>
      <c r="AW145" s="199"/>
      <c r="AX145" s="199">
        <f t="shared" si="13"/>
        <v>100</v>
      </c>
      <c r="AY145" s="197">
        <f>+AX145/AO145</f>
        <v>1</v>
      </c>
      <c r="AZ145" s="196">
        <f t="shared" si="14"/>
        <v>200</v>
      </c>
      <c r="BA145" s="233">
        <f t="shared" si="15"/>
        <v>0.5</v>
      </c>
      <c r="BB145" s="199">
        <v>100</v>
      </c>
      <c r="BC145" s="199">
        <v>25</v>
      </c>
      <c r="BD145" s="199"/>
      <c r="BE145" s="199">
        <v>25</v>
      </c>
      <c r="BF145" s="199"/>
      <c r="BG145" s="199">
        <v>25</v>
      </c>
      <c r="BH145" s="199"/>
      <c r="BI145" s="199">
        <v>25</v>
      </c>
      <c r="BJ145" s="199"/>
      <c r="BK145" s="199">
        <v>100</v>
      </c>
      <c r="BL145" s="197">
        <f>+BK145/BB145</f>
        <v>1</v>
      </c>
      <c r="BM145" s="196">
        <f>BK145+AZ145</f>
        <v>300</v>
      </c>
      <c r="BN145" s="58">
        <f>+BM145/Y145</f>
        <v>0.75</v>
      </c>
      <c r="BO145" s="204"/>
      <c r="BP145" s="204"/>
      <c r="BQ145" s="204"/>
      <c r="BR145" s="204"/>
      <c r="BS145" s="204"/>
      <c r="BT145" s="204"/>
      <c r="BU145" s="204"/>
      <c r="BV145" s="204"/>
      <c r="BW145" s="204"/>
      <c r="BX145" s="204"/>
      <c r="BY145" s="204"/>
      <c r="BZ145" s="204"/>
      <c r="CA145" s="204"/>
      <c r="CB145" s="204"/>
      <c r="CC145" s="204"/>
      <c r="CD145" s="204"/>
      <c r="CE145" s="204"/>
      <c r="CF145" s="204"/>
      <c r="CG145" s="204"/>
      <c r="CH145" s="204"/>
      <c r="CI145" s="204"/>
      <c r="CJ145" s="204"/>
      <c r="CK145" s="204"/>
      <c r="CL145" s="204"/>
      <c r="CM145" s="204"/>
      <c r="CN145" s="204"/>
      <c r="CO145" s="204"/>
      <c r="CP145" s="204"/>
      <c r="CQ145" s="204"/>
      <c r="CR145" s="204"/>
      <c r="CS145" s="204"/>
      <c r="CT145" s="204"/>
      <c r="CU145" s="204"/>
      <c r="CV145" s="204"/>
      <c r="CW145" s="204"/>
      <c r="CX145" s="204"/>
      <c r="CY145" s="204"/>
    </row>
    <row r="146" spans="1:103" ht="15.75" customHeight="1" x14ac:dyDescent="0.2">
      <c r="A146" s="1820"/>
      <c r="B146" s="1823"/>
      <c r="C146" s="359"/>
      <c r="D146" s="359"/>
      <c r="E146" s="195"/>
      <c r="F146" s="195"/>
      <c r="G146" s="195"/>
      <c r="H146" s="195"/>
      <c r="I146" s="195"/>
      <c r="J146" s="195"/>
      <c r="K146" s="195"/>
      <c r="L146" s="195"/>
      <c r="M146" s="195"/>
      <c r="N146" s="195"/>
      <c r="O146" s="195"/>
      <c r="P146" s="195"/>
      <c r="Q146" s="195"/>
      <c r="R146" s="195"/>
      <c r="S146" s="195"/>
      <c r="T146" s="359"/>
      <c r="U146" s="1831"/>
      <c r="V146" s="246"/>
      <c r="W146" s="246"/>
      <c r="X146" s="1454"/>
      <c r="Y146" s="246"/>
      <c r="Z146" s="247"/>
      <c r="AA146" s="247"/>
      <c r="AB146" s="247"/>
      <c r="AC146" s="252">
        <f>AVERAGE(AC130:AC145)</f>
        <v>0.21129629629629632</v>
      </c>
      <c r="AD146" s="252">
        <v>0.25</v>
      </c>
      <c r="AE146" s="252">
        <f>AVERAGE(AE130:AE145)</f>
        <v>0.23734374999999999</v>
      </c>
      <c r="AF146" s="247"/>
      <c r="AG146" s="247"/>
      <c r="AH146" s="247"/>
      <c r="AI146" s="251"/>
      <c r="AJ146" s="247"/>
      <c r="AK146" s="247"/>
      <c r="AL146" s="252">
        <f>AVERAGE(AL130:AL145)</f>
        <v>0.9785575048732944</v>
      </c>
      <c r="AM146" s="247"/>
      <c r="AN146" s="252">
        <f>AVERAGE(AN130:AN145)</f>
        <v>0.20537962962962961</v>
      </c>
      <c r="AO146" s="247"/>
      <c r="AP146" s="385"/>
      <c r="AQ146" s="385"/>
      <c r="AR146" s="385"/>
      <c r="AS146" s="385"/>
      <c r="AT146" s="247"/>
      <c r="AU146" s="385"/>
      <c r="AV146" s="385"/>
      <c r="AW146" s="385"/>
      <c r="AX146" s="385"/>
      <c r="AY146" s="386">
        <f>AVERAGE(AY130:AY145)</f>
        <v>0.9375</v>
      </c>
      <c r="AZ146" s="385"/>
      <c r="BA146" s="387">
        <f>AVERAGE(BA130:BA145)</f>
        <v>0.5099565972222222</v>
      </c>
      <c r="BB146" s="290"/>
      <c r="BC146" s="290"/>
      <c r="BD146" s="290"/>
      <c r="BE146" s="290"/>
      <c r="BF146" s="290"/>
      <c r="BG146" s="290"/>
      <c r="BH146" s="290"/>
      <c r="BI146" s="290"/>
      <c r="BJ146" s="290"/>
      <c r="BK146" s="290"/>
      <c r="BL146" s="214">
        <f>AVERAGE(BL130:BL145)</f>
        <v>0.97270193713450293</v>
      </c>
      <c r="BM146" s="213"/>
      <c r="BN146" s="214">
        <f>AVERAGE(BN130:BN145)</f>
        <v>0.74875274122807034</v>
      </c>
      <c r="BO146" s="291"/>
      <c r="BP146" s="291"/>
      <c r="BQ146" s="291"/>
      <c r="BR146" s="291"/>
      <c r="BS146" s="291"/>
      <c r="BT146" s="291"/>
      <c r="BU146" s="291"/>
      <c r="BV146" s="291"/>
      <c r="BW146" s="291"/>
      <c r="BX146" s="291"/>
      <c r="BY146" s="291"/>
      <c r="BZ146" s="291"/>
      <c r="CA146" s="291"/>
      <c r="CB146" s="291"/>
      <c r="CC146" s="291"/>
      <c r="CD146" s="291"/>
      <c r="CE146" s="291"/>
      <c r="CF146" s="291"/>
      <c r="CG146" s="291"/>
      <c r="CH146" s="291"/>
      <c r="CI146" s="291"/>
      <c r="CJ146" s="291"/>
      <c r="CK146" s="291"/>
      <c r="CL146" s="291"/>
      <c r="CM146" s="291"/>
      <c r="CN146" s="291"/>
      <c r="CO146" s="291"/>
      <c r="CP146" s="291"/>
      <c r="CQ146" s="291"/>
      <c r="CR146" s="291"/>
      <c r="CS146" s="291"/>
      <c r="CT146" s="291"/>
      <c r="CU146" s="291"/>
      <c r="CV146" s="291"/>
      <c r="CW146" s="291"/>
      <c r="CX146" s="291"/>
      <c r="CY146" s="291"/>
    </row>
    <row r="147" spans="1:103" ht="77.25" customHeight="1" x14ac:dyDescent="0.2">
      <c r="A147" s="1820"/>
      <c r="B147" s="1823"/>
      <c r="C147" s="359"/>
      <c r="D147" s="359"/>
      <c r="E147" s="195"/>
      <c r="F147" s="195"/>
      <c r="G147" s="195"/>
      <c r="H147" s="195"/>
      <c r="I147" s="195"/>
      <c r="J147" s="195"/>
      <c r="K147" s="195"/>
      <c r="L147" s="195"/>
      <c r="M147" s="195"/>
      <c r="N147" s="195"/>
      <c r="O147" s="195"/>
      <c r="P147" s="195"/>
      <c r="Q147" s="195"/>
      <c r="R147" s="195"/>
      <c r="S147" s="195"/>
      <c r="T147" s="359"/>
      <c r="U147" s="1829" t="s">
        <v>966</v>
      </c>
      <c r="V147" s="194" t="s">
        <v>967</v>
      </c>
      <c r="W147" s="194">
        <v>0</v>
      </c>
      <c r="X147" s="1241" t="s">
        <v>968</v>
      </c>
      <c r="Y147" s="216">
        <v>4</v>
      </c>
      <c r="Z147" s="216">
        <v>1</v>
      </c>
      <c r="AA147" s="216">
        <v>1</v>
      </c>
      <c r="AB147" s="199">
        <v>1</v>
      </c>
      <c r="AC147" s="217">
        <v>0.25</v>
      </c>
      <c r="AD147" s="217">
        <v>0.25</v>
      </c>
      <c r="AE147" s="217">
        <f>+AB147/Y147</f>
        <v>0.25</v>
      </c>
      <c r="AF147" s="216">
        <v>0</v>
      </c>
      <c r="AG147" s="383">
        <v>0.4</v>
      </c>
      <c r="AH147" s="199"/>
      <c r="AI147" s="196">
        <v>1</v>
      </c>
      <c r="AJ147" s="199"/>
      <c r="AK147" s="205">
        <f>+AI147</f>
        <v>1</v>
      </c>
      <c r="AL147" s="197">
        <f>+AK147/Z147</f>
        <v>1</v>
      </c>
      <c r="AM147" s="196">
        <f>+AK147</f>
        <v>1</v>
      </c>
      <c r="AN147" s="197">
        <v>1</v>
      </c>
      <c r="AO147" s="216">
        <v>1</v>
      </c>
      <c r="AP147" s="325">
        <f>0.25*0.53</f>
        <v>0.13250000000000001</v>
      </c>
      <c r="AQ147" s="239"/>
      <c r="AR147" s="199">
        <v>0.53</v>
      </c>
      <c r="AS147" s="239"/>
      <c r="AT147" s="199">
        <v>0.53</v>
      </c>
      <c r="AU147" s="239"/>
      <c r="AV147" s="199">
        <v>0.17</v>
      </c>
      <c r="AW147" s="239"/>
      <c r="AX147" s="388">
        <f>+AR147+AV147</f>
        <v>0.70000000000000007</v>
      </c>
      <c r="AY147" s="197">
        <v>0.7</v>
      </c>
      <c r="AZ147" s="389"/>
      <c r="BA147" s="233"/>
      <c r="BB147" s="197">
        <v>0.25</v>
      </c>
      <c r="BC147" s="1449">
        <v>0.25</v>
      </c>
      <c r="BD147" s="1445"/>
      <c r="BE147" s="1449">
        <v>0.3</v>
      </c>
      <c r="BF147" s="1445"/>
      <c r="BG147" s="1449">
        <v>0.25</v>
      </c>
      <c r="BH147" s="199"/>
      <c r="BI147" s="197">
        <v>0.25</v>
      </c>
      <c r="BJ147" s="324" t="s">
        <v>2294</v>
      </c>
      <c r="BK147" s="197">
        <f>+BG147</f>
        <v>0.25</v>
      </c>
      <c r="BL147" s="197">
        <v>1</v>
      </c>
      <c r="BM147" s="388">
        <f>+BK147+33%</f>
        <v>0.58000000000000007</v>
      </c>
      <c r="BN147" s="1227">
        <f>+BM147</f>
        <v>0.58000000000000007</v>
      </c>
      <c r="BO147" s="204"/>
      <c r="BP147" s="204"/>
      <c r="BQ147" s="204"/>
      <c r="BR147" s="204"/>
      <c r="BS147" s="204"/>
      <c r="BT147" s="204"/>
      <c r="BU147" s="204"/>
      <c r="BV147" s="204"/>
      <c r="BW147" s="204"/>
      <c r="BX147" s="204"/>
      <c r="BY147" s="204"/>
      <c r="BZ147" s="204"/>
      <c r="CA147" s="204"/>
      <c r="CB147" s="204"/>
      <c r="CC147" s="204"/>
      <c r="CD147" s="204"/>
      <c r="CE147" s="204"/>
      <c r="CF147" s="204"/>
      <c r="CG147" s="204"/>
      <c r="CH147" s="204"/>
      <c r="CI147" s="204"/>
      <c r="CJ147" s="204"/>
      <c r="CK147" s="204"/>
      <c r="CL147" s="204"/>
      <c r="CM147" s="204"/>
      <c r="CN147" s="204"/>
      <c r="CO147" s="204"/>
      <c r="CP147" s="204"/>
      <c r="CQ147" s="204"/>
      <c r="CR147" s="204"/>
      <c r="CS147" s="204"/>
      <c r="CT147" s="204"/>
      <c r="CU147" s="204"/>
      <c r="CV147" s="204"/>
      <c r="CW147" s="204"/>
      <c r="CX147" s="204"/>
      <c r="CY147" s="204"/>
    </row>
    <row r="148" spans="1:103" ht="48" customHeight="1" x14ac:dyDescent="0.2">
      <c r="A148" s="1820"/>
      <c r="B148" s="1823"/>
      <c r="C148" s="359"/>
      <c r="D148" s="359"/>
      <c r="E148" s="195"/>
      <c r="F148" s="195"/>
      <c r="G148" s="195"/>
      <c r="H148" s="195"/>
      <c r="I148" s="195"/>
      <c r="J148" s="195"/>
      <c r="K148" s="195"/>
      <c r="L148" s="195"/>
      <c r="M148" s="195"/>
      <c r="N148" s="195"/>
      <c r="O148" s="195"/>
      <c r="P148" s="195"/>
      <c r="Q148" s="195"/>
      <c r="R148" s="195"/>
      <c r="S148" s="195"/>
      <c r="T148" s="359"/>
      <c r="U148" s="1830"/>
      <c r="V148" s="194" t="s">
        <v>969</v>
      </c>
      <c r="W148" s="326" t="s">
        <v>970</v>
      </c>
      <c r="X148" s="1241" t="s">
        <v>971</v>
      </c>
      <c r="Y148" s="216">
        <v>1</v>
      </c>
      <c r="Z148" s="216">
        <v>1</v>
      </c>
      <c r="AA148" s="216">
        <v>1</v>
      </c>
      <c r="AB148" s="197">
        <v>1</v>
      </c>
      <c r="AC148" s="217">
        <v>0.25</v>
      </c>
      <c r="AD148" s="217">
        <v>0.25</v>
      </c>
      <c r="AE148" s="217">
        <v>0.25</v>
      </c>
      <c r="AF148" s="216">
        <v>1</v>
      </c>
      <c r="AG148" s="216">
        <v>1</v>
      </c>
      <c r="AH148" s="199"/>
      <c r="AI148" s="196">
        <v>1</v>
      </c>
      <c r="AJ148" s="199"/>
      <c r="AK148" s="205">
        <f>+AI148</f>
        <v>1</v>
      </c>
      <c r="AL148" s="197">
        <f>+AK148/Z148</f>
        <v>1</v>
      </c>
      <c r="AM148" s="196">
        <f>+AK148</f>
        <v>1</v>
      </c>
      <c r="AN148" s="197">
        <v>0.25</v>
      </c>
      <c r="AO148" s="216">
        <v>1</v>
      </c>
      <c r="AP148" s="199">
        <v>0</v>
      </c>
      <c r="AQ148" s="199"/>
      <c r="AR148" s="199">
        <v>0.5</v>
      </c>
      <c r="AS148" s="199"/>
      <c r="AT148" s="199">
        <v>0.25</v>
      </c>
      <c r="AU148" s="199"/>
      <c r="AV148" s="199">
        <v>0.15</v>
      </c>
      <c r="AW148" s="199"/>
      <c r="AX148" s="199">
        <f>+AR148+AT148+AV148</f>
        <v>0.9</v>
      </c>
      <c r="AY148" s="197">
        <v>0.9</v>
      </c>
      <c r="AZ148" s="197">
        <v>0.48</v>
      </c>
      <c r="BA148" s="233">
        <f>+AZ148</f>
        <v>0.48</v>
      </c>
      <c r="BB148" s="197">
        <v>1</v>
      </c>
      <c r="BC148" s="197">
        <v>0.25</v>
      </c>
      <c r="BD148" s="199"/>
      <c r="BE148" s="197">
        <v>0.25</v>
      </c>
      <c r="BF148" s="199"/>
      <c r="BG148" s="197">
        <v>0.25</v>
      </c>
      <c r="BH148" s="199"/>
      <c r="BI148" s="197">
        <v>0.25</v>
      </c>
      <c r="BJ148" s="199"/>
      <c r="BK148" s="197">
        <v>1</v>
      </c>
      <c r="BL148" s="58">
        <v>1</v>
      </c>
      <c r="BM148" s="230">
        <v>0.75</v>
      </c>
      <c r="BN148" s="230">
        <f>+BM148</f>
        <v>0.75</v>
      </c>
      <c r="BO148" s="204"/>
      <c r="BP148" s="204"/>
      <c r="BQ148" s="204"/>
      <c r="BR148" s="204"/>
      <c r="BS148" s="204"/>
      <c r="BT148" s="204"/>
      <c r="BU148" s="204"/>
      <c r="BV148" s="204"/>
      <c r="BW148" s="204"/>
      <c r="BX148" s="204"/>
      <c r="BY148" s="204"/>
      <c r="BZ148" s="204"/>
      <c r="CA148" s="204"/>
      <c r="CB148" s="204"/>
      <c r="CC148" s="204"/>
      <c r="CD148" s="204"/>
      <c r="CE148" s="204"/>
      <c r="CF148" s="204"/>
      <c r="CG148" s="204"/>
      <c r="CH148" s="204"/>
      <c r="CI148" s="204"/>
      <c r="CJ148" s="204"/>
      <c r="CK148" s="204"/>
      <c r="CL148" s="204"/>
      <c r="CM148" s="204"/>
      <c r="CN148" s="204"/>
      <c r="CO148" s="204"/>
      <c r="CP148" s="204"/>
      <c r="CQ148" s="204"/>
      <c r="CR148" s="204"/>
      <c r="CS148" s="204"/>
      <c r="CT148" s="204"/>
      <c r="CU148" s="204"/>
      <c r="CV148" s="204"/>
      <c r="CW148" s="204"/>
      <c r="CX148" s="204"/>
      <c r="CY148" s="204"/>
    </row>
    <row r="149" spans="1:103" ht="59.25" customHeight="1" x14ac:dyDescent="0.2">
      <c r="A149" s="1820"/>
      <c r="B149" s="1823"/>
      <c r="C149" s="359"/>
      <c r="D149" s="359"/>
      <c r="E149" s="195"/>
      <c r="F149" s="195"/>
      <c r="G149" s="195"/>
      <c r="H149" s="195"/>
      <c r="I149" s="195"/>
      <c r="J149" s="195"/>
      <c r="K149" s="195"/>
      <c r="L149" s="195"/>
      <c r="M149" s="195"/>
      <c r="N149" s="195"/>
      <c r="O149" s="195"/>
      <c r="P149" s="195"/>
      <c r="Q149" s="195"/>
      <c r="R149" s="195"/>
      <c r="S149" s="195"/>
      <c r="T149" s="359"/>
      <c r="U149" s="1830"/>
      <c r="V149" s="194" t="s">
        <v>972</v>
      </c>
      <c r="W149" s="194" t="s">
        <v>973</v>
      </c>
      <c r="X149" s="1241" t="s">
        <v>974</v>
      </c>
      <c r="Y149" s="216" t="s">
        <v>975</v>
      </c>
      <c r="Z149" s="216">
        <v>3</v>
      </c>
      <c r="AA149" s="216">
        <v>0</v>
      </c>
      <c r="AB149" s="216" t="s">
        <v>975</v>
      </c>
      <c r="AC149" s="217">
        <v>0.25</v>
      </c>
      <c r="AD149" s="217">
        <v>0.25</v>
      </c>
      <c r="AE149" s="217">
        <v>0.25</v>
      </c>
      <c r="AF149" s="216">
        <v>0</v>
      </c>
      <c r="AG149" s="216">
        <v>3.2</v>
      </c>
      <c r="AH149" s="199"/>
      <c r="AI149" s="196">
        <v>3.9</v>
      </c>
      <c r="AJ149" s="199"/>
      <c r="AK149" s="205">
        <f>+AI149</f>
        <v>3.9</v>
      </c>
      <c r="AL149" s="197">
        <v>1</v>
      </c>
      <c r="AM149" s="199">
        <v>3</v>
      </c>
      <c r="AN149" s="197">
        <v>0.25</v>
      </c>
      <c r="AO149" s="216">
        <v>0</v>
      </c>
      <c r="AP149" s="199">
        <v>0</v>
      </c>
      <c r="AQ149" s="199"/>
      <c r="AR149" s="199">
        <v>1.3</v>
      </c>
      <c r="AS149" s="199"/>
      <c r="AT149" s="199">
        <v>1.3</v>
      </c>
      <c r="AU149" s="199"/>
      <c r="AV149" s="199">
        <v>2.2999999999999998</v>
      </c>
      <c r="AW149" s="199"/>
      <c r="AX149" s="199">
        <f>+AV149</f>
        <v>2.2999999999999998</v>
      </c>
      <c r="AY149" s="197">
        <v>1</v>
      </c>
      <c r="AZ149" s="199">
        <f>+AX149</f>
        <v>2.2999999999999998</v>
      </c>
      <c r="BA149" s="233">
        <v>0.51</v>
      </c>
      <c r="BB149" s="216" t="s">
        <v>975</v>
      </c>
      <c r="BC149" s="216" t="s">
        <v>975</v>
      </c>
      <c r="BD149" s="199"/>
      <c r="BE149" s="216" t="s">
        <v>975</v>
      </c>
      <c r="BF149" s="199"/>
      <c r="BG149" s="216" t="s">
        <v>975</v>
      </c>
      <c r="BH149" s="199"/>
      <c r="BI149" s="216" t="s">
        <v>975</v>
      </c>
      <c r="BJ149" s="199"/>
      <c r="BK149" s="216" t="s">
        <v>975</v>
      </c>
      <c r="BL149" s="197">
        <v>1</v>
      </c>
      <c r="BM149" s="230" t="str">
        <f>+BK149</f>
        <v>&lt;4</v>
      </c>
      <c r="BN149" s="230">
        <v>0.75</v>
      </c>
      <c r="BO149" s="204"/>
      <c r="BP149" s="204"/>
      <c r="BQ149" s="204"/>
      <c r="BR149" s="204"/>
      <c r="BS149" s="204"/>
      <c r="BT149" s="204"/>
      <c r="BU149" s="204"/>
      <c r="BV149" s="204"/>
      <c r="BW149" s="204"/>
      <c r="BX149" s="204"/>
      <c r="BY149" s="204"/>
      <c r="BZ149" s="204"/>
      <c r="CA149" s="204"/>
      <c r="CB149" s="204"/>
      <c r="CC149" s="204"/>
      <c r="CD149" s="204"/>
      <c r="CE149" s="204"/>
      <c r="CF149" s="204"/>
      <c r="CG149" s="204"/>
      <c r="CH149" s="204"/>
      <c r="CI149" s="204"/>
      <c r="CJ149" s="204"/>
      <c r="CK149" s="204"/>
      <c r="CL149" s="204"/>
      <c r="CM149" s="204"/>
      <c r="CN149" s="204"/>
      <c r="CO149" s="204"/>
      <c r="CP149" s="204"/>
      <c r="CQ149" s="204"/>
      <c r="CR149" s="204"/>
      <c r="CS149" s="204"/>
      <c r="CT149" s="204"/>
      <c r="CU149" s="204"/>
      <c r="CV149" s="204"/>
      <c r="CW149" s="204"/>
      <c r="CX149" s="204"/>
      <c r="CY149" s="204"/>
    </row>
    <row r="150" spans="1:103" ht="85.5" customHeight="1" x14ac:dyDescent="0.2">
      <c r="A150" s="1820"/>
      <c r="B150" s="1823"/>
      <c r="C150" s="359"/>
      <c r="D150" s="359"/>
      <c r="E150" s="195"/>
      <c r="F150" s="195"/>
      <c r="G150" s="195"/>
      <c r="H150" s="195"/>
      <c r="I150" s="195"/>
      <c r="J150" s="195"/>
      <c r="K150" s="195"/>
      <c r="L150" s="195"/>
      <c r="M150" s="195"/>
      <c r="N150" s="195"/>
      <c r="O150" s="195"/>
      <c r="P150" s="195"/>
      <c r="Q150" s="195"/>
      <c r="R150" s="195"/>
      <c r="S150" s="195"/>
      <c r="T150" s="359"/>
      <c r="U150" s="1830"/>
      <c r="V150" s="194" t="s">
        <v>976</v>
      </c>
      <c r="W150" s="326" t="s">
        <v>977</v>
      </c>
      <c r="X150" s="1241" t="s">
        <v>978</v>
      </c>
      <c r="Y150" s="216">
        <f>19*4</f>
        <v>76</v>
      </c>
      <c r="Z150" s="216">
        <v>19</v>
      </c>
      <c r="AA150" s="216">
        <v>19</v>
      </c>
      <c r="AB150" s="199">
        <v>19</v>
      </c>
      <c r="AC150" s="217">
        <f>+Z150/Y150</f>
        <v>0.25</v>
      </c>
      <c r="AD150" s="217">
        <v>0.25</v>
      </c>
      <c r="AE150" s="217">
        <f>+AB150/Y150</f>
        <v>0.25</v>
      </c>
      <c r="AF150" s="216">
        <v>13</v>
      </c>
      <c r="AG150" s="216">
        <v>19</v>
      </c>
      <c r="AH150" s="199"/>
      <c r="AI150" s="298">
        <v>11</v>
      </c>
      <c r="AJ150" s="199"/>
      <c r="AK150" s="196">
        <f>+AG150</f>
        <v>19</v>
      </c>
      <c r="AL150" s="197">
        <f>+AK150/Z150</f>
        <v>1</v>
      </c>
      <c r="AM150" s="199">
        <v>11</v>
      </c>
      <c r="AN150" s="197">
        <f>+AM150/Y150</f>
        <v>0.14473684210526316</v>
      </c>
      <c r="AO150" s="216">
        <v>19</v>
      </c>
      <c r="AP150" s="199">
        <v>1</v>
      </c>
      <c r="AQ150" s="199"/>
      <c r="AR150" s="199">
        <v>15</v>
      </c>
      <c r="AS150" s="199"/>
      <c r="AT150" s="199">
        <v>8</v>
      </c>
      <c r="AU150" s="199"/>
      <c r="AV150" s="199">
        <v>7</v>
      </c>
      <c r="AW150" s="199"/>
      <c r="AX150" s="199">
        <f>+AP150+AR150+AT150+AV150</f>
        <v>31</v>
      </c>
      <c r="AY150" s="197">
        <v>1</v>
      </c>
      <c r="AZ150" s="199">
        <f>+AX150+AM150</f>
        <v>42</v>
      </c>
      <c r="BA150" s="233">
        <v>0.51</v>
      </c>
      <c r="BB150" s="199">
        <v>19</v>
      </c>
      <c r="BC150" s="362">
        <v>5</v>
      </c>
      <c r="BD150" s="199"/>
      <c r="BE150" s="199">
        <v>5</v>
      </c>
      <c r="BF150" s="199"/>
      <c r="BG150" s="199">
        <v>5</v>
      </c>
      <c r="BH150" s="199"/>
      <c r="BI150" s="199">
        <v>5</v>
      </c>
      <c r="BJ150" s="199"/>
      <c r="BK150" s="362">
        <f>BC150+BE150+BG150+BI150</f>
        <v>20</v>
      </c>
      <c r="BL150" s="197">
        <v>1</v>
      </c>
      <c r="BM150" s="362">
        <f>BK150+AZ150</f>
        <v>62</v>
      </c>
      <c r="BN150" s="58">
        <f>BM150/Y150</f>
        <v>0.81578947368421051</v>
      </c>
      <c r="BO150" s="204"/>
      <c r="BP150" s="204"/>
      <c r="BQ150" s="204"/>
      <c r="BR150" s="204"/>
      <c r="BS150" s="204"/>
      <c r="BT150" s="204"/>
      <c r="BU150" s="204"/>
      <c r="BV150" s="204"/>
      <c r="BW150" s="204"/>
      <c r="BX150" s="204"/>
      <c r="BY150" s="204"/>
      <c r="BZ150" s="204"/>
      <c r="CA150" s="204"/>
      <c r="CB150" s="204"/>
      <c r="CC150" s="204"/>
      <c r="CD150" s="204"/>
      <c r="CE150" s="204"/>
      <c r="CF150" s="204"/>
      <c r="CG150" s="204"/>
      <c r="CH150" s="204"/>
      <c r="CI150" s="204"/>
      <c r="CJ150" s="204"/>
      <c r="CK150" s="204"/>
      <c r="CL150" s="204"/>
      <c r="CM150" s="204"/>
      <c r="CN150" s="204"/>
      <c r="CO150" s="204"/>
      <c r="CP150" s="204"/>
      <c r="CQ150" s="204"/>
      <c r="CR150" s="204"/>
      <c r="CS150" s="204"/>
      <c r="CT150" s="204"/>
      <c r="CU150" s="204"/>
      <c r="CV150" s="204"/>
      <c r="CW150" s="204"/>
      <c r="CX150" s="204"/>
      <c r="CY150" s="204"/>
    </row>
    <row r="151" spans="1:103" ht="115.5" customHeight="1" x14ac:dyDescent="0.2">
      <c r="A151" s="1820"/>
      <c r="B151" s="1823"/>
      <c r="C151" s="359"/>
      <c r="D151" s="359"/>
      <c r="E151" s="195"/>
      <c r="F151" s="195"/>
      <c r="G151" s="195"/>
      <c r="H151" s="195"/>
      <c r="I151" s="195"/>
      <c r="J151" s="195"/>
      <c r="K151" s="195"/>
      <c r="L151" s="195"/>
      <c r="M151" s="195"/>
      <c r="N151" s="195"/>
      <c r="O151" s="195"/>
      <c r="P151" s="195"/>
      <c r="Q151" s="195"/>
      <c r="R151" s="195"/>
      <c r="S151" s="195"/>
      <c r="T151" s="359"/>
      <c r="U151" s="1830"/>
      <c r="V151" s="194" t="s">
        <v>979</v>
      </c>
      <c r="W151" s="326" t="s">
        <v>977</v>
      </c>
      <c r="X151" s="1241" t="s">
        <v>2254</v>
      </c>
      <c r="Y151" s="216">
        <f>19*4</f>
        <v>76</v>
      </c>
      <c r="Z151" s="216">
        <v>19</v>
      </c>
      <c r="AA151" s="216">
        <v>19</v>
      </c>
      <c r="AB151" s="199">
        <v>19</v>
      </c>
      <c r="AC151" s="217">
        <f>+Z151/Y151</f>
        <v>0.25</v>
      </c>
      <c r="AD151" s="217">
        <v>0.25</v>
      </c>
      <c r="AE151" s="217">
        <f>+AB151/Y151</f>
        <v>0.25</v>
      </c>
      <c r="AF151" s="216">
        <v>19</v>
      </c>
      <c r="AG151" s="216">
        <v>19</v>
      </c>
      <c r="AH151" s="199"/>
      <c r="AI151" s="298">
        <v>11</v>
      </c>
      <c r="AJ151" s="199"/>
      <c r="AK151" s="196">
        <v>19</v>
      </c>
      <c r="AL151" s="197">
        <f>+AK151/Z151</f>
        <v>1</v>
      </c>
      <c r="AM151" s="199">
        <v>11</v>
      </c>
      <c r="AN151" s="197">
        <f>+AM151/Y151</f>
        <v>0.14473684210526316</v>
      </c>
      <c r="AO151" s="216">
        <v>19</v>
      </c>
      <c r="AP151" s="199">
        <v>1</v>
      </c>
      <c r="AQ151" s="199"/>
      <c r="AR151" s="199">
        <v>15</v>
      </c>
      <c r="AS151" s="199"/>
      <c r="AT151" s="199">
        <v>8</v>
      </c>
      <c r="AU151" s="199"/>
      <c r="AV151" s="199">
        <v>7</v>
      </c>
      <c r="AW151" s="199"/>
      <c r="AX151" s="199">
        <f>+AP151+AR151+AT151+AV151</f>
        <v>31</v>
      </c>
      <c r="AY151" s="197">
        <v>1</v>
      </c>
      <c r="AZ151" s="199">
        <f>+AX151+AM151</f>
        <v>42</v>
      </c>
      <c r="BA151" s="233">
        <f>+AZ151/Y151</f>
        <v>0.55263157894736847</v>
      </c>
      <c r="BB151" s="199">
        <v>19</v>
      </c>
      <c r="BC151" s="199">
        <v>5</v>
      </c>
      <c r="BD151" s="199"/>
      <c r="BE151" s="199">
        <v>5</v>
      </c>
      <c r="BF151" s="199"/>
      <c r="BG151" s="199">
        <v>1</v>
      </c>
      <c r="BH151" s="199"/>
      <c r="BI151" s="199">
        <v>5</v>
      </c>
      <c r="BJ151" s="199"/>
      <c r="BK151" s="199">
        <f>+BE151+BC151+BG151+BI151</f>
        <v>16</v>
      </c>
      <c r="BL151" s="197">
        <f>+BK151/BB151</f>
        <v>0.84210526315789469</v>
      </c>
      <c r="BM151" s="199">
        <f>BK151+AZ151</f>
        <v>58</v>
      </c>
      <c r="BN151" s="58">
        <f>BM151/Y151</f>
        <v>0.76315789473684215</v>
      </c>
      <c r="BO151" s="204"/>
      <c r="BP151" s="204"/>
      <c r="BQ151" s="204"/>
      <c r="BR151" s="204"/>
      <c r="BS151" s="204"/>
      <c r="BT151" s="204"/>
      <c r="BU151" s="204"/>
      <c r="BV151" s="204"/>
      <c r="BW151" s="204"/>
      <c r="BX151" s="204"/>
      <c r="BY151" s="204"/>
      <c r="BZ151" s="204"/>
      <c r="CA151" s="204"/>
      <c r="CB151" s="204"/>
      <c r="CC151" s="204"/>
      <c r="CD151" s="204"/>
      <c r="CE151" s="204"/>
      <c r="CF151" s="204"/>
      <c r="CG151" s="204"/>
      <c r="CH151" s="204"/>
      <c r="CI151" s="204"/>
      <c r="CJ151" s="204"/>
      <c r="CK151" s="204"/>
      <c r="CL151" s="204"/>
      <c r="CM151" s="204"/>
      <c r="CN151" s="204"/>
      <c r="CO151" s="204"/>
      <c r="CP151" s="204"/>
      <c r="CQ151" s="204"/>
      <c r="CR151" s="204"/>
      <c r="CS151" s="204"/>
      <c r="CT151" s="204"/>
      <c r="CU151" s="204"/>
      <c r="CV151" s="204"/>
      <c r="CW151" s="204"/>
      <c r="CX151" s="204"/>
      <c r="CY151" s="204"/>
    </row>
    <row r="152" spans="1:103" ht="15.75" customHeight="1" x14ac:dyDescent="0.2">
      <c r="A152" s="1820"/>
      <c r="B152" s="1823"/>
      <c r="C152" s="359"/>
      <c r="D152" s="359"/>
      <c r="E152" s="195"/>
      <c r="F152" s="195"/>
      <c r="G152" s="195"/>
      <c r="H152" s="195"/>
      <c r="I152" s="195"/>
      <c r="J152" s="195"/>
      <c r="K152" s="195"/>
      <c r="L152" s="195"/>
      <c r="M152" s="195"/>
      <c r="N152" s="195"/>
      <c r="O152" s="195"/>
      <c r="P152" s="195"/>
      <c r="Q152" s="195"/>
      <c r="R152" s="195"/>
      <c r="S152" s="195"/>
      <c r="T152" s="359"/>
      <c r="U152" s="1831"/>
      <c r="V152" s="246"/>
      <c r="W152" s="328"/>
      <c r="X152" s="1454"/>
      <c r="Y152" s="390"/>
      <c r="Z152" s="390"/>
      <c r="AA152" s="390"/>
      <c r="AB152" s="390"/>
      <c r="AC152" s="391">
        <f>AVERAGE(AC147:AC151)</f>
        <v>0.25</v>
      </c>
      <c r="AD152" s="391">
        <v>0.25</v>
      </c>
      <c r="AE152" s="391">
        <f>AVERAGE(AE147:AE151)</f>
        <v>0.25</v>
      </c>
      <c r="AF152" s="390"/>
      <c r="AG152" s="390"/>
      <c r="AH152" s="247"/>
      <c r="AI152" s="251"/>
      <c r="AJ152" s="247"/>
      <c r="AK152" s="247"/>
      <c r="AL152" s="252">
        <f>AVERAGE(AL147:AL151)</f>
        <v>1</v>
      </c>
      <c r="AM152" s="296"/>
      <c r="AN152" s="252">
        <f>AVERAGE(AN147:AN151)</f>
        <v>0.35789473684210532</v>
      </c>
      <c r="AO152" s="390"/>
      <c r="AP152" s="239"/>
      <c r="AQ152" s="239"/>
      <c r="AR152" s="239"/>
      <c r="AS152" s="239"/>
      <c r="AT152" s="199"/>
      <c r="AU152" s="239"/>
      <c r="AV152" s="239"/>
      <c r="AW152" s="239"/>
      <c r="AX152" s="239"/>
      <c r="AY152" s="392">
        <f>AVERAGE(AY147:AY151)</f>
        <v>0.91999999999999993</v>
      </c>
      <c r="AZ152" s="239"/>
      <c r="BA152" s="393">
        <f>AVERAGE(BA147:BA151)</f>
        <v>0.51315789473684215</v>
      </c>
      <c r="BB152" s="393"/>
      <c r="BC152" s="393"/>
      <c r="BD152" s="393"/>
      <c r="BE152" s="393"/>
      <c r="BF152" s="393"/>
      <c r="BG152" s="393"/>
      <c r="BH152" s="393"/>
      <c r="BI152" s="393"/>
      <c r="BJ152" s="393"/>
      <c r="BK152" s="393"/>
      <c r="BL152" s="393">
        <f>AVERAGE(BL147:BL151)</f>
        <v>0.96842105263157896</v>
      </c>
      <c r="BM152" s="393"/>
      <c r="BN152" s="393">
        <f>AVERAGE(BN147:BN151)</f>
        <v>0.73178947368421055</v>
      </c>
      <c r="BO152" s="204"/>
      <c r="BP152" s="204"/>
      <c r="BQ152" s="204"/>
      <c r="BR152" s="204"/>
      <c r="BS152" s="204"/>
      <c r="BT152" s="204"/>
      <c r="BU152" s="204"/>
      <c r="BV152" s="204"/>
      <c r="BW152" s="204"/>
      <c r="BX152" s="204"/>
      <c r="BY152" s="204"/>
      <c r="BZ152" s="204"/>
      <c r="CA152" s="204"/>
      <c r="CB152" s="204"/>
      <c r="CC152" s="204"/>
      <c r="CD152" s="204"/>
      <c r="CE152" s="204"/>
      <c r="CF152" s="204"/>
      <c r="CG152" s="204"/>
      <c r="CH152" s="204"/>
      <c r="CI152" s="204"/>
      <c r="CJ152" s="204"/>
      <c r="CK152" s="204"/>
      <c r="CL152" s="204"/>
      <c r="CM152" s="204"/>
      <c r="CN152" s="204"/>
      <c r="CO152" s="204"/>
      <c r="CP152" s="204"/>
      <c r="CQ152" s="204"/>
      <c r="CR152" s="204"/>
      <c r="CS152" s="204"/>
      <c r="CT152" s="204"/>
      <c r="CU152" s="204"/>
      <c r="CV152" s="204"/>
      <c r="CW152" s="204"/>
      <c r="CX152" s="204"/>
      <c r="CY152" s="204"/>
    </row>
    <row r="153" spans="1:103" ht="52.5" customHeight="1" x14ac:dyDescent="0.2">
      <c r="A153" s="1820"/>
      <c r="B153" s="1823"/>
      <c r="C153" s="359"/>
      <c r="D153" s="359"/>
      <c r="E153" s="195"/>
      <c r="F153" s="195"/>
      <c r="G153" s="195"/>
      <c r="H153" s="195"/>
      <c r="I153" s="195"/>
      <c r="J153" s="195"/>
      <c r="K153" s="195"/>
      <c r="L153" s="195"/>
      <c r="M153" s="195"/>
      <c r="N153" s="195"/>
      <c r="O153" s="195"/>
      <c r="P153" s="195"/>
      <c r="Q153" s="195"/>
      <c r="R153" s="195"/>
      <c r="S153" s="195"/>
      <c r="T153" s="359"/>
      <c r="U153" s="1829" t="s">
        <v>980</v>
      </c>
      <c r="V153" s="194" t="s">
        <v>981</v>
      </c>
      <c r="W153" s="194" t="s">
        <v>982</v>
      </c>
      <c r="X153" s="1241" t="s">
        <v>983</v>
      </c>
      <c r="Y153" s="205">
        <f>40*4</f>
        <v>160</v>
      </c>
      <c r="Z153" s="205">
        <v>40</v>
      </c>
      <c r="AA153" s="205">
        <v>40</v>
      </c>
      <c r="AB153" s="199">
        <v>40</v>
      </c>
      <c r="AC153" s="365">
        <f>+Z153/Y153</f>
        <v>0.25</v>
      </c>
      <c r="AD153" s="365">
        <v>0.25</v>
      </c>
      <c r="AE153" s="365">
        <f>+AB153/Y153</f>
        <v>0.25</v>
      </c>
      <c r="AF153" s="205">
        <v>21</v>
      </c>
      <c r="AG153" s="205">
        <v>36</v>
      </c>
      <c r="AH153" s="199"/>
      <c r="AI153" s="196">
        <v>40</v>
      </c>
      <c r="AJ153" s="199"/>
      <c r="AK153" s="205">
        <f>+AI153</f>
        <v>40</v>
      </c>
      <c r="AL153" s="197">
        <f>+AK153/Z153</f>
        <v>1</v>
      </c>
      <c r="AM153" s="196">
        <f>+AK153</f>
        <v>40</v>
      </c>
      <c r="AN153" s="197">
        <f>+AM153/Y153</f>
        <v>0.25</v>
      </c>
      <c r="AO153" s="205">
        <v>40</v>
      </c>
      <c r="AP153" s="199">
        <v>10</v>
      </c>
      <c r="AQ153" s="199"/>
      <c r="AR153" s="199">
        <v>26</v>
      </c>
      <c r="AS153" s="199"/>
      <c r="AT153" s="199">
        <v>3</v>
      </c>
      <c r="AU153" s="199"/>
      <c r="AV153" s="199">
        <v>6</v>
      </c>
      <c r="AW153" s="199"/>
      <c r="AX153" s="199">
        <f>+AP153+AR153+AT153+AV153</f>
        <v>45</v>
      </c>
      <c r="AY153" s="197">
        <v>1</v>
      </c>
      <c r="AZ153" s="196">
        <f>+AX153+AM153</f>
        <v>85</v>
      </c>
      <c r="BA153" s="233">
        <v>0.51</v>
      </c>
      <c r="BB153" s="199">
        <v>40</v>
      </c>
      <c r="BC153" s="199">
        <v>10</v>
      </c>
      <c r="BD153" s="199"/>
      <c r="BE153" s="199">
        <v>10</v>
      </c>
      <c r="BF153" s="199"/>
      <c r="BG153" s="199">
        <v>10</v>
      </c>
      <c r="BH153" s="324" t="s">
        <v>2216</v>
      </c>
      <c r="BI153" s="199">
        <v>10</v>
      </c>
      <c r="BJ153" s="199"/>
      <c r="BK153" s="199">
        <f>BC153+BE153+BG153+BI153</f>
        <v>40</v>
      </c>
      <c r="BL153" s="58">
        <f>BK153/BB153</f>
        <v>1</v>
      </c>
      <c r="BM153" s="196">
        <f>BK153+AZ153</f>
        <v>125</v>
      </c>
      <c r="BN153" s="230">
        <f>BM153/Y153</f>
        <v>0.78125</v>
      </c>
      <c r="BO153" s="204"/>
      <c r="BP153" s="204"/>
      <c r="BQ153" s="204"/>
      <c r="BR153" s="204"/>
      <c r="BS153" s="204"/>
      <c r="BT153" s="204"/>
      <c r="BU153" s="204"/>
      <c r="BV153" s="204"/>
      <c r="BW153" s="204"/>
      <c r="BX153" s="204"/>
      <c r="BY153" s="204"/>
      <c r="BZ153" s="204"/>
      <c r="CA153" s="204"/>
      <c r="CB153" s="204"/>
      <c r="CC153" s="204"/>
      <c r="CD153" s="204"/>
      <c r="CE153" s="204"/>
      <c r="CF153" s="204"/>
      <c r="CG153" s="204"/>
      <c r="CH153" s="204"/>
      <c r="CI153" s="204"/>
      <c r="CJ153" s="204"/>
      <c r="CK153" s="204"/>
      <c r="CL153" s="204"/>
      <c r="CM153" s="204"/>
      <c r="CN153" s="204"/>
      <c r="CO153" s="204"/>
      <c r="CP153" s="204"/>
      <c r="CQ153" s="204"/>
      <c r="CR153" s="204"/>
      <c r="CS153" s="204"/>
      <c r="CT153" s="204"/>
      <c r="CU153" s="204"/>
      <c r="CV153" s="204"/>
      <c r="CW153" s="204"/>
      <c r="CX153" s="204"/>
      <c r="CY153" s="204"/>
    </row>
    <row r="154" spans="1:103" ht="54.75" customHeight="1" x14ac:dyDescent="0.2">
      <c r="A154" s="1820"/>
      <c r="B154" s="1823"/>
      <c r="C154" s="359"/>
      <c r="D154" s="359"/>
      <c r="E154" s="195"/>
      <c r="F154" s="195"/>
      <c r="G154" s="195"/>
      <c r="H154" s="195"/>
      <c r="I154" s="195"/>
      <c r="J154" s="195"/>
      <c r="K154" s="195"/>
      <c r="L154" s="195"/>
      <c r="M154" s="195"/>
      <c r="N154" s="195"/>
      <c r="O154" s="195"/>
      <c r="P154" s="195"/>
      <c r="Q154" s="195"/>
      <c r="R154" s="195"/>
      <c r="S154" s="195"/>
      <c r="T154" s="359"/>
      <c r="U154" s="1830"/>
      <c r="V154" s="194" t="s">
        <v>984</v>
      </c>
      <c r="W154" s="194" t="s">
        <v>985</v>
      </c>
      <c r="X154" s="1241" t="s">
        <v>986</v>
      </c>
      <c r="Y154" s="205">
        <v>120</v>
      </c>
      <c r="Z154" s="205">
        <v>25</v>
      </c>
      <c r="AA154" s="205">
        <v>30</v>
      </c>
      <c r="AB154" s="199">
        <v>30</v>
      </c>
      <c r="AC154" s="365">
        <f>+Z154/Y154</f>
        <v>0.20833333333333334</v>
      </c>
      <c r="AD154" s="365">
        <f>+AA154/Y154</f>
        <v>0.25</v>
      </c>
      <c r="AE154" s="365">
        <f>+AB154/Y154</f>
        <v>0.25</v>
      </c>
      <c r="AF154" s="205">
        <v>37</v>
      </c>
      <c r="AG154" s="205">
        <v>37</v>
      </c>
      <c r="AH154" s="199"/>
      <c r="AI154" s="196">
        <v>40</v>
      </c>
      <c r="AJ154" s="199"/>
      <c r="AK154" s="205">
        <f>+AI154</f>
        <v>40</v>
      </c>
      <c r="AL154" s="197">
        <v>1</v>
      </c>
      <c r="AM154" s="196">
        <f>+AK154</f>
        <v>40</v>
      </c>
      <c r="AN154" s="197">
        <f>+AM154/Y154</f>
        <v>0.33333333333333331</v>
      </c>
      <c r="AO154" s="205">
        <v>30</v>
      </c>
      <c r="AP154" s="199">
        <v>0</v>
      </c>
      <c r="AQ154" s="199"/>
      <c r="AR154" s="199">
        <v>59</v>
      </c>
      <c r="AS154" s="199"/>
      <c r="AT154" s="199">
        <v>10</v>
      </c>
      <c r="AU154" s="199"/>
      <c r="AV154" s="199">
        <v>25</v>
      </c>
      <c r="AW154" s="199"/>
      <c r="AX154" s="199">
        <f>+AP154+AR154+AT154</f>
        <v>69</v>
      </c>
      <c r="AY154" s="197">
        <v>1</v>
      </c>
      <c r="AZ154" s="196">
        <f>+AX154+AM154+AV154</f>
        <v>134</v>
      </c>
      <c r="BA154" s="233">
        <v>1</v>
      </c>
      <c r="BB154" s="199">
        <v>30</v>
      </c>
      <c r="BC154" s="199">
        <v>6</v>
      </c>
      <c r="BD154" s="199"/>
      <c r="BE154" s="199">
        <v>8</v>
      </c>
      <c r="BF154" s="199"/>
      <c r="BG154" s="199">
        <v>8</v>
      </c>
      <c r="BH154" s="324" t="s">
        <v>2216</v>
      </c>
      <c r="BI154" s="199">
        <v>8</v>
      </c>
      <c r="BJ154" s="199"/>
      <c r="BK154" s="199">
        <f>BC154+BE154+BG154+BI154</f>
        <v>30</v>
      </c>
      <c r="BL154" s="58">
        <f>BK154/BB154</f>
        <v>1</v>
      </c>
      <c r="BM154" s="196">
        <f>BK154+AZ154</f>
        <v>164</v>
      </c>
      <c r="BN154" s="197">
        <v>1</v>
      </c>
      <c r="BO154" s="204"/>
      <c r="BP154" s="204"/>
      <c r="BQ154" s="204"/>
      <c r="BR154" s="204"/>
      <c r="BS154" s="204"/>
      <c r="BT154" s="204"/>
      <c r="BU154" s="204"/>
      <c r="BV154" s="204"/>
      <c r="BW154" s="204"/>
      <c r="BX154" s="204"/>
      <c r="BY154" s="204"/>
      <c r="BZ154" s="204"/>
      <c r="CA154" s="204"/>
      <c r="CB154" s="204"/>
      <c r="CC154" s="204"/>
      <c r="CD154" s="204"/>
      <c r="CE154" s="204"/>
      <c r="CF154" s="204"/>
      <c r="CG154" s="204"/>
      <c r="CH154" s="204"/>
      <c r="CI154" s="204"/>
      <c r="CJ154" s="204"/>
      <c r="CK154" s="204"/>
      <c r="CL154" s="204"/>
      <c r="CM154" s="204"/>
      <c r="CN154" s="204"/>
      <c r="CO154" s="204"/>
      <c r="CP154" s="204"/>
      <c r="CQ154" s="204"/>
      <c r="CR154" s="204"/>
      <c r="CS154" s="204"/>
      <c r="CT154" s="204"/>
      <c r="CU154" s="204"/>
      <c r="CV154" s="204"/>
      <c r="CW154" s="204"/>
      <c r="CX154" s="204"/>
      <c r="CY154" s="204"/>
    </row>
    <row r="155" spans="1:103" ht="53.25" customHeight="1" x14ac:dyDescent="0.2">
      <c r="A155" s="1820"/>
      <c r="B155" s="1823"/>
      <c r="C155" s="359"/>
      <c r="D155" s="359"/>
      <c r="E155" s="195"/>
      <c r="F155" s="195"/>
      <c r="G155" s="195"/>
      <c r="H155" s="195"/>
      <c r="I155" s="195"/>
      <c r="J155" s="195"/>
      <c r="K155" s="195"/>
      <c r="L155" s="195"/>
      <c r="M155" s="195"/>
      <c r="N155" s="195"/>
      <c r="O155" s="195"/>
      <c r="P155" s="195"/>
      <c r="Q155" s="195"/>
      <c r="R155" s="195"/>
      <c r="S155" s="195"/>
      <c r="T155" s="359"/>
      <c r="U155" s="1830"/>
      <c r="V155" s="194" t="s">
        <v>987</v>
      </c>
      <c r="W155" s="194">
        <v>0</v>
      </c>
      <c r="X155" s="1241" t="s">
        <v>988</v>
      </c>
      <c r="Y155" s="205">
        <v>105</v>
      </c>
      <c r="Z155" s="205">
        <v>5</v>
      </c>
      <c r="AA155" s="205">
        <v>30</v>
      </c>
      <c r="AB155" s="199">
        <v>30</v>
      </c>
      <c r="AC155" s="365">
        <f>+Z155/Y155</f>
        <v>4.7619047619047616E-2</v>
      </c>
      <c r="AD155" s="365">
        <f>+AA155/Y155</f>
        <v>0.2857142857142857</v>
      </c>
      <c r="AE155" s="365">
        <f>+AB155/Y155</f>
        <v>0.2857142857142857</v>
      </c>
      <c r="AF155" s="205">
        <v>0</v>
      </c>
      <c r="AG155" s="205">
        <v>2</v>
      </c>
      <c r="AH155" s="199"/>
      <c r="AI155" s="196">
        <v>78</v>
      </c>
      <c r="AJ155" s="199"/>
      <c r="AK155" s="205">
        <f>+AI155</f>
        <v>78</v>
      </c>
      <c r="AL155" s="197">
        <f>+AK155/Z155</f>
        <v>15.6</v>
      </c>
      <c r="AM155" s="196">
        <f>+AK155</f>
        <v>78</v>
      </c>
      <c r="AN155" s="197">
        <f>+AM155/Y155</f>
        <v>0.74285714285714288</v>
      </c>
      <c r="AO155" s="205">
        <v>30</v>
      </c>
      <c r="AP155" s="199">
        <v>19</v>
      </c>
      <c r="AQ155" s="199"/>
      <c r="AR155" s="199">
        <v>2</v>
      </c>
      <c r="AS155" s="199"/>
      <c r="AT155" s="199">
        <v>10</v>
      </c>
      <c r="AU155" s="199"/>
      <c r="AV155" s="199">
        <v>6</v>
      </c>
      <c r="AW155" s="199"/>
      <c r="AX155" s="199">
        <f>+AP155+AR155+AT155</f>
        <v>31</v>
      </c>
      <c r="AY155" s="197">
        <v>1</v>
      </c>
      <c r="AZ155" s="196">
        <f>+AX155+AM155</f>
        <v>109</v>
      </c>
      <c r="BA155" s="233">
        <v>1</v>
      </c>
      <c r="BB155" s="199">
        <v>30</v>
      </c>
      <c r="BC155" s="199">
        <v>0</v>
      </c>
      <c r="BD155" s="199"/>
      <c r="BE155" s="199">
        <v>0</v>
      </c>
      <c r="BF155" s="199"/>
      <c r="BG155" s="199">
        <v>0</v>
      </c>
      <c r="BH155" s="199" t="s">
        <v>2200</v>
      </c>
      <c r="BI155" s="199">
        <v>0</v>
      </c>
      <c r="BJ155" s="199"/>
      <c r="BK155" s="199">
        <v>0</v>
      </c>
      <c r="BL155" s="197">
        <v>0</v>
      </c>
      <c r="BM155" s="196">
        <f>AZ155</f>
        <v>109</v>
      </c>
      <c r="BN155" s="197">
        <v>1</v>
      </c>
      <c r="BO155" s="204"/>
      <c r="BP155" s="204"/>
      <c r="BQ155" s="204"/>
      <c r="BR155" s="204"/>
      <c r="BS155" s="204"/>
      <c r="BT155" s="204"/>
      <c r="BU155" s="204"/>
      <c r="BV155" s="204"/>
      <c r="BW155" s="204"/>
      <c r="BX155" s="204"/>
      <c r="BY155" s="204"/>
      <c r="BZ155" s="204"/>
      <c r="CA155" s="204"/>
      <c r="CB155" s="204"/>
      <c r="CC155" s="204"/>
      <c r="CD155" s="204"/>
      <c r="CE155" s="204"/>
      <c r="CF155" s="204"/>
      <c r="CG155" s="204"/>
      <c r="CH155" s="204"/>
      <c r="CI155" s="204"/>
      <c r="CJ155" s="204"/>
      <c r="CK155" s="204"/>
      <c r="CL155" s="204"/>
      <c r="CM155" s="204"/>
      <c r="CN155" s="204"/>
      <c r="CO155" s="204"/>
      <c r="CP155" s="204"/>
      <c r="CQ155" s="204"/>
      <c r="CR155" s="204"/>
      <c r="CS155" s="204"/>
      <c r="CT155" s="204"/>
      <c r="CU155" s="204"/>
      <c r="CV155" s="204"/>
      <c r="CW155" s="204"/>
      <c r="CX155" s="204"/>
      <c r="CY155" s="204"/>
    </row>
    <row r="156" spans="1:103" ht="51" customHeight="1" x14ac:dyDescent="0.2">
      <c r="A156" s="1820"/>
      <c r="B156" s="1823"/>
      <c r="C156" s="359"/>
      <c r="D156" s="359"/>
      <c r="E156" s="195"/>
      <c r="F156" s="195"/>
      <c r="G156" s="195"/>
      <c r="H156" s="195"/>
      <c r="I156" s="195"/>
      <c r="J156" s="195"/>
      <c r="K156" s="195"/>
      <c r="L156" s="195"/>
      <c r="M156" s="195"/>
      <c r="N156" s="195"/>
      <c r="O156" s="195"/>
      <c r="P156" s="195"/>
      <c r="Q156" s="195"/>
      <c r="R156" s="195"/>
      <c r="S156" s="195"/>
      <c r="T156" s="359"/>
      <c r="U156" s="1830"/>
      <c r="V156" s="194" t="s">
        <v>989</v>
      </c>
      <c r="W156" s="194" t="s">
        <v>990</v>
      </c>
      <c r="X156" s="1241" t="s">
        <v>991</v>
      </c>
      <c r="Y156" s="220">
        <v>5.4</v>
      </c>
      <c r="Z156" s="274">
        <v>5.4</v>
      </c>
      <c r="AA156" s="274">
        <v>5.4</v>
      </c>
      <c r="AB156" s="199">
        <v>8.4</v>
      </c>
      <c r="AC156" s="365">
        <v>0.12</v>
      </c>
      <c r="AD156" s="365">
        <v>0.25</v>
      </c>
      <c r="AE156" s="365">
        <v>0.25</v>
      </c>
      <c r="AF156" s="274">
        <v>5.4</v>
      </c>
      <c r="AG156" s="274">
        <v>5.4</v>
      </c>
      <c r="AH156" s="394"/>
      <c r="AI156" s="352">
        <v>5.4</v>
      </c>
      <c r="AJ156" s="394"/>
      <c r="AK156" s="205">
        <f>+AI156</f>
        <v>5.4</v>
      </c>
      <c r="AL156" s="365">
        <v>1</v>
      </c>
      <c r="AM156" s="205">
        <f>+AK156</f>
        <v>5.4</v>
      </c>
      <c r="AN156" s="197">
        <v>0.25</v>
      </c>
      <c r="AO156" s="274">
        <v>5.4</v>
      </c>
      <c r="AP156" s="199">
        <v>0</v>
      </c>
      <c r="AQ156" s="199"/>
      <c r="AR156" s="199"/>
      <c r="AS156" s="199"/>
      <c r="AT156" s="199"/>
      <c r="AU156" s="199"/>
      <c r="AV156" s="199"/>
      <c r="AW156" s="199"/>
      <c r="AX156" s="199">
        <v>0</v>
      </c>
      <c r="AY156" s="197">
        <v>1</v>
      </c>
      <c r="AZ156" s="199">
        <f>+AP156</f>
        <v>0</v>
      </c>
      <c r="BA156" s="233">
        <v>0.51</v>
      </c>
      <c r="BB156" s="199">
        <v>8.4</v>
      </c>
      <c r="BC156" s="199">
        <v>5.4</v>
      </c>
      <c r="BD156" s="199"/>
      <c r="BE156" s="199">
        <v>2.5999999999999999E-2</v>
      </c>
      <c r="BF156" s="199"/>
      <c r="BG156" s="199">
        <v>2.5999999999999999E-2</v>
      </c>
      <c r="BH156" s="324" t="s">
        <v>2218</v>
      </c>
      <c r="BI156" s="199">
        <v>0.26</v>
      </c>
      <c r="BJ156" s="199"/>
      <c r="BK156" s="199">
        <f>+BE156</f>
        <v>2.5999999999999999E-2</v>
      </c>
      <c r="BL156" s="197">
        <v>1</v>
      </c>
      <c r="BM156" s="199">
        <f>BK156</f>
        <v>2.5999999999999999E-2</v>
      </c>
      <c r="BN156" s="58">
        <v>0.75</v>
      </c>
      <c r="BO156" s="204"/>
      <c r="BP156" s="204"/>
      <c r="BQ156" s="204"/>
      <c r="BR156" s="204"/>
      <c r="BS156" s="204"/>
      <c r="BT156" s="204"/>
      <c r="BU156" s="204"/>
      <c r="BV156" s="204"/>
      <c r="BW156" s="204"/>
      <c r="BX156" s="204"/>
      <c r="BY156" s="204"/>
      <c r="BZ156" s="204"/>
      <c r="CA156" s="204"/>
      <c r="CB156" s="204"/>
      <c r="CC156" s="204"/>
      <c r="CD156" s="204"/>
      <c r="CE156" s="204"/>
      <c r="CF156" s="204"/>
      <c r="CG156" s="204"/>
      <c r="CH156" s="204"/>
      <c r="CI156" s="204"/>
      <c r="CJ156" s="204"/>
      <c r="CK156" s="204"/>
      <c r="CL156" s="204"/>
      <c r="CM156" s="204"/>
      <c r="CN156" s="204"/>
      <c r="CO156" s="204"/>
      <c r="CP156" s="204"/>
      <c r="CQ156" s="204"/>
      <c r="CR156" s="204"/>
      <c r="CS156" s="204"/>
      <c r="CT156" s="204"/>
      <c r="CU156" s="204"/>
      <c r="CV156" s="204"/>
      <c r="CW156" s="204"/>
      <c r="CX156" s="204"/>
      <c r="CY156" s="204"/>
    </row>
    <row r="157" spans="1:103" ht="45" customHeight="1" x14ac:dyDescent="0.2">
      <c r="A157" s="1820"/>
      <c r="B157" s="1823"/>
      <c r="C157" s="359"/>
      <c r="D157" s="359"/>
      <c r="E157" s="195"/>
      <c r="F157" s="195"/>
      <c r="G157" s="195"/>
      <c r="H157" s="195"/>
      <c r="I157" s="195"/>
      <c r="J157" s="195"/>
      <c r="K157" s="195"/>
      <c r="L157" s="195"/>
      <c r="M157" s="195"/>
      <c r="N157" s="195"/>
      <c r="O157" s="195"/>
      <c r="P157" s="195"/>
      <c r="Q157" s="195"/>
      <c r="R157" s="195"/>
      <c r="S157" s="195"/>
      <c r="T157" s="359"/>
      <c r="U157" s="1830"/>
      <c r="V157" s="194" t="s">
        <v>992</v>
      </c>
      <c r="W157" s="194" t="s">
        <v>993</v>
      </c>
      <c r="X157" s="1462" t="s">
        <v>994</v>
      </c>
      <c r="Y157" s="395">
        <v>9000</v>
      </c>
      <c r="Z157" s="216">
        <v>2600</v>
      </c>
      <c r="AA157" s="216">
        <v>3000</v>
      </c>
      <c r="AB157" s="199">
        <v>3000</v>
      </c>
      <c r="AC157" s="217">
        <f>+Z157/Y157</f>
        <v>0.28888888888888886</v>
      </c>
      <c r="AD157" s="217">
        <v>0.25</v>
      </c>
      <c r="AE157" s="365">
        <f>+AB157/Y157</f>
        <v>0.33333333333333331</v>
      </c>
      <c r="AF157" s="216">
        <v>371</v>
      </c>
      <c r="AG157" s="216">
        <v>940</v>
      </c>
      <c r="AH157" s="199"/>
      <c r="AI157" s="196">
        <v>1236</v>
      </c>
      <c r="AJ157" s="199"/>
      <c r="AK157" s="205">
        <f>+AI157</f>
        <v>1236</v>
      </c>
      <c r="AL157" s="230">
        <f>+AK157/Z157</f>
        <v>0.47538461538461541</v>
      </c>
      <c r="AM157" s="196">
        <f>+AK157</f>
        <v>1236</v>
      </c>
      <c r="AN157" s="230">
        <f>+AM157/Y157</f>
        <v>0.13733333333333334</v>
      </c>
      <c r="AO157" s="216">
        <v>3000</v>
      </c>
      <c r="AP157" s="199">
        <v>528</v>
      </c>
      <c r="AQ157" s="199"/>
      <c r="AR157" s="199">
        <v>340</v>
      </c>
      <c r="AS157" s="199"/>
      <c r="AT157" s="199">
        <v>485</v>
      </c>
      <c r="AU157" s="199"/>
      <c r="AV157" s="199">
        <v>1647</v>
      </c>
      <c r="AW157" s="199"/>
      <c r="AX157" s="199">
        <f>+AP157+AR157+AT157+AV157</f>
        <v>3000</v>
      </c>
      <c r="AY157" s="197">
        <f>+AX157/AA157</f>
        <v>1</v>
      </c>
      <c r="AZ157" s="196">
        <f>+AX157+AM157</f>
        <v>4236</v>
      </c>
      <c r="BA157" s="233">
        <f>+AZ157/Y157</f>
        <v>0.47066666666666668</v>
      </c>
      <c r="BB157" s="199">
        <v>3000</v>
      </c>
      <c r="BC157" s="1445">
        <v>625</v>
      </c>
      <c r="BD157" s="1445"/>
      <c r="BE157" s="1445">
        <v>683</v>
      </c>
      <c r="BF157" s="1445"/>
      <c r="BG157" s="1445">
        <v>990</v>
      </c>
      <c r="BH157" s="1446" t="s">
        <v>2244</v>
      </c>
      <c r="BI157" s="199">
        <v>702</v>
      </c>
      <c r="BJ157" s="199"/>
      <c r="BK157" s="199">
        <f>+BE157+BC157+BG157+BI157</f>
        <v>3000</v>
      </c>
      <c r="BL157" s="197">
        <f>+BK157/BB157</f>
        <v>1</v>
      </c>
      <c r="BM157" s="196">
        <f>AZ157+BK157</f>
        <v>7236</v>
      </c>
      <c r="BN157" s="58">
        <f>BM157/Y157</f>
        <v>0.80400000000000005</v>
      </c>
      <c r="BO157" s="204"/>
      <c r="BP157" s="204"/>
      <c r="BQ157" s="204"/>
      <c r="BR157" s="204"/>
      <c r="BS157" s="204"/>
      <c r="BT157" s="204"/>
      <c r="BU157" s="204"/>
      <c r="BV157" s="204"/>
      <c r="BW157" s="204"/>
      <c r="BX157" s="204"/>
      <c r="BY157" s="204"/>
      <c r="BZ157" s="204"/>
      <c r="CA157" s="204"/>
      <c r="CB157" s="204"/>
      <c r="CC157" s="204"/>
      <c r="CD157" s="204"/>
      <c r="CE157" s="204"/>
      <c r="CF157" s="204"/>
      <c r="CG157" s="204"/>
      <c r="CH157" s="204"/>
      <c r="CI157" s="204"/>
      <c r="CJ157" s="204"/>
      <c r="CK157" s="204"/>
      <c r="CL157" s="204"/>
      <c r="CM157" s="204"/>
      <c r="CN157" s="204"/>
      <c r="CO157" s="204"/>
      <c r="CP157" s="204"/>
      <c r="CQ157" s="204"/>
      <c r="CR157" s="204"/>
      <c r="CS157" s="204"/>
      <c r="CT157" s="204"/>
      <c r="CU157" s="204"/>
      <c r="CV157" s="204"/>
      <c r="CW157" s="204"/>
      <c r="CX157" s="204"/>
      <c r="CY157" s="204"/>
    </row>
    <row r="158" spans="1:103" ht="15.75" customHeight="1" x14ac:dyDescent="0.2">
      <c r="A158" s="1820"/>
      <c r="B158" s="1823"/>
      <c r="C158" s="359"/>
      <c r="D158" s="359"/>
      <c r="E158" s="195"/>
      <c r="F158" s="195"/>
      <c r="G158" s="195"/>
      <c r="H158" s="195"/>
      <c r="I158" s="195"/>
      <c r="J158" s="195"/>
      <c r="K158" s="195"/>
      <c r="L158" s="195"/>
      <c r="M158" s="195"/>
      <c r="N158" s="195"/>
      <c r="O158" s="195"/>
      <c r="P158" s="195"/>
      <c r="Q158" s="195"/>
      <c r="R158" s="195"/>
      <c r="S158" s="195"/>
      <c r="T158" s="359"/>
      <c r="U158" s="1831"/>
      <c r="V158" s="246"/>
      <c r="W158" s="246"/>
      <c r="X158" s="1463"/>
      <c r="Y158" s="396"/>
      <c r="Z158" s="247"/>
      <c r="AA158" s="247"/>
      <c r="AB158" s="247"/>
      <c r="AC158" s="252">
        <f>AVERAGE(AC153:AC157)</f>
        <v>0.18296825396825395</v>
      </c>
      <c r="AD158" s="252">
        <f>AVERAGE(AD153:AD157)</f>
        <v>0.25714285714285712</v>
      </c>
      <c r="AE158" s="252">
        <f>AVERAGE(AE153:AE157)</f>
        <v>0.27380952380952378</v>
      </c>
      <c r="AF158" s="247"/>
      <c r="AG158" s="247"/>
      <c r="AH158" s="247"/>
      <c r="AI158" s="251"/>
      <c r="AJ158" s="247"/>
      <c r="AK158" s="247"/>
      <c r="AL158" s="252">
        <f>AVERAGE(AL147:AL157)</f>
        <v>2.2795804195804199</v>
      </c>
      <c r="AM158" s="252"/>
      <c r="AN158" s="252">
        <f>AVERAGE(AN147:AN157)</f>
        <v>0.35099020277967652</v>
      </c>
      <c r="AO158" s="247"/>
      <c r="AP158" s="247"/>
      <c r="AQ158" s="247"/>
      <c r="AR158" s="247"/>
      <c r="AS158" s="247"/>
      <c r="AT158" s="247"/>
      <c r="AU158" s="247"/>
      <c r="AV158" s="247"/>
      <c r="AW158" s="247"/>
      <c r="AX158" s="247"/>
      <c r="AY158" s="252">
        <f>AVERAGE(AY153:AY157)</f>
        <v>1</v>
      </c>
      <c r="AZ158" s="252"/>
      <c r="BA158" s="397">
        <f>AVERAGE(BA153:BA157)</f>
        <v>0.69813333333333327</v>
      </c>
      <c r="BB158" s="290"/>
      <c r="BC158" s="290"/>
      <c r="BD158" s="290"/>
      <c r="BE158" s="290"/>
      <c r="BF158" s="290"/>
      <c r="BG158" s="290"/>
      <c r="BH158" s="290"/>
      <c r="BI158" s="290"/>
      <c r="BJ158" s="290"/>
      <c r="BK158" s="290"/>
      <c r="BL158" s="1238">
        <f>AVERAGE(BL153:BL157)</f>
        <v>0.8</v>
      </c>
      <c r="BM158" s="213"/>
      <c r="BN158" s="214">
        <f>AVERAGE(BN153:BN157)</f>
        <v>0.8670500000000001</v>
      </c>
      <c r="BO158" s="291"/>
      <c r="BP158" s="291"/>
      <c r="BQ158" s="291"/>
      <c r="BR158" s="291"/>
      <c r="BS158" s="291"/>
      <c r="BT158" s="291"/>
      <c r="BU158" s="291"/>
      <c r="BV158" s="291"/>
      <c r="BW158" s="291"/>
      <c r="BX158" s="291"/>
      <c r="BY158" s="291"/>
      <c r="BZ158" s="291"/>
      <c r="CA158" s="291"/>
      <c r="CB158" s="291"/>
      <c r="CC158" s="291"/>
      <c r="CD158" s="291"/>
      <c r="CE158" s="291"/>
      <c r="CF158" s="291"/>
      <c r="CG158" s="291"/>
      <c r="CH158" s="291"/>
      <c r="CI158" s="291"/>
      <c r="CJ158" s="291"/>
      <c r="CK158" s="291"/>
      <c r="CL158" s="291"/>
      <c r="CM158" s="291"/>
      <c r="CN158" s="291"/>
      <c r="CO158" s="291"/>
      <c r="CP158" s="291"/>
      <c r="CQ158" s="291"/>
      <c r="CR158" s="291"/>
      <c r="CS158" s="291"/>
      <c r="CT158" s="291"/>
      <c r="CU158" s="291"/>
      <c r="CV158" s="291"/>
      <c r="CW158" s="291"/>
      <c r="CX158" s="291"/>
      <c r="CY158" s="291"/>
    </row>
    <row r="159" spans="1:103" ht="61.5" customHeight="1" x14ac:dyDescent="0.2">
      <c r="A159" s="1820"/>
      <c r="B159" s="1823"/>
      <c r="C159" s="359"/>
      <c r="D159" s="359"/>
      <c r="E159" s="195"/>
      <c r="F159" s="195"/>
      <c r="G159" s="195"/>
      <c r="H159" s="195"/>
      <c r="I159" s="195"/>
      <c r="J159" s="195"/>
      <c r="K159" s="195"/>
      <c r="L159" s="195"/>
      <c r="M159" s="195"/>
      <c r="N159" s="195"/>
      <c r="O159" s="195"/>
      <c r="P159" s="195"/>
      <c r="Q159" s="195"/>
      <c r="R159" s="195"/>
      <c r="S159" s="195"/>
      <c r="T159" s="359"/>
      <c r="U159" s="1829" t="s">
        <v>995</v>
      </c>
      <c r="V159" s="194" t="s">
        <v>996</v>
      </c>
      <c r="W159" s="194" t="s">
        <v>997</v>
      </c>
      <c r="X159" s="1241" t="s">
        <v>998</v>
      </c>
      <c r="Y159" s="220">
        <v>80</v>
      </c>
      <c r="Z159" s="274">
        <v>20</v>
      </c>
      <c r="AA159" s="274">
        <v>20</v>
      </c>
      <c r="AB159" s="199">
        <v>20</v>
      </c>
      <c r="AC159" s="365">
        <f>+Z159/Y159</f>
        <v>0.25</v>
      </c>
      <c r="AD159" s="365">
        <v>0.25</v>
      </c>
      <c r="AE159" s="365">
        <f>+AB159/Y159</f>
        <v>0.25</v>
      </c>
      <c r="AF159" s="274">
        <v>0</v>
      </c>
      <c r="AG159" s="274">
        <v>10</v>
      </c>
      <c r="AH159" s="199"/>
      <c r="AI159" s="196">
        <v>18</v>
      </c>
      <c r="AJ159" s="199"/>
      <c r="AK159" s="205">
        <f>+AI159</f>
        <v>18</v>
      </c>
      <c r="AL159" s="197">
        <f>+AK159/AG159/Z159</f>
        <v>0.09</v>
      </c>
      <c r="AM159" s="196">
        <f>+AK159</f>
        <v>18</v>
      </c>
      <c r="AN159" s="197">
        <f>+AM159/Y159</f>
        <v>0.22500000000000001</v>
      </c>
      <c r="AO159" s="274">
        <v>20</v>
      </c>
      <c r="AP159" s="199">
        <v>0</v>
      </c>
      <c r="AQ159" s="199"/>
      <c r="AR159" s="199">
        <v>5</v>
      </c>
      <c r="AS159" s="199"/>
      <c r="AT159" s="199">
        <v>9</v>
      </c>
      <c r="AU159" s="199"/>
      <c r="AV159" s="199">
        <v>5</v>
      </c>
      <c r="AW159" s="199"/>
      <c r="AX159" s="199">
        <f>+AP159+AR159+AT159+AV159</f>
        <v>19</v>
      </c>
      <c r="AY159" s="197">
        <v>1</v>
      </c>
      <c r="AZ159" s="196">
        <f>+AX159+AM159</f>
        <v>37</v>
      </c>
      <c r="BA159" s="233">
        <f>+AZ159/Y159</f>
        <v>0.46250000000000002</v>
      </c>
      <c r="BB159" s="199">
        <v>20</v>
      </c>
      <c r="BC159" s="199">
        <v>3</v>
      </c>
      <c r="BD159" s="199"/>
      <c r="BE159" s="199">
        <v>6</v>
      </c>
      <c r="BF159" s="199"/>
      <c r="BG159" s="199">
        <v>0</v>
      </c>
      <c r="BH159" s="199"/>
      <c r="BI159" s="199">
        <v>7</v>
      </c>
      <c r="BJ159" s="199"/>
      <c r="BK159" s="199">
        <f>+BE159+BC159+BI159</f>
        <v>16</v>
      </c>
      <c r="BL159" s="58">
        <f>+BK159/BB159</f>
        <v>0.8</v>
      </c>
      <c r="BM159" s="196">
        <f>+BK159+AZ159</f>
        <v>53</v>
      </c>
      <c r="BN159" s="58">
        <f>BM159/Y159</f>
        <v>0.66249999999999998</v>
      </c>
      <c r="BO159" s="204"/>
      <c r="BP159" s="204"/>
      <c r="BQ159" s="204"/>
      <c r="BR159" s="204"/>
      <c r="BS159" s="204"/>
      <c r="BT159" s="204"/>
      <c r="BU159" s="204"/>
      <c r="BV159" s="204"/>
      <c r="BW159" s="204"/>
      <c r="BX159" s="204"/>
      <c r="BY159" s="204"/>
      <c r="BZ159" s="204"/>
      <c r="CA159" s="204"/>
      <c r="CB159" s="204"/>
      <c r="CC159" s="204"/>
      <c r="CD159" s="204"/>
      <c r="CE159" s="204"/>
      <c r="CF159" s="204"/>
      <c r="CG159" s="204"/>
      <c r="CH159" s="204"/>
      <c r="CI159" s="204"/>
      <c r="CJ159" s="204"/>
      <c r="CK159" s="204"/>
      <c r="CL159" s="204"/>
      <c r="CM159" s="204"/>
      <c r="CN159" s="204"/>
      <c r="CO159" s="204"/>
      <c r="CP159" s="204"/>
      <c r="CQ159" s="204"/>
      <c r="CR159" s="204"/>
      <c r="CS159" s="204"/>
      <c r="CT159" s="204"/>
      <c r="CU159" s="204"/>
      <c r="CV159" s="204"/>
      <c r="CW159" s="204"/>
      <c r="CX159" s="204"/>
      <c r="CY159" s="204"/>
    </row>
    <row r="160" spans="1:103" ht="44.25" customHeight="1" x14ac:dyDescent="0.2">
      <c r="A160" s="1820"/>
      <c r="B160" s="1823"/>
      <c r="C160" s="359"/>
      <c r="D160" s="359"/>
      <c r="E160" s="195"/>
      <c r="F160" s="195"/>
      <c r="G160" s="195"/>
      <c r="H160" s="195"/>
      <c r="I160" s="195"/>
      <c r="J160" s="195"/>
      <c r="K160" s="195"/>
      <c r="L160" s="195"/>
      <c r="M160" s="195"/>
      <c r="N160" s="195"/>
      <c r="O160" s="195"/>
      <c r="P160" s="195"/>
      <c r="Q160" s="195"/>
      <c r="R160" s="195"/>
      <c r="S160" s="195"/>
      <c r="T160" s="359"/>
      <c r="U160" s="1830"/>
      <c r="V160" s="194" t="s">
        <v>999</v>
      </c>
      <c r="W160" s="292" t="s">
        <v>1000</v>
      </c>
      <c r="X160" s="1241" t="s">
        <v>1001</v>
      </c>
      <c r="Y160" s="216" t="s">
        <v>1002</v>
      </c>
      <c r="Z160" s="216" t="s">
        <v>1003</v>
      </c>
      <c r="AA160" s="216" t="s">
        <v>1004</v>
      </c>
      <c r="AB160" s="199" t="s">
        <v>1005</v>
      </c>
      <c r="AC160" s="365">
        <v>0.25</v>
      </c>
      <c r="AD160" s="356">
        <v>0.25</v>
      </c>
      <c r="AE160" s="365">
        <v>0.25</v>
      </c>
      <c r="AF160" s="347">
        <v>0</v>
      </c>
      <c r="AG160" s="398">
        <v>1.29</v>
      </c>
      <c r="AH160" s="199"/>
      <c r="AI160" s="196">
        <v>1.3</v>
      </c>
      <c r="AJ160" s="199"/>
      <c r="AK160" s="205">
        <f>+AI160</f>
        <v>1.3</v>
      </c>
      <c r="AL160" s="197">
        <v>1</v>
      </c>
      <c r="AM160" s="352">
        <f>+AK160</f>
        <v>1.3</v>
      </c>
      <c r="AN160" s="197">
        <v>0</v>
      </c>
      <c r="AO160" s="216" t="s">
        <v>1004</v>
      </c>
      <c r="AP160" s="199"/>
      <c r="AQ160" s="199"/>
      <c r="AR160" s="199"/>
      <c r="AS160" s="199"/>
      <c r="AT160" s="199"/>
      <c r="AU160" s="199"/>
      <c r="AV160" s="199"/>
      <c r="AW160" s="199"/>
      <c r="AX160" s="199"/>
      <c r="AY160" s="197">
        <v>0</v>
      </c>
      <c r="AZ160" s="199" t="s">
        <v>1005</v>
      </c>
      <c r="BA160" s="399">
        <v>0.74</v>
      </c>
      <c r="BB160" s="199" t="s">
        <v>1005</v>
      </c>
      <c r="BC160" s="199" t="s">
        <v>1005</v>
      </c>
      <c r="BD160" s="199"/>
      <c r="BE160" s="199" t="s">
        <v>1005</v>
      </c>
      <c r="BF160" s="199"/>
      <c r="BG160" s="199"/>
      <c r="BH160" s="199"/>
      <c r="BI160" s="199" t="s">
        <v>1002</v>
      </c>
      <c r="BJ160" s="199"/>
      <c r="BK160" s="199" t="str">
        <f>BC160</f>
        <v>0,87x1000</v>
      </c>
      <c r="BL160" s="197">
        <v>1</v>
      </c>
      <c r="BM160" s="199" t="str">
        <f>BK160</f>
        <v>0,87x1000</v>
      </c>
      <c r="BN160" s="58">
        <v>0.75</v>
      </c>
      <c r="BO160" s="204"/>
      <c r="BP160" s="204"/>
      <c r="BQ160" s="204"/>
      <c r="BR160" s="204"/>
      <c r="BS160" s="204"/>
      <c r="BT160" s="204"/>
      <c r="BU160" s="204"/>
      <c r="BV160" s="204"/>
      <c r="BW160" s="204"/>
      <c r="BX160" s="204"/>
      <c r="BY160" s="204"/>
      <c r="BZ160" s="204"/>
      <c r="CA160" s="204"/>
      <c r="CB160" s="204"/>
      <c r="CC160" s="204"/>
      <c r="CD160" s="204"/>
      <c r="CE160" s="204"/>
      <c r="CF160" s="204"/>
      <c r="CG160" s="204"/>
      <c r="CH160" s="204"/>
      <c r="CI160" s="204"/>
      <c r="CJ160" s="204"/>
      <c r="CK160" s="204"/>
      <c r="CL160" s="204"/>
      <c r="CM160" s="204"/>
      <c r="CN160" s="204"/>
      <c r="CO160" s="204"/>
      <c r="CP160" s="204"/>
      <c r="CQ160" s="204"/>
      <c r="CR160" s="204"/>
      <c r="CS160" s="204"/>
      <c r="CT160" s="204"/>
      <c r="CU160" s="204"/>
      <c r="CV160" s="204"/>
      <c r="CW160" s="204"/>
      <c r="CX160" s="204"/>
      <c r="CY160" s="204"/>
    </row>
    <row r="161" spans="1:103" ht="42.75" customHeight="1" x14ac:dyDescent="0.2">
      <c r="A161" s="1820"/>
      <c r="B161" s="1823"/>
      <c r="C161" s="359"/>
      <c r="D161" s="359"/>
      <c r="E161" s="195"/>
      <c r="F161" s="195"/>
      <c r="G161" s="195"/>
      <c r="H161" s="195"/>
      <c r="I161" s="195"/>
      <c r="J161" s="195"/>
      <c r="K161" s="195"/>
      <c r="L161" s="195"/>
      <c r="M161" s="195"/>
      <c r="N161" s="195"/>
      <c r="O161" s="195"/>
      <c r="P161" s="195"/>
      <c r="Q161" s="195"/>
      <c r="R161" s="195"/>
      <c r="S161" s="195"/>
      <c r="T161" s="359"/>
      <c r="U161" s="1830"/>
      <c r="V161" s="194" t="s">
        <v>1006</v>
      </c>
      <c r="W161" s="292" t="s">
        <v>1007</v>
      </c>
      <c r="X161" s="1241" t="s">
        <v>1008</v>
      </c>
      <c r="Y161" s="216" t="s">
        <v>1009</v>
      </c>
      <c r="Z161" s="216" t="s">
        <v>1010</v>
      </c>
      <c r="AA161" s="216" t="s">
        <v>1009</v>
      </c>
      <c r="AB161" s="199" t="s">
        <v>1009</v>
      </c>
      <c r="AC161" s="217">
        <v>0.25</v>
      </c>
      <c r="AD161" s="217">
        <v>0.25</v>
      </c>
      <c r="AE161" s="365">
        <v>0.25</v>
      </c>
      <c r="AF161" s="216">
        <v>0</v>
      </c>
      <c r="AG161" s="383">
        <v>30.88</v>
      </c>
      <c r="AH161" s="199"/>
      <c r="AI161" s="196">
        <v>45</v>
      </c>
      <c r="AJ161" s="199"/>
      <c r="AK161" s="205">
        <f>+AI161</f>
        <v>45</v>
      </c>
      <c r="AL161" s="197">
        <v>1</v>
      </c>
      <c r="AM161" s="352">
        <f>+AG161</f>
        <v>30.88</v>
      </c>
      <c r="AN161" s="197">
        <v>0.25</v>
      </c>
      <c r="AO161" s="216" t="s">
        <v>1009</v>
      </c>
      <c r="AP161" s="199"/>
      <c r="AQ161" s="199"/>
      <c r="AR161" s="199"/>
      <c r="AS161" s="199"/>
      <c r="AT161" s="199"/>
      <c r="AU161" s="199"/>
      <c r="AV161" s="199"/>
      <c r="AW161" s="199"/>
      <c r="AX161" s="199"/>
      <c r="AY161" s="199">
        <v>0</v>
      </c>
      <c r="AZ161" s="199" t="s">
        <v>1009</v>
      </c>
      <c r="BA161" s="233">
        <v>0.25</v>
      </c>
      <c r="BB161" s="199" t="s">
        <v>1009</v>
      </c>
      <c r="BC161" s="199" t="s">
        <v>1009</v>
      </c>
      <c r="BD161" s="199"/>
      <c r="BE161" s="199" t="s">
        <v>1009</v>
      </c>
      <c r="BF161" s="199"/>
      <c r="BG161" s="199"/>
      <c r="BH161" s="199"/>
      <c r="BI161" s="199" t="s">
        <v>1009</v>
      </c>
      <c r="BJ161" s="199"/>
      <c r="BK161" s="199" t="s">
        <v>1009</v>
      </c>
      <c r="BL161" s="197">
        <v>1</v>
      </c>
      <c r="BM161" s="199" t="s">
        <v>1009</v>
      </c>
      <c r="BN161" s="58">
        <v>0.75</v>
      </c>
      <c r="BO161" s="204"/>
      <c r="BP161" s="204"/>
      <c r="BQ161" s="204"/>
      <c r="BR161" s="204"/>
      <c r="BS161" s="204"/>
      <c r="BT161" s="204"/>
      <c r="BU161" s="204"/>
      <c r="BV161" s="204"/>
      <c r="BW161" s="204"/>
      <c r="BX161" s="204"/>
      <c r="BY161" s="204"/>
      <c r="BZ161" s="204"/>
      <c r="CA161" s="204"/>
      <c r="CB161" s="204"/>
      <c r="CC161" s="204"/>
      <c r="CD161" s="204"/>
      <c r="CE161" s="204"/>
      <c r="CF161" s="204"/>
      <c r="CG161" s="204"/>
      <c r="CH161" s="204"/>
      <c r="CI161" s="204"/>
      <c r="CJ161" s="204"/>
      <c r="CK161" s="204"/>
      <c r="CL161" s="204"/>
      <c r="CM161" s="204"/>
      <c r="CN161" s="204"/>
      <c r="CO161" s="204"/>
      <c r="CP161" s="204"/>
      <c r="CQ161" s="204"/>
      <c r="CR161" s="204"/>
      <c r="CS161" s="204"/>
      <c r="CT161" s="204"/>
      <c r="CU161" s="204"/>
      <c r="CV161" s="204"/>
      <c r="CW161" s="204"/>
      <c r="CX161" s="204"/>
      <c r="CY161" s="204"/>
    </row>
    <row r="162" spans="1:103" ht="72" customHeight="1" x14ac:dyDescent="0.2">
      <c r="A162" s="1820"/>
      <c r="B162" s="1823"/>
      <c r="C162" s="359"/>
      <c r="D162" s="359"/>
      <c r="E162" s="195"/>
      <c r="F162" s="195"/>
      <c r="G162" s="195"/>
      <c r="H162" s="195"/>
      <c r="I162" s="195"/>
      <c r="J162" s="195"/>
      <c r="K162" s="195"/>
      <c r="L162" s="195"/>
      <c r="M162" s="195"/>
      <c r="N162" s="195"/>
      <c r="O162" s="195"/>
      <c r="P162" s="195"/>
      <c r="Q162" s="195"/>
      <c r="R162" s="195"/>
      <c r="S162" s="195"/>
      <c r="T162" s="359"/>
      <c r="U162" s="1830"/>
      <c r="V162" s="194" t="s">
        <v>1011</v>
      </c>
      <c r="W162" s="194" t="s">
        <v>1012</v>
      </c>
      <c r="X162" s="1241" t="s">
        <v>1013</v>
      </c>
      <c r="Y162" s="205">
        <f>70*4</f>
        <v>280</v>
      </c>
      <c r="Z162" s="205">
        <v>70</v>
      </c>
      <c r="AA162" s="205">
        <v>70</v>
      </c>
      <c r="AB162" s="199">
        <v>70</v>
      </c>
      <c r="AC162" s="365">
        <f>+Z162/Y162</f>
        <v>0.25</v>
      </c>
      <c r="AD162" s="365">
        <v>0.25</v>
      </c>
      <c r="AE162" s="365">
        <f t="shared" ref="AE162:AE168" si="17">+AB162/Y162</f>
        <v>0.25</v>
      </c>
      <c r="AF162" s="205">
        <v>0</v>
      </c>
      <c r="AG162" s="205">
        <v>20</v>
      </c>
      <c r="AH162" s="199"/>
      <c r="AI162" s="196">
        <v>20</v>
      </c>
      <c r="AJ162" s="199"/>
      <c r="AK162" s="205">
        <f>+AI162</f>
        <v>20</v>
      </c>
      <c r="AL162" s="197">
        <f>+AK162/Z162</f>
        <v>0.2857142857142857</v>
      </c>
      <c r="AM162" s="352">
        <f>+AK162</f>
        <v>20</v>
      </c>
      <c r="AN162" s="197">
        <f>+AM162/Y162</f>
        <v>7.1428571428571425E-2</v>
      </c>
      <c r="AO162" s="205">
        <v>70</v>
      </c>
      <c r="AP162" s="199">
        <v>0</v>
      </c>
      <c r="AQ162" s="199"/>
      <c r="AR162" s="199">
        <v>10</v>
      </c>
      <c r="AS162" s="199"/>
      <c r="AT162" s="199">
        <v>30</v>
      </c>
      <c r="AU162" s="199"/>
      <c r="AV162" s="199">
        <v>30</v>
      </c>
      <c r="AW162" s="199"/>
      <c r="AX162" s="199">
        <f>+AP162+AR162+AT162+AV162</f>
        <v>70</v>
      </c>
      <c r="AY162" s="197">
        <f>+AX162/AO162</f>
        <v>1</v>
      </c>
      <c r="AZ162" s="352">
        <f>+AX162+AM162</f>
        <v>90</v>
      </c>
      <c r="BA162" s="233">
        <f>+AZ162/Y162</f>
        <v>0.32142857142857145</v>
      </c>
      <c r="BB162" s="199">
        <v>70</v>
      </c>
      <c r="BC162" s="199">
        <v>10</v>
      </c>
      <c r="BD162" s="199"/>
      <c r="BE162" s="199">
        <v>32</v>
      </c>
      <c r="BF162" s="199"/>
      <c r="BG162" s="199">
        <v>0</v>
      </c>
      <c r="BH162" s="199"/>
      <c r="BI162" s="199">
        <v>24</v>
      </c>
      <c r="BJ162" s="199"/>
      <c r="BK162" s="199">
        <f>BC162+BE162+BI162</f>
        <v>66</v>
      </c>
      <c r="BL162" s="197">
        <f>+BK162/BB162</f>
        <v>0.94285714285714284</v>
      </c>
      <c r="BM162" s="352">
        <f>AZ162+BK162</f>
        <v>156</v>
      </c>
      <c r="BN162" s="58">
        <f>BM162/Y162</f>
        <v>0.55714285714285716</v>
      </c>
      <c r="BO162" s="204"/>
      <c r="BP162" s="204"/>
      <c r="BQ162" s="204"/>
      <c r="BR162" s="204"/>
      <c r="BS162" s="204"/>
      <c r="BT162" s="204"/>
      <c r="BU162" s="204"/>
      <c r="BV162" s="204"/>
      <c r="BW162" s="204"/>
      <c r="BX162" s="204"/>
      <c r="BY162" s="204"/>
      <c r="BZ162" s="204"/>
      <c r="CA162" s="204"/>
      <c r="CB162" s="204"/>
      <c r="CC162" s="204"/>
      <c r="CD162" s="204"/>
      <c r="CE162" s="204"/>
      <c r="CF162" s="204"/>
      <c r="CG162" s="204"/>
      <c r="CH162" s="204"/>
      <c r="CI162" s="204"/>
      <c r="CJ162" s="204"/>
      <c r="CK162" s="204"/>
      <c r="CL162" s="204"/>
      <c r="CM162" s="204"/>
      <c r="CN162" s="204"/>
      <c r="CO162" s="204"/>
      <c r="CP162" s="204"/>
      <c r="CQ162" s="204"/>
      <c r="CR162" s="204"/>
      <c r="CS162" s="204"/>
      <c r="CT162" s="204"/>
      <c r="CU162" s="204"/>
      <c r="CV162" s="204"/>
      <c r="CW162" s="204"/>
      <c r="CX162" s="204"/>
      <c r="CY162" s="204"/>
    </row>
    <row r="163" spans="1:103" ht="69" customHeight="1" x14ac:dyDescent="0.2">
      <c r="A163" s="1820"/>
      <c r="B163" s="1823"/>
      <c r="C163" s="359"/>
      <c r="D163" s="359"/>
      <c r="E163" s="195"/>
      <c r="F163" s="195"/>
      <c r="G163" s="195"/>
      <c r="H163" s="195"/>
      <c r="I163" s="195"/>
      <c r="J163" s="195"/>
      <c r="K163" s="195"/>
      <c r="L163" s="195"/>
      <c r="M163" s="195"/>
      <c r="N163" s="195"/>
      <c r="O163" s="195"/>
      <c r="P163" s="195"/>
      <c r="Q163" s="195"/>
      <c r="R163" s="195"/>
      <c r="S163" s="195"/>
      <c r="T163" s="359"/>
      <c r="U163" s="1830"/>
      <c r="V163" s="194" t="s">
        <v>1014</v>
      </c>
      <c r="W163" s="194" t="s">
        <v>1015</v>
      </c>
      <c r="X163" s="1241" t="s">
        <v>1016</v>
      </c>
      <c r="Y163" s="205">
        <v>80</v>
      </c>
      <c r="Z163" s="205">
        <v>20</v>
      </c>
      <c r="AA163" s="205">
        <v>20</v>
      </c>
      <c r="AB163" s="199">
        <v>20</v>
      </c>
      <c r="AC163" s="365">
        <v>0.25</v>
      </c>
      <c r="AD163" s="365">
        <v>0.25</v>
      </c>
      <c r="AE163" s="365">
        <f t="shared" si="17"/>
        <v>0.25</v>
      </c>
      <c r="AF163" s="205">
        <v>0</v>
      </c>
      <c r="AG163" s="205">
        <v>10</v>
      </c>
      <c r="AH163" s="199"/>
      <c r="AI163" s="196">
        <v>20</v>
      </c>
      <c r="AJ163" s="199"/>
      <c r="AK163" s="205">
        <f>+AI163</f>
        <v>20</v>
      </c>
      <c r="AL163" s="197">
        <f>+AK163/Z163</f>
        <v>1</v>
      </c>
      <c r="AM163" s="352">
        <f>+AK163</f>
        <v>20</v>
      </c>
      <c r="AN163" s="197">
        <f>+AM163/Y163</f>
        <v>0.25</v>
      </c>
      <c r="AO163" s="205">
        <v>20</v>
      </c>
      <c r="AP163" s="199">
        <v>0</v>
      </c>
      <c r="AQ163" s="199"/>
      <c r="AR163" s="199">
        <v>5</v>
      </c>
      <c r="AS163" s="199"/>
      <c r="AT163" s="199">
        <v>5</v>
      </c>
      <c r="AU163" s="199"/>
      <c r="AV163" s="199">
        <v>9</v>
      </c>
      <c r="AW163" s="199"/>
      <c r="AX163" s="199">
        <f>+AP163+AR163+AT163+AV163</f>
        <v>19</v>
      </c>
      <c r="AY163" s="197">
        <f>+AX163/AO163</f>
        <v>0.95</v>
      </c>
      <c r="AZ163" s="352">
        <f>+AX163+AM163</f>
        <v>39</v>
      </c>
      <c r="BA163" s="233">
        <f>+AZ163/Y163</f>
        <v>0.48749999999999999</v>
      </c>
      <c r="BB163" s="199">
        <v>20</v>
      </c>
      <c r="BC163" s="199">
        <v>0</v>
      </c>
      <c r="BD163" s="199"/>
      <c r="BE163" s="199">
        <v>21</v>
      </c>
      <c r="BF163" s="199"/>
      <c r="BG163" s="199">
        <v>0</v>
      </c>
      <c r="BH163" s="199"/>
      <c r="BI163" s="199">
        <v>52</v>
      </c>
      <c r="BJ163" s="199"/>
      <c r="BK163" s="199">
        <f>+BE163+BI163</f>
        <v>73</v>
      </c>
      <c r="BL163" s="197">
        <v>1</v>
      </c>
      <c r="BM163" s="352">
        <f>AZ163+BK163</f>
        <v>112</v>
      </c>
      <c r="BN163" s="58">
        <v>1</v>
      </c>
      <c r="BO163" s="204"/>
      <c r="BP163" s="204"/>
      <c r="BQ163" s="204"/>
      <c r="BR163" s="204"/>
      <c r="BS163" s="204"/>
      <c r="BT163" s="204"/>
      <c r="BU163" s="204"/>
      <c r="BV163" s="204"/>
      <c r="BW163" s="204"/>
      <c r="BX163" s="204"/>
      <c r="BY163" s="204"/>
      <c r="BZ163" s="204"/>
      <c r="CA163" s="204"/>
      <c r="CB163" s="204"/>
      <c r="CC163" s="204"/>
      <c r="CD163" s="204"/>
      <c r="CE163" s="204"/>
      <c r="CF163" s="204"/>
      <c r="CG163" s="204"/>
      <c r="CH163" s="204"/>
      <c r="CI163" s="204"/>
      <c r="CJ163" s="204"/>
      <c r="CK163" s="204"/>
      <c r="CL163" s="204"/>
      <c r="CM163" s="204"/>
      <c r="CN163" s="204"/>
      <c r="CO163" s="204"/>
      <c r="CP163" s="204"/>
      <c r="CQ163" s="204"/>
      <c r="CR163" s="204"/>
      <c r="CS163" s="204"/>
      <c r="CT163" s="204"/>
      <c r="CU163" s="204"/>
      <c r="CV163" s="204"/>
      <c r="CW163" s="204"/>
      <c r="CX163" s="204"/>
      <c r="CY163" s="204"/>
    </row>
    <row r="164" spans="1:103" ht="45.75" customHeight="1" x14ac:dyDescent="0.2">
      <c r="A164" s="1820"/>
      <c r="B164" s="1823"/>
      <c r="C164" s="359"/>
      <c r="D164" s="359"/>
      <c r="E164" s="195"/>
      <c r="F164" s="195"/>
      <c r="G164" s="195"/>
      <c r="H164" s="195"/>
      <c r="I164" s="195"/>
      <c r="J164" s="195"/>
      <c r="K164" s="195"/>
      <c r="L164" s="195"/>
      <c r="M164" s="195"/>
      <c r="N164" s="195"/>
      <c r="O164" s="195"/>
      <c r="P164" s="195"/>
      <c r="Q164" s="195"/>
      <c r="R164" s="195"/>
      <c r="S164" s="195"/>
      <c r="T164" s="359"/>
      <c r="U164" s="1830"/>
      <c r="V164" s="194" t="s">
        <v>1017</v>
      </c>
      <c r="W164" s="326" t="s">
        <v>1018</v>
      </c>
      <c r="X164" s="1241" t="s">
        <v>1019</v>
      </c>
      <c r="Y164" s="216" t="s">
        <v>1020</v>
      </c>
      <c r="Z164" s="216" t="s">
        <v>177</v>
      </c>
      <c r="AA164" s="216" t="s">
        <v>1020</v>
      </c>
      <c r="AB164" s="199" t="s">
        <v>1021</v>
      </c>
      <c r="AC164" s="216"/>
      <c r="AD164" s="216">
        <v>0.33</v>
      </c>
      <c r="AE164" s="365">
        <v>0.25</v>
      </c>
      <c r="AF164" s="216"/>
      <c r="AG164" s="216"/>
      <c r="AH164" s="199"/>
      <c r="AI164" s="196"/>
      <c r="AJ164" s="199"/>
      <c r="AK164" s="199"/>
      <c r="AL164" s="197"/>
      <c r="AM164" s="199"/>
      <c r="AN164" s="197"/>
      <c r="AO164" s="216" t="s">
        <v>1020</v>
      </c>
      <c r="AP164" s="199"/>
      <c r="AQ164" s="199"/>
      <c r="AR164" s="199"/>
      <c r="AS164" s="199"/>
      <c r="AT164" s="199"/>
      <c r="AU164" s="199"/>
      <c r="AV164" s="193">
        <f>+AU164</f>
        <v>0</v>
      </c>
      <c r="AW164" s="199"/>
      <c r="AX164" s="199"/>
      <c r="AY164" s="197">
        <v>1</v>
      </c>
      <c r="AZ164" s="199"/>
      <c r="BA164" s="233">
        <v>0.51</v>
      </c>
      <c r="BB164" s="199" t="s">
        <v>1021</v>
      </c>
      <c r="BC164" s="199">
        <v>0</v>
      </c>
      <c r="BD164" s="199"/>
      <c r="BE164" s="199">
        <v>0</v>
      </c>
      <c r="BF164" s="199"/>
      <c r="BG164" s="324" t="s">
        <v>2245</v>
      </c>
      <c r="BH164" s="199"/>
      <c r="BI164" s="324" t="s">
        <v>2245</v>
      </c>
      <c r="BJ164" s="199"/>
      <c r="BK164" s="324" t="str">
        <f>+BG164</f>
        <v>A la fecha se ha registado un cumplimiento entre el 0% y el 2%</v>
      </c>
      <c r="BL164" s="197">
        <v>1</v>
      </c>
      <c r="BM164" s="324" t="str">
        <f>+BK164</f>
        <v>A la fecha se ha registado un cumplimiento entre el 0% y el 2%</v>
      </c>
      <c r="BN164" s="58">
        <f>+BN161</f>
        <v>0.75</v>
      </c>
      <c r="BO164" s="204"/>
      <c r="BP164" s="204"/>
      <c r="BQ164" s="204"/>
      <c r="BR164" s="204"/>
      <c r="BS164" s="204"/>
      <c r="BT164" s="204"/>
      <c r="BU164" s="204"/>
      <c r="BV164" s="204"/>
      <c r="BW164" s="204"/>
      <c r="BX164" s="204"/>
      <c r="BY164" s="204"/>
      <c r="BZ164" s="204"/>
      <c r="CA164" s="204"/>
      <c r="CB164" s="204"/>
      <c r="CC164" s="204"/>
      <c r="CD164" s="204"/>
      <c r="CE164" s="204"/>
      <c r="CF164" s="204"/>
      <c r="CG164" s="204"/>
      <c r="CH164" s="204"/>
      <c r="CI164" s="204"/>
      <c r="CJ164" s="204"/>
      <c r="CK164" s="204"/>
      <c r="CL164" s="204"/>
      <c r="CM164" s="204"/>
      <c r="CN164" s="204"/>
      <c r="CO164" s="204"/>
      <c r="CP164" s="204"/>
      <c r="CQ164" s="204"/>
      <c r="CR164" s="204"/>
      <c r="CS164" s="204"/>
      <c r="CT164" s="204"/>
      <c r="CU164" s="204"/>
      <c r="CV164" s="204"/>
      <c r="CW164" s="204"/>
      <c r="CX164" s="204"/>
      <c r="CY164" s="204"/>
    </row>
    <row r="165" spans="1:103" ht="81" customHeight="1" x14ac:dyDescent="0.2">
      <c r="A165" s="1820"/>
      <c r="B165" s="1823"/>
      <c r="C165" s="359"/>
      <c r="D165" s="359"/>
      <c r="E165" s="195"/>
      <c r="F165" s="195"/>
      <c r="G165" s="195"/>
      <c r="H165" s="195"/>
      <c r="I165" s="195"/>
      <c r="J165" s="195"/>
      <c r="K165" s="195"/>
      <c r="L165" s="195"/>
      <c r="M165" s="195"/>
      <c r="N165" s="195"/>
      <c r="O165" s="195"/>
      <c r="P165" s="195"/>
      <c r="Q165" s="195"/>
      <c r="R165" s="195"/>
      <c r="S165" s="195"/>
      <c r="T165" s="359"/>
      <c r="U165" s="1830"/>
      <c r="V165" s="194" t="s">
        <v>1022</v>
      </c>
      <c r="W165" s="194">
        <v>0</v>
      </c>
      <c r="X165" s="1241" t="s">
        <v>1023</v>
      </c>
      <c r="Y165" s="205">
        <v>1</v>
      </c>
      <c r="Z165" s="205">
        <v>1</v>
      </c>
      <c r="AA165" s="205">
        <v>1</v>
      </c>
      <c r="AB165" s="199">
        <v>1</v>
      </c>
      <c r="AC165" s="365">
        <v>0.25</v>
      </c>
      <c r="AD165" s="365">
        <v>0.25</v>
      </c>
      <c r="AE165" s="365"/>
      <c r="AF165" s="205">
        <v>0</v>
      </c>
      <c r="AG165" s="205">
        <v>0</v>
      </c>
      <c r="AH165" s="199"/>
      <c r="AI165" s="196">
        <v>1</v>
      </c>
      <c r="AJ165" s="199"/>
      <c r="AK165" s="205">
        <f>+AI165</f>
        <v>1</v>
      </c>
      <c r="AL165" s="197">
        <v>1</v>
      </c>
      <c r="AM165" s="199">
        <v>1</v>
      </c>
      <c r="AN165" s="197">
        <v>1</v>
      </c>
      <c r="AO165" s="205">
        <v>1</v>
      </c>
      <c r="AP165" s="199">
        <v>0</v>
      </c>
      <c r="AQ165" s="199"/>
      <c r="AR165" s="199">
        <v>1</v>
      </c>
      <c r="AS165" s="199"/>
      <c r="AT165" s="199">
        <v>0</v>
      </c>
      <c r="AU165" s="199"/>
      <c r="AV165" s="199">
        <v>1</v>
      </c>
      <c r="AW165" s="199"/>
      <c r="AX165" s="199">
        <v>0</v>
      </c>
      <c r="AY165" s="197">
        <v>1</v>
      </c>
      <c r="AZ165" s="199">
        <v>1</v>
      </c>
      <c r="BA165" s="233">
        <v>1</v>
      </c>
      <c r="BB165" s="199">
        <v>1</v>
      </c>
      <c r="BC165" s="199">
        <v>0</v>
      </c>
      <c r="BD165" s="199"/>
      <c r="BE165" s="199">
        <v>0</v>
      </c>
      <c r="BF165" s="199"/>
      <c r="BG165" s="199">
        <v>0</v>
      </c>
      <c r="BH165" s="324" t="s">
        <v>2216</v>
      </c>
      <c r="BI165" s="199">
        <v>1</v>
      </c>
      <c r="BJ165" s="199"/>
      <c r="BK165" s="199">
        <f>+BI165</f>
        <v>1</v>
      </c>
      <c r="BL165" s="197">
        <v>1</v>
      </c>
      <c r="BM165" s="199">
        <v>1</v>
      </c>
      <c r="BN165" s="197">
        <v>1</v>
      </c>
      <c r="BO165" s="204"/>
      <c r="BP165" s="204"/>
      <c r="BQ165" s="204"/>
      <c r="BR165" s="204"/>
      <c r="BS165" s="204"/>
      <c r="BT165" s="204"/>
      <c r="BU165" s="204"/>
      <c r="BV165" s="204"/>
      <c r="BW165" s="204"/>
      <c r="BX165" s="204"/>
      <c r="BY165" s="204"/>
      <c r="BZ165" s="204"/>
      <c r="CA165" s="204"/>
      <c r="CB165" s="204"/>
      <c r="CC165" s="204"/>
      <c r="CD165" s="204"/>
      <c r="CE165" s="204"/>
      <c r="CF165" s="204"/>
      <c r="CG165" s="204"/>
      <c r="CH165" s="204"/>
      <c r="CI165" s="204"/>
      <c r="CJ165" s="204"/>
      <c r="CK165" s="204"/>
      <c r="CL165" s="204"/>
      <c r="CM165" s="204"/>
      <c r="CN165" s="204"/>
      <c r="CO165" s="204"/>
      <c r="CP165" s="204"/>
      <c r="CQ165" s="204"/>
      <c r="CR165" s="204"/>
      <c r="CS165" s="204"/>
      <c r="CT165" s="204"/>
      <c r="CU165" s="204"/>
      <c r="CV165" s="204"/>
      <c r="CW165" s="204"/>
      <c r="CX165" s="204"/>
      <c r="CY165" s="204"/>
    </row>
    <row r="166" spans="1:103" ht="56.25" customHeight="1" x14ac:dyDescent="0.2">
      <c r="A166" s="1820"/>
      <c r="B166" s="1823"/>
      <c r="C166" s="359"/>
      <c r="D166" s="359"/>
      <c r="E166" s="195"/>
      <c r="F166" s="195"/>
      <c r="G166" s="195"/>
      <c r="H166" s="195"/>
      <c r="I166" s="195"/>
      <c r="J166" s="195"/>
      <c r="K166" s="195"/>
      <c r="L166" s="195"/>
      <c r="M166" s="195"/>
      <c r="N166" s="195"/>
      <c r="O166" s="195"/>
      <c r="P166" s="195"/>
      <c r="Q166" s="195"/>
      <c r="R166" s="195"/>
      <c r="S166" s="195"/>
      <c r="T166" s="359"/>
      <c r="U166" s="1830"/>
      <c r="V166" s="194" t="s">
        <v>1024</v>
      </c>
      <c r="W166" s="194" t="s">
        <v>1015</v>
      </c>
      <c r="X166" s="1241" t="s">
        <v>1025</v>
      </c>
      <c r="Y166" s="205">
        <f>20*4</f>
        <v>80</v>
      </c>
      <c r="Z166" s="205">
        <v>20</v>
      </c>
      <c r="AA166" s="400">
        <v>20</v>
      </c>
      <c r="AB166" s="199">
        <v>20</v>
      </c>
      <c r="AC166" s="401">
        <v>0.25</v>
      </c>
      <c r="AD166" s="401">
        <v>0.25</v>
      </c>
      <c r="AE166" s="365">
        <f t="shared" si="17"/>
        <v>0.25</v>
      </c>
      <c r="AF166" s="400">
        <v>0</v>
      </c>
      <c r="AG166" s="400">
        <v>1</v>
      </c>
      <c r="AH166" s="199"/>
      <c r="AI166" s="196">
        <v>17</v>
      </c>
      <c r="AJ166" s="199"/>
      <c r="AK166" s="205">
        <f>+AI166</f>
        <v>17</v>
      </c>
      <c r="AL166" s="197">
        <f>+AK166/Z166</f>
        <v>0.85</v>
      </c>
      <c r="AM166" s="196">
        <f>+AK166</f>
        <v>17</v>
      </c>
      <c r="AN166" s="197">
        <f>+AM166/Y166</f>
        <v>0.21249999999999999</v>
      </c>
      <c r="AO166" s="400">
        <v>20</v>
      </c>
      <c r="AP166" s="199">
        <v>0</v>
      </c>
      <c r="AQ166" s="199"/>
      <c r="AR166" s="199"/>
      <c r="AS166" s="199"/>
      <c r="AT166" s="199">
        <v>10</v>
      </c>
      <c r="AU166" s="199"/>
      <c r="AV166" s="199">
        <v>10</v>
      </c>
      <c r="AW166" s="199"/>
      <c r="AX166" s="199">
        <f>+AT166+AV166</f>
        <v>20</v>
      </c>
      <c r="AY166" s="197">
        <f>+AX166/AO166</f>
        <v>1</v>
      </c>
      <c r="AZ166" s="199">
        <f>17+AX166</f>
        <v>37</v>
      </c>
      <c r="BA166" s="233">
        <f>AZ166/Y166</f>
        <v>0.46250000000000002</v>
      </c>
      <c r="BB166" s="199">
        <v>20</v>
      </c>
      <c r="BC166" s="199">
        <v>0</v>
      </c>
      <c r="BD166" s="199"/>
      <c r="BE166" s="199">
        <v>5</v>
      </c>
      <c r="BF166" s="199"/>
      <c r="BG166" s="199">
        <v>0</v>
      </c>
      <c r="BH166" s="199"/>
      <c r="BI166" s="199">
        <v>15</v>
      </c>
      <c r="BJ166" s="199"/>
      <c r="BK166" s="199">
        <f>+BE166+BI166</f>
        <v>20</v>
      </c>
      <c r="BL166" s="58">
        <f>+BK166/BB166</f>
        <v>1</v>
      </c>
      <c r="BM166" s="199">
        <f>BK166+AZ166</f>
        <v>57</v>
      </c>
      <c r="BN166" s="58">
        <f>BM166/Y166</f>
        <v>0.71250000000000002</v>
      </c>
      <c r="BO166" s="204"/>
      <c r="BP166" s="204"/>
      <c r="BQ166" s="204"/>
      <c r="BR166" s="204"/>
      <c r="BS166" s="204"/>
      <c r="BT166" s="204"/>
      <c r="BU166" s="204"/>
      <c r="BV166" s="204"/>
      <c r="BW166" s="204"/>
      <c r="BX166" s="204"/>
      <c r="BY166" s="204"/>
      <c r="BZ166" s="204"/>
      <c r="CA166" s="204"/>
      <c r="CB166" s="204"/>
      <c r="CC166" s="204"/>
      <c r="CD166" s="204"/>
      <c r="CE166" s="204"/>
      <c r="CF166" s="204"/>
      <c r="CG166" s="204"/>
      <c r="CH166" s="204"/>
      <c r="CI166" s="204"/>
      <c r="CJ166" s="204"/>
      <c r="CK166" s="204"/>
      <c r="CL166" s="204"/>
      <c r="CM166" s="204"/>
      <c r="CN166" s="204"/>
      <c r="CO166" s="204"/>
      <c r="CP166" s="204"/>
      <c r="CQ166" s="204"/>
      <c r="CR166" s="204"/>
      <c r="CS166" s="204"/>
      <c r="CT166" s="204"/>
      <c r="CU166" s="204"/>
      <c r="CV166" s="204"/>
      <c r="CW166" s="204"/>
      <c r="CX166" s="204"/>
      <c r="CY166" s="204"/>
    </row>
    <row r="167" spans="1:103" ht="89.25" customHeight="1" x14ac:dyDescent="0.2">
      <c r="A167" s="1820"/>
      <c r="B167" s="1823"/>
      <c r="C167" s="359"/>
      <c r="D167" s="359"/>
      <c r="E167" s="195"/>
      <c r="F167" s="195"/>
      <c r="G167" s="195"/>
      <c r="H167" s="195"/>
      <c r="I167" s="195"/>
      <c r="J167" s="195"/>
      <c r="K167" s="195"/>
      <c r="L167" s="195"/>
      <c r="M167" s="195"/>
      <c r="N167" s="195"/>
      <c r="O167" s="195"/>
      <c r="P167" s="195"/>
      <c r="Q167" s="195"/>
      <c r="R167" s="195"/>
      <c r="S167" s="195"/>
      <c r="T167" s="359"/>
      <c r="U167" s="1830"/>
      <c r="V167" s="194" t="s">
        <v>1026</v>
      </c>
      <c r="W167" s="194" t="s">
        <v>1027</v>
      </c>
      <c r="X167" s="1241" t="s">
        <v>1028</v>
      </c>
      <c r="Y167" s="205">
        <v>4</v>
      </c>
      <c r="Z167" s="205">
        <v>1</v>
      </c>
      <c r="AA167" s="205">
        <v>1</v>
      </c>
      <c r="AB167" s="199">
        <v>1</v>
      </c>
      <c r="AC167" s="365">
        <v>0.25</v>
      </c>
      <c r="AD167" s="365">
        <v>0.25</v>
      </c>
      <c r="AE167" s="365"/>
      <c r="AF167" s="205">
        <v>0</v>
      </c>
      <c r="AG167" s="205">
        <v>1</v>
      </c>
      <c r="AH167" s="199"/>
      <c r="AI167" s="298">
        <v>0</v>
      </c>
      <c r="AJ167" s="199"/>
      <c r="AK167" s="196">
        <v>0</v>
      </c>
      <c r="AL167" s="197">
        <f>+AK167/Z167</f>
        <v>0</v>
      </c>
      <c r="AM167" s="196">
        <v>0</v>
      </c>
      <c r="AN167" s="197">
        <f>+AM167/Y167</f>
        <v>0</v>
      </c>
      <c r="AO167" s="205">
        <v>1</v>
      </c>
      <c r="AP167" s="199">
        <v>0</v>
      </c>
      <c r="AQ167" s="199"/>
      <c r="AR167" s="199"/>
      <c r="AS167" s="199"/>
      <c r="AT167" s="199">
        <v>0</v>
      </c>
      <c r="AU167" s="199"/>
      <c r="AV167" s="199">
        <v>1</v>
      </c>
      <c r="AW167" s="199"/>
      <c r="AX167" s="199">
        <v>1</v>
      </c>
      <c r="AY167" s="197">
        <v>1</v>
      </c>
      <c r="AZ167" s="199">
        <v>1</v>
      </c>
      <c r="BA167" s="233">
        <v>0.25</v>
      </c>
      <c r="BB167" s="199">
        <v>1</v>
      </c>
      <c r="BC167" s="199">
        <v>0</v>
      </c>
      <c r="BD167" s="199"/>
      <c r="BE167" s="199">
        <v>0</v>
      </c>
      <c r="BF167" s="199"/>
      <c r="BG167" s="199"/>
      <c r="BH167" s="324" t="s">
        <v>2246</v>
      </c>
      <c r="BI167" s="199">
        <v>1</v>
      </c>
      <c r="BJ167" s="199"/>
      <c r="BK167" s="199">
        <f>+BI167</f>
        <v>1</v>
      </c>
      <c r="BL167" s="197">
        <v>1</v>
      </c>
      <c r="BM167" s="199">
        <v>2</v>
      </c>
      <c r="BN167" s="197">
        <v>0.5</v>
      </c>
      <c r="BO167" s="204"/>
      <c r="BP167" s="204"/>
      <c r="BQ167" s="204"/>
      <c r="BR167" s="204"/>
      <c r="BS167" s="204"/>
      <c r="BT167" s="204"/>
      <c r="BU167" s="204"/>
      <c r="BV167" s="204"/>
      <c r="BW167" s="204"/>
      <c r="BX167" s="204"/>
      <c r="BY167" s="204"/>
      <c r="BZ167" s="204"/>
      <c r="CA167" s="204"/>
      <c r="CB167" s="204"/>
      <c r="CC167" s="204"/>
      <c r="CD167" s="204"/>
      <c r="CE167" s="204"/>
      <c r="CF167" s="204"/>
      <c r="CG167" s="204"/>
      <c r="CH167" s="204"/>
      <c r="CI167" s="204"/>
      <c r="CJ167" s="204"/>
      <c r="CK167" s="204"/>
      <c r="CL167" s="204"/>
      <c r="CM167" s="204"/>
      <c r="CN167" s="204"/>
      <c r="CO167" s="204"/>
      <c r="CP167" s="204"/>
      <c r="CQ167" s="204"/>
      <c r="CR167" s="204"/>
      <c r="CS167" s="204"/>
      <c r="CT167" s="204"/>
      <c r="CU167" s="204"/>
      <c r="CV167" s="204"/>
      <c r="CW167" s="204"/>
      <c r="CX167" s="204"/>
      <c r="CY167" s="204"/>
    </row>
    <row r="168" spans="1:103" ht="48" customHeight="1" x14ac:dyDescent="0.2">
      <c r="A168" s="1820"/>
      <c r="B168" s="1823"/>
      <c r="C168" s="359"/>
      <c r="D168" s="359"/>
      <c r="E168" s="195"/>
      <c r="F168" s="195"/>
      <c r="G168" s="195"/>
      <c r="H168" s="195"/>
      <c r="I168" s="195"/>
      <c r="J168" s="195"/>
      <c r="K168" s="195"/>
      <c r="L168" s="195"/>
      <c r="M168" s="195"/>
      <c r="N168" s="195"/>
      <c r="O168" s="195"/>
      <c r="P168" s="195"/>
      <c r="Q168" s="195"/>
      <c r="R168" s="195"/>
      <c r="S168" s="195"/>
      <c r="T168" s="359"/>
      <c r="U168" s="1830"/>
      <c r="V168" s="194" t="s">
        <v>1029</v>
      </c>
      <c r="W168" s="194" t="s">
        <v>1030</v>
      </c>
      <c r="X168" s="1241" t="s">
        <v>1031</v>
      </c>
      <c r="Y168" s="347">
        <v>8000</v>
      </c>
      <c r="Z168" s="347">
        <v>2000</v>
      </c>
      <c r="AA168" s="347">
        <v>2000</v>
      </c>
      <c r="AB168" s="199">
        <v>2000</v>
      </c>
      <c r="AC168" s="402">
        <v>0.25</v>
      </c>
      <c r="AD168" s="402">
        <v>0.25</v>
      </c>
      <c r="AE168" s="365">
        <f t="shared" si="17"/>
        <v>0.25</v>
      </c>
      <c r="AF168" s="347">
        <v>0</v>
      </c>
      <c r="AG168" s="347">
        <v>0</v>
      </c>
      <c r="AH168" s="199"/>
      <c r="AI168" s="196">
        <v>0</v>
      </c>
      <c r="AJ168" s="199"/>
      <c r="AK168" s="205">
        <f>+AI168</f>
        <v>0</v>
      </c>
      <c r="AL168" s="197">
        <v>0</v>
      </c>
      <c r="AM168" s="199">
        <v>0</v>
      </c>
      <c r="AN168" s="197">
        <v>0</v>
      </c>
      <c r="AO168" s="347">
        <v>2000</v>
      </c>
      <c r="AP168" s="199">
        <v>0</v>
      </c>
      <c r="AQ168" s="199"/>
      <c r="AR168" s="199"/>
      <c r="AS168" s="199"/>
      <c r="AT168" s="199">
        <v>0</v>
      </c>
      <c r="AU168" s="199"/>
      <c r="AV168" s="199">
        <v>1343</v>
      </c>
      <c r="AW168" s="199"/>
      <c r="AX168" s="199">
        <f>+AV168</f>
        <v>1343</v>
      </c>
      <c r="AY168" s="197">
        <f>+AX168/AO168</f>
        <v>0.67149999999999999</v>
      </c>
      <c r="AZ168" s="199">
        <f>+AX168</f>
        <v>1343</v>
      </c>
      <c r="BA168" s="233">
        <f>+AZ168/Y168</f>
        <v>0.167875</v>
      </c>
      <c r="BB168" s="199">
        <v>2000</v>
      </c>
      <c r="BC168" s="199">
        <v>80</v>
      </c>
      <c r="BD168" s="199"/>
      <c r="BE168" s="199">
        <v>40</v>
      </c>
      <c r="BF168" s="199"/>
      <c r="BG168" s="199"/>
      <c r="BH168" s="199"/>
      <c r="BI168" s="199">
        <v>880</v>
      </c>
      <c r="BJ168" s="199"/>
      <c r="BK168" s="199">
        <f>+BE168+BC168+BI168</f>
        <v>1000</v>
      </c>
      <c r="BL168" s="197">
        <f>+BK168/BB168</f>
        <v>0.5</v>
      </c>
      <c r="BM168" s="199">
        <f>AZ168+BK168</f>
        <v>2343</v>
      </c>
      <c r="BN168" s="58">
        <f>BM168/Y168</f>
        <v>0.292875</v>
      </c>
      <c r="BO168" s="204"/>
      <c r="BP168" s="204"/>
      <c r="BQ168" s="204"/>
      <c r="BR168" s="204"/>
      <c r="BS168" s="204"/>
      <c r="BT168" s="204"/>
      <c r="BU168" s="204"/>
      <c r="BV168" s="204"/>
      <c r="BW168" s="204"/>
      <c r="BX168" s="204"/>
      <c r="BY168" s="204"/>
      <c r="BZ168" s="204"/>
      <c r="CA168" s="204"/>
      <c r="CB168" s="204"/>
      <c r="CC168" s="204"/>
      <c r="CD168" s="204"/>
      <c r="CE168" s="204"/>
      <c r="CF168" s="204"/>
      <c r="CG168" s="204"/>
      <c r="CH168" s="204"/>
      <c r="CI168" s="204"/>
      <c r="CJ168" s="204"/>
      <c r="CK168" s="204"/>
      <c r="CL168" s="204"/>
      <c r="CM168" s="204"/>
      <c r="CN168" s="204"/>
      <c r="CO168" s="204"/>
      <c r="CP168" s="204"/>
      <c r="CQ168" s="204"/>
      <c r="CR168" s="204"/>
      <c r="CS168" s="204"/>
      <c r="CT168" s="204"/>
      <c r="CU168" s="204"/>
      <c r="CV168" s="204"/>
      <c r="CW168" s="204"/>
      <c r="CX168" s="204"/>
      <c r="CY168" s="204"/>
    </row>
    <row r="169" spans="1:103" ht="15.75" customHeight="1" x14ac:dyDescent="0.2">
      <c r="A169" s="1820"/>
      <c r="B169" s="1823"/>
      <c r="C169" s="359"/>
      <c r="D169" s="359"/>
      <c r="E169" s="195"/>
      <c r="F169" s="195"/>
      <c r="G169" s="195"/>
      <c r="H169" s="195"/>
      <c r="I169" s="195"/>
      <c r="J169" s="195"/>
      <c r="K169" s="195"/>
      <c r="L169" s="195"/>
      <c r="M169" s="195"/>
      <c r="N169" s="195"/>
      <c r="O169" s="195"/>
      <c r="P169" s="195"/>
      <c r="Q169" s="195"/>
      <c r="R169" s="195"/>
      <c r="S169" s="195"/>
      <c r="T169" s="359"/>
      <c r="U169" s="1831"/>
      <c r="V169" s="246"/>
      <c r="W169" s="246"/>
      <c r="X169" s="1464"/>
      <c r="Y169" s="246"/>
      <c r="Z169" s="246"/>
      <c r="AA169" s="246"/>
      <c r="AB169" s="246"/>
      <c r="AC169" s="403">
        <f>AVERAGE(AC159:AC168)</f>
        <v>0.25</v>
      </c>
      <c r="AD169" s="403">
        <v>0.25</v>
      </c>
      <c r="AE169" s="403">
        <f>AVERAGE(AE159:AE168)</f>
        <v>0.25</v>
      </c>
      <c r="AF169" s="246"/>
      <c r="AG169" s="246"/>
      <c r="AH169" s="246"/>
      <c r="AI169" s="396"/>
      <c r="AJ169" s="246"/>
      <c r="AK169" s="246"/>
      <c r="AL169" s="252">
        <f>AVERAGE(AL159:AL168)</f>
        <v>0.58063492063492061</v>
      </c>
      <c r="AM169" s="247"/>
      <c r="AN169" s="252">
        <f>AVERAGE(AN159:AN168)</f>
        <v>0.2232142857142857</v>
      </c>
      <c r="AO169" s="246"/>
      <c r="AP169" s="199"/>
      <c r="AQ169" s="199"/>
      <c r="AR169" s="199"/>
      <c r="AS169" s="199"/>
      <c r="AT169" s="199"/>
      <c r="AU169" s="199"/>
      <c r="AV169" s="199"/>
      <c r="AW169" s="199"/>
      <c r="AX169" s="199"/>
      <c r="AY169" s="253">
        <f>AVERAGE(AY159:AY168)</f>
        <v>0.76214999999999999</v>
      </c>
      <c r="AZ169" s="253"/>
      <c r="BA169" s="255">
        <f>AVERAGE(BA159:BA168)</f>
        <v>0.4651803571428571</v>
      </c>
      <c r="BB169" s="290"/>
      <c r="BC169" s="290"/>
      <c r="BD169" s="290"/>
      <c r="BE169" s="290"/>
      <c r="BF169" s="290"/>
      <c r="BG169" s="290"/>
      <c r="BH169" s="290"/>
      <c r="BI169" s="290"/>
      <c r="BJ169" s="290"/>
      <c r="BK169" s="290"/>
      <c r="BL169" s="214">
        <f>AVERAGE(BL159:BL168)</f>
        <v>0.92428571428571438</v>
      </c>
      <c r="BM169" s="213"/>
      <c r="BN169" s="1238">
        <f>AVERAGE(BN159:BN168)</f>
        <v>0.69750178571428578</v>
      </c>
      <c r="BO169" s="204"/>
      <c r="BP169" s="204"/>
      <c r="BQ169" s="204"/>
      <c r="BR169" s="204"/>
      <c r="BS169" s="204"/>
      <c r="BT169" s="204"/>
      <c r="BU169" s="204"/>
      <c r="BV169" s="204"/>
      <c r="BW169" s="204"/>
      <c r="BX169" s="204"/>
      <c r="BY169" s="204"/>
      <c r="BZ169" s="204"/>
      <c r="CA169" s="204"/>
      <c r="CB169" s="204"/>
      <c r="CC169" s="204"/>
      <c r="CD169" s="204"/>
      <c r="CE169" s="204"/>
      <c r="CF169" s="204"/>
      <c r="CG169" s="204"/>
      <c r="CH169" s="204"/>
      <c r="CI169" s="204"/>
      <c r="CJ169" s="204"/>
      <c r="CK169" s="204"/>
      <c r="CL169" s="204"/>
      <c r="CM169" s="204"/>
      <c r="CN169" s="204"/>
      <c r="CO169" s="204"/>
      <c r="CP169" s="204"/>
      <c r="CQ169" s="204"/>
      <c r="CR169" s="204"/>
      <c r="CS169" s="204"/>
      <c r="CT169" s="204"/>
      <c r="CU169" s="204"/>
      <c r="CV169" s="204"/>
      <c r="CW169" s="204"/>
      <c r="CX169" s="204"/>
      <c r="CY169" s="204"/>
    </row>
    <row r="170" spans="1:103" ht="54" customHeight="1" x14ac:dyDescent="0.2">
      <c r="A170" s="1820"/>
      <c r="B170" s="1823"/>
      <c r="C170" s="359"/>
      <c r="D170" s="359"/>
      <c r="E170" s="195"/>
      <c r="F170" s="195"/>
      <c r="G170" s="195"/>
      <c r="H170" s="195"/>
      <c r="I170" s="195"/>
      <c r="J170" s="195"/>
      <c r="K170" s="195"/>
      <c r="L170" s="195"/>
      <c r="M170" s="195"/>
      <c r="N170" s="195"/>
      <c r="O170" s="195"/>
      <c r="P170" s="195"/>
      <c r="Q170" s="195"/>
      <c r="R170" s="195"/>
      <c r="S170" s="195"/>
      <c r="T170" s="359"/>
      <c r="U170" s="1829" t="s">
        <v>1032</v>
      </c>
      <c r="V170" s="194" t="s">
        <v>1033</v>
      </c>
      <c r="W170" s="333" t="s">
        <v>1034</v>
      </c>
      <c r="X170" s="1241" t="s">
        <v>1035</v>
      </c>
      <c r="Y170" s="220">
        <f>17600*4</f>
        <v>70400</v>
      </c>
      <c r="Z170" s="274">
        <v>17600</v>
      </c>
      <c r="AA170" s="274">
        <v>17600</v>
      </c>
      <c r="AB170" s="199">
        <v>17600</v>
      </c>
      <c r="AC170" s="365">
        <f>+Z170/Y170</f>
        <v>0.25</v>
      </c>
      <c r="AD170" s="365">
        <v>0.25</v>
      </c>
      <c r="AE170" s="365">
        <f>+AB170/Y170</f>
        <v>0.25</v>
      </c>
      <c r="AF170" s="274">
        <v>17600</v>
      </c>
      <c r="AG170" s="274">
        <v>17600</v>
      </c>
      <c r="AH170" s="274"/>
      <c r="AI170" s="276">
        <v>14423</v>
      </c>
      <c r="AJ170" s="274"/>
      <c r="AK170" s="274">
        <v>14423</v>
      </c>
      <c r="AL170" s="365">
        <f>+AK170/AF170</f>
        <v>0.81948863636363634</v>
      </c>
      <c r="AM170" s="199">
        <f>+AK170</f>
        <v>14423</v>
      </c>
      <c r="AN170" s="197">
        <f>+AM170/Y170</f>
        <v>0.20487215909090908</v>
      </c>
      <c r="AO170" s="274">
        <v>17600</v>
      </c>
      <c r="AP170" s="199">
        <v>3809</v>
      </c>
      <c r="AQ170" s="199"/>
      <c r="AR170" s="199">
        <v>4103</v>
      </c>
      <c r="AS170" s="199"/>
      <c r="AT170" s="199">
        <v>7912</v>
      </c>
      <c r="AU170" s="199"/>
      <c r="AV170" s="199">
        <v>14300</v>
      </c>
      <c r="AW170" s="199"/>
      <c r="AX170" s="281">
        <f>+AV170</f>
        <v>14300</v>
      </c>
      <c r="AY170" s="197">
        <f>+AX170/AO170</f>
        <v>0.8125</v>
      </c>
      <c r="AZ170" s="281">
        <f>+AX170+AM170</f>
        <v>28723</v>
      </c>
      <c r="BA170" s="376">
        <f>+AZ170/Y170</f>
        <v>0.40799715909090911</v>
      </c>
      <c r="BB170" s="199">
        <v>17600</v>
      </c>
      <c r="BC170" s="199">
        <v>3906</v>
      </c>
      <c r="BD170" s="199"/>
      <c r="BE170" s="199">
        <v>2819</v>
      </c>
      <c r="BF170" s="199"/>
      <c r="BG170" s="199">
        <v>10531</v>
      </c>
      <c r="BH170" s="199"/>
      <c r="BI170" s="199">
        <v>13896</v>
      </c>
      <c r="BJ170" s="199"/>
      <c r="BK170" s="199">
        <v>24226</v>
      </c>
      <c r="BL170" s="58">
        <v>1</v>
      </c>
      <c r="BM170" s="281">
        <f>BK170+AZ170</f>
        <v>52949</v>
      </c>
      <c r="BN170" s="58">
        <f>BM170/Y170</f>
        <v>0.75211647727272724</v>
      </c>
      <c r="BO170" s="204"/>
      <c r="BP170" s="204"/>
      <c r="BQ170" s="204"/>
      <c r="BR170" s="204"/>
      <c r="BS170" s="204"/>
      <c r="BT170" s="204"/>
      <c r="BU170" s="204"/>
      <c r="BV170" s="204"/>
      <c r="BW170" s="204"/>
      <c r="BX170" s="204"/>
      <c r="BY170" s="204"/>
      <c r="BZ170" s="204"/>
      <c r="CA170" s="204"/>
      <c r="CB170" s="204"/>
      <c r="CC170" s="204"/>
      <c r="CD170" s="204"/>
      <c r="CE170" s="204"/>
      <c r="CF170" s="204"/>
      <c r="CG170" s="204"/>
      <c r="CH170" s="204"/>
      <c r="CI170" s="204"/>
      <c r="CJ170" s="204"/>
      <c r="CK170" s="204"/>
      <c r="CL170" s="204"/>
      <c r="CM170" s="204"/>
      <c r="CN170" s="204"/>
      <c r="CO170" s="204"/>
      <c r="CP170" s="204"/>
      <c r="CQ170" s="204"/>
      <c r="CR170" s="204"/>
      <c r="CS170" s="204"/>
      <c r="CT170" s="204"/>
      <c r="CU170" s="204"/>
      <c r="CV170" s="204"/>
      <c r="CW170" s="204"/>
      <c r="CX170" s="204"/>
      <c r="CY170" s="204"/>
    </row>
    <row r="171" spans="1:103" ht="56.25" customHeight="1" x14ac:dyDescent="0.2">
      <c r="A171" s="1820"/>
      <c r="B171" s="1823"/>
      <c r="C171" s="359"/>
      <c r="D171" s="359"/>
      <c r="E171" s="195"/>
      <c r="F171" s="195"/>
      <c r="G171" s="195"/>
      <c r="H171" s="195"/>
      <c r="I171" s="195"/>
      <c r="J171" s="195"/>
      <c r="K171" s="195"/>
      <c r="L171" s="195"/>
      <c r="M171" s="195"/>
      <c r="N171" s="195"/>
      <c r="O171" s="195"/>
      <c r="P171" s="195"/>
      <c r="Q171" s="195"/>
      <c r="R171" s="195"/>
      <c r="S171" s="195"/>
      <c r="T171" s="359"/>
      <c r="U171" s="1830"/>
      <c r="V171" s="194" t="s">
        <v>1036</v>
      </c>
      <c r="W171" s="333" t="s">
        <v>1037</v>
      </c>
      <c r="X171" s="1241" t="s">
        <v>1038</v>
      </c>
      <c r="Y171" s="220">
        <f>17700*4</f>
        <v>70800</v>
      </c>
      <c r="Z171" s="274">
        <v>17700</v>
      </c>
      <c r="AA171" s="274">
        <v>17700</v>
      </c>
      <c r="AB171" s="199">
        <v>17700</v>
      </c>
      <c r="AC171" s="365">
        <f>+Z171/Y171</f>
        <v>0.25</v>
      </c>
      <c r="AD171" s="365">
        <v>0.25</v>
      </c>
      <c r="AE171" s="365">
        <f>+AB171/Y171</f>
        <v>0.25</v>
      </c>
      <c r="AF171" s="274">
        <v>17700</v>
      </c>
      <c r="AG171" s="274">
        <v>17700</v>
      </c>
      <c r="AH171" s="274"/>
      <c r="AI171" s="298">
        <v>16099</v>
      </c>
      <c r="AJ171" s="274"/>
      <c r="AK171" s="274">
        <v>16069</v>
      </c>
      <c r="AL171" s="365">
        <f>+AK171/AF171</f>
        <v>0.90785310734463276</v>
      </c>
      <c r="AM171" s="199">
        <v>16069</v>
      </c>
      <c r="AN171" s="197">
        <f>+AM171/Y171</f>
        <v>0.22696327683615819</v>
      </c>
      <c r="AO171" s="274">
        <v>17700</v>
      </c>
      <c r="AP171" s="199">
        <v>4343</v>
      </c>
      <c r="AQ171" s="199"/>
      <c r="AR171" s="199">
        <v>3277</v>
      </c>
      <c r="AS171" s="199"/>
      <c r="AT171" s="199">
        <v>7620</v>
      </c>
      <c r="AU171" s="199"/>
      <c r="AV171" s="199">
        <v>15103</v>
      </c>
      <c r="AW171" s="199"/>
      <c r="AX171" s="281">
        <f>+AV171</f>
        <v>15103</v>
      </c>
      <c r="AY171" s="197">
        <f>+AX171/AO171</f>
        <v>0.85327683615819205</v>
      </c>
      <c r="AZ171" s="281">
        <f>+AX171+AM171</f>
        <v>31172</v>
      </c>
      <c r="BA171" s="233">
        <f>+AZ171/Y171</f>
        <v>0.44028248587570623</v>
      </c>
      <c r="BB171" s="199">
        <v>17700</v>
      </c>
      <c r="BC171" s="199">
        <v>4320</v>
      </c>
      <c r="BD171" s="199"/>
      <c r="BE171" s="199">
        <v>2627</v>
      </c>
      <c r="BF171" s="199"/>
      <c r="BG171" s="199">
        <v>11032</v>
      </c>
      <c r="BH171" s="199"/>
      <c r="BI171" s="199">
        <v>5584</v>
      </c>
      <c r="BJ171" s="199"/>
      <c r="BK171" s="199">
        <f>BC171+BE171+BG171+BI171</f>
        <v>23563</v>
      </c>
      <c r="BL171" s="58">
        <v>1</v>
      </c>
      <c r="BM171" s="281">
        <f>BK171+AZ171</f>
        <v>54735</v>
      </c>
      <c r="BN171" s="58">
        <f>BM171/Y171</f>
        <v>0.77309322033898309</v>
      </c>
      <c r="BO171" s="204"/>
      <c r="BP171" s="204"/>
      <c r="BQ171" s="204"/>
      <c r="BR171" s="204"/>
      <c r="BS171" s="204"/>
      <c r="BT171" s="204"/>
      <c r="BU171" s="204"/>
      <c r="BV171" s="204"/>
      <c r="BW171" s="204"/>
      <c r="BX171" s="204"/>
      <c r="BY171" s="204"/>
      <c r="BZ171" s="204"/>
      <c r="CA171" s="204"/>
      <c r="CB171" s="204"/>
      <c r="CC171" s="204"/>
      <c r="CD171" s="204"/>
      <c r="CE171" s="204"/>
      <c r="CF171" s="204"/>
      <c r="CG171" s="204"/>
      <c r="CH171" s="204"/>
      <c r="CI171" s="204"/>
      <c r="CJ171" s="204"/>
      <c r="CK171" s="204"/>
      <c r="CL171" s="204"/>
      <c r="CM171" s="204"/>
      <c r="CN171" s="204"/>
      <c r="CO171" s="204"/>
      <c r="CP171" s="204"/>
      <c r="CQ171" s="204"/>
      <c r="CR171" s="204"/>
      <c r="CS171" s="204"/>
      <c r="CT171" s="204"/>
      <c r="CU171" s="204"/>
      <c r="CV171" s="204"/>
      <c r="CW171" s="204"/>
      <c r="CX171" s="204"/>
      <c r="CY171" s="204"/>
    </row>
    <row r="172" spans="1:103" ht="66" customHeight="1" x14ac:dyDescent="0.2">
      <c r="A172" s="1820"/>
      <c r="B172" s="1823"/>
      <c r="C172" s="359"/>
      <c r="D172" s="359"/>
      <c r="E172" s="195"/>
      <c r="F172" s="195"/>
      <c r="G172" s="195"/>
      <c r="H172" s="195"/>
      <c r="I172" s="195"/>
      <c r="J172" s="195"/>
      <c r="K172" s="195"/>
      <c r="L172" s="195"/>
      <c r="M172" s="195"/>
      <c r="N172" s="195"/>
      <c r="O172" s="195"/>
      <c r="P172" s="195"/>
      <c r="Q172" s="195"/>
      <c r="R172" s="195"/>
      <c r="S172" s="195"/>
      <c r="T172" s="359"/>
      <c r="U172" s="1830"/>
      <c r="V172" s="194" t="s">
        <v>1039</v>
      </c>
      <c r="W172" s="194" t="s">
        <v>1040</v>
      </c>
      <c r="X172" s="1241" t="s">
        <v>1041</v>
      </c>
      <c r="Y172" s="220">
        <f>70*4</f>
        <v>280</v>
      </c>
      <c r="Z172" s="274">
        <v>70</v>
      </c>
      <c r="AA172" s="274">
        <v>70</v>
      </c>
      <c r="AB172" s="199">
        <v>70</v>
      </c>
      <c r="AC172" s="365">
        <f>+Z172/Y172</f>
        <v>0.25</v>
      </c>
      <c r="AD172" s="365">
        <v>0.25</v>
      </c>
      <c r="AE172" s="365">
        <f>+AB172/Y172</f>
        <v>0.25</v>
      </c>
      <c r="AF172" s="274">
        <v>50</v>
      </c>
      <c r="AG172" s="274">
        <v>60</v>
      </c>
      <c r="AH172" s="274"/>
      <c r="AI172" s="205">
        <v>70</v>
      </c>
      <c r="AJ172" s="274"/>
      <c r="AK172" s="205">
        <f t="shared" ref="AK172:AK179" si="18">+AI172</f>
        <v>70</v>
      </c>
      <c r="AL172" s="365">
        <v>1</v>
      </c>
      <c r="AM172" s="196">
        <f t="shared" ref="AM172:AM178" si="19">+AK172</f>
        <v>70</v>
      </c>
      <c r="AN172" s="197">
        <f>+AM172/Y172</f>
        <v>0.25</v>
      </c>
      <c r="AO172" s="274">
        <v>70</v>
      </c>
      <c r="AP172" s="199">
        <v>13</v>
      </c>
      <c r="AQ172" s="199"/>
      <c r="AR172" s="199">
        <v>42</v>
      </c>
      <c r="AS172" s="199"/>
      <c r="AT172" s="199">
        <v>22</v>
      </c>
      <c r="AU172" s="199"/>
      <c r="AV172" s="199">
        <v>0</v>
      </c>
      <c r="AW172" s="199"/>
      <c r="AX172" s="281">
        <f>+AP172+AR172+AT172</f>
        <v>77</v>
      </c>
      <c r="AY172" s="197">
        <v>1</v>
      </c>
      <c r="AZ172" s="196">
        <f>+AX172+AM172</f>
        <v>147</v>
      </c>
      <c r="BA172" s="233">
        <v>0.51</v>
      </c>
      <c r="BB172" s="199">
        <v>70</v>
      </c>
      <c r="BC172" s="199">
        <v>14</v>
      </c>
      <c r="BD172" s="199"/>
      <c r="BE172" s="199">
        <v>33</v>
      </c>
      <c r="BF172" s="199"/>
      <c r="BG172" s="199">
        <v>67</v>
      </c>
      <c r="BH172" s="199"/>
      <c r="BI172" s="199">
        <v>3</v>
      </c>
      <c r="BJ172" s="199"/>
      <c r="BK172" s="199">
        <f>+BG172+BI172</f>
        <v>70</v>
      </c>
      <c r="BL172" s="58">
        <f>+BK172/BB172</f>
        <v>1</v>
      </c>
      <c r="BM172" s="196">
        <f>BK172+AZ172</f>
        <v>217</v>
      </c>
      <c r="BN172" s="58">
        <f>BM172/Y172</f>
        <v>0.77500000000000002</v>
      </c>
      <c r="BO172" s="204"/>
      <c r="BP172" s="204"/>
      <c r="BQ172" s="204"/>
      <c r="BR172" s="204"/>
      <c r="BS172" s="204"/>
      <c r="BT172" s="204"/>
      <c r="BU172" s="204"/>
      <c r="BV172" s="204"/>
      <c r="BW172" s="204"/>
      <c r="BX172" s="204"/>
      <c r="BY172" s="204"/>
      <c r="BZ172" s="204"/>
      <c r="CA172" s="204"/>
      <c r="CB172" s="204"/>
      <c r="CC172" s="204"/>
      <c r="CD172" s="204"/>
      <c r="CE172" s="204"/>
      <c r="CF172" s="204"/>
      <c r="CG172" s="204"/>
      <c r="CH172" s="204"/>
      <c r="CI172" s="204"/>
      <c r="CJ172" s="204"/>
      <c r="CK172" s="204"/>
      <c r="CL172" s="204"/>
      <c r="CM172" s="204"/>
      <c r="CN172" s="204"/>
      <c r="CO172" s="204"/>
      <c r="CP172" s="204"/>
      <c r="CQ172" s="204"/>
      <c r="CR172" s="204"/>
      <c r="CS172" s="204"/>
      <c r="CT172" s="204"/>
      <c r="CU172" s="204"/>
      <c r="CV172" s="204"/>
      <c r="CW172" s="204"/>
      <c r="CX172" s="204"/>
      <c r="CY172" s="204"/>
    </row>
    <row r="173" spans="1:103" ht="46.5" customHeight="1" x14ac:dyDescent="0.2">
      <c r="A173" s="1820"/>
      <c r="B173" s="1823"/>
      <c r="C173" s="359"/>
      <c r="D173" s="359"/>
      <c r="E173" s="195"/>
      <c r="F173" s="195"/>
      <c r="G173" s="195"/>
      <c r="H173" s="195"/>
      <c r="I173" s="195"/>
      <c r="J173" s="195"/>
      <c r="K173" s="195"/>
      <c r="L173" s="195"/>
      <c r="M173" s="195"/>
      <c r="N173" s="195"/>
      <c r="O173" s="195"/>
      <c r="P173" s="195"/>
      <c r="Q173" s="195"/>
      <c r="R173" s="195"/>
      <c r="S173" s="195"/>
      <c r="T173" s="359"/>
      <c r="U173" s="1830"/>
      <c r="V173" s="194" t="s">
        <v>1042</v>
      </c>
      <c r="W173" s="194" t="s">
        <v>1043</v>
      </c>
      <c r="X173" s="1241" t="s">
        <v>1044</v>
      </c>
      <c r="Y173" s="379">
        <v>0.05</v>
      </c>
      <c r="Z173" s="379">
        <v>0.05</v>
      </c>
      <c r="AA173" s="379">
        <v>0.05</v>
      </c>
      <c r="AB173" s="199">
        <v>0.05</v>
      </c>
      <c r="AC173" s="217">
        <v>0.25</v>
      </c>
      <c r="AD173" s="217">
        <v>0.25</v>
      </c>
      <c r="AE173" s="365">
        <v>0.25</v>
      </c>
      <c r="AF173" s="216">
        <v>7.0000000000000007E-2</v>
      </c>
      <c r="AG173" s="217">
        <v>0.05</v>
      </c>
      <c r="AH173" s="365"/>
      <c r="AI173" s="404">
        <v>0.03</v>
      </c>
      <c r="AJ173" s="365"/>
      <c r="AK173" s="205">
        <f t="shared" si="18"/>
        <v>0.03</v>
      </c>
      <c r="AL173" s="365">
        <v>1</v>
      </c>
      <c r="AM173" s="275">
        <f t="shared" si="19"/>
        <v>0.03</v>
      </c>
      <c r="AN173" s="197">
        <v>0.25</v>
      </c>
      <c r="AO173" s="379">
        <v>0.05</v>
      </c>
      <c r="AP173" s="199">
        <v>1</v>
      </c>
      <c r="AQ173" s="199"/>
      <c r="AR173" s="199"/>
      <c r="AS173" s="199"/>
      <c r="AT173" s="199">
        <v>9.5000000000000001E-2</v>
      </c>
      <c r="AU173" s="199"/>
      <c r="AV173" s="199">
        <v>7.8</v>
      </c>
      <c r="AW173" s="199"/>
      <c r="AX173" s="199">
        <v>1</v>
      </c>
      <c r="AY173" s="197">
        <v>0</v>
      </c>
      <c r="AZ173" s="197">
        <v>0.25</v>
      </c>
      <c r="BA173" s="233">
        <v>0.25</v>
      </c>
      <c r="BB173" s="199">
        <v>0.05</v>
      </c>
      <c r="BC173" s="199">
        <v>0.05</v>
      </c>
      <c r="BD173" s="199"/>
      <c r="BE173" s="199">
        <f>+BC173</f>
        <v>0.05</v>
      </c>
      <c r="BF173" s="199"/>
      <c r="BG173" s="199">
        <f>+BE173</f>
        <v>0.05</v>
      </c>
      <c r="BH173" s="199"/>
      <c r="BI173" s="199"/>
      <c r="BJ173" s="199"/>
      <c r="BK173" s="199">
        <v>0.05</v>
      </c>
      <c r="BL173" s="197">
        <v>0.75</v>
      </c>
      <c r="BM173" s="199">
        <v>0.05</v>
      </c>
      <c r="BN173" s="230">
        <f>BA173+(6.25%)+6.25%+6.25%+6.25%</f>
        <v>0.5</v>
      </c>
      <c r="BO173" s="204"/>
      <c r="BP173" s="204"/>
      <c r="BQ173" s="204"/>
      <c r="BR173" s="204"/>
      <c r="BS173" s="204"/>
      <c r="BT173" s="204"/>
      <c r="BU173" s="204"/>
      <c r="BV173" s="204"/>
      <c r="BW173" s="204"/>
      <c r="BX173" s="204"/>
      <c r="BY173" s="204"/>
      <c r="BZ173" s="204"/>
      <c r="CA173" s="204"/>
      <c r="CB173" s="204"/>
      <c r="CC173" s="204"/>
      <c r="CD173" s="204"/>
      <c r="CE173" s="204"/>
      <c r="CF173" s="204"/>
      <c r="CG173" s="204"/>
      <c r="CH173" s="204"/>
      <c r="CI173" s="204"/>
      <c r="CJ173" s="204"/>
      <c r="CK173" s="204"/>
      <c r="CL173" s="204"/>
      <c r="CM173" s="204"/>
      <c r="CN173" s="204"/>
      <c r="CO173" s="204"/>
      <c r="CP173" s="204"/>
      <c r="CQ173" s="204"/>
      <c r="CR173" s="204"/>
      <c r="CS173" s="204"/>
      <c r="CT173" s="204"/>
      <c r="CU173" s="204"/>
      <c r="CV173" s="204"/>
      <c r="CW173" s="204"/>
      <c r="CX173" s="204"/>
      <c r="CY173" s="204"/>
    </row>
    <row r="174" spans="1:103" ht="78" customHeight="1" x14ac:dyDescent="0.2">
      <c r="A174" s="1820"/>
      <c r="B174" s="1823"/>
      <c r="C174" s="359"/>
      <c r="D174" s="359"/>
      <c r="E174" s="195"/>
      <c r="F174" s="195"/>
      <c r="G174" s="195"/>
      <c r="H174" s="195"/>
      <c r="I174" s="195"/>
      <c r="J174" s="195"/>
      <c r="K174" s="195"/>
      <c r="L174" s="195"/>
      <c r="M174" s="195"/>
      <c r="N174" s="195"/>
      <c r="O174" s="195"/>
      <c r="P174" s="195"/>
      <c r="Q174" s="195"/>
      <c r="R174" s="195"/>
      <c r="S174" s="195"/>
      <c r="T174" s="359"/>
      <c r="U174" s="1830"/>
      <c r="V174" s="194" t="s">
        <v>1045</v>
      </c>
      <c r="W174" s="326" t="s">
        <v>1046</v>
      </c>
      <c r="X174" s="1241" t="s">
        <v>1047</v>
      </c>
      <c r="Y174" s="205">
        <v>1</v>
      </c>
      <c r="Z174" s="405">
        <v>0.25</v>
      </c>
      <c r="AA174" s="405">
        <v>0.25</v>
      </c>
      <c r="AB174" s="199">
        <v>1</v>
      </c>
      <c r="AC174" s="365">
        <v>0.25</v>
      </c>
      <c r="AD174" s="365">
        <v>0.25</v>
      </c>
      <c r="AE174" s="365"/>
      <c r="AF174" s="205">
        <v>0.25</v>
      </c>
      <c r="AG174" s="365">
        <v>0.25</v>
      </c>
      <c r="AH174" s="365"/>
      <c r="AI174" s="406">
        <v>0.25</v>
      </c>
      <c r="AJ174" s="365"/>
      <c r="AK174" s="407">
        <f t="shared" si="18"/>
        <v>0.25</v>
      </c>
      <c r="AL174" s="365">
        <v>0.25</v>
      </c>
      <c r="AM174" s="388">
        <f t="shared" si="19"/>
        <v>0.25</v>
      </c>
      <c r="AN174" s="197">
        <v>0.25</v>
      </c>
      <c r="AO174" s="405">
        <v>0.25</v>
      </c>
      <c r="AP174" s="199">
        <v>0.04</v>
      </c>
      <c r="AQ174" s="199"/>
      <c r="AR174" s="199">
        <v>0.125</v>
      </c>
      <c r="AS174" s="199"/>
      <c r="AT174" s="199">
        <v>0.18</v>
      </c>
      <c r="AU174" s="199"/>
      <c r="AV174" s="199">
        <v>0.4</v>
      </c>
      <c r="AW174" s="199"/>
      <c r="AX174" s="199">
        <f>+AP174+AR174+AT174+AV174</f>
        <v>0.745</v>
      </c>
      <c r="AY174" s="197">
        <v>1</v>
      </c>
      <c r="AZ174" s="388">
        <f>+AX174+AM174</f>
        <v>0.995</v>
      </c>
      <c r="BA174" s="233">
        <f>+AZ174/Y174</f>
        <v>0.995</v>
      </c>
      <c r="BB174" s="199">
        <v>0.25</v>
      </c>
      <c r="BC174" s="199">
        <v>6.25E-2</v>
      </c>
      <c r="BD174" s="199"/>
      <c r="BE174" s="199">
        <v>5.2499999999999998E-2</v>
      </c>
      <c r="BF174" s="199"/>
      <c r="BG174" s="199">
        <v>5.2499999999999998E-2</v>
      </c>
      <c r="BH174" s="324" t="s">
        <v>2220</v>
      </c>
      <c r="BI174" s="199">
        <v>6.25E-2</v>
      </c>
      <c r="BJ174" s="199"/>
      <c r="BK174" s="199">
        <f>+BC174+BE174+BG174+BI174</f>
        <v>0.22999999999999998</v>
      </c>
      <c r="BL174" s="230">
        <f>+BK174/BB174</f>
        <v>0.91999999999999993</v>
      </c>
      <c r="BM174" s="199">
        <v>1</v>
      </c>
      <c r="BN174" s="230">
        <v>0.73</v>
      </c>
      <c r="BO174" s="204"/>
      <c r="BP174" s="204"/>
      <c r="BQ174" s="204"/>
      <c r="BR174" s="204"/>
      <c r="BS174" s="204"/>
      <c r="BT174" s="204"/>
      <c r="BU174" s="204"/>
      <c r="BV174" s="204"/>
      <c r="BW174" s="204"/>
      <c r="BX174" s="204"/>
      <c r="BY174" s="204"/>
      <c r="BZ174" s="204"/>
      <c r="CA174" s="204"/>
      <c r="CB174" s="204"/>
      <c r="CC174" s="204"/>
      <c r="CD174" s="204"/>
      <c r="CE174" s="204"/>
      <c r="CF174" s="204"/>
      <c r="CG174" s="204"/>
      <c r="CH174" s="204"/>
      <c r="CI174" s="204"/>
      <c r="CJ174" s="204"/>
      <c r="CK174" s="204"/>
      <c r="CL174" s="204"/>
      <c r="CM174" s="204"/>
      <c r="CN174" s="204"/>
      <c r="CO174" s="204"/>
      <c r="CP174" s="204"/>
      <c r="CQ174" s="204"/>
      <c r="CR174" s="204"/>
      <c r="CS174" s="204"/>
      <c r="CT174" s="204"/>
      <c r="CU174" s="204"/>
      <c r="CV174" s="204"/>
      <c r="CW174" s="204"/>
      <c r="CX174" s="204"/>
      <c r="CY174" s="204"/>
    </row>
    <row r="175" spans="1:103" ht="92.25" customHeight="1" x14ac:dyDescent="0.2">
      <c r="A175" s="1820"/>
      <c r="B175" s="1823"/>
      <c r="C175" s="359"/>
      <c r="D175" s="359"/>
      <c r="E175" s="195"/>
      <c r="F175" s="195"/>
      <c r="G175" s="195"/>
      <c r="H175" s="195"/>
      <c r="I175" s="195"/>
      <c r="J175" s="195"/>
      <c r="K175" s="195"/>
      <c r="L175" s="195"/>
      <c r="M175" s="195"/>
      <c r="N175" s="195"/>
      <c r="O175" s="195"/>
      <c r="P175" s="195"/>
      <c r="Q175" s="195"/>
      <c r="R175" s="195"/>
      <c r="S175" s="195"/>
      <c r="T175" s="359"/>
      <c r="U175" s="1830"/>
      <c r="V175" s="194" t="s">
        <v>1048</v>
      </c>
      <c r="W175" s="194" t="s">
        <v>1049</v>
      </c>
      <c r="X175" s="1241" t="s">
        <v>1050</v>
      </c>
      <c r="Y175" s="205">
        <f>10*4</f>
        <v>40</v>
      </c>
      <c r="Z175" s="205">
        <v>10</v>
      </c>
      <c r="AA175" s="205">
        <v>10</v>
      </c>
      <c r="AB175" s="199">
        <v>10</v>
      </c>
      <c r="AC175" s="365">
        <v>0.25</v>
      </c>
      <c r="AD175" s="365">
        <v>0.25</v>
      </c>
      <c r="AE175" s="365">
        <f>+AB175/Y175</f>
        <v>0.25</v>
      </c>
      <c r="AF175" s="205">
        <v>5</v>
      </c>
      <c r="AG175" s="205">
        <v>8</v>
      </c>
      <c r="AH175" s="274"/>
      <c r="AI175" s="205">
        <v>10</v>
      </c>
      <c r="AJ175" s="274"/>
      <c r="AK175" s="205">
        <f t="shared" si="18"/>
        <v>10</v>
      </c>
      <c r="AL175" s="365">
        <f>+AK175/Z175</f>
        <v>1</v>
      </c>
      <c r="AM175" s="196">
        <f t="shared" si="19"/>
        <v>10</v>
      </c>
      <c r="AN175" s="230">
        <f>+AM175/Y175</f>
        <v>0.25</v>
      </c>
      <c r="AO175" s="205">
        <v>10</v>
      </c>
      <c r="AP175" s="199">
        <v>1</v>
      </c>
      <c r="AQ175" s="199"/>
      <c r="AR175" s="199">
        <v>5</v>
      </c>
      <c r="AS175" s="199"/>
      <c r="AT175" s="199">
        <v>4</v>
      </c>
      <c r="AU175" s="199"/>
      <c r="AV175" s="199">
        <v>0</v>
      </c>
      <c r="AW175" s="199"/>
      <c r="AX175" s="199">
        <f>+AP175+AR175+AT175</f>
        <v>10</v>
      </c>
      <c r="AY175" s="197">
        <f>+AX175/AA175</f>
        <v>1</v>
      </c>
      <c r="AZ175" s="196">
        <f>+AX175+AM175</f>
        <v>20</v>
      </c>
      <c r="BA175" s="376">
        <v>0.51</v>
      </c>
      <c r="BB175" s="199">
        <v>10</v>
      </c>
      <c r="BC175" s="199">
        <v>5</v>
      </c>
      <c r="BD175" s="199"/>
      <c r="BE175" s="199">
        <v>3</v>
      </c>
      <c r="BF175" s="199"/>
      <c r="BG175" s="199">
        <v>4</v>
      </c>
      <c r="BH175" s="199"/>
      <c r="BI175" s="199">
        <v>0</v>
      </c>
      <c r="BJ175" s="199"/>
      <c r="BK175" s="199">
        <f>5+BE175+BG175</f>
        <v>12</v>
      </c>
      <c r="BL175" s="197">
        <v>1</v>
      </c>
      <c r="BM175" s="196">
        <f>BK175+AZ175</f>
        <v>32</v>
      </c>
      <c r="BN175" s="58">
        <f>+BM175/Y175</f>
        <v>0.8</v>
      </c>
      <c r="BO175" s="204"/>
      <c r="BP175" s="204"/>
      <c r="BQ175" s="204"/>
      <c r="BR175" s="204"/>
      <c r="BS175" s="204"/>
      <c r="BT175" s="204"/>
      <c r="BU175" s="204"/>
      <c r="BV175" s="204"/>
      <c r="BW175" s="204"/>
      <c r="BX175" s="204"/>
      <c r="BY175" s="204"/>
      <c r="BZ175" s="204"/>
      <c r="CA175" s="204"/>
      <c r="CB175" s="204"/>
      <c r="CC175" s="204"/>
      <c r="CD175" s="204"/>
      <c r="CE175" s="204"/>
      <c r="CF175" s="204"/>
      <c r="CG175" s="204"/>
      <c r="CH175" s="204"/>
      <c r="CI175" s="204"/>
      <c r="CJ175" s="204"/>
      <c r="CK175" s="204"/>
      <c r="CL175" s="204"/>
      <c r="CM175" s="204"/>
      <c r="CN175" s="204"/>
      <c r="CO175" s="204"/>
      <c r="CP175" s="204"/>
      <c r="CQ175" s="204"/>
      <c r="CR175" s="204"/>
      <c r="CS175" s="204"/>
      <c r="CT175" s="204"/>
      <c r="CU175" s="204"/>
      <c r="CV175" s="204"/>
      <c r="CW175" s="204"/>
      <c r="CX175" s="204"/>
      <c r="CY175" s="204"/>
    </row>
    <row r="176" spans="1:103" ht="53.25" customHeight="1" x14ac:dyDescent="0.2">
      <c r="A176" s="1820"/>
      <c r="B176" s="1823"/>
      <c r="C176" s="359"/>
      <c r="D176" s="359"/>
      <c r="E176" s="195"/>
      <c r="F176" s="195"/>
      <c r="G176" s="195"/>
      <c r="H176" s="195"/>
      <c r="I176" s="195"/>
      <c r="J176" s="195"/>
      <c r="K176" s="195"/>
      <c r="L176" s="195"/>
      <c r="M176" s="195"/>
      <c r="N176" s="195"/>
      <c r="O176" s="195"/>
      <c r="P176" s="195"/>
      <c r="Q176" s="195"/>
      <c r="R176" s="195"/>
      <c r="S176" s="195"/>
      <c r="T176" s="359"/>
      <c r="U176" s="1830"/>
      <c r="V176" s="194" t="s">
        <v>1051</v>
      </c>
      <c r="W176" s="194" t="s">
        <v>1052</v>
      </c>
      <c r="X176" s="1241" t="s">
        <v>1053</v>
      </c>
      <c r="Y176" s="216">
        <v>28</v>
      </c>
      <c r="Z176" s="216">
        <v>31</v>
      </c>
      <c r="AA176" s="216">
        <v>28</v>
      </c>
      <c r="AB176" s="199" t="s">
        <v>1055</v>
      </c>
      <c r="AC176" s="217">
        <v>0.25</v>
      </c>
      <c r="AD176" s="217">
        <v>0.25</v>
      </c>
      <c r="AE176" s="365">
        <v>0.25</v>
      </c>
      <c r="AF176" s="216" t="s">
        <v>1054</v>
      </c>
      <c r="AG176" s="379">
        <v>9.5</v>
      </c>
      <c r="AH176" s="274"/>
      <c r="AI176" s="205">
        <v>9.8000000000000007</v>
      </c>
      <c r="AJ176" s="274"/>
      <c r="AK176" s="205">
        <f t="shared" si="18"/>
        <v>9.8000000000000007</v>
      </c>
      <c r="AL176" s="365">
        <v>1</v>
      </c>
      <c r="AM176" s="352">
        <f t="shared" si="19"/>
        <v>9.8000000000000007</v>
      </c>
      <c r="AN176" s="197">
        <v>0.25</v>
      </c>
      <c r="AO176" s="216">
        <v>28</v>
      </c>
      <c r="AP176" s="199"/>
      <c r="AQ176" s="199"/>
      <c r="AR176" s="199">
        <v>0</v>
      </c>
      <c r="AS176" s="199"/>
      <c r="AT176" s="199">
        <v>2.14</v>
      </c>
      <c r="AU176" s="199"/>
      <c r="AV176" s="199"/>
      <c r="AW176" s="199"/>
      <c r="AX176" s="199">
        <f>+AT176</f>
        <v>2.14</v>
      </c>
      <c r="AY176" s="197">
        <v>1</v>
      </c>
      <c r="AZ176" s="199">
        <f>+AX176</f>
        <v>2.14</v>
      </c>
      <c r="BA176" s="376">
        <v>0.51</v>
      </c>
      <c r="BB176" s="199" t="s">
        <v>1055</v>
      </c>
      <c r="BC176" s="199" t="s">
        <v>1055</v>
      </c>
      <c r="BD176" s="199"/>
      <c r="BE176" s="199" t="s">
        <v>1055</v>
      </c>
      <c r="BF176" s="199"/>
      <c r="BG176" s="199" t="s">
        <v>2221</v>
      </c>
      <c r="BH176" s="324" t="s">
        <v>2218</v>
      </c>
      <c r="BI176" s="199" t="s">
        <v>2295</v>
      </c>
      <c r="BJ176" s="199"/>
      <c r="BK176" s="199" t="str">
        <f>+BI176</f>
        <v xml:space="preserve">11,6 x 100.000 </v>
      </c>
      <c r="BL176" s="197">
        <v>1</v>
      </c>
      <c r="BM176" s="199" t="str">
        <f>+BK176</f>
        <v xml:space="preserve">11,6 x 100.000 </v>
      </c>
      <c r="BN176" s="58">
        <v>0.75</v>
      </c>
      <c r="BO176" s="204"/>
      <c r="BP176" s="204"/>
      <c r="BQ176" s="204"/>
      <c r="BR176" s="204"/>
      <c r="BS176" s="204"/>
      <c r="BT176" s="204"/>
      <c r="BU176" s="204"/>
      <c r="BV176" s="204"/>
      <c r="BW176" s="204"/>
      <c r="BX176" s="204"/>
      <c r="BY176" s="204"/>
      <c r="BZ176" s="204"/>
      <c r="CA176" s="204"/>
      <c r="CB176" s="204"/>
      <c r="CC176" s="204"/>
      <c r="CD176" s="204"/>
      <c r="CE176" s="204"/>
      <c r="CF176" s="204"/>
      <c r="CG176" s="204"/>
      <c r="CH176" s="204"/>
      <c r="CI176" s="204"/>
      <c r="CJ176" s="204"/>
      <c r="CK176" s="204"/>
      <c r="CL176" s="204"/>
      <c r="CM176" s="204"/>
      <c r="CN176" s="204"/>
      <c r="CO176" s="204"/>
      <c r="CP176" s="204"/>
      <c r="CQ176" s="204"/>
      <c r="CR176" s="204"/>
      <c r="CS176" s="204"/>
      <c r="CT176" s="204"/>
      <c r="CU176" s="204"/>
      <c r="CV176" s="204"/>
      <c r="CW176" s="204"/>
      <c r="CX176" s="204"/>
      <c r="CY176" s="204"/>
    </row>
    <row r="177" spans="1:103" ht="84" customHeight="1" x14ac:dyDescent="0.2">
      <c r="A177" s="1820"/>
      <c r="B177" s="1823"/>
      <c r="C177" s="359"/>
      <c r="D177" s="359"/>
      <c r="E177" s="195"/>
      <c r="F177" s="195"/>
      <c r="G177" s="195"/>
      <c r="H177" s="195"/>
      <c r="I177" s="195"/>
      <c r="J177" s="195"/>
      <c r="K177" s="195"/>
      <c r="L177" s="195"/>
      <c r="M177" s="195"/>
      <c r="N177" s="195"/>
      <c r="O177" s="195"/>
      <c r="P177" s="195"/>
      <c r="Q177" s="195"/>
      <c r="R177" s="195"/>
      <c r="S177" s="195"/>
      <c r="T177" s="359"/>
      <c r="U177" s="1830"/>
      <c r="V177" s="194" t="s">
        <v>1056</v>
      </c>
      <c r="W177" s="194" t="s">
        <v>1057</v>
      </c>
      <c r="X177" s="1241" t="s">
        <v>1058</v>
      </c>
      <c r="Y177" s="205">
        <v>600</v>
      </c>
      <c r="Z177" s="205">
        <v>150</v>
      </c>
      <c r="AA177" s="205">
        <v>150</v>
      </c>
      <c r="AB177" s="199">
        <v>150</v>
      </c>
      <c r="AC177" s="365">
        <f>+Z177/Y177</f>
        <v>0.25</v>
      </c>
      <c r="AD177" s="365">
        <v>0.25</v>
      </c>
      <c r="AE177" s="365">
        <f>+AB177/Y177</f>
        <v>0.25</v>
      </c>
      <c r="AF177" s="205">
        <v>50</v>
      </c>
      <c r="AG177" s="205">
        <v>100</v>
      </c>
      <c r="AH177" s="274"/>
      <c r="AI177" s="205">
        <v>150</v>
      </c>
      <c r="AJ177" s="274"/>
      <c r="AK177" s="205">
        <f t="shared" si="18"/>
        <v>150</v>
      </c>
      <c r="AL177" s="197">
        <f>+AK177/Z177</f>
        <v>1</v>
      </c>
      <c r="AM177" s="352">
        <f t="shared" si="19"/>
        <v>150</v>
      </c>
      <c r="AN177" s="197">
        <f>+AM177/Y177</f>
        <v>0.25</v>
      </c>
      <c r="AO177" s="205">
        <v>150</v>
      </c>
      <c r="AP177" s="199">
        <v>0</v>
      </c>
      <c r="AQ177" s="199"/>
      <c r="AR177" s="199">
        <v>30</v>
      </c>
      <c r="AS177" s="199"/>
      <c r="AT177" s="199">
        <v>50</v>
      </c>
      <c r="AU177" s="199"/>
      <c r="AV177" s="199">
        <v>70</v>
      </c>
      <c r="AW177" s="199"/>
      <c r="AX177" s="199">
        <f>+AR177+AT177+AV177</f>
        <v>150</v>
      </c>
      <c r="AY177" s="197">
        <f>+AX177/AO177</f>
        <v>1</v>
      </c>
      <c r="AZ177" s="199">
        <f>150+AX177</f>
        <v>300</v>
      </c>
      <c r="BA177" s="376">
        <v>0.52800000000000002</v>
      </c>
      <c r="BB177" s="199">
        <v>150</v>
      </c>
      <c r="BC177" s="199">
        <v>0</v>
      </c>
      <c r="BD177" s="199"/>
      <c r="BE177" s="199">
        <v>0</v>
      </c>
      <c r="BF177" s="199"/>
      <c r="BG177" s="199">
        <v>0</v>
      </c>
      <c r="BH177" s="324" t="s">
        <v>2218</v>
      </c>
      <c r="BI177" s="199">
        <v>150</v>
      </c>
      <c r="BJ177" s="199"/>
      <c r="BK177" s="199">
        <f>+BI177</f>
        <v>150</v>
      </c>
      <c r="BL177" s="197">
        <f>+BK177/BB177</f>
        <v>1</v>
      </c>
      <c r="BM177" s="199">
        <f>AZ177+BK177</f>
        <v>450</v>
      </c>
      <c r="BN177" s="58">
        <f>+BM177/Y177</f>
        <v>0.75</v>
      </c>
      <c r="BO177" s="204"/>
      <c r="BP177" s="204"/>
      <c r="BQ177" s="204"/>
      <c r="BR177" s="204"/>
      <c r="BS177" s="204"/>
      <c r="BT177" s="204"/>
      <c r="BU177" s="204"/>
      <c r="BV177" s="204"/>
      <c r="BW177" s="204"/>
      <c r="BX177" s="204"/>
      <c r="BY177" s="204"/>
      <c r="BZ177" s="204"/>
      <c r="CA177" s="204"/>
      <c r="CB177" s="204"/>
      <c r="CC177" s="204"/>
      <c r="CD177" s="204"/>
      <c r="CE177" s="204"/>
      <c r="CF177" s="204"/>
      <c r="CG177" s="204"/>
      <c r="CH177" s="204"/>
      <c r="CI177" s="204"/>
      <c r="CJ177" s="204"/>
      <c r="CK177" s="204"/>
      <c r="CL177" s="204"/>
      <c r="CM177" s="204"/>
      <c r="CN177" s="204"/>
      <c r="CO177" s="204"/>
      <c r="CP177" s="204"/>
      <c r="CQ177" s="204"/>
      <c r="CR177" s="204"/>
      <c r="CS177" s="204"/>
      <c r="CT177" s="204"/>
      <c r="CU177" s="204"/>
      <c r="CV177" s="204"/>
      <c r="CW177" s="204"/>
      <c r="CX177" s="204"/>
      <c r="CY177" s="204"/>
    </row>
    <row r="178" spans="1:103" ht="81" customHeight="1" x14ac:dyDescent="0.2">
      <c r="A178" s="1820"/>
      <c r="B178" s="1823"/>
      <c r="C178" s="359"/>
      <c r="D178" s="359"/>
      <c r="E178" s="195"/>
      <c r="F178" s="195"/>
      <c r="G178" s="195"/>
      <c r="H178" s="195"/>
      <c r="I178" s="195"/>
      <c r="J178" s="195"/>
      <c r="K178" s="195"/>
      <c r="L178" s="195"/>
      <c r="M178" s="195"/>
      <c r="N178" s="195"/>
      <c r="O178" s="195"/>
      <c r="P178" s="195"/>
      <c r="Q178" s="195"/>
      <c r="R178" s="195"/>
      <c r="S178" s="195"/>
      <c r="T178" s="359"/>
      <c r="U178" s="1830"/>
      <c r="V178" s="194" t="s">
        <v>1059</v>
      </c>
      <c r="W178" s="326" t="s">
        <v>1060</v>
      </c>
      <c r="X178" s="1241" t="s">
        <v>1061</v>
      </c>
      <c r="Y178" s="216">
        <f>50*4</f>
        <v>200</v>
      </c>
      <c r="Z178" s="216">
        <v>50</v>
      </c>
      <c r="AA178" s="216">
        <v>50</v>
      </c>
      <c r="AB178" s="199">
        <v>50</v>
      </c>
      <c r="AC178" s="365">
        <f>+Z178/Y178</f>
        <v>0.25</v>
      </c>
      <c r="AD178" s="365">
        <v>0.25</v>
      </c>
      <c r="AE178" s="365">
        <f>+AB178/Y178</f>
        <v>0.25</v>
      </c>
      <c r="AF178" s="216">
        <v>0.5</v>
      </c>
      <c r="AG178" s="383">
        <v>0.5</v>
      </c>
      <c r="AH178" s="274"/>
      <c r="AI178" s="408">
        <v>45</v>
      </c>
      <c r="AJ178" s="274"/>
      <c r="AK178" s="282">
        <f t="shared" si="18"/>
        <v>45</v>
      </c>
      <c r="AL178" s="197">
        <f>+AK178/50</f>
        <v>0.9</v>
      </c>
      <c r="AM178" s="352">
        <f t="shared" si="19"/>
        <v>45</v>
      </c>
      <c r="AN178" s="230">
        <f>+AM178/Y178</f>
        <v>0.22500000000000001</v>
      </c>
      <c r="AO178" s="216">
        <v>50</v>
      </c>
      <c r="AP178" s="199">
        <v>5</v>
      </c>
      <c r="AQ178" s="199"/>
      <c r="AR178" s="199">
        <v>25</v>
      </c>
      <c r="AS178" s="199"/>
      <c r="AT178" s="199">
        <v>20</v>
      </c>
      <c r="AU178" s="199"/>
      <c r="AV178" s="199">
        <v>0</v>
      </c>
      <c r="AW178" s="199"/>
      <c r="AX178" s="199">
        <f>5+AR178+AT178</f>
        <v>50</v>
      </c>
      <c r="AY178" s="197">
        <f>+AX178/AA178</f>
        <v>1</v>
      </c>
      <c r="AZ178" s="352">
        <f>+AX178+AM178</f>
        <v>95</v>
      </c>
      <c r="BA178" s="233">
        <f>+AZ178/Y178</f>
        <v>0.47499999999999998</v>
      </c>
      <c r="BB178" s="199">
        <v>50</v>
      </c>
      <c r="BC178" s="199">
        <v>0</v>
      </c>
      <c r="BD178" s="199"/>
      <c r="BE178" s="199">
        <v>25</v>
      </c>
      <c r="BF178" s="199"/>
      <c r="BG178" s="199">
        <v>0</v>
      </c>
      <c r="BH178" s="199"/>
      <c r="BI178" s="199">
        <v>25</v>
      </c>
      <c r="BJ178" s="199"/>
      <c r="BK178" s="199">
        <f>+BE178+BI178</f>
        <v>50</v>
      </c>
      <c r="BL178" s="58">
        <v>1</v>
      </c>
      <c r="BM178" s="352">
        <f>BK178+AZ178</f>
        <v>145</v>
      </c>
      <c r="BN178" s="58">
        <f>BM178/Y178</f>
        <v>0.72499999999999998</v>
      </c>
      <c r="BO178" s="204"/>
      <c r="BP178" s="204"/>
      <c r="BQ178" s="204"/>
      <c r="BR178" s="204"/>
      <c r="BS178" s="204"/>
      <c r="BT178" s="204"/>
      <c r="BU178" s="204"/>
      <c r="BV178" s="204"/>
      <c r="BW178" s="204"/>
      <c r="BX178" s="204"/>
      <c r="BY178" s="204"/>
      <c r="BZ178" s="204"/>
      <c r="CA178" s="204"/>
      <c r="CB178" s="204"/>
      <c r="CC178" s="204"/>
      <c r="CD178" s="204"/>
      <c r="CE178" s="204"/>
      <c r="CF178" s="204"/>
      <c r="CG178" s="204"/>
      <c r="CH178" s="204"/>
      <c r="CI178" s="204"/>
      <c r="CJ178" s="204"/>
      <c r="CK178" s="204"/>
      <c r="CL178" s="204"/>
      <c r="CM178" s="204"/>
      <c r="CN178" s="204"/>
      <c r="CO178" s="204"/>
      <c r="CP178" s="204"/>
      <c r="CQ178" s="204"/>
      <c r="CR178" s="204"/>
      <c r="CS178" s="204"/>
      <c r="CT178" s="204"/>
      <c r="CU178" s="204"/>
      <c r="CV178" s="204"/>
      <c r="CW178" s="204"/>
      <c r="CX178" s="204"/>
      <c r="CY178" s="204"/>
    </row>
    <row r="179" spans="1:103" ht="56.25" customHeight="1" x14ac:dyDescent="0.2">
      <c r="A179" s="1820"/>
      <c r="B179" s="1823"/>
      <c r="C179" s="359"/>
      <c r="D179" s="359"/>
      <c r="E179" s="195"/>
      <c r="F179" s="195"/>
      <c r="G179" s="195"/>
      <c r="H179" s="195"/>
      <c r="I179" s="195"/>
      <c r="J179" s="195"/>
      <c r="K179" s="195"/>
      <c r="L179" s="195"/>
      <c r="M179" s="195"/>
      <c r="N179" s="195"/>
      <c r="O179" s="195"/>
      <c r="P179" s="195"/>
      <c r="Q179" s="195"/>
      <c r="R179" s="195"/>
      <c r="S179" s="195"/>
      <c r="T179" s="359"/>
      <c r="U179" s="1830"/>
      <c r="V179" s="194" t="s">
        <v>1062</v>
      </c>
      <c r="W179" s="326" t="s">
        <v>1063</v>
      </c>
      <c r="X179" s="1241" t="s">
        <v>1064</v>
      </c>
      <c r="Y179" s="216">
        <v>1</v>
      </c>
      <c r="Z179" s="216">
        <v>1</v>
      </c>
      <c r="AA179" s="216">
        <v>1</v>
      </c>
      <c r="AB179" s="199">
        <v>1</v>
      </c>
      <c r="AC179" s="217">
        <v>0.25</v>
      </c>
      <c r="AD179" s="217">
        <v>0.25</v>
      </c>
      <c r="AE179" s="365"/>
      <c r="AF179" s="216">
        <v>0.25</v>
      </c>
      <c r="AG179" s="379">
        <v>0.25</v>
      </c>
      <c r="AH179" s="274"/>
      <c r="AI179" s="205">
        <v>1</v>
      </c>
      <c r="AJ179" s="274"/>
      <c r="AK179" s="365">
        <f t="shared" si="18"/>
        <v>1</v>
      </c>
      <c r="AL179" s="58">
        <f>+AK179/Z179</f>
        <v>1</v>
      </c>
      <c r="AM179" s="275">
        <v>0.25</v>
      </c>
      <c r="AN179" s="197">
        <v>0.25</v>
      </c>
      <c r="AO179" s="383">
        <v>1</v>
      </c>
      <c r="AP179" s="352">
        <v>0.4</v>
      </c>
      <c r="AQ179" s="199"/>
      <c r="AR179" s="352">
        <v>0.2</v>
      </c>
      <c r="AS179" s="199"/>
      <c r="AT179" s="199">
        <v>0.25</v>
      </c>
      <c r="AU179" s="199"/>
      <c r="AV179" s="199">
        <v>0.15</v>
      </c>
      <c r="AW179" s="199"/>
      <c r="AX179" s="275">
        <f>+AP179+AR179+AT179+AV179</f>
        <v>1</v>
      </c>
      <c r="AY179" s="197">
        <f>+AX179</f>
        <v>1</v>
      </c>
      <c r="AZ179" s="199">
        <v>1</v>
      </c>
      <c r="BA179" s="233">
        <v>1</v>
      </c>
      <c r="BB179" s="199">
        <v>1</v>
      </c>
      <c r="BC179" s="199">
        <v>0</v>
      </c>
      <c r="BD179" s="199"/>
      <c r="BE179" s="199">
        <v>0</v>
      </c>
      <c r="BF179" s="199"/>
      <c r="BG179" s="199">
        <v>0</v>
      </c>
      <c r="BH179" s="199" t="s">
        <v>2200</v>
      </c>
      <c r="BI179" s="197">
        <v>1</v>
      </c>
      <c r="BJ179" s="199"/>
      <c r="BK179" s="197">
        <f>+BI179</f>
        <v>1</v>
      </c>
      <c r="BL179" s="197">
        <f>+BK179</f>
        <v>1</v>
      </c>
      <c r="BM179" s="199">
        <f>AZ179</f>
        <v>1</v>
      </c>
      <c r="BN179" s="197">
        <v>1</v>
      </c>
      <c r="BO179" s="204"/>
      <c r="BP179" s="204"/>
      <c r="BQ179" s="204"/>
      <c r="BR179" s="204"/>
      <c r="BS179" s="204"/>
      <c r="BT179" s="204"/>
      <c r="BU179" s="204"/>
      <c r="BV179" s="204"/>
      <c r="BW179" s="204"/>
      <c r="BX179" s="204"/>
      <c r="BY179" s="204"/>
      <c r="BZ179" s="204"/>
      <c r="CA179" s="204"/>
      <c r="CB179" s="204"/>
      <c r="CC179" s="204"/>
      <c r="CD179" s="204"/>
      <c r="CE179" s="204"/>
      <c r="CF179" s="204"/>
      <c r="CG179" s="204"/>
      <c r="CH179" s="204"/>
      <c r="CI179" s="204"/>
      <c r="CJ179" s="204"/>
      <c r="CK179" s="204"/>
      <c r="CL179" s="204"/>
      <c r="CM179" s="204"/>
      <c r="CN179" s="204"/>
      <c r="CO179" s="204"/>
      <c r="CP179" s="204"/>
      <c r="CQ179" s="204"/>
      <c r="CR179" s="204"/>
      <c r="CS179" s="204"/>
      <c r="CT179" s="204"/>
      <c r="CU179" s="204"/>
      <c r="CV179" s="204"/>
      <c r="CW179" s="204"/>
      <c r="CX179" s="204"/>
      <c r="CY179" s="204"/>
    </row>
    <row r="180" spans="1:103" ht="73.5" customHeight="1" x14ac:dyDescent="0.2">
      <c r="A180" s="1820"/>
      <c r="B180" s="1823"/>
      <c r="C180" s="359"/>
      <c r="D180" s="359"/>
      <c r="E180" s="195"/>
      <c r="F180" s="195"/>
      <c r="G180" s="195"/>
      <c r="H180" s="195"/>
      <c r="I180" s="195"/>
      <c r="J180" s="195"/>
      <c r="K180" s="195"/>
      <c r="L180" s="195"/>
      <c r="M180" s="195"/>
      <c r="N180" s="195"/>
      <c r="O180" s="195"/>
      <c r="P180" s="195"/>
      <c r="Q180" s="195"/>
      <c r="R180" s="195"/>
      <c r="S180" s="195"/>
      <c r="T180" s="359"/>
      <c r="U180" s="1830"/>
      <c r="V180" s="194" t="s">
        <v>1065</v>
      </c>
      <c r="W180" s="326" t="s">
        <v>1066</v>
      </c>
      <c r="X180" s="1241" t="s">
        <v>1067</v>
      </c>
      <c r="Y180" s="216">
        <f>71*4</f>
        <v>284</v>
      </c>
      <c r="Z180" s="216">
        <v>95</v>
      </c>
      <c r="AA180" s="216">
        <v>95</v>
      </c>
      <c r="AB180" s="199">
        <f>Z180/2</f>
        <v>47.5</v>
      </c>
      <c r="AC180" s="217">
        <v>0.25</v>
      </c>
      <c r="AD180" s="217">
        <v>0.25</v>
      </c>
      <c r="AE180" s="365">
        <f>+AB180/Y180</f>
        <v>0.16725352112676056</v>
      </c>
      <c r="AF180" s="216">
        <v>95</v>
      </c>
      <c r="AG180" s="216">
        <v>95</v>
      </c>
      <c r="AH180" s="274"/>
      <c r="AI180" s="216">
        <v>0.95</v>
      </c>
      <c r="AJ180" s="274"/>
      <c r="AK180" s="205">
        <f>+AF180</f>
        <v>95</v>
      </c>
      <c r="AL180" s="197">
        <v>1</v>
      </c>
      <c r="AM180" s="196">
        <f>+AK180</f>
        <v>95</v>
      </c>
      <c r="AN180" s="197">
        <v>0.25</v>
      </c>
      <c r="AO180" s="216">
        <v>95</v>
      </c>
      <c r="AP180" s="199">
        <v>6</v>
      </c>
      <c r="AQ180" s="199"/>
      <c r="AR180" s="199">
        <v>41</v>
      </c>
      <c r="AS180" s="199"/>
      <c r="AT180" s="199">
        <v>24</v>
      </c>
      <c r="AU180" s="199"/>
      <c r="AV180" s="199">
        <v>24</v>
      </c>
      <c r="AW180" s="199"/>
      <c r="AX180" s="199">
        <f>6+AR180+AT180+AV180</f>
        <v>95</v>
      </c>
      <c r="AY180" s="197">
        <f>+AX180/AO180</f>
        <v>1</v>
      </c>
      <c r="AZ180" s="196">
        <f>+AP180+AM180+AR180</f>
        <v>142</v>
      </c>
      <c r="BA180" s="233">
        <v>0.51</v>
      </c>
      <c r="BB180" s="199">
        <f>AZ180/2</f>
        <v>71</v>
      </c>
      <c r="BC180" s="362">
        <f>+BB180*0.25</f>
        <v>17.75</v>
      </c>
      <c r="BD180" s="199"/>
      <c r="BE180" s="199">
        <v>18</v>
      </c>
      <c r="BF180" s="199"/>
      <c r="BG180" s="362">
        <v>18</v>
      </c>
      <c r="BH180" s="324" t="s">
        <v>2218</v>
      </c>
      <c r="BI180" s="362">
        <v>17</v>
      </c>
      <c r="BJ180" s="199"/>
      <c r="BK180" s="362">
        <f>+BC180+BE180+BG180+BI180</f>
        <v>70.75</v>
      </c>
      <c r="BL180" s="197">
        <f>+BK180/BB180</f>
        <v>0.99647887323943662</v>
      </c>
      <c r="BM180" s="362">
        <f>BK180+AZ180</f>
        <v>212.75</v>
      </c>
      <c r="BN180" s="230">
        <v>0.75</v>
      </c>
      <c r="BO180" s="204"/>
      <c r="BP180" s="204"/>
      <c r="BQ180" s="204"/>
      <c r="BR180" s="204"/>
      <c r="BS180" s="204"/>
      <c r="BT180" s="204"/>
      <c r="BU180" s="204"/>
      <c r="BV180" s="204"/>
      <c r="BW180" s="204"/>
      <c r="BX180" s="204"/>
      <c r="BY180" s="204"/>
      <c r="BZ180" s="204"/>
      <c r="CA180" s="204"/>
      <c r="CB180" s="204"/>
      <c r="CC180" s="204"/>
      <c r="CD180" s="204"/>
      <c r="CE180" s="204"/>
      <c r="CF180" s="204"/>
      <c r="CG180" s="204"/>
      <c r="CH180" s="204"/>
      <c r="CI180" s="204"/>
      <c r="CJ180" s="204"/>
      <c r="CK180" s="204"/>
      <c r="CL180" s="204"/>
      <c r="CM180" s="204"/>
      <c r="CN180" s="204"/>
      <c r="CO180" s="204"/>
      <c r="CP180" s="204"/>
      <c r="CQ180" s="204"/>
      <c r="CR180" s="204"/>
      <c r="CS180" s="204"/>
      <c r="CT180" s="204"/>
      <c r="CU180" s="204"/>
      <c r="CV180" s="204"/>
      <c r="CW180" s="204"/>
      <c r="CX180" s="204"/>
      <c r="CY180" s="204"/>
    </row>
    <row r="181" spans="1:103" ht="61.5" customHeight="1" x14ac:dyDescent="0.2">
      <c r="A181" s="1820"/>
      <c r="B181" s="1823"/>
      <c r="C181" s="359"/>
      <c r="D181" s="359"/>
      <c r="E181" s="195"/>
      <c r="F181" s="195"/>
      <c r="G181" s="195"/>
      <c r="H181" s="195"/>
      <c r="I181" s="195"/>
      <c r="J181" s="195"/>
      <c r="K181" s="195"/>
      <c r="L181" s="195"/>
      <c r="M181" s="195"/>
      <c r="N181" s="195"/>
      <c r="O181" s="195"/>
      <c r="P181" s="195"/>
      <c r="Q181" s="195"/>
      <c r="R181" s="195"/>
      <c r="S181" s="195"/>
      <c r="T181" s="359"/>
      <c r="U181" s="1830"/>
      <c r="V181" s="194" t="s">
        <v>1068</v>
      </c>
      <c r="W181" s="194" t="s">
        <v>1069</v>
      </c>
      <c r="X181" s="1241" t="s">
        <v>1070</v>
      </c>
      <c r="Y181" s="367">
        <v>2.21</v>
      </c>
      <c r="Z181" s="347">
        <v>3.5</v>
      </c>
      <c r="AA181" s="409">
        <v>2.21</v>
      </c>
      <c r="AB181" s="199">
        <v>2.21</v>
      </c>
      <c r="AC181" s="402"/>
      <c r="AD181" s="402">
        <v>0.25</v>
      </c>
      <c r="AE181" s="365">
        <v>0.25</v>
      </c>
      <c r="AF181" s="383">
        <v>1.6</v>
      </c>
      <c r="AG181" s="383">
        <v>1.4</v>
      </c>
      <c r="AH181" s="274"/>
      <c r="AI181" s="410">
        <v>1.4</v>
      </c>
      <c r="AJ181" s="274"/>
      <c r="AK181" s="410">
        <f>+AI181</f>
        <v>1.4</v>
      </c>
      <c r="AL181" s="197">
        <v>1</v>
      </c>
      <c r="AM181" s="352">
        <f>+AK181</f>
        <v>1.4</v>
      </c>
      <c r="AN181" s="197">
        <v>0.25</v>
      </c>
      <c r="AO181" s="409">
        <v>2.21</v>
      </c>
      <c r="AP181" s="199">
        <v>0.05</v>
      </c>
      <c r="AQ181" s="199"/>
      <c r="AR181" s="199">
        <v>1.72</v>
      </c>
      <c r="AS181" s="199"/>
      <c r="AT181" s="199">
        <v>0.9</v>
      </c>
      <c r="AU181" s="199"/>
      <c r="AV181" s="199">
        <v>0.7</v>
      </c>
      <c r="AW181" s="199"/>
      <c r="AX181" s="199">
        <f>+AV181</f>
        <v>0.7</v>
      </c>
      <c r="AY181" s="197">
        <v>1</v>
      </c>
      <c r="AZ181" s="199">
        <f>+AX181</f>
        <v>0.7</v>
      </c>
      <c r="BA181" s="233">
        <v>0.51</v>
      </c>
      <c r="BB181" s="199">
        <v>2.21</v>
      </c>
      <c r="BC181" s="199">
        <v>2.21</v>
      </c>
      <c r="BD181" s="199"/>
      <c r="BE181" s="199">
        <v>2.21</v>
      </c>
      <c r="BF181" s="199"/>
      <c r="BG181" s="199">
        <v>0.21</v>
      </c>
      <c r="BH181" s="324" t="s">
        <v>2218</v>
      </c>
      <c r="BI181" s="199">
        <v>0.28000000000000003</v>
      </c>
      <c r="BJ181" s="199"/>
      <c r="BK181" s="199">
        <f>+BI181</f>
        <v>0.28000000000000003</v>
      </c>
      <c r="BL181" s="197">
        <v>1</v>
      </c>
      <c r="BM181" s="199">
        <f>+BK181</f>
        <v>0.28000000000000003</v>
      </c>
      <c r="BN181" s="230">
        <v>0.75</v>
      </c>
      <c r="BO181" s="204"/>
      <c r="BP181" s="204"/>
      <c r="BQ181" s="204"/>
      <c r="BR181" s="204"/>
      <c r="BS181" s="204"/>
      <c r="BT181" s="204"/>
      <c r="BU181" s="204"/>
      <c r="BV181" s="204"/>
      <c r="BW181" s="204"/>
      <c r="BX181" s="204"/>
      <c r="BY181" s="204"/>
      <c r="BZ181" s="204"/>
      <c r="CA181" s="204"/>
      <c r="CB181" s="204"/>
      <c r="CC181" s="204"/>
      <c r="CD181" s="204"/>
      <c r="CE181" s="204"/>
      <c r="CF181" s="204"/>
      <c r="CG181" s="204"/>
      <c r="CH181" s="204"/>
      <c r="CI181" s="204"/>
      <c r="CJ181" s="204"/>
      <c r="CK181" s="204"/>
      <c r="CL181" s="204"/>
      <c r="CM181" s="204"/>
      <c r="CN181" s="204"/>
      <c r="CO181" s="204"/>
      <c r="CP181" s="204"/>
      <c r="CQ181" s="204"/>
      <c r="CR181" s="204"/>
      <c r="CS181" s="204"/>
      <c r="CT181" s="204"/>
      <c r="CU181" s="204"/>
      <c r="CV181" s="204"/>
      <c r="CW181" s="204"/>
      <c r="CX181" s="204"/>
      <c r="CY181" s="204"/>
    </row>
    <row r="182" spans="1:103" ht="61.5" customHeight="1" x14ac:dyDescent="0.2">
      <c r="A182" s="1820"/>
      <c r="B182" s="1823"/>
      <c r="C182" s="359"/>
      <c r="D182" s="359"/>
      <c r="E182" s="195"/>
      <c r="F182" s="195"/>
      <c r="G182" s="195"/>
      <c r="H182" s="195"/>
      <c r="I182" s="195"/>
      <c r="J182" s="195"/>
      <c r="K182" s="195"/>
      <c r="L182" s="195"/>
      <c r="M182" s="195"/>
      <c r="N182" s="195"/>
      <c r="O182" s="195"/>
      <c r="P182" s="195"/>
      <c r="Q182" s="195"/>
      <c r="R182" s="195"/>
      <c r="S182" s="195"/>
      <c r="T182" s="359"/>
      <c r="U182" s="1830"/>
      <c r="V182" s="194" t="s">
        <v>1071</v>
      </c>
      <c r="W182" s="326" t="s">
        <v>1072</v>
      </c>
      <c r="X182" s="1241" t="s">
        <v>1073</v>
      </c>
      <c r="Y182" s="205">
        <v>1</v>
      </c>
      <c r="Z182" s="205">
        <v>1</v>
      </c>
      <c r="AA182" s="205">
        <v>1</v>
      </c>
      <c r="AB182" s="199">
        <v>1</v>
      </c>
      <c r="AC182" s="365">
        <v>0.25</v>
      </c>
      <c r="AD182" s="365">
        <v>0.25</v>
      </c>
      <c r="AE182" s="365">
        <v>0.25</v>
      </c>
      <c r="AF182" s="205">
        <v>0.8</v>
      </c>
      <c r="AG182" s="205">
        <v>0.8</v>
      </c>
      <c r="AH182" s="274"/>
      <c r="AI182" s="205">
        <v>1</v>
      </c>
      <c r="AJ182" s="274"/>
      <c r="AK182" s="410">
        <f>+AI182</f>
        <v>1</v>
      </c>
      <c r="AL182" s="197">
        <v>1</v>
      </c>
      <c r="AM182" s="196">
        <f>+AG182</f>
        <v>0.8</v>
      </c>
      <c r="AN182" s="197">
        <v>0.25</v>
      </c>
      <c r="AO182" s="205">
        <v>1</v>
      </c>
      <c r="AP182" s="197">
        <v>0.25</v>
      </c>
      <c r="AQ182" s="199"/>
      <c r="AR182" s="197">
        <v>0.45</v>
      </c>
      <c r="AS182" s="199"/>
      <c r="AT182" s="197">
        <v>0.3</v>
      </c>
      <c r="AU182" s="199"/>
      <c r="AV182" s="199"/>
      <c r="AW182" s="199"/>
      <c r="AX182" s="197">
        <v>1</v>
      </c>
      <c r="AY182" s="197">
        <v>1</v>
      </c>
      <c r="AZ182" s="197">
        <v>0.5</v>
      </c>
      <c r="BA182" s="233">
        <v>0.51</v>
      </c>
      <c r="BB182" s="199">
        <v>1</v>
      </c>
      <c r="BC182" s="197">
        <v>0.25</v>
      </c>
      <c r="BD182" s="199"/>
      <c r="BE182" s="197">
        <v>0.25</v>
      </c>
      <c r="BF182" s="199"/>
      <c r="BG182" s="197">
        <v>0.25</v>
      </c>
      <c r="BH182" s="324" t="s">
        <v>2218</v>
      </c>
      <c r="BI182" s="197">
        <v>0.25</v>
      </c>
      <c r="BJ182" s="199"/>
      <c r="BK182" s="197">
        <f>50%+BG182+BI182</f>
        <v>1</v>
      </c>
      <c r="BL182" s="197">
        <f>+BK182</f>
        <v>1</v>
      </c>
      <c r="BM182" s="197">
        <v>0.75</v>
      </c>
      <c r="BN182" s="58">
        <f>BM182</f>
        <v>0.75</v>
      </c>
      <c r="BO182" s="204"/>
      <c r="BP182" s="204"/>
      <c r="BQ182" s="204"/>
      <c r="BR182" s="204"/>
      <c r="BS182" s="204"/>
      <c r="BT182" s="204"/>
      <c r="BU182" s="204"/>
      <c r="BV182" s="204"/>
      <c r="BW182" s="204"/>
      <c r="BX182" s="204"/>
      <c r="BY182" s="204"/>
      <c r="BZ182" s="204"/>
      <c r="CA182" s="204"/>
      <c r="CB182" s="204"/>
      <c r="CC182" s="204"/>
      <c r="CD182" s="204"/>
      <c r="CE182" s="204"/>
      <c r="CF182" s="204"/>
      <c r="CG182" s="204"/>
      <c r="CH182" s="204"/>
      <c r="CI182" s="204"/>
      <c r="CJ182" s="204"/>
      <c r="CK182" s="204"/>
      <c r="CL182" s="204"/>
      <c r="CM182" s="204"/>
      <c r="CN182" s="204"/>
      <c r="CO182" s="204"/>
      <c r="CP182" s="204"/>
      <c r="CQ182" s="204"/>
      <c r="CR182" s="204"/>
      <c r="CS182" s="204"/>
      <c r="CT182" s="204"/>
      <c r="CU182" s="204"/>
      <c r="CV182" s="204"/>
      <c r="CW182" s="204"/>
      <c r="CX182" s="204"/>
      <c r="CY182" s="204"/>
    </row>
    <row r="183" spans="1:103" ht="60.75" customHeight="1" x14ac:dyDescent="0.2">
      <c r="A183" s="1820"/>
      <c r="B183" s="1823"/>
      <c r="C183" s="359"/>
      <c r="D183" s="359"/>
      <c r="E183" s="195"/>
      <c r="F183" s="195"/>
      <c r="G183" s="195"/>
      <c r="H183" s="195"/>
      <c r="I183" s="195"/>
      <c r="J183" s="195"/>
      <c r="K183" s="195"/>
      <c r="L183" s="195"/>
      <c r="M183" s="195"/>
      <c r="N183" s="195"/>
      <c r="O183" s="195"/>
      <c r="P183" s="195"/>
      <c r="Q183" s="195"/>
      <c r="R183" s="195"/>
      <c r="S183" s="195"/>
      <c r="T183" s="359"/>
      <c r="U183" s="1830"/>
      <c r="V183" s="194" t="s">
        <v>1074</v>
      </c>
      <c r="W183" s="194" t="s">
        <v>1075</v>
      </c>
      <c r="X183" s="1241" t="s">
        <v>1076</v>
      </c>
      <c r="Y183" s="379">
        <v>0.05</v>
      </c>
      <c r="Z183" s="379">
        <v>0.1</v>
      </c>
      <c r="AA183" s="379">
        <v>0.05</v>
      </c>
      <c r="AB183" s="199" t="s">
        <v>1077</v>
      </c>
      <c r="AC183" s="217">
        <v>0.25</v>
      </c>
      <c r="AD183" s="217">
        <v>0.25</v>
      </c>
      <c r="AE183" s="365">
        <v>0.25</v>
      </c>
      <c r="AF183" s="216">
        <v>0</v>
      </c>
      <c r="AG183" s="216">
        <v>0</v>
      </c>
      <c r="AH183" s="274"/>
      <c r="AI183" s="205">
        <v>0</v>
      </c>
      <c r="AJ183" s="274"/>
      <c r="AK183" s="410">
        <f>+AI183</f>
        <v>0</v>
      </c>
      <c r="AL183" s="197">
        <v>1</v>
      </c>
      <c r="AM183" s="199">
        <v>0</v>
      </c>
      <c r="AN183" s="197">
        <v>0.25</v>
      </c>
      <c r="AO183" s="379">
        <v>0.05</v>
      </c>
      <c r="AP183" s="199">
        <v>0.2</v>
      </c>
      <c r="AQ183" s="199"/>
      <c r="AR183" s="199">
        <v>0</v>
      </c>
      <c r="AS183" s="199"/>
      <c r="AT183" s="199">
        <v>0</v>
      </c>
      <c r="AU183" s="199"/>
      <c r="AV183" s="199">
        <v>0</v>
      </c>
      <c r="AW183" s="199"/>
      <c r="AX183" s="199">
        <f>+AR183</f>
        <v>0</v>
      </c>
      <c r="AY183" s="197">
        <v>1</v>
      </c>
      <c r="AZ183" s="199">
        <v>0.02</v>
      </c>
      <c r="BA183" s="233">
        <v>0.51</v>
      </c>
      <c r="BB183" s="199" t="s">
        <v>1077</v>
      </c>
      <c r="BC183" s="199" t="s">
        <v>1077</v>
      </c>
      <c r="BD183" s="199"/>
      <c r="BE183" s="199" t="s">
        <v>1077</v>
      </c>
      <c r="BF183" s="199"/>
      <c r="BG183" s="199" t="str">
        <f>+BE183</f>
        <v xml:space="preserve"> 0,05 x 100.000</v>
      </c>
      <c r="BH183" s="324" t="s">
        <v>2218</v>
      </c>
      <c r="BI183" s="199" t="str">
        <f>+BG183</f>
        <v xml:space="preserve"> 0,05 x 100.000</v>
      </c>
      <c r="BJ183" s="199"/>
      <c r="BK183" s="199" t="s">
        <v>1077</v>
      </c>
      <c r="BL183" s="197">
        <v>1</v>
      </c>
      <c r="BM183" s="199" t="s">
        <v>1077</v>
      </c>
      <c r="BN183" s="58">
        <v>0.75</v>
      </c>
      <c r="BO183" s="204"/>
      <c r="BP183" s="204"/>
      <c r="BQ183" s="204"/>
      <c r="BR183" s="204"/>
      <c r="BS183" s="204"/>
      <c r="BT183" s="204"/>
      <c r="BU183" s="204"/>
      <c r="BV183" s="204"/>
      <c r="BW183" s="204"/>
      <c r="BX183" s="204"/>
      <c r="BY183" s="204"/>
      <c r="BZ183" s="204"/>
      <c r="CA183" s="204"/>
      <c r="CB183" s="204"/>
      <c r="CC183" s="204"/>
      <c r="CD183" s="204"/>
      <c r="CE183" s="204"/>
      <c r="CF183" s="204"/>
      <c r="CG183" s="204"/>
      <c r="CH183" s="204"/>
      <c r="CI183" s="204"/>
      <c r="CJ183" s="204"/>
      <c r="CK183" s="204"/>
      <c r="CL183" s="204"/>
      <c r="CM183" s="204"/>
      <c r="CN183" s="204"/>
      <c r="CO183" s="204"/>
      <c r="CP183" s="204"/>
      <c r="CQ183" s="204"/>
      <c r="CR183" s="204"/>
      <c r="CS183" s="204"/>
      <c r="CT183" s="204"/>
      <c r="CU183" s="204"/>
      <c r="CV183" s="204"/>
      <c r="CW183" s="204"/>
      <c r="CX183" s="204"/>
      <c r="CY183" s="204"/>
    </row>
    <row r="184" spans="1:103" ht="68.25" customHeight="1" x14ac:dyDescent="0.2">
      <c r="A184" s="1820"/>
      <c r="B184" s="1823"/>
      <c r="C184" s="359"/>
      <c r="D184" s="359"/>
      <c r="E184" s="195"/>
      <c r="F184" s="195"/>
      <c r="G184" s="195"/>
      <c r="H184" s="195"/>
      <c r="I184" s="195"/>
      <c r="J184" s="195"/>
      <c r="K184" s="195"/>
      <c r="L184" s="195"/>
      <c r="M184" s="195"/>
      <c r="N184" s="195"/>
      <c r="O184" s="195"/>
      <c r="P184" s="195"/>
      <c r="Q184" s="195"/>
      <c r="R184" s="195"/>
      <c r="S184" s="195"/>
      <c r="T184" s="359"/>
      <c r="U184" s="1830"/>
      <c r="V184" s="194" t="s">
        <v>1078</v>
      </c>
      <c r="W184" s="326" t="s">
        <v>1079</v>
      </c>
      <c r="X184" s="1241" t="s">
        <v>1080</v>
      </c>
      <c r="Y184" s="205">
        <v>1</v>
      </c>
      <c r="Z184" s="205">
        <v>0.5</v>
      </c>
      <c r="AA184" s="205">
        <v>1</v>
      </c>
      <c r="AB184" s="199">
        <v>1</v>
      </c>
      <c r="AC184" s="365">
        <v>0.25</v>
      </c>
      <c r="AD184" s="365">
        <v>0.25</v>
      </c>
      <c r="AE184" s="365"/>
      <c r="AF184" s="205">
        <v>0.5</v>
      </c>
      <c r="AG184" s="205">
        <v>0.5</v>
      </c>
      <c r="AH184" s="274"/>
      <c r="AI184" s="410">
        <v>0.25</v>
      </c>
      <c r="AJ184" s="274"/>
      <c r="AK184" s="410">
        <v>0.25</v>
      </c>
      <c r="AL184" s="365">
        <v>1</v>
      </c>
      <c r="AM184" s="407">
        <v>0.5</v>
      </c>
      <c r="AN184" s="197">
        <v>0.25</v>
      </c>
      <c r="AO184" s="205">
        <v>1</v>
      </c>
      <c r="AP184" s="197">
        <v>0</v>
      </c>
      <c r="AQ184" s="199"/>
      <c r="AR184" s="197">
        <v>0.2</v>
      </c>
      <c r="AS184" s="199"/>
      <c r="AT184" s="197">
        <v>0.2</v>
      </c>
      <c r="AU184" s="199"/>
      <c r="AV184" s="197">
        <v>0.4</v>
      </c>
      <c r="AW184" s="199"/>
      <c r="AX184" s="197">
        <v>0.8</v>
      </c>
      <c r="AY184" s="197">
        <v>1</v>
      </c>
      <c r="AZ184" s="197">
        <v>1</v>
      </c>
      <c r="BA184" s="233">
        <v>0.51</v>
      </c>
      <c r="BB184" s="199">
        <v>1</v>
      </c>
      <c r="BC184" s="197">
        <v>0.25</v>
      </c>
      <c r="BD184" s="199"/>
      <c r="BE184" s="197">
        <v>0.75</v>
      </c>
      <c r="BF184" s="199"/>
      <c r="BG184" s="199"/>
      <c r="BH184" s="199"/>
      <c r="BI184" s="197">
        <v>0.25</v>
      </c>
      <c r="BJ184" s="199"/>
      <c r="BK184" s="197">
        <f>+BE184+BI184</f>
        <v>1</v>
      </c>
      <c r="BL184" s="197">
        <f>+BK184</f>
        <v>1</v>
      </c>
      <c r="BM184" s="230">
        <v>0.75</v>
      </c>
      <c r="BN184" s="230">
        <f>+BM184</f>
        <v>0.75</v>
      </c>
      <c r="BO184" s="204"/>
      <c r="BP184" s="204"/>
      <c r="BQ184" s="204"/>
      <c r="BR184" s="204"/>
      <c r="BS184" s="204"/>
      <c r="BT184" s="204"/>
      <c r="BU184" s="204"/>
      <c r="BV184" s="204"/>
      <c r="BW184" s="204"/>
      <c r="BX184" s="204"/>
      <c r="BY184" s="204"/>
      <c r="BZ184" s="204"/>
      <c r="CA184" s="204"/>
      <c r="CB184" s="204"/>
      <c r="CC184" s="204"/>
      <c r="CD184" s="204"/>
      <c r="CE184" s="204"/>
      <c r="CF184" s="204"/>
      <c r="CG184" s="204"/>
      <c r="CH184" s="204"/>
      <c r="CI184" s="204"/>
      <c r="CJ184" s="204"/>
      <c r="CK184" s="204"/>
      <c r="CL184" s="204"/>
      <c r="CM184" s="204"/>
      <c r="CN184" s="204"/>
      <c r="CO184" s="204"/>
      <c r="CP184" s="204"/>
      <c r="CQ184" s="204"/>
      <c r="CR184" s="204"/>
      <c r="CS184" s="204"/>
      <c r="CT184" s="204"/>
      <c r="CU184" s="204"/>
      <c r="CV184" s="204"/>
      <c r="CW184" s="204"/>
      <c r="CX184" s="204"/>
      <c r="CY184" s="204"/>
    </row>
    <row r="185" spans="1:103" ht="15.75" customHeight="1" x14ac:dyDescent="0.2">
      <c r="A185" s="1820"/>
      <c r="B185" s="1823"/>
      <c r="C185" s="359"/>
      <c r="D185" s="359"/>
      <c r="E185" s="195"/>
      <c r="F185" s="195"/>
      <c r="G185" s="195"/>
      <c r="H185" s="195"/>
      <c r="I185" s="195"/>
      <c r="J185" s="195"/>
      <c r="K185" s="195"/>
      <c r="L185" s="195"/>
      <c r="M185" s="195"/>
      <c r="N185" s="195"/>
      <c r="O185" s="195"/>
      <c r="P185" s="195"/>
      <c r="Q185" s="195"/>
      <c r="R185" s="195"/>
      <c r="S185" s="195"/>
      <c r="T185" s="359"/>
      <c r="U185" s="1831"/>
      <c r="V185" s="246"/>
      <c r="W185" s="328"/>
      <c r="X185" s="1454"/>
      <c r="Y185" s="246"/>
      <c r="Z185" s="247"/>
      <c r="AA185" s="247"/>
      <c r="AB185" s="247"/>
      <c r="AC185" s="252">
        <f>AVERAGE(AC170:AC184)</f>
        <v>0.25</v>
      </c>
      <c r="AD185" s="252">
        <v>0.25</v>
      </c>
      <c r="AE185" s="252">
        <f>AVERAGE(AE170:AE184)</f>
        <v>0.24310446009389672</v>
      </c>
      <c r="AF185" s="247"/>
      <c r="AG185" s="247"/>
      <c r="AH185" s="247"/>
      <c r="AI185" s="251"/>
      <c r="AJ185" s="247"/>
      <c r="AK185" s="247"/>
      <c r="AL185" s="253">
        <f>AVERAGE(AL170:AL184)</f>
        <v>0.92515611624721794</v>
      </c>
      <c r="AM185" s="247"/>
      <c r="AN185" s="253">
        <f>AVERAGE(AN170:AN184)</f>
        <v>0.2437890290618045</v>
      </c>
      <c r="AO185" s="247"/>
      <c r="AP185" s="247"/>
      <c r="AQ185" s="247"/>
      <c r="AR185" s="247"/>
      <c r="AS185" s="247"/>
      <c r="AT185" s="247"/>
      <c r="AU185" s="247"/>
      <c r="AV185" s="247"/>
      <c r="AW185" s="247"/>
      <c r="AX185" s="247"/>
      <c r="AY185" s="253">
        <f>AVERAGE(AY170:AY184)</f>
        <v>0.91105178907721285</v>
      </c>
      <c r="AZ185" s="247"/>
      <c r="BA185" s="255">
        <f>AVERAGE(BA170:BA184)</f>
        <v>0.54508530966444091</v>
      </c>
      <c r="BB185" s="290"/>
      <c r="BC185" s="290"/>
      <c r="BD185" s="290"/>
      <c r="BE185" s="290"/>
      <c r="BF185" s="290"/>
      <c r="BG185" s="290"/>
      <c r="BH185" s="290"/>
      <c r="BI185" s="290"/>
      <c r="BJ185" s="290"/>
      <c r="BK185" s="290"/>
      <c r="BL185" s="214">
        <f>AVERAGE(BL170:BL184)</f>
        <v>0.97776525821596239</v>
      </c>
      <c r="BM185" s="213"/>
      <c r="BN185" s="1238">
        <f>AVERAGE(BN170:BN184)</f>
        <v>0.75368064650744737</v>
      </c>
      <c r="BO185" s="291"/>
      <c r="BP185" s="291"/>
      <c r="BQ185" s="291"/>
      <c r="BR185" s="291"/>
      <c r="BS185" s="291"/>
      <c r="BT185" s="291"/>
      <c r="BU185" s="291"/>
      <c r="BV185" s="291"/>
      <c r="BW185" s="291"/>
      <c r="BX185" s="291"/>
      <c r="BY185" s="291"/>
      <c r="BZ185" s="291"/>
      <c r="CA185" s="291"/>
      <c r="CB185" s="291"/>
      <c r="CC185" s="291"/>
      <c r="CD185" s="291"/>
      <c r="CE185" s="291"/>
      <c r="CF185" s="291"/>
      <c r="CG185" s="291"/>
      <c r="CH185" s="291"/>
      <c r="CI185" s="291"/>
      <c r="CJ185" s="291"/>
      <c r="CK185" s="291"/>
      <c r="CL185" s="291"/>
      <c r="CM185" s="291"/>
      <c r="CN185" s="291"/>
      <c r="CO185" s="291"/>
      <c r="CP185" s="291"/>
      <c r="CQ185" s="291"/>
      <c r="CR185" s="291"/>
      <c r="CS185" s="291"/>
      <c r="CT185" s="291"/>
      <c r="CU185" s="291"/>
      <c r="CV185" s="291"/>
      <c r="CW185" s="291"/>
      <c r="CX185" s="291"/>
      <c r="CY185" s="291"/>
    </row>
    <row r="186" spans="1:103" ht="42.75" customHeight="1" x14ac:dyDescent="0.2">
      <c r="A186" s="1820"/>
      <c r="B186" s="1823"/>
      <c r="C186" s="359"/>
      <c r="D186" s="359"/>
      <c r="E186" s="195"/>
      <c r="F186" s="195"/>
      <c r="G186" s="195"/>
      <c r="H186" s="195"/>
      <c r="I186" s="195"/>
      <c r="J186" s="195"/>
      <c r="K186" s="195"/>
      <c r="L186" s="195"/>
      <c r="M186" s="195"/>
      <c r="N186" s="195"/>
      <c r="O186" s="195"/>
      <c r="P186" s="195"/>
      <c r="Q186" s="195"/>
      <c r="R186" s="195"/>
      <c r="S186" s="195"/>
      <c r="T186" s="359"/>
      <c r="U186" s="1829" t="s">
        <v>1081</v>
      </c>
      <c r="V186" s="194" t="s">
        <v>1082</v>
      </c>
      <c r="W186" s="194" t="s">
        <v>1083</v>
      </c>
      <c r="X186" s="1241" t="s">
        <v>1084</v>
      </c>
      <c r="Y186" s="216" t="s">
        <v>1085</v>
      </c>
      <c r="Z186" s="216" t="s">
        <v>1085</v>
      </c>
      <c r="AA186" s="216" t="s">
        <v>1085</v>
      </c>
      <c r="AB186" s="873" t="s">
        <v>1086</v>
      </c>
      <c r="AC186" s="217">
        <v>0.25</v>
      </c>
      <c r="AD186" s="217">
        <v>0.25</v>
      </c>
      <c r="AE186" s="217">
        <v>0.25</v>
      </c>
      <c r="AF186" s="216" t="s">
        <v>1085</v>
      </c>
      <c r="AG186" s="216">
        <v>1</v>
      </c>
      <c r="AH186" s="274"/>
      <c r="AI186" s="274">
        <v>1</v>
      </c>
      <c r="AJ186" s="274"/>
      <c r="AK186" s="410">
        <f>+AI186</f>
        <v>1</v>
      </c>
      <c r="AL186" s="365">
        <v>1</v>
      </c>
      <c r="AM186" s="410">
        <f>+AK186</f>
        <v>1</v>
      </c>
      <c r="AN186" s="197">
        <v>0.25</v>
      </c>
      <c r="AO186" s="216" t="s">
        <v>1085</v>
      </c>
      <c r="AP186" s="199">
        <v>1</v>
      </c>
      <c r="AQ186" s="199"/>
      <c r="AR186" s="199">
        <f>+AP186</f>
        <v>1</v>
      </c>
      <c r="AS186" s="199"/>
      <c r="AT186" s="199">
        <v>2</v>
      </c>
      <c r="AU186" s="199"/>
      <c r="AV186" s="199">
        <v>1</v>
      </c>
      <c r="AW186" s="199"/>
      <c r="AX186" s="199">
        <v>1</v>
      </c>
      <c r="AY186" s="197">
        <v>1</v>
      </c>
      <c r="AZ186" s="199">
        <v>2</v>
      </c>
      <c r="BA186" s="233">
        <v>0.51</v>
      </c>
      <c r="BB186" s="324" t="s">
        <v>1086</v>
      </c>
      <c r="BC186" s="324" t="s">
        <v>1086</v>
      </c>
      <c r="BD186" s="324"/>
      <c r="BE186" s="324" t="str">
        <f>+BC186</f>
        <v xml:space="preserve"> 1 por cada 100.000</v>
      </c>
      <c r="BF186" s="324"/>
      <c r="BG186" s="324" t="str">
        <f>+BE186</f>
        <v xml:space="preserve"> 1 por cada 100.000</v>
      </c>
      <c r="BH186" s="324" t="s">
        <v>2218</v>
      </c>
      <c r="BI186" s="324" t="str">
        <f>+BG186</f>
        <v xml:space="preserve"> 1 por cada 100.000</v>
      </c>
      <c r="BJ186" s="324"/>
      <c r="BK186" s="324" t="s">
        <v>1086</v>
      </c>
      <c r="BL186" s="197">
        <v>1</v>
      </c>
      <c r="BM186" s="324" t="s">
        <v>1086</v>
      </c>
      <c r="BN186" s="230">
        <f>+BN184</f>
        <v>0.75</v>
      </c>
      <c r="BO186" s="204"/>
      <c r="BP186" s="204"/>
      <c r="BQ186" s="204"/>
      <c r="BR186" s="204"/>
      <c r="BS186" s="204"/>
      <c r="BT186" s="204"/>
      <c r="BU186" s="204"/>
      <c r="BV186" s="204"/>
      <c r="BW186" s="204"/>
      <c r="BX186" s="204"/>
      <c r="BY186" s="204"/>
      <c r="BZ186" s="204"/>
      <c r="CA186" s="204"/>
      <c r="CB186" s="204"/>
      <c r="CC186" s="204"/>
      <c r="CD186" s="204"/>
      <c r="CE186" s="204"/>
      <c r="CF186" s="204"/>
      <c r="CG186" s="204"/>
      <c r="CH186" s="204"/>
      <c r="CI186" s="204"/>
      <c r="CJ186" s="204"/>
      <c r="CK186" s="204"/>
      <c r="CL186" s="204"/>
      <c r="CM186" s="204"/>
      <c r="CN186" s="204"/>
      <c r="CO186" s="204"/>
      <c r="CP186" s="204"/>
      <c r="CQ186" s="204"/>
      <c r="CR186" s="204"/>
      <c r="CS186" s="204"/>
      <c r="CT186" s="204"/>
      <c r="CU186" s="204"/>
      <c r="CV186" s="204"/>
      <c r="CW186" s="204"/>
      <c r="CX186" s="204"/>
      <c r="CY186" s="204"/>
    </row>
    <row r="187" spans="1:103" ht="42.75" customHeight="1" x14ac:dyDescent="0.2">
      <c r="A187" s="1820"/>
      <c r="B187" s="1823"/>
      <c r="C187" s="359"/>
      <c r="D187" s="359"/>
      <c r="E187" s="195"/>
      <c r="F187" s="195"/>
      <c r="G187" s="195"/>
      <c r="H187" s="195"/>
      <c r="I187" s="195"/>
      <c r="J187" s="195"/>
      <c r="K187" s="195"/>
      <c r="L187" s="195"/>
      <c r="M187" s="195"/>
      <c r="N187" s="195"/>
      <c r="O187" s="195"/>
      <c r="P187" s="195"/>
      <c r="Q187" s="195"/>
      <c r="R187" s="195"/>
      <c r="S187" s="195"/>
      <c r="T187" s="359"/>
      <c r="U187" s="1830"/>
      <c r="V187" s="194" t="s">
        <v>1087</v>
      </c>
      <c r="W187" s="326" t="s">
        <v>1088</v>
      </c>
      <c r="X187" s="1241" t="s">
        <v>1089</v>
      </c>
      <c r="Y187" s="216">
        <f>29*4</f>
        <v>116</v>
      </c>
      <c r="Z187" s="216">
        <v>29</v>
      </c>
      <c r="AA187" s="216">
        <v>29</v>
      </c>
      <c r="AB187" s="199">
        <v>29</v>
      </c>
      <c r="AC187" s="217">
        <f>+Z187/Y187</f>
        <v>0.25</v>
      </c>
      <c r="AD187" s="217">
        <v>0.25</v>
      </c>
      <c r="AE187" s="217">
        <f>+AB187/Y187</f>
        <v>0.25</v>
      </c>
      <c r="AF187" s="216">
        <v>0</v>
      </c>
      <c r="AG187" s="216">
        <v>29</v>
      </c>
      <c r="AH187" s="274"/>
      <c r="AI187" s="205">
        <v>29</v>
      </c>
      <c r="AJ187" s="274"/>
      <c r="AK187" s="410">
        <f>+AI187</f>
        <v>29</v>
      </c>
      <c r="AL187" s="365">
        <f>+AK187/Z187</f>
        <v>1</v>
      </c>
      <c r="AM187" s="205">
        <f>+AK187</f>
        <v>29</v>
      </c>
      <c r="AN187" s="197">
        <f>+AM187/Y187</f>
        <v>0.25</v>
      </c>
      <c r="AO187" s="216">
        <v>29</v>
      </c>
      <c r="AP187" s="199">
        <v>0</v>
      </c>
      <c r="AQ187" s="199"/>
      <c r="AR187" s="199">
        <v>17</v>
      </c>
      <c r="AS187" s="199"/>
      <c r="AT187" s="199">
        <v>12</v>
      </c>
      <c r="AU187" s="199"/>
      <c r="AV187" s="199">
        <v>0</v>
      </c>
      <c r="AW187" s="199"/>
      <c r="AX187" s="199">
        <f>+AR187+AT187</f>
        <v>29</v>
      </c>
      <c r="AY187" s="197">
        <v>1</v>
      </c>
      <c r="AZ187" s="199">
        <f>29+AX187</f>
        <v>58</v>
      </c>
      <c r="BA187" s="233">
        <v>0.51</v>
      </c>
      <c r="BB187" s="199">
        <v>29</v>
      </c>
      <c r="BC187" s="199">
        <v>29</v>
      </c>
      <c r="BD187" s="199"/>
      <c r="BE187" s="199">
        <v>0</v>
      </c>
      <c r="BF187" s="199"/>
      <c r="BG187" s="199">
        <v>0</v>
      </c>
      <c r="BH187" s="324" t="s">
        <v>2218</v>
      </c>
      <c r="BI187" s="199">
        <v>0</v>
      </c>
      <c r="BJ187" s="199"/>
      <c r="BK187" s="199">
        <v>29</v>
      </c>
      <c r="BL187" s="197">
        <v>1</v>
      </c>
      <c r="BM187" s="199">
        <f>BK187+AZ187</f>
        <v>87</v>
      </c>
      <c r="BN187" s="197">
        <f>+BM187/Y187</f>
        <v>0.75</v>
      </c>
      <c r="BO187" s="204"/>
      <c r="BP187" s="204"/>
      <c r="BQ187" s="204"/>
      <c r="BR187" s="204"/>
      <c r="BS187" s="204"/>
      <c r="BT187" s="204"/>
      <c r="BU187" s="204"/>
      <c r="BV187" s="204"/>
      <c r="BW187" s="204"/>
      <c r="BX187" s="204"/>
      <c r="BY187" s="204"/>
      <c r="BZ187" s="204"/>
      <c r="CA187" s="204"/>
      <c r="CB187" s="204"/>
      <c r="CC187" s="204"/>
      <c r="CD187" s="204"/>
      <c r="CE187" s="204"/>
      <c r="CF187" s="204"/>
      <c r="CG187" s="204"/>
      <c r="CH187" s="204"/>
      <c r="CI187" s="204"/>
      <c r="CJ187" s="204"/>
      <c r="CK187" s="204"/>
      <c r="CL187" s="204"/>
      <c r="CM187" s="204"/>
      <c r="CN187" s="204"/>
      <c r="CO187" s="204"/>
      <c r="CP187" s="204"/>
      <c r="CQ187" s="204"/>
      <c r="CR187" s="204"/>
      <c r="CS187" s="204"/>
      <c r="CT187" s="204"/>
      <c r="CU187" s="204"/>
      <c r="CV187" s="204"/>
      <c r="CW187" s="204"/>
      <c r="CX187" s="204"/>
      <c r="CY187" s="204"/>
    </row>
    <row r="188" spans="1:103" ht="54" customHeight="1" x14ac:dyDescent="0.2">
      <c r="A188" s="1820"/>
      <c r="B188" s="1823"/>
      <c r="C188" s="359"/>
      <c r="D188" s="359"/>
      <c r="E188" s="195"/>
      <c r="F188" s="195"/>
      <c r="G188" s="195"/>
      <c r="H188" s="195"/>
      <c r="I188" s="195"/>
      <c r="J188" s="195"/>
      <c r="K188" s="195"/>
      <c r="L188" s="195"/>
      <c r="M188" s="195"/>
      <c r="N188" s="195"/>
      <c r="O188" s="195"/>
      <c r="P188" s="195"/>
      <c r="Q188" s="195"/>
      <c r="R188" s="195"/>
      <c r="S188" s="195"/>
      <c r="T188" s="359"/>
      <c r="U188" s="1830"/>
      <c r="V188" s="194" t="s">
        <v>1090</v>
      </c>
      <c r="W188" s="326" t="s">
        <v>1091</v>
      </c>
      <c r="X188" s="1459" t="s">
        <v>1092</v>
      </c>
      <c r="Y188" s="216">
        <f>29*4</f>
        <v>116</v>
      </c>
      <c r="Z188" s="216">
        <v>29</v>
      </c>
      <c r="AA188" s="216">
        <v>29</v>
      </c>
      <c r="AB188" s="199">
        <v>29</v>
      </c>
      <c r="AC188" s="217">
        <f>+Z188/Y188</f>
        <v>0.25</v>
      </c>
      <c r="AD188" s="217">
        <v>0.25</v>
      </c>
      <c r="AE188" s="217">
        <f>+AB188/Y188</f>
        <v>0.25</v>
      </c>
      <c r="AF188" s="216">
        <v>0</v>
      </c>
      <c r="AG188" s="216">
        <v>29</v>
      </c>
      <c r="AH188" s="274"/>
      <c r="AI188" s="205">
        <v>29</v>
      </c>
      <c r="AJ188" s="274"/>
      <c r="AK188" s="410">
        <f>+AI188</f>
        <v>29</v>
      </c>
      <c r="AL188" s="365">
        <v>0</v>
      </c>
      <c r="AM188" s="205">
        <f>+AK188</f>
        <v>29</v>
      </c>
      <c r="AN188" s="197">
        <f>+AM188/Y188</f>
        <v>0.25</v>
      </c>
      <c r="AO188" s="216">
        <v>29</v>
      </c>
      <c r="AP188" s="199">
        <v>10</v>
      </c>
      <c r="AQ188" s="199"/>
      <c r="AR188" s="199">
        <v>7</v>
      </c>
      <c r="AS188" s="199"/>
      <c r="AT188" s="199">
        <v>22</v>
      </c>
      <c r="AU188" s="199"/>
      <c r="AV188" s="199">
        <v>0</v>
      </c>
      <c r="AW188" s="199"/>
      <c r="AX188" s="199">
        <f>+AR188+AT188</f>
        <v>29</v>
      </c>
      <c r="AY188" s="197">
        <f>AX188/29</f>
        <v>1</v>
      </c>
      <c r="AZ188" s="196">
        <f>+AX188+AM188</f>
        <v>58</v>
      </c>
      <c r="BA188" s="233">
        <v>0.51</v>
      </c>
      <c r="BB188" s="199">
        <v>29</v>
      </c>
      <c r="BC188" s="199">
        <v>29</v>
      </c>
      <c r="BD188" s="199"/>
      <c r="BE188" s="199">
        <v>0</v>
      </c>
      <c r="BF188" s="199"/>
      <c r="BG188" s="199"/>
      <c r="BH188" s="199"/>
      <c r="BI188" s="199">
        <v>0</v>
      </c>
      <c r="BJ188" s="199"/>
      <c r="BK188" s="199">
        <v>29</v>
      </c>
      <c r="BL188" s="197">
        <v>1</v>
      </c>
      <c r="BM188" s="196">
        <f>BK188+AZ188</f>
        <v>87</v>
      </c>
      <c r="BN188" s="197">
        <f>+BM188/Y188</f>
        <v>0.75</v>
      </c>
      <c r="BO188" s="204"/>
      <c r="BP188" s="204"/>
      <c r="BQ188" s="204"/>
      <c r="BR188" s="204"/>
      <c r="BS188" s="204"/>
      <c r="BT188" s="204"/>
      <c r="BU188" s="204"/>
      <c r="BV188" s="204"/>
      <c r="BW188" s="204"/>
      <c r="BX188" s="204"/>
      <c r="BY188" s="204"/>
      <c r="BZ188" s="204"/>
      <c r="CA188" s="204"/>
      <c r="CB188" s="204"/>
      <c r="CC188" s="204"/>
      <c r="CD188" s="204"/>
      <c r="CE188" s="204"/>
      <c r="CF188" s="204"/>
      <c r="CG188" s="204"/>
      <c r="CH188" s="204"/>
      <c r="CI188" s="204"/>
      <c r="CJ188" s="204"/>
      <c r="CK188" s="204"/>
      <c r="CL188" s="204"/>
      <c r="CM188" s="204"/>
      <c r="CN188" s="204"/>
      <c r="CO188" s="204"/>
      <c r="CP188" s="204"/>
      <c r="CQ188" s="204"/>
      <c r="CR188" s="204"/>
      <c r="CS188" s="204"/>
      <c r="CT188" s="204"/>
      <c r="CU188" s="204"/>
      <c r="CV188" s="204"/>
      <c r="CW188" s="204"/>
      <c r="CX188" s="204"/>
      <c r="CY188" s="204"/>
    </row>
    <row r="189" spans="1:103" ht="27" customHeight="1" x14ac:dyDescent="0.2">
      <c r="A189" s="1820"/>
      <c r="B189" s="1823"/>
      <c r="C189" s="359"/>
      <c r="D189" s="359"/>
      <c r="E189" s="195"/>
      <c r="F189" s="195"/>
      <c r="G189" s="195"/>
      <c r="H189" s="195"/>
      <c r="I189" s="195"/>
      <c r="J189" s="195"/>
      <c r="K189" s="195"/>
      <c r="L189" s="195"/>
      <c r="M189" s="195"/>
      <c r="N189" s="195"/>
      <c r="O189" s="195"/>
      <c r="P189" s="195"/>
      <c r="Q189" s="195"/>
      <c r="R189" s="195"/>
      <c r="S189" s="195"/>
      <c r="T189" s="359"/>
      <c r="U189" s="1831"/>
      <c r="V189" s="246"/>
      <c r="W189" s="328"/>
      <c r="X189" s="1454"/>
      <c r="Y189" s="246"/>
      <c r="Z189" s="247"/>
      <c r="AA189" s="247"/>
      <c r="AB189" s="247"/>
      <c r="AC189" s="252">
        <f>AVERAGE(AC186:AC188)</f>
        <v>0.25</v>
      </c>
      <c r="AD189" s="252">
        <v>0.25</v>
      </c>
      <c r="AE189" s="252">
        <f>AVERAGE(AE186:AE188)</f>
        <v>0.25</v>
      </c>
      <c r="AF189" s="247"/>
      <c r="AG189" s="247"/>
      <c r="AH189" s="247"/>
      <c r="AI189" s="251"/>
      <c r="AJ189" s="247"/>
      <c r="AK189" s="247"/>
      <c r="AL189" s="252">
        <f>AVERAGE(AL186:AL188)</f>
        <v>0.66666666666666663</v>
      </c>
      <c r="AM189" s="247"/>
      <c r="AN189" s="252">
        <f>AVERAGE(AN186:AN188)</f>
        <v>0.25</v>
      </c>
      <c r="AO189" s="247"/>
      <c r="AP189" s="247"/>
      <c r="AQ189" s="247"/>
      <c r="AR189" s="247"/>
      <c r="AS189" s="247"/>
      <c r="AT189" s="247"/>
      <c r="AU189" s="247"/>
      <c r="AV189" s="247"/>
      <c r="AW189" s="247"/>
      <c r="AX189" s="247"/>
      <c r="AY189" s="253">
        <f>AVERAGE(AY186:AY188)</f>
        <v>1</v>
      </c>
      <c r="AZ189" s="252"/>
      <c r="BA189" s="255">
        <f>AVERAGE(BA186:BA188)</f>
        <v>0.51</v>
      </c>
      <c r="BB189" s="290"/>
      <c r="BC189" s="290"/>
      <c r="BD189" s="290"/>
      <c r="BE189" s="290"/>
      <c r="BF189" s="290"/>
      <c r="BG189" s="290"/>
      <c r="BH189" s="290"/>
      <c r="BI189" s="290"/>
      <c r="BJ189" s="290"/>
      <c r="BK189" s="290"/>
      <c r="BL189" s="253">
        <f>AVERAGE(BL186:BL188)</f>
        <v>1</v>
      </c>
      <c r="BM189" s="247"/>
      <c r="BN189" s="253">
        <f>AVERAGE(BN186:BN188)</f>
        <v>0.75</v>
      </c>
      <c r="BO189" s="291"/>
      <c r="BP189" s="291"/>
      <c r="BQ189" s="291"/>
      <c r="BR189" s="291"/>
      <c r="BS189" s="291"/>
      <c r="BT189" s="291"/>
      <c r="BU189" s="291"/>
      <c r="BV189" s="291"/>
      <c r="BW189" s="291"/>
      <c r="BX189" s="291"/>
      <c r="BY189" s="291"/>
      <c r="BZ189" s="291"/>
      <c r="CA189" s="291"/>
      <c r="CB189" s="291"/>
      <c r="CC189" s="291"/>
      <c r="CD189" s="291"/>
      <c r="CE189" s="291"/>
      <c r="CF189" s="291"/>
      <c r="CG189" s="291"/>
      <c r="CH189" s="291"/>
      <c r="CI189" s="291"/>
      <c r="CJ189" s="291"/>
      <c r="CK189" s="291"/>
      <c r="CL189" s="291"/>
      <c r="CM189" s="291"/>
      <c r="CN189" s="291"/>
      <c r="CO189" s="291"/>
      <c r="CP189" s="291"/>
      <c r="CQ189" s="291"/>
      <c r="CR189" s="291"/>
      <c r="CS189" s="291"/>
      <c r="CT189" s="291"/>
      <c r="CU189" s="291"/>
      <c r="CV189" s="291"/>
      <c r="CW189" s="291"/>
      <c r="CX189" s="291"/>
      <c r="CY189" s="291"/>
    </row>
    <row r="190" spans="1:103" ht="55.5" customHeight="1" x14ac:dyDescent="0.2">
      <c r="A190" s="1820"/>
      <c r="B190" s="1823"/>
      <c r="C190" s="359"/>
      <c r="D190" s="359"/>
      <c r="E190" s="195"/>
      <c r="F190" s="195"/>
      <c r="G190" s="195"/>
      <c r="H190" s="195"/>
      <c r="I190" s="195"/>
      <c r="J190" s="195"/>
      <c r="K190" s="195"/>
      <c r="L190" s="195"/>
      <c r="M190" s="195"/>
      <c r="N190" s="195"/>
      <c r="O190" s="195"/>
      <c r="P190" s="195"/>
      <c r="Q190" s="195"/>
      <c r="R190" s="195"/>
      <c r="S190" s="195"/>
      <c r="T190" s="359"/>
      <c r="U190" s="1829" t="s">
        <v>1093</v>
      </c>
      <c r="V190" s="194" t="s">
        <v>1094</v>
      </c>
      <c r="W190" s="194" t="s">
        <v>1095</v>
      </c>
      <c r="X190" s="1241" t="s">
        <v>1096</v>
      </c>
      <c r="Y190" s="216">
        <v>5</v>
      </c>
      <c r="Z190" s="216">
        <v>5</v>
      </c>
      <c r="AA190" s="216">
        <v>5.0199999999999996</v>
      </c>
      <c r="AB190" s="199">
        <v>0.5</v>
      </c>
      <c r="AC190" s="217">
        <v>0.25</v>
      </c>
      <c r="AD190" s="217">
        <v>0.25</v>
      </c>
      <c r="AE190" s="217">
        <v>0.25</v>
      </c>
      <c r="AF190" s="217">
        <v>0.05</v>
      </c>
      <c r="AG190" s="216">
        <v>1</v>
      </c>
      <c r="AH190" s="274"/>
      <c r="AI190" s="412">
        <v>1</v>
      </c>
      <c r="AJ190" s="274"/>
      <c r="AK190" s="205">
        <v>1</v>
      </c>
      <c r="AL190" s="365">
        <v>1</v>
      </c>
      <c r="AM190" s="196">
        <f>+AK190</f>
        <v>1</v>
      </c>
      <c r="AN190" s="197">
        <v>0.25</v>
      </c>
      <c r="AO190" s="216">
        <v>5.0199999999999996</v>
      </c>
      <c r="AP190" s="199"/>
      <c r="AQ190" s="199"/>
      <c r="AR190" s="199"/>
      <c r="AS190" s="199"/>
      <c r="AT190" s="199"/>
      <c r="AU190" s="199"/>
      <c r="AV190" s="199">
        <v>0</v>
      </c>
      <c r="AW190" s="199"/>
      <c r="AX190" s="199">
        <v>0</v>
      </c>
      <c r="AY190" s="197">
        <v>1</v>
      </c>
      <c r="AZ190" s="199">
        <v>0</v>
      </c>
      <c r="BA190" s="233">
        <v>0.51</v>
      </c>
      <c r="BB190" s="199">
        <v>0.5</v>
      </c>
      <c r="BC190" s="199">
        <v>0.3</v>
      </c>
      <c r="BD190" s="199"/>
      <c r="BE190" s="199">
        <v>0.3</v>
      </c>
      <c r="BF190" s="199"/>
      <c r="BG190" s="199">
        <v>0.3</v>
      </c>
      <c r="BH190" s="199"/>
      <c r="BI190" s="199">
        <v>0.3</v>
      </c>
      <c r="BJ190" s="199"/>
      <c r="BK190" s="199">
        <f>BC190</f>
        <v>0.3</v>
      </c>
      <c r="BL190" s="197">
        <v>1</v>
      </c>
      <c r="BM190" s="199">
        <f>BK190</f>
        <v>0.3</v>
      </c>
      <c r="BN190" s="230">
        <v>0.75</v>
      </c>
      <c r="BO190" s="204"/>
      <c r="BP190" s="204"/>
      <c r="BQ190" s="204"/>
      <c r="BR190" s="204"/>
      <c r="BS190" s="204"/>
      <c r="BT190" s="204"/>
      <c r="BU190" s="204"/>
      <c r="BV190" s="204"/>
      <c r="BW190" s="204"/>
      <c r="BX190" s="204"/>
      <c r="BY190" s="204"/>
      <c r="BZ190" s="204"/>
      <c r="CA190" s="204"/>
      <c r="CB190" s="204"/>
      <c r="CC190" s="204"/>
      <c r="CD190" s="204"/>
      <c r="CE190" s="204"/>
      <c r="CF190" s="204"/>
      <c r="CG190" s="204"/>
      <c r="CH190" s="204"/>
      <c r="CI190" s="204"/>
      <c r="CJ190" s="204"/>
      <c r="CK190" s="204"/>
      <c r="CL190" s="204"/>
      <c r="CM190" s="204"/>
      <c r="CN190" s="204"/>
      <c r="CO190" s="204"/>
      <c r="CP190" s="204"/>
      <c r="CQ190" s="204"/>
      <c r="CR190" s="204"/>
      <c r="CS190" s="204"/>
      <c r="CT190" s="204"/>
      <c r="CU190" s="204"/>
      <c r="CV190" s="204"/>
      <c r="CW190" s="204"/>
      <c r="CX190" s="204"/>
      <c r="CY190" s="204"/>
    </row>
    <row r="191" spans="1:103" ht="104.25" customHeight="1" x14ac:dyDescent="0.2">
      <c r="A191" s="1820"/>
      <c r="B191" s="1823"/>
      <c r="C191" s="359"/>
      <c r="D191" s="359"/>
      <c r="E191" s="195"/>
      <c r="F191" s="195"/>
      <c r="G191" s="195"/>
      <c r="H191" s="195"/>
      <c r="I191" s="195"/>
      <c r="J191" s="195"/>
      <c r="K191" s="195"/>
      <c r="L191" s="195"/>
      <c r="M191" s="195"/>
      <c r="N191" s="195"/>
      <c r="O191" s="195"/>
      <c r="P191" s="195"/>
      <c r="Q191" s="195"/>
      <c r="R191" s="195"/>
      <c r="S191" s="195"/>
      <c r="T191" s="359"/>
      <c r="U191" s="1830"/>
      <c r="V191" s="194" t="s">
        <v>1097</v>
      </c>
      <c r="W191" s="194" t="s">
        <v>1098</v>
      </c>
      <c r="X191" s="1241" t="s">
        <v>1099</v>
      </c>
      <c r="Y191" s="216">
        <v>600</v>
      </c>
      <c r="Z191" s="216">
        <v>150</v>
      </c>
      <c r="AA191" s="216">
        <v>150</v>
      </c>
      <c r="AB191" s="199">
        <v>150</v>
      </c>
      <c r="AC191" s="217">
        <v>0.25</v>
      </c>
      <c r="AD191" s="217">
        <v>0.25</v>
      </c>
      <c r="AE191" s="217">
        <f>+AB191/Y191</f>
        <v>0.25</v>
      </c>
      <c r="AF191" s="216">
        <v>10</v>
      </c>
      <c r="AG191" s="216">
        <v>20</v>
      </c>
      <c r="AH191" s="274"/>
      <c r="AI191" s="205">
        <v>35</v>
      </c>
      <c r="AJ191" s="274"/>
      <c r="AK191" s="410">
        <f>+AI191</f>
        <v>35</v>
      </c>
      <c r="AL191" s="365">
        <f>+AK191/Z191</f>
        <v>0.23333333333333334</v>
      </c>
      <c r="AM191" s="196">
        <f>+AK191</f>
        <v>35</v>
      </c>
      <c r="AN191" s="197">
        <f>+AM191/Y191</f>
        <v>5.8333333333333334E-2</v>
      </c>
      <c r="AO191" s="216">
        <v>150</v>
      </c>
      <c r="AP191" s="199">
        <v>0</v>
      </c>
      <c r="AQ191" s="199"/>
      <c r="AR191" s="199">
        <v>76</v>
      </c>
      <c r="AS191" s="199"/>
      <c r="AT191" s="199">
        <v>50</v>
      </c>
      <c r="AU191" s="199"/>
      <c r="AV191" s="199">
        <v>50</v>
      </c>
      <c r="AW191" s="199"/>
      <c r="AX191" s="199">
        <f>+AR191+AV191+AT191</f>
        <v>176</v>
      </c>
      <c r="AY191" s="197">
        <v>1</v>
      </c>
      <c r="AZ191" s="196">
        <f>+AX191+AM191</f>
        <v>211</v>
      </c>
      <c r="BA191" s="233">
        <f>+AZ191/Y191</f>
        <v>0.35166666666666668</v>
      </c>
      <c r="BB191" s="199">
        <v>150</v>
      </c>
      <c r="BC191" s="199">
        <v>20</v>
      </c>
      <c r="BD191" s="199"/>
      <c r="BE191" s="199">
        <v>50</v>
      </c>
      <c r="BF191" s="199"/>
      <c r="BG191" s="199">
        <v>50</v>
      </c>
      <c r="BH191" s="199"/>
      <c r="BI191" s="199">
        <v>30</v>
      </c>
      <c r="BJ191" s="199"/>
      <c r="BK191" s="199">
        <f>BC191+BE191+BG191+BI191</f>
        <v>150</v>
      </c>
      <c r="BL191" s="58">
        <f>BK191/BB191</f>
        <v>1</v>
      </c>
      <c r="BM191" s="196">
        <f>BK191+AZ191</f>
        <v>361</v>
      </c>
      <c r="BN191" s="58">
        <f>BM191/Y191</f>
        <v>0.60166666666666668</v>
      </c>
      <c r="BO191" s="204"/>
      <c r="BP191" s="204"/>
      <c r="BQ191" s="204"/>
      <c r="BR191" s="204"/>
      <c r="BS191" s="204"/>
      <c r="BT191" s="204"/>
      <c r="BU191" s="204"/>
      <c r="BV191" s="204"/>
      <c r="BW191" s="204"/>
      <c r="BX191" s="204"/>
      <c r="BY191" s="204"/>
      <c r="BZ191" s="204"/>
      <c r="CA191" s="204"/>
      <c r="CB191" s="204"/>
      <c r="CC191" s="204"/>
      <c r="CD191" s="204"/>
      <c r="CE191" s="204"/>
      <c r="CF191" s="204"/>
      <c r="CG191" s="204"/>
      <c r="CH191" s="204"/>
      <c r="CI191" s="204"/>
      <c r="CJ191" s="204"/>
      <c r="CK191" s="204"/>
      <c r="CL191" s="204"/>
      <c r="CM191" s="204"/>
      <c r="CN191" s="204"/>
      <c r="CO191" s="204"/>
      <c r="CP191" s="204"/>
      <c r="CQ191" s="204"/>
      <c r="CR191" s="204"/>
      <c r="CS191" s="204"/>
      <c r="CT191" s="204"/>
      <c r="CU191" s="204"/>
      <c r="CV191" s="204"/>
      <c r="CW191" s="204"/>
      <c r="CX191" s="204"/>
      <c r="CY191" s="204"/>
    </row>
    <row r="192" spans="1:103" ht="100.5" customHeight="1" x14ac:dyDescent="0.2">
      <c r="A192" s="1820"/>
      <c r="B192" s="1823"/>
      <c r="C192" s="359"/>
      <c r="D192" s="359"/>
      <c r="E192" s="195"/>
      <c r="F192" s="195"/>
      <c r="G192" s="195"/>
      <c r="H192" s="195"/>
      <c r="I192" s="195"/>
      <c r="J192" s="195"/>
      <c r="K192" s="195"/>
      <c r="L192" s="195"/>
      <c r="M192" s="195"/>
      <c r="N192" s="195"/>
      <c r="O192" s="195"/>
      <c r="P192" s="195"/>
      <c r="Q192" s="195"/>
      <c r="R192" s="195"/>
      <c r="S192" s="195"/>
      <c r="T192" s="359"/>
      <c r="U192" s="1830"/>
      <c r="V192" s="194" t="s">
        <v>1100</v>
      </c>
      <c r="W192" s="194" t="s">
        <v>1101</v>
      </c>
      <c r="X192" s="1241" t="s">
        <v>1102</v>
      </c>
      <c r="Y192" s="216">
        <v>36</v>
      </c>
      <c r="Z192" s="216">
        <v>9</v>
      </c>
      <c r="AA192" s="216">
        <v>9</v>
      </c>
      <c r="AB192" s="199">
        <v>9</v>
      </c>
      <c r="AC192" s="217">
        <v>0.25</v>
      </c>
      <c r="AD192" s="217">
        <v>0.25</v>
      </c>
      <c r="AE192" s="217">
        <f>+AB192/Y192</f>
        <v>0.25</v>
      </c>
      <c r="AF192" s="216">
        <v>5</v>
      </c>
      <c r="AG192" s="216">
        <v>7</v>
      </c>
      <c r="AH192" s="274"/>
      <c r="AI192" s="205">
        <v>9</v>
      </c>
      <c r="AJ192" s="274"/>
      <c r="AK192" s="410">
        <f>+AI192</f>
        <v>9</v>
      </c>
      <c r="AL192" s="365">
        <f>+AK192/Z192</f>
        <v>1</v>
      </c>
      <c r="AM192" s="196">
        <f>+AK192</f>
        <v>9</v>
      </c>
      <c r="AN192" s="197">
        <f>+AM192/Y192</f>
        <v>0.25</v>
      </c>
      <c r="AO192" s="216">
        <v>9</v>
      </c>
      <c r="AP192" s="199">
        <v>1</v>
      </c>
      <c r="AQ192" s="199"/>
      <c r="AR192" s="199">
        <v>3</v>
      </c>
      <c r="AS192" s="199"/>
      <c r="AT192" s="199">
        <v>3</v>
      </c>
      <c r="AU192" s="199"/>
      <c r="AV192" s="199">
        <v>2</v>
      </c>
      <c r="AW192" s="199"/>
      <c r="AX192" s="254">
        <f>1+AR192+AT192+AV192</f>
        <v>9</v>
      </c>
      <c r="AY192" s="197">
        <f>AX192/9</f>
        <v>1</v>
      </c>
      <c r="AZ192" s="196">
        <f>+AX192+AM192</f>
        <v>18</v>
      </c>
      <c r="BA192" s="233">
        <v>0.51</v>
      </c>
      <c r="BB192" s="199">
        <v>9</v>
      </c>
      <c r="BC192" s="199">
        <v>3</v>
      </c>
      <c r="BD192" s="199"/>
      <c r="BE192" s="199">
        <v>3</v>
      </c>
      <c r="BF192" s="199"/>
      <c r="BG192" s="199">
        <v>2</v>
      </c>
      <c r="BH192" s="199"/>
      <c r="BI192" s="199">
        <v>1</v>
      </c>
      <c r="BJ192" s="199"/>
      <c r="BK192" s="199">
        <f>BC192+BE192+BG192+BI192</f>
        <v>9</v>
      </c>
      <c r="BL192" s="58">
        <f>BK192/BB192</f>
        <v>1</v>
      </c>
      <c r="BM192" s="196">
        <f>BK192+AZ192</f>
        <v>27</v>
      </c>
      <c r="BN192" s="58">
        <f>BM192/Y192</f>
        <v>0.75</v>
      </c>
      <c r="BO192" s="204"/>
      <c r="BP192" s="204"/>
      <c r="BQ192" s="204"/>
      <c r="BR192" s="204"/>
      <c r="BS192" s="204"/>
      <c r="BT192" s="204"/>
      <c r="BU192" s="204"/>
      <c r="BV192" s="204"/>
      <c r="BW192" s="204"/>
      <c r="BX192" s="204"/>
      <c r="BY192" s="204"/>
      <c r="BZ192" s="204"/>
      <c r="CA192" s="204"/>
      <c r="CB192" s="204"/>
      <c r="CC192" s="204"/>
      <c r="CD192" s="204"/>
      <c r="CE192" s="204"/>
      <c r="CF192" s="204"/>
      <c r="CG192" s="204"/>
      <c r="CH192" s="204"/>
      <c r="CI192" s="204"/>
      <c r="CJ192" s="204"/>
      <c r="CK192" s="204"/>
      <c r="CL192" s="204"/>
      <c r="CM192" s="204"/>
      <c r="CN192" s="204"/>
      <c r="CO192" s="204"/>
      <c r="CP192" s="204"/>
      <c r="CQ192" s="204"/>
      <c r="CR192" s="204"/>
      <c r="CS192" s="204"/>
      <c r="CT192" s="204"/>
      <c r="CU192" s="204"/>
      <c r="CV192" s="204"/>
      <c r="CW192" s="204"/>
      <c r="CX192" s="204"/>
      <c r="CY192" s="204"/>
    </row>
    <row r="193" spans="1:103" ht="64.5" customHeight="1" x14ac:dyDescent="0.2">
      <c r="A193" s="1820"/>
      <c r="B193" s="1823"/>
      <c r="C193" s="359"/>
      <c r="D193" s="359"/>
      <c r="E193" s="195"/>
      <c r="F193" s="195"/>
      <c r="G193" s="195"/>
      <c r="H193" s="195"/>
      <c r="I193" s="195"/>
      <c r="J193" s="195"/>
      <c r="K193" s="195"/>
      <c r="L193" s="195"/>
      <c r="M193" s="195"/>
      <c r="N193" s="195"/>
      <c r="O193" s="195"/>
      <c r="P193" s="195"/>
      <c r="Q193" s="195"/>
      <c r="R193" s="195"/>
      <c r="S193" s="195"/>
      <c r="T193" s="359"/>
      <c r="U193" s="1830"/>
      <c r="V193" s="194" t="s">
        <v>1103</v>
      </c>
      <c r="W193" s="326" t="s">
        <v>1104</v>
      </c>
      <c r="X193" s="1241" t="s">
        <v>1105</v>
      </c>
      <c r="Y193" s="216">
        <v>1</v>
      </c>
      <c r="Z193" s="216">
        <v>1</v>
      </c>
      <c r="AA193" s="216">
        <v>1</v>
      </c>
      <c r="AB193" s="199">
        <v>1</v>
      </c>
      <c r="AC193" s="217">
        <v>0.25</v>
      </c>
      <c r="AD193" s="217">
        <v>0.25</v>
      </c>
      <c r="AE193" s="217">
        <v>0.25</v>
      </c>
      <c r="AF193" s="216">
        <v>1</v>
      </c>
      <c r="AG193" s="216">
        <v>1</v>
      </c>
      <c r="AH193" s="274"/>
      <c r="AI193" s="205">
        <v>1</v>
      </c>
      <c r="AJ193" s="274"/>
      <c r="AK193" s="410">
        <f>+AI193</f>
        <v>1</v>
      </c>
      <c r="AL193" s="365">
        <v>1</v>
      </c>
      <c r="AM193" s="196">
        <v>1</v>
      </c>
      <c r="AN193" s="197">
        <v>0.25</v>
      </c>
      <c r="AO193" s="216">
        <v>1</v>
      </c>
      <c r="AP193" s="199">
        <v>0</v>
      </c>
      <c r="AQ193" s="199"/>
      <c r="AR193" s="199">
        <v>0.17</v>
      </c>
      <c r="AS193" s="199"/>
      <c r="AT193" s="199">
        <v>0.08</v>
      </c>
      <c r="AU193" s="199"/>
      <c r="AV193" s="199">
        <v>0</v>
      </c>
      <c r="AW193" s="199"/>
      <c r="AX193" s="199">
        <f>+AR193+AT193</f>
        <v>0.25</v>
      </c>
      <c r="AY193" s="197">
        <v>1</v>
      </c>
      <c r="AZ193" s="197">
        <v>1</v>
      </c>
      <c r="BA193" s="233">
        <v>0.52800000000000002</v>
      </c>
      <c r="BB193" s="199">
        <v>0.22</v>
      </c>
      <c r="BC193" s="1226">
        <v>5.5E-2</v>
      </c>
      <c r="BD193" s="1226"/>
      <c r="BE193" s="1226">
        <v>5.5E-2</v>
      </c>
      <c r="BF193" s="199"/>
      <c r="BG193" s="199">
        <v>7.0000000000000007E-2</v>
      </c>
      <c r="BH193" s="199"/>
      <c r="BI193" s="199">
        <v>7.0000000000000007E-2</v>
      </c>
      <c r="BJ193" s="199"/>
      <c r="BK193" s="1226">
        <f>+BE193+BC193+BG193+BI193</f>
        <v>0.25</v>
      </c>
      <c r="BL193" s="197">
        <v>1</v>
      </c>
      <c r="BM193" s="197">
        <v>0.75</v>
      </c>
      <c r="BN193" s="230">
        <f>BM193</f>
        <v>0.75</v>
      </c>
      <c r="BO193" s="204"/>
      <c r="BP193" s="204"/>
      <c r="BQ193" s="204"/>
      <c r="BR193" s="204"/>
      <c r="BS193" s="204"/>
      <c r="BT193" s="204"/>
      <c r="BU193" s="204"/>
      <c r="BV193" s="204"/>
      <c r="BW193" s="204"/>
      <c r="BX193" s="204"/>
      <c r="BY193" s="204"/>
      <c r="BZ193" s="204"/>
      <c r="CA193" s="204"/>
      <c r="CB193" s="204"/>
      <c r="CC193" s="204"/>
      <c r="CD193" s="204"/>
      <c r="CE193" s="204"/>
      <c r="CF193" s="204"/>
      <c r="CG193" s="204"/>
      <c r="CH193" s="204"/>
      <c r="CI193" s="204"/>
      <c r="CJ193" s="204"/>
      <c r="CK193" s="204"/>
      <c r="CL193" s="204"/>
      <c r="CM193" s="204"/>
      <c r="CN193" s="204"/>
      <c r="CO193" s="204"/>
      <c r="CP193" s="204"/>
      <c r="CQ193" s="204"/>
      <c r="CR193" s="204"/>
      <c r="CS193" s="204"/>
      <c r="CT193" s="204"/>
      <c r="CU193" s="204"/>
      <c r="CV193" s="204"/>
      <c r="CW193" s="204"/>
      <c r="CX193" s="204"/>
      <c r="CY193" s="204"/>
    </row>
    <row r="194" spans="1:103" ht="47.25" customHeight="1" x14ac:dyDescent="0.2">
      <c r="A194" s="1820"/>
      <c r="B194" s="1823"/>
      <c r="C194" s="359"/>
      <c r="D194" s="359"/>
      <c r="E194" s="195"/>
      <c r="F194" s="195"/>
      <c r="G194" s="195"/>
      <c r="H194" s="195"/>
      <c r="I194" s="195"/>
      <c r="J194" s="195"/>
      <c r="K194" s="195"/>
      <c r="L194" s="195"/>
      <c r="M194" s="195"/>
      <c r="N194" s="195"/>
      <c r="O194" s="195"/>
      <c r="P194" s="195"/>
      <c r="Q194" s="195"/>
      <c r="R194" s="195"/>
      <c r="S194" s="195"/>
      <c r="T194" s="359"/>
      <c r="U194" s="1830"/>
      <c r="V194" s="194" t="s">
        <v>1106</v>
      </c>
      <c r="W194" s="194" t="s">
        <v>1107</v>
      </c>
      <c r="X194" s="1241" t="s">
        <v>1108</v>
      </c>
      <c r="Y194" s="216">
        <v>20</v>
      </c>
      <c r="Z194" s="216">
        <v>5</v>
      </c>
      <c r="AA194" s="216">
        <v>5</v>
      </c>
      <c r="AB194" s="199">
        <v>5</v>
      </c>
      <c r="AC194" s="217">
        <v>0.25</v>
      </c>
      <c r="AD194" s="217">
        <v>0.25</v>
      </c>
      <c r="AE194" s="217">
        <f>+AB194/Y194</f>
        <v>0.25</v>
      </c>
      <c r="AF194" s="216">
        <v>5</v>
      </c>
      <c r="AG194" s="216">
        <v>5</v>
      </c>
      <c r="AH194" s="274"/>
      <c r="AI194" s="205">
        <v>5</v>
      </c>
      <c r="AJ194" s="274"/>
      <c r="AK194" s="410">
        <f>+AI194</f>
        <v>5</v>
      </c>
      <c r="AL194" s="365">
        <f>+AK194/Z194</f>
        <v>1</v>
      </c>
      <c r="AM194" s="196">
        <f>+AK194</f>
        <v>5</v>
      </c>
      <c r="AN194" s="197">
        <f>+AM194/Y194</f>
        <v>0.25</v>
      </c>
      <c r="AO194" s="216">
        <v>5</v>
      </c>
      <c r="AP194" s="199">
        <v>0</v>
      </c>
      <c r="AQ194" s="199"/>
      <c r="AR194" s="199">
        <v>0</v>
      </c>
      <c r="AS194" s="199"/>
      <c r="AT194" s="199"/>
      <c r="AU194" s="199"/>
      <c r="AV194" s="199">
        <v>0</v>
      </c>
      <c r="AW194" s="199"/>
      <c r="AX194" s="199">
        <v>0</v>
      </c>
      <c r="AY194" s="197">
        <v>0</v>
      </c>
      <c r="AZ194" s="199">
        <v>5</v>
      </c>
      <c r="BA194" s="233">
        <v>0.25</v>
      </c>
      <c r="BB194" s="199">
        <v>5</v>
      </c>
      <c r="BC194" s="199">
        <v>0</v>
      </c>
      <c r="BD194" s="199"/>
      <c r="BE194" s="199">
        <v>0</v>
      </c>
      <c r="BF194" s="199"/>
      <c r="BG194" s="199">
        <v>0</v>
      </c>
      <c r="BH194" s="199"/>
      <c r="BI194" s="199">
        <v>5</v>
      </c>
      <c r="BJ194" s="199"/>
      <c r="BK194" s="199">
        <f>+BI194</f>
        <v>5</v>
      </c>
      <c r="BL194" s="197">
        <f>+BK194/BB194</f>
        <v>1</v>
      </c>
      <c r="BM194" s="199">
        <f>AZ194+BK194</f>
        <v>10</v>
      </c>
      <c r="BN194" s="58">
        <f>BM194/Y194</f>
        <v>0.5</v>
      </c>
      <c r="BO194" s="874"/>
      <c r="BP194" s="204"/>
      <c r="BQ194" s="204"/>
      <c r="BR194" s="204"/>
      <c r="BS194" s="204"/>
      <c r="BT194" s="204"/>
      <c r="BU194" s="204"/>
      <c r="BV194" s="204"/>
      <c r="BW194" s="204"/>
      <c r="BX194" s="204"/>
      <c r="BY194" s="204"/>
      <c r="BZ194" s="204"/>
      <c r="CA194" s="204"/>
      <c r="CB194" s="204"/>
      <c r="CC194" s="204"/>
      <c r="CD194" s="204"/>
      <c r="CE194" s="204"/>
      <c r="CF194" s="204"/>
      <c r="CG194" s="204"/>
      <c r="CH194" s="204"/>
      <c r="CI194" s="204"/>
      <c r="CJ194" s="204"/>
      <c r="CK194" s="204"/>
      <c r="CL194" s="204"/>
      <c r="CM194" s="204"/>
      <c r="CN194" s="204"/>
      <c r="CO194" s="204"/>
      <c r="CP194" s="204"/>
      <c r="CQ194" s="204"/>
      <c r="CR194" s="204"/>
      <c r="CS194" s="204"/>
      <c r="CT194" s="204"/>
      <c r="CU194" s="204"/>
      <c r="CV194" s="204"/>
      <c r="CW194" s="204"/>
      <c r="CX194" s="204"/>
      <c r="CY194" s="204"/>
    </row>
    <row r="195" spans="1:103" ht="15.75" customHeight="1" x14ac:dyDescent="0.2">
      <c r="A195" s="1820"/>
      <c r="B195" s="1823"/>
      <c r="C195" s="359"/>
      <c r="D195" s="359"/>
      <c r="E195" s="195"/>
      <c r="F195" s="195"/>
      <c r="G195" s="195"/>
      <c r="H195" s="195"/>
      <c r="I195" s="195"/>
      <c r="J195" s="195"/>
      <c r="K195" s="195"/>
      <c r="L195" s="195"/>
      <c r="M195" s="195"/>
      <c r="N195" s="195"/>
      <c r="O195" s="195"/>
      <c r="P195" s="195"/>
      <c r="Q195" s="195"/>
      <c r="R195" s="195"/>
      <c r="S195" s="195"/>
      <c r="T195" s="359"/>
      <c r="U195" s="1831"/>
      <c r="V195" s="246"/>
      <c r="W195" s="246"/>
      <c r="X195" s="1454"/>
      <c r="Y195" s="246"/>
      <c r="Z195" s="247"/>
      <c r="AA195" s="247"/>
      <c r="AB195" s="247"/>
      <c r="AC195" s="252">
        <f>AVERAGE(AC190:AC194)</f>
        <v>0.25</v>
      </c>
      <c r="AD195" s="252">
        <v>0.25</v>
      </c>
      <c r="AE195" s="252">
        <f>AVERAGE(AE190:AE194)</f>
        <v>0.25</v>
      </c>
      <c r="AF195" s="247"/>
      <c r="AG195" s="247"/>
      <c r="AH195" s="247"/>
      <c r="AI195" s="251"/>
      <c r="AJ195" s="247"/>
      <c r="AK195" s="247"/>
      <c r="AL195" s="252">
        <f>AVERAGE(AL190:AL194)</f>
        <v>0.84666666666666668</v>
      </c>
      <c r="AM195" s="247"/>
      <c r="AN195" s="252">
        <f>AVERAGE(AN190:AN194)</f>
        <v>0.21166666666666667</v>
      </c>
      <c r="AO195" s="247"/>
      <c r="AP195" s="247"/>
      <c r="AQ195" s="247"/>
      <c r="AR195" s="247"/>
      <c r="AS195" s="247"/>
      <c r="AT195" s="247"/>
      <c r="AU195" s="247"/>
      <c r="AV195" s="247"/>
      <c r="AW195" s="247"/>
      <c r="AX195" s="247"/>
      <c r="AY195" s="253">
        <f>AVERAGE(AY190:AY194)</f>
        <v>0.8</v>
      </c>
      <c r="AZ195" s="252"/>
      <c r="BA195" s="255">
        <f>AVERAGE(BA190:BA194)</f>
        <v>0.42993333333333333</v>
      </c>
      <c r="BB195" s="290"/>
      <c r="BC195" s="290"/>
      <c r="BD195" s="290"/>
      <c r="BE195" s="290"/>
      <c r="BF195" s="290"/>
      <c r="BG195" s="290"/>
      <c r="BH195" s="290"/>
      <c r="BI195" s="290"/>
      <c r="BJ195" s="290"/>
      <c r="BK195" s="290"/>
      <c r="BL195" s="1238">
        <f>AVERAGE(BL190:BL194)</f>
        <v>1</v>
      </c>
      <c r="BM195" s="213"/>
      <c r="BN195" s="1238">
        <f>AVERAGE(BN190:BN194)</f>
        <v>0.67033333333333334</v>
      </c>
      <c r="BO195" s="291"/>
      <c r="BP195" s="291"/>
      <c r="BQ195" s="291"/>
      <c r="BR195" s="291"/>
      <c r="BS195" s="291"/>
      <c r="BT195" s="291"/>
      <c r="BU195" s="291"/>
      <c r="BV195" s="291"/>
      <c r="BW195" s="291"/>
      <c r="BX195" s="291"/>
      <c r="BY195" s="291"/>
      <c r="BZ195" s="291"/>
      <c r="CA195" s="291"/>
      <c r="CB195" s="291"/>
      <c r="CC195" s="291"/>
      <c r="CD195" s="291"/>
      <c r="CE195" s="291"/>
      <c r="CF195" s="291"/>
      <c r="CG195" s="291"/>
      <c r="CH195" s="291"/>
      <c r="CI195" s="291"/>
      <c r="CJ195" s="291"/>
      <c r="CK195" s="291"/>
      <c r="CL195" s="291"/>
      <c r="CM195" s="291"/>
      <c r="CN195" s="291"/>
      <c r="CO195" s="291"/>
      <c r="CP195" s="291"/>
      <c r="CQ195" s="291"/>
      <c r="CR195" s="291"/>
      <c r="CS195" s="291"/>
      <c r="CT195" s="291"/>
      <c r="CU195" s="291"/>
      <c r="CV195" s="291"/>
      <c r="CW195" s="291"/>
      <c r="CX195" s="291"/>
      <c r="CY195" s="291"/>
    </row>
    <row r="196" spans="1:103" ht="15.75" customHeight="1" x14ac:dyDescent="0.2">
      <c r="A196" s="1820"/>
      <c r="B196" s="1824"/>
      <c r="C196" s="413"/>
      <c r="D196" s="413"/>
      <c r="E196" s="263"/>
      <c r="F196" s="263"/>
      <c r="G196" s="263"/>
      <c r="H196" s="263"/>
      <c r="I196" s="263"/>
      <c r="J196" s="263"/>
      <c r="K196" s="263"/>
      <c r="L196" s="263"/>
      <c r="M196" s="263"/>
      <c r="N196" s="263"/>
      <c r="O196" s="263"/>
      <c r="P196" s="263"/>
      <c r="Q196" s="263"/>
      <c r="R196" s="263"/>
      <c r="S196" s="263"/>
      <c r="T196" s="413"/>
      <c r="U196" s="192"/>
      <c r="V196" s="262"/>
      <c r="W196" s="262"/>
      <c r="X196" s="1460"/>
      <c r="Y196" s="262"/>
      <c r="Z196" s="264"/>
      <c r="AA196" s="264"/>
      <c r="AB196" s="264"/>
      <c r="AC196" s="265">
        <f>+(AC195+AC189+AC185+AC169+AC158+AC146+AC129+AC123+AC116+AC152)/10</f>
        <v>0.2394246638627282</v>
      </c>
      <c r="AD196" s="265">
        <f>+(AD195+AD189+AD185+AD169+AD158+AD146+AD129+AD123+AD116+AD152)/10</f>
        <v>0.25590860868718973</v>
      </c>
      <c r="AE196" s="265">
        <f>+(AE195+AE189+AE185+AE169+AE158+AE146+AE129+AE123+AE116+AE152)/10</f>
        <v>0.22315037288107026</v>
      </c>
      <c r="AF196" s="264"/>
      <c r="AG196" s="264"/>
      <c r="AH196" s="264"/>
      <c r="AI196" s="338"/>
      <c r="AJ196" s="264"/>
      <c r="AK196" s="264"/>
      <c r="AL196" s="265">
        <f>+(AL195+AL189+AL185+AL169+AL158+AL146+AL129+AL123+AL116+AL152)/10</f>
        <v>0.83884306880404824</v>
      </c>
      <c r="AM196" s="264"/>
      <c r="AN196" s="265">
        <f>+(AN195+AN189+AN185+AN169+AN158+AN146+AN129+AN123+AN116+AN152)/10</f>
        <v>0.22535719427213827</v>
      </c>
      <c r="AO196" s="264"/>
      <c r="AP196" s="264"/>
      <c r="AQ196" s="264"/>
      <c r="AR196" s="264"/>
      <c r="AS196" s="264"/>
      <c r="AT196" s="264"/>
      <c r="AU196" s="264"/>
      <c r="AV196" s="264"/>
      <c r="AW196" s="264"/>
      <c r="AX196" s="264"/>
      <c r="AY196" s="265">
        <f>+(AY195+AY189+AY185+AY169+AY158+AY146+AY129+AY123+AY116+AY152)/10</f>
        <v>0.85492903392233344</v>
      </c>
      <c r="AZ196" s="264"/>
      <c r="BA196" s="414">
        <f>+(BA195+BA189+BA185+BA169+BA158+BA146+BA129+BA123+BA116+BA152)/10</f>
        <v>0.49591387361512573</v>
      </c>
      <c r="BB196" s="263"/>
      <c r="BC196" s="263"/>
      <c r="BD196" s="263"/>
      <c r="BE196" s="263"/>
      <c r="BF196" s="263"/>
      <c r="BG196" s="263"/>
      <c r="BH196" s="263"/>
      <c r="BI196" s="263"/>
      <c r="BJ196" s="263"/>
      <c r="BK196" s="263"/>
      <c r="BL196" s="1471">
        <f>+(BL195+BL189+BL185+BL169+BL158+BL146+BL129+BL123+BL116+BL152)/10</f>
        <v>0.93708508864727913</v>
      </c>
      <c r="BM196" s="263"/>
      <c r="BN196" s="271">
        <f>+(BN195+BN189+BN185+BN169+BN158+BN146+BN129+BN123+BN116+BN152)/10</f>
        <v>0.72897940477146805</v>
      </c>
      <c r="BO196" s="272"/>
      <c r="BP196" s="272"/>
      <c r="BQ196" s="272"/>
      <c r="BR196" s="272"/>
      <c r="BS196" s="272"/>
      <c r="BT196" s="272"/>
      <c r="BU196" s="272"/>
      <c r="BV196" s="272"/>
      <c r="BW196" s="272"/>
      <c r="BX196" s="272"/>
      <c r="BY196" s="272"/>
      <c r="BZ196" s="272"/>
      <c r="CA196" s="272"/>
      <c r="CB196" s="272"/>
      <c r="CC196" s="272"/>
      <c r="CD196" s="272"/>
      <c r="CE196" s="272"/>
      <c r="CF196" s="272"/>
      <c r="CG196" s="272"/>
      <c r="CH196" s="272"/>
      <c r="CI196" s="272"/>
      <c r="CJ196" s="272"/>
      <c r="CK196" s="272"/>
      <c r="CL196" s="272"/>
      <c r="CM196" s="272"/>
      <c r="CN196" s="272"/>
      <c r="CO196" s="272"/>
      <c r="CP196" s="272"/>
      <c r="CQ196" s="272"/>
      <c r="CR196" s="272"/>
      <c r="CS196" s="272"/>
      <c r="CT196" s="272"/>
      <c r="CU196" s="272"/>
      <c r="CV196" s="272"/>
      <c r="CW196" s="272"/>
      <c r="CX196" s="272"/>
      <c r="CY196" s="272"/>
    </row>
    <row r="197" spans="1:103" ht="55.5" customHeight="1" x14ac:dyDescent="0.2">
      <c r="A197" s="1820"/>
      <c r="B197" s="1825" t="s">
        <v>1109</v>
      </c>
      <c r="C197" s="346" t="s">
        <v>1110</v>
      </c>
      <c r="D197" s="333" t="s">
        <v>1111</v>
      </c>
      <c r="E197" s="195"/>
      <c r="F197" s="195"/>
      <c r="G197" s="195"/>
      <c r="H197" s="195"/>
      <c r="I197" s="195"/>
      <c r="J197" s="195"/>
      <c r="K197" s="195"/>
      <c r="L197" s="195"/>
      <c r="M197" s="195"/>
      <c r="N197" s="195"/>
      <c r="O197" s="195"/>
      <c r="P197" s="195"/>
      <c r="Q197" s="195"/>
      <c r="R197" s="195"/>
      <c r="S197" s="195"/>
      <c r="T197" s="343" t="s">
        <v>1112</v>
      </c>
      <c r="U197" s="1829" t="s">
        <v>1113</v>
      </c>
      <c r="V197" s="194" t="s">
        <v>1114</v>
      </c>
      <c r="W197" s="333" t="s">
        <v>1115</v>
      </c>
      <c r="X197" s="1241" t="s">
        <v>1116</v>
      </c>
      <c r="Y197" s="220">
        <v>5400</v>
      </c>
      <c r="Z197" s="199">
        <v>3400</v>
      </c>
      <c r="AA197" s="199">
        <v>4200</v>
      </c>
      <c r="AB197" s="199">
        <v>5200</v>
      </c>
      <c r="AC197" s="197">
        <v>0.25</v>
      </c>
      <c r="AD197" s="415">
        <v>0.25</v>
      </c>
      <c r="AE197" s="875"/>
      <c r="AF197" s="876">
        <v>3463</v>
      </c>
      <c r="AG197" s="876">
        <v>3463</v>
      </c>
      <c r="AH197" s="876"/>
      <c r="AI197" s="876">
        <v>3463</v>
      </c>
      <c r="AJ197" s="876"/>
      <c r="AK197" s="877">
        <f>+AI197</f>
        <v>3463</v>
      </c>
      <c r="AL197" s="875">
        <v>1</v>
      </c>
      <c r="AM197" s="878">
        <f>+AK197</f>
        <v>3463</v>
      </c>
      <c r="AN197" s="875">
        <f>+AM197/Y197</f>
        <v>0.64129629629629625</v>
      </c>
      <c r="AO197" s="876">
        <v>4200</v>
      </c>
      <c r="AP197" s="876">
        <v>4830</v>
      </c>
      <c r="AQ197" s="876"/>
      <c r="AR197" s="876">
        <v>120</v>
      </c>
      <c r="AS197" s="876"/>
      <c r="AT197" s="876">
        <v>575</v>
      </c>
      <c r="AU197" s="876"/>
      <c r="AV197" s="879">
        <v>1062</v>
      </c>
      <c r="AW197" s="879"/>
      <c r="AX197" s="879">
        <f>+AP197+AR197+AT197+AV197</f>
        <v>6587</v>
      </c>
      <c r="AY197" s="880">
        <v>1</v>
      </c>
      <c r="AZ197" s="877">
        <f>+AX197+AK197</f>
        <v>10050</v>
      </c>
      <c r="BA197" s="881">
        <v>1</v>
      </c>
      <c r="BB197" s="876">
        <v>5200</v>
      </c>
      <c r="BC197" s="876">
        <v>10400</v>
      </c>
      <c r="BD197" s="876"/>
      <c r="BE197" s="876">
        <v>10400</v>
      </c>
      <c r="BF197" s="876"/>
      <c r="BG197" s="876">
        <v>591</v>
      </c>
      <c r="BH197" s="876"/>
      <c r="BI197" s="876">
        <v>242</v>
      </c>
      <c r="BJ197" s="876"/>
      <c r="BK197" s="876">
        <f>BC197+BG197+BI197</f>
        <v>11233</v>
      </c>
      <c r="BL197" s="882">
        <v>1</v>
      </c>
      <c r="BM197" s="878">
        <f>BK197+AZ197</f>
        <v>21283</v>
      </c>
      <c r="BN197" s="875">
        <v>1</v>
      </c>
      <c r="BO197" s="204"/>
      <c r="BP197" s="204"/>
      <c r="BQ197" s="204"/>
      <c r="BR197" s="204"/>
      <c r="BS197" s="204"/>
      <c r="BT197" s="204"/>
      <c r="BU197" s="204"/>
      <c r="BV197" s="204"/>
      <c r="BW197" s="204"/>
      <c r="BX197" s="204"/>
      <c r="BY197" s="204"/>
      <c r="BZ197" s="204"/>
      <c r="CA197" s="204"/>
      <c r="CB197" s="204"/>
      <c r="CC197" s="204"/>
      <c r="CD197" s="204"/>
      <c r="CE197" s="204"/>
      <c r="CF197" s="204"/>
      <c r="CG197" s="204"/>
      <c r="CH197" s="204"/>
      <c r="CI197" s="204"/>
      <c r="CJ197" s="204"/>
      <c r="CK197" s="204"/>
      <c r="CL197" s="204"/>
      <c r="CM197" s="204"/>
      <c r="CN197" s="204"/>
      <c r="CO197" s="204"/>
      <c r="CP197" s="204"/>
      <c r="CQ197" s="204"/>
      <c r="CR197" s="204"/>
      <c r="CS197" s="204"/>
      <c r="CT197" s="204"/>
      <c r="CU197" s="204"/>
      <c r="CV197" s="204"/>
      <c r="CW197" s="204"/>
      <c r="CX197" s="204"/>
      <c r="CY197" s="204"/>
    </row>
    <row r="198" spans="1:103" ht="51.75" customHeight="1" x14ac:dyDescent="0.2">
      <c r="A198" s="1820"/>
      <c r="B198" s="1826"/>
      <c r="C198" s="346" t="s">
        <v>1117</v>
      </c>
      <c r="D198" s="333" t="s">
        <v>1111</v>
      </c>
      <c r="E198" s="195"/>
      <c r="F198" s="195"/>
      <c r="G198" s="195"/>
      <c r="H198" s="195"/>
      <c r="I198" s="195"/>
      <c r="J198" s="195"/>
      <c r="K198" s="195"/>
      <c r="L198" s="195"/>
      <c r="M198" s="195"/>
      <c r="N198" s="195"/>
      <c r="O198" s="195"/>
      <c r="P198" s="195"/>
      <c r="Q198" s="195"/>
      <c r="R198" s="195"/>
      <c r="S198" s="195"/>
      <c r="T198" s="343" t="s">
        <v>1118</v>
      </c>
      <c r="U198" s="1830"/>
      <c r="V198" s="194" t="s">
        <v>1119</v>
      </c>
      <c r="W198" s="194" t="s">
        <v>1120</v>
      </c>
      <c r="X198" s="1241" t="s">
        <v>1121</v>
      </c>
      <c r="Y198" s="220">
        <v>54</v>
      </c>
      <c r="Z198" s="199">
        <v>50</v>
      </c>
      <c r="AA198" s="199">
        <v>50</v>
      </c>
      <c r="AB198" s="199">
        <v>52</v>
      </c>
      <c r="AC198" s="197">
        <v>0.25</v>
      </c>
      <c r="AD198" s="415">
        <v>0.25</v>
      </c>
      <c r="AE198" s="875">
        <f>AB198/Y198</f>
        <v>0.96296296296296291</v>
      </c>
      <c r="AF198" s="876">
        <v>50</v>
      </c>
      <c r="AG198" s="876">
        <v>50</v>
      </c>
      <c r="AH198" s="876"/>
      <c r="AI198" s="876">
        <v>50</v>
      </c>
      <c r="AJ198" s="876"/>
      <c r="AK198" s="877">
        <f>+AI198</f>
        <v>50</v>
      </c>
      <c r="AL198" s="875">
        <f>+AK198/Z198</f>
        <v>1</v>
      </c>
      <c r="AM198" s="878">
        <f>+AK198</f>
        <v>50</v>
      </c>
      <c r="AN198" s="875">
        <v>1</v>
      </c>
      <c r="AO198" s="876">
        <v>50</v>
      </c>
      <c r="AP198" s="876">
        <v>50</v>
      </c>
      <c r="AQ198" s="876"/>
      <c r="AR198" s="876">
        <v>51</v>
      </c>
      <c r="AS198" s="876"/>
      <c r="AT198" s="876">
        <v>51</v>
      </c>
      <c r="AU198" s="876"/>
      <c r="AV198" s="879">
        <v>51</v>
      </c>
      <c r="AW198" s="876"/>
      <c r="AX198" s="876">
        <f>+AR198</f>
        <v>51</v>
      </c>
      <c r="AY198" s="882">
        <v>1</v>
      </c>
      <c r="AZ198" s="878">
        <v>51</v>
      </c>
      <c r="BA198" s="881">
        <f>+AX198/Y198</f>
        <v>0.94444444444444442</v>
      </c>
      <c r="BB198" s="876">
        <v>52</v>
      </c>
      <c r="BC198" s="876">
        <v>52</v>
      </c>
      <c r="BD198" s="876"/>
      <c r="BE198" s="876">
        <v>52</v>
      </c>
      <c r="BF198" s="876"/>
      <c r="BG198" s="876">
        <v>52</v>
      </c>
      <c r="BH198" s="876"/>
      <c r="BI198" s="876">
        <v>52</v>
      </c>
      <c r="BJ198" s="876"/>
      <c r="BK198" s="876">
        <f>BC198</f>
        <v>52</v>
      </c>
      <c r="BL198" s="882">
        <v>1</v>
      </c>
      <c r="BM198" s="876">
        <f>BK198</f>
        <v>52</v>
      </c>
      <c r="BN198" s="891">
        <f>BM198/Y198</f>
        <v>0.96296296296296291</v>
      </c>
      <c r="BO198" s="204"/>
      <c r="BP198" s="204"/>
      <c r="BQ198" s="204"/>
      <c r="BR198" s="204"/>
      <c r="BS198" s="204"/>
      <c r="BT198" s="204"/>
      <c r="BU198" s="204"/>
      <c r="BV198" s="204"/>
      <c r="BW198" s="204"/>
      <c r="BX198" s="204"/>
      <c r="BY198" s="204"/>
      <c r="BZ198" s="204"/>
      <c r="CA198" s="204"/>
      <c r="CB198" s="204"/>
      <c r="CC198" s="204"/>
      <c r="CD198" s="204"/>
      <c r="CE198" s="204"/>
      <c r="CF198" s="204"/>
      <c r="CG198" s="204"/>
      <c r="CH198" s="204"/>
      <c r="CI198" s="204"/>
      <c r="CJ198" s="204"/>
      <c r="CK198" s="204"/>
      <c r="CL198" s="204"/>
      <c r="CM198" s="204"/>
      <c r="CN198" s="204"/>
      <c r="CO198" s="204"/>
      <c r="CP198" s="204"/>
      <c r="CQ198" s="204"/>
      <c r="CR198" s="204"/>
      <c r="CS198" s="204"/>
      <c r="CT198" s="204"/>
      <c r="CU198" s="204"/>
      <c r="CV198" s="204"/>
      <c r="CW198" s="204"/>
      <c r="CX198" s="204"/>
      <c r="CY198" s="204"/>
    </row>
    <row r="199" spans="1:103" ht="50.25" customHeight="1" x14ac:dyDescent="0.2">
      <c r="A199" s="1820"/>
      <c r="B199" s="1826"/>
      <c r="C199" s="346" t="s">
        <v>1122</v>
      </c>
      <c r="D199" s="333" t="s">
        <v>1111</v>
      </c>
      <c r="E199" s="195"/>
      <c r="F199" s="195"/>
      <c r="G199" s="195"/>
      <c r="H199" s="195"/>
      <c r="I199" s="195"/>
      <c r="J199" s="195"/>
      <c r="K199" s="195"/>
      <c r="L199" s="195"/>
      <c r="M199" s="195"/>
      <c r="N199" s="195"/>
      <c r="O199" s="195"/>
      <c r="P199" s="195"/>
      <c r="Q199" s="195"/>
      <c r="R199" s="195"/>
      <c r="S199" s="195"/>
      <c r="T199" s="343" t="s">
        <v>1123</v>
      </c>
      <c r="U199" s="1830"/>
      <c r="V199" s="194" t="s">
        <v>1124</v>
      </c>
      <c r="W199" s="333" t="s">
        <v>1125</v>
      </c>
      <c r="X199" s="1241" t="s">
        <v>1126</v>
      </c>
      <c r="Y199" s="220">
        <v>10176</v>
      </c>
      <c r="Z199" s="199">
        <v>10176</v>
      </c>
      <c r="AA199" s="199">
        <v>10176</v>
      </c>
      <c r="AB199" s="199">
        <v>4745</v>
      </c>
      <c r="AC199" s="197">
        <f>+Z199/Y199</f>
        <v>1</v>
      </c>
      <c r="AD199" s="415">
        <f>+AA199/Y199</f>
        <v>1</v>
      </c>
      <c r="AE199" s="875">
        <f>AB199/Y199</f>
        <v>0.46629323899371067</v>
      </c>
      <c r="AF199" s="876">
        <v>0</v>
      </c>
      <c r="AG199" s="876">
        <v>3947</v>
      </c>
      <c r="AH199" s="876"/>
      <c r="AI199" s="883">
        <v>3956</v>
      </c>
      <c r="AJ199" s="876"/>
      <c r="AK199" s="877">
        <f>+AI199</f>
        <v>3956</v>
      </c>
      <c r="AL199" s="875">
        <f>+AK199/Z199</f>
        <v>0.38875786163522014</v>
      </c>
      <c r="AM199" s="878">
        <f>+AK199</f>
        <v>3956</v>
      </c>
      <c r="AN199" s="875">
        <f>+AM199/Y199</f>
        <v>0.38875786163522014</v>
      </c>
      <c r="AO199" s="876">
        <v>10176</v>
      </c>
      <c r="AP199" s="876">
        <v>287</v>
      </c>
      <c r="AQ199" s="876"/>
      <c r="AR199" s="876">
        <f>+AP199</f>
        <v>287</v>
      </c>
      <c r="AS199" s="876"/>
      <c r="AT199" s="876">
        <v>1475</v>
      </c>
      <c r="AU199" s="876"/>
      <c r="AV199" s="879">
        <v>0</v>
      </c>
      <c r="AW199" s="876"/>
      <c r="AX199" s="876">
        <f>+AT199</f>
        <v>1475</v>
      </c>
      <c r="AY199" s="882">
        <f>AX199/AO199</f>
        <v>0.1449488993710692</v>
      </c>
      <c r="AZ199" s="878">
        <f>AX199+AM199</f>
        <v>5431</v>
      </c>
      <c r="BA199" s="881">
        <f>AZ199/Y199</f>
        <v>0.53370676100628933</v>
      </c>
      <c r="BB199" s="876">
        <f>AB199</f>
        <v>4745</v>
      </c>
      <c r="BC199" s="876">
        <v>0</v>
      </c>
      <c r="BD199" s="876"/>
      <c r="BE199" s="876">
        <v>7208</v>
      </c>
      <c r="BF199" s="876"/>
      <c r="BG199" s="876">
        <v>1850</v>
      </c>
      <c r="BH199" s="1420" t="s">
        <v>2224</v>
      </c>
      <c r="BI199" s="876">
        <v>0</v>
      </c>
      <c r="BJ199" s="876"/>
      <c r="BK199" s="876">
        <f>+BE199+BG199</f>
        <v>9058</v>
      </c>
      <c r="BL199" s="882">
        <v>1</v>
      </c>
      <c r="BM199" s="878">
        <f>BK199+AZ199</f>
        <v>14489</v>
      </c>
      <c r="BN199" s="1249">
        <v>1</v>
      </c>
      <c r="BO199" s="204"/>
      <c r="BP199" s="204"/>
      <c r="BQ199" s="204"/>
      <c r="BR199" s="204"/>
      <c r="BS199" s="204"/>
      <c r="BT199" s="204"/>
      <c r="BU199" s="204"/>
      <c r="BV199" s="204"/>
      <c r="BW199" s="204"/>
      <c r="BX199" s="204"/>
      <c r="BY199" s="204"/>
      <c r="BZ199" s="204"/>
      <c r="CA199" s="204"/>
      <c r="CB199" s="204"/>
      <c r="CC199" s="204"/>
      <c r="CD199" s="204"/>
      <c r="CE199" s="204"/>
      <c r="CF199" s="204"/>
      <c r="CG199" s="204"/>
      <c r="CH199" s="204"/>
      <c r="CI199" s="204"/>
      <c r="CJ199" s="204"/>
      <c r="CK199" s="204"/>
      <c r="CL199" s="204"/>
      <c r="CM199" s="204"/>
      <c r="CN199" s="204"/>
      <c r="CO199" s="204"/>
      <c r="CP199" s="204"/>
      <c r="CQ199" s="204"/>
      <c r="CR199" s="204"/>
      <c r="CS199" s="204"/>
      <c r="CT199" s="204"/>
      <c r="CU199" s="204"/>
      <c r="CV199" s="204"/>
      <c r="CW199" s="204"/>
      <c r="CX199" s="204"/>
      <c r="CY199" s="204"/>
    </row>
    <row r="200" spans="1:103" ht="15.75" customHeight="1" x14ac:dyDescent="0.2">
      <c r="A200" s="1820"/>
      <c r="B200" s="1826"/>
      <c r="C200" s="346"/>
      <c r="D200" s="333"/>
      <c r="E200" s="195"/>
      <c r="F200" s="195"/>
      <c r="G200" s="195"/>
      <c r="H200" s="195"/>
      <c r="I200" s="195"/>
      <c r="J200" s="195"/>
      <c r="K200" s="195"/>
      <c r="L200" s="195"/>
      <c r="M200" s="195"/>
      <c r="N200" s="195"/>
      <c r="O200" s="195"/>
      <c r="P200" s="195"/>
      <c r="Q200" s="195"/>
      <c r="R200" s="195"/>
      <c r="S200" s="195"/>
      <c r="T200" s="343"/>
      <c r="U200" s="1831"/>
      <c r="V200" s="246"/>
      <c r="W200" s="396"/>
      <c r="X200" s="1454"/>
      <c r="Y200" s="246"/>
      <c r="Z200" s="247"/>
      <c r="AA200" s="247"/>
      <c r="AB200" s="247"/>
      <c r="AC200" s="252">
        <f>AVERAGE(AC197:AC199)</f>
        <v>0.5</v>
      </c>
      <c r="AD200" s="416">
        <f>AVERAGE(AD197:AD199)</f>
        <v>0.5</v>
      </c>
      <c r="AE200" s="884">
        <f>AVERAGE(AE197:AE199)</f>
        <v>0.71462810097833684</v>
      </c>
      <c r="AF200" s="885"/>
      <c r="AG200" s="885"/>
      <c r="AH200" s="885"/>
      <c r="AI200" s="886"/>
      <c r="AJ200" s="885"/>
      <c r="AK200" s="885"/>
      <c r="AL200" s="884">
        <f>AVERAGE(AL197:AL199)</f>
        <v>0.7962526205450734</v>
      </c>
      <c r="AM200" s="885"/>
      <c r="AN200" s="884">
        <f>AVERAGE(AN197:AN199)</f>
        <v>0.67668471931050556</v>
      </c>
      <c r="AO200" s="885"/>
      <c r="AP200" s="885"/>
      <c r="AQ200" s="885"/>
      <c r="AR200" s="885"/>
      <c r="AS200" s="885"/>
      <c r="AT200" s="885"/>
      <c r="AU200" s="885"/>
      <c r="AV200" s="885"/>
      <c r="AW200" s="885"/>
      <c r="AX200" s="885"/>
      <c r="AY200" s="887">
        <f>AVERAGE(AY197:AY199)</f>
        <v>0.71498296645702297</v>
      </c>
      <c r="AZ200" s="888"/>
      <c r="BA200" s="889">
        <f>AVERAGE(BA197:BA199)</f>
        <v>0.82605040181691125</v>
      </c>
      <c r="BB200" s="890"/>
      <c r="BC200" s="890"/>
      <c r="BD200" s="890"/>
      <c r="BE200" s="890"/>
      <c r="BF200" s="890"/>
      <c r="BG200" s="890"/>
      <c r="BH200" s="890"/>
      <c r="BI200" s="890"/>
      <c r="BJ200" s="890"/>
      <c r="BK200" s="890"/>
      <c r="BL200" s="889">
        <f>AVERAGE(BL197:BL199)</f>
        <v>1</v>
      </c>
      <c r="BM200" s="890"/>
      <c r="BN200" s="1242">
        <f>AVERAGE(BN197:BN199)</f>
        <v>0.98765432098765427</v>
      </c>
      <c r="BO200" s="291"/>
      <c r="BP200" s="291"/>
      <c r="BQ200" s="291"/>
      <c r="BR200" s="291"/>
      <c r="BS200" s="291"/>
      <c r="BT200" s="291"/>
      <c r="BU200" s="291"/>
      <c r="BV200" s="291"/>
      <c r="BW200" s="291"/>
      <c r="BX200" s="291"/>
      <c r="BY200" s="291"/>
      <c r="BZ200" s="291"/>
      <c r="CA200" s="291"/>
      <c r="CB200" s="291"/>
      <c r="CC200" s="291"/>
      <c r="CD200" s="291"/>
      <c r="CE200" s="291"/>
      <c r="CF200" s="291"/>
      <c r="CG200" s="291"/>
      <c r="CH200" s="291"/>
      <c r="CI200" s="291"/>
      <c r="CJ200" s="291"/>
      <c r="CK200" s="291"/>
      <c r="CL200" s="291"/>
      <c r="CM200" s="291"/>
      <c r="CN200" s="291"/>
      <c r="CO200" s="291"/>
      <c r="CP200" s="291"/>
      <c r="CQ200" s="291"/>
      <c r="CR200" s="291"/>
      <c r="CS200" s="291"/>
      <c r="CT200" s="291"/>
      <c r="CU200" s="291"/>
      <c r="CV200" s="291"/>
      <c r="CW200" s="291"/>
      <c r="CX200" s="291"/>
      <c r="CY200" s="291"/>
    </row>
    <row r="201" spans="1:103" ht="45" customHeight="1" x14ac:dyDescent="0.2">
      <c r="A201" s="1820"/>
      <c r="B201" s="1826"/>
      <c r="C201" s="418"/>
      <c r="D201" s="418"/>
      <c r="E201" s="195"/>
      <c r="F201" s="195"/>
      <c r="G201" s="195"/>
      <c r="H201" s="195"/>
      <c r="I201" s="195"/>
      <c r="J201" s="195"/>
      <c r="K201" s="195"/>
      <c r="L201" s="195"/>
      <c r="M201" s="195"/>
      <c r="N201" s="195"/>
      <c r="O201" s="195"/>
      <c r="P201" s="195"/>
      <c r="Q201" s="195"/>
      <c r="R201" s="195"/>
      <c r="S201" s="195"/>
      <c r="T201" s="418"/>
      <c r="U201" s="1829" t="s">
        <v>1127</v>
      </c>
      <c r="V201" s="194" t="s">
        <v>1128</v>
      </c>
      <c r="W201" s="194" t="s">
        <v>1129</v>
      </c>
      <c r="X201" s="1459" t="s">
        <v>1130</v>
      </c>
      <c r="Y201" s="220">
        <v>400</v>
      </c>
      <c r="Z201" s="419">
        <v>100</v>
      </c>
      <c r="AA201" s="419">
        <v>100</v>
      </c>
      <c r="AB201" s="419">
        <v>150</v>
      </c>
      <c r="AC201" s="420">
        <f>+Z201/Y201</f>
        <v>0.25</v>
      </c>
      <c r="AD201" s="420">
        <v>0.25</v>
      </c>
      <c r="AE201" s="420">
        <f>AB201/Y201</f>
        <v>0.375</v>
      </c>
      <c r="AF201" s="419">
        <v>0</v>
      </c>
      <c r="AG201" s="419">
        <v>55</v>
      </c>
      <c r="AH201" s="274"/>
      <c r="AI201" s="205">
        <v>55</v>
      </c>
      <c r="AJ201" s="274"/>
      <c r="AK201" s="410">
        <f>+AI201</f>
        <v>55</v>
      </c>
      <c r="AL201" s="365">
        <f>+AK201/Z201</f>
        <v>0.55000000000000004</v>
      </c>
      <c r="AM201" s="421">
        <f>+AK201</f>
        <v>55</v>
      </c>
      <c r="AN201" s="365">
        <f>+AM201/Y201</f>
        <v>0.13750000000000001</v>
      </c>
      <c r="AO201" s="419">
        <v>100</v>
      </c>
      <c r="AP201" s="199">
        <v>0</v>
      </c>
      <c r="AQ201" s="199"/>
      <c r="AR201" s="199">
        <v>0</v>
      </c>
      <c r="AS201" s="199"/>
      <c r="AT201" s="199">
        <v>51</v>
      </c>
      <c r="AU201" s="199"/>
      <c r="AV201" s="274">
        <v>51</v>
      </c>
      <c r="AW201" s="199"/>
      <c r="AX201" s="199">
        <f>+AT201</f>
        <v>51</v>
      </c>
      <c r="AY201" s="58">
        <f>AX201/AO201</f>
        <v>0.51</v>
      </c>
      <c r="AZ201" s="352">
        <f>AX201+AM201</f>
        <v>106</v>
      </c>
      <c r="BA201" s="218">
        <f>AZ201/Y201</f>
        <v>0.26500000000000001</v>
      </c>
      <c r="BB201" s="199">
        <f>AB201</f>
        <v>150</v>
      </c>
      <c r="BC201" s="199">
        <v>56</v>
      </c>
      <c r="BD201" s="199"/>
      <c r="BE201" s="199">
        <v>49</v>
      </c>
      <c r="BF201" s="199"/>
      <c r="BG201" s="199">
        <v>0</v>
      </c>
      <c r="BH201" s="199"/>
      <c r="BI201" s="199">
        <v>0</v>
      </c>
      <c r="BJ201" s="199"/>
      <c r="BK201" s="199">
        <f>BC201+BE201</f>
        <v>105</v>
      </c>
      <c r="BL201" s="58">
        <f>BK201/BB201</f>
        <v>0.7</v>
      </c>
      <c r="BM201" s="352">
        <f>BK201+AZ201</f>
        <v>211</v>
      </c>
      <c r="BN201" s="58">
        <f>BM201/Y201</f>
        <v>0.52749999999999997</v>
      </c>
      <c r="BO201" s="204"/>
      <c r="BP201" s="204"/>
      <c r="BQ201" s="204"/>
      <c r="BR201" s="204"/>
      <c r="BS201" s="204"/>
      <c r="BT201" s="204"/>
      <c r="BU201" s="204"/>
      <c r="BV201" s="204"/>
      <c r="BW201" s="204"/>
      <c r="BX201" s="204"/>
      <c r="BY201" s="204"/>
      <c r="BZ201" s="204"/>
      <c r="CA201" s="204"/>
      <c r="CB201" s="204"/>
      <c r="CC201" s="204"/>
      <c r="CD201" s="204"/>
      <c r="CE201" s="204"/>
      <c r="CF201" s="204"/>
      <c r="CG201" s="204"/>
      <c r="CH201" s="204"/>
      <c r="CI201" s="204"/>
      <c r="CJ201" s="204"/>
      <c r="CK201" s="204"/>
      <c r="CL201" s="204"/>
      <c r="CM201" s="204"/>
      <c r="CN201" s="204"/>
      <c r="CO201" s="204"/>
      <c r="CP201" s="204"/>
      <c r="CQ201" s="204"/>
      <c r="CR201" s="204"/>
      <c r="CS201" s="204"/>
      <c r="CT201" s="204"/>
      <c r="CU201" s="204"/>
      <c r="CV201" s="204"/>
      <c r="CW201" s="204"/>
      <c r="CX201" s="204"/>
      <c r="CY201" s="204"/>
    </row>
    <row r="202" spans="1:103" ht="55.5" customHeight="1" x14ac:dyDescent="0.2">
      <c r="A202" s="1820"/>
      <c r="B202" s="1826"/>
      <c r="C202" s="418"/>
      <c r="D202" s="418"/>
      <c r="E202" s="195"/>
      <c r="F202" s="195"/>
      <c r="G202" s="195"/>
      <c r="H202" s="195"/>
      <c r="I202" s="195"/>
      <c r="J202" s="195"/>
      <c r="K202" s="195"/>
      <c r="L202" s="195"/>
      <c r="M202" s="195"/>
      <c r="N202" s="195"/>
      <c r="O202" s="195"/>
      <c r="P202" s="195"/>
      <c r="Q202" s="195"/>
      <c r="R202" s="195"/>
      <c r="S202" s="195"/>
      <c r="T202" s="418"/>
      <c r="U202" s="1830"/>
      <c r="V202" s="194" t="s">
        <v>1131</v>
      </c>
      <c r="W202" s="194">
        <v>0</v>
      </c>
      <c r="X202" s="1465" t="s">
        <v>1132</v>
      </c>
      <c r="Y202" s="220">
        <v>4000</v>
      </c>
      <c r="Z202" s="422">
        <v>1000</v>
      </c>
      <c r="AA202" s="419">
        <v>100</v>
      </c>
      <c r="AB202" s="419">
        <v>1500</v>
      </c>
      <c r="AC202" s="420">
        <f>+Z202/Y202</f>
        <v>0.25</v>
      </c>
      <c r="AD202" s="420">
        <v>0.25</v>
      </c>
      <c r="AE202" s="420"/>
      <c r="AF202" s="423">
        <v>0</v>
      </c>
      <c r="AG202" s="423">
        <v>2440</v>
      </c>
      <c r="AH202" s="274"/>
      <c r="AI202" s="205">
        <v>2440</v>
      </c>
      <c r="AJ202" s="274"/>
      <c r="AK202" s="410">
        <f>+AI202</f>
        <v>2440</v>
      </c>
      <c r="AL202" s="365">
        <v>1</v>
      </c>
      <c r="AM202" s="421">
        <f>+AK202</f>
        <v>2440</v>
      </c>
      <c r="AN202" s="365">
        <f>+AM202/Y202</f>
        <v>0.61</v>
      </c>
      <c r="AO202" s="419">
        <v>100</v>
      </c>
      <c r="AP202" s="199">
        <v>0</v>
      </c>
      <c r="AQ202" s="239"/>
      <c r="AR202" s="199">
        <v>0</v>
      </c>
      <c r="AS202" s="239"/>
      <c r="AT202" s="199">
        <v>0</v>
      </c>
      <c r="AU202" s="239"/>
      <c r="AV202" s="274">
        <v>1475</v>
      </c>
      <c r="AW202" s="239"/>
      <c r="AX202" s="199">
        <f>+AV202</f>
        <v>1475</v>
      </c>
      <c r="AY202" s="58">
        <v>1</v>
      </c>
      <c r="AZ202" s="352">
        <f>+AV202+AM202</f>
        <v>3915</v>
      </c>
      <c r="BA202" s="218">
        <f>AZ202/Y202</f>
        <v>0.97875000000000001</v>
      </c>
      <c r="BB202" s="199">
        <f>AB202</f>
        <v>1500</v>
      </c>
      <c r="BC202" s="199">
        <v>1619</v>
      </c>
      <c r="BD202" s="199"/>
      <c r="BE202" s="199">
        <v>1416</v>
      </c>
      <c r="BF202" s="199"/>
      <c r="BG202" s="199">
        <v>0</v>
      </c>
      <c r="BH202" s="1420" t="s">
        <v>2224</v>
      </c>
      <c r="BI202" s="199">
        <v>0</v>
      </c>
      <c r="BJ202" s="199"/>
      <c r="BK202" s="199">
        <f>+BC202+BE202</f>
        <v>3035</v>
      </c>
      <c r="BL202" s="58">
        <v>1</v>
      </c>
      <c r="BM202" s="352">
        <f>BK202+AZ202</f>
        <v>6950</v>
      </c>
      <c r="BN202" s="58">
        <v>1</v>
      </c>
      <c r="BO202" s="204"/>
      <c r="BP202" s="204"/>
      <c r="BQ202" s="204"/>
      <c r="BR202" s="204"/>
      <c r="BS202" s="204"/>
      <c r="BT202" s="204"/>
      <c r="BU202" s="204"/>
      <c r="BV202" s="204"/>
      <c r="BW202" s="204"/>
      <c r="BX202" s="204"/>
      <c r="BY202" s="204"/>
      <c r="BZ202" s="204"/>
      <c r="CA202" s="204"/>
      <c r="CB202" s="204"/>
      <c r="CC202" s="204"/>
      <c r="CD202" s="204"/>
      <c r="CE202" s="204"/>
      <c r="CF202" s="204"/>
      <c r="CG202" s="204"/>
      <c r="CH202" s="204"/>
      <c r="CI202" s="204"/>
      <c r="CJ202" s="204"/>
      <c r="CK202" s="204"/>
      <c r="CL202" s="204"/>
      <c r="CM202" s="204"/>
      <c r="CN202" s="204"/>
      <c r="CO202" s="204"/>
      <c r="CP202" s="204"/>
      <c r="CQ202" s="204"/>
      <c r="CR202" s="204"/>
      <c r="CS202" s="204"/>
      <c r="CT202" s="204"/>
      <c r="CU202" s="204"/>
      <c r="CV202" s="204"/>
      <c r="CW202" s="204"/>
      <c r="CX202" s="204"/>
      <c r="CY202" s="204"/>
    </row>
    <row r="203" spans="1:103" ht="54" customHeight="1" x14ac:dyDescent="0.2">
      <c r="A203" s="1820"/>
      <c r="B203" s="1826"/>
      <c r="C203" s="418"/>
      <c r="D203" s="418"/>
      <c r="E203" s="195"/>
      <c r="F203" s="195"/>
      <c r="G203" s="195"/>
      <c r="H203" s="195"/>
      <c r="I203" s="195"/>
      <c r="J203" s="195"/>
      <c r="K203" s="195"/>
      <c r="L203" s="195"/>
      <c r="M203" s="195"/>
      <c r="N203" s="195"/>
      <c r="O203" s="195"/>
      <c r="P203" s="195"/>
      <c r="Q203" s="195"/>
      <c r="R203" s="195"/>
      <c r="S203" s="195"/>
      <c r="T203" s="418"/>
      <c r="U203" s="1830"/>
      <c r="V203" s="194" t="s">
        <v>1133</v>
      </c>
      <c r="W203" s="194" t="s">
        <v>1134</v>
      </c>
      <c r="X203" s="1241" t="s">
        <v>1135</v>
      </c>
      <c r="Y203" s="220">
        <v>576</v>
      </c>
      <c r="Z203" s="422">
        <v>144</v>
      </c>
      <c r="AA203" s="419">
        <v>144</v>
      </c>
      <c r="AB203" s="419">
        <v>200</v>
      </c>
      <c r="AC203" s="420">
        <f>+Z203/Y203</f>
        <v>0.25</v>
      </c>
      <c r="AD203" s="420">
        <v>0.25</v>
      </c>
      <c r="AE203" s="420"/>
      <c r="AF203" s="423">
        <v>109</v>
      </c>
      <c r="AG203" s="423">
        <v>255</v>
      </c>
      <c r="AH203" s="274"/>
      <c r="AI203" s="205">
        <v>255</v>
      </c>
      <c r="AJ203" s="274"/>
      <c r="AK203" s="410">
        <f>+AI203</f>
        <v>255</v>
      </c>
      <c r="AL203" s="365">
        <v>1</v>
      </c>
      <c r="AM203" s="205">
        <f>+AK203</f>
        <v>255</v>
      </c>
      <c r="AN203" s="365">
        <f>+AM203/Y203</f>
        <v>0.44270833333333331</v>
      </c>
      <c r="AO203" s="419">
        <v>144</v>
      </c>
      <c r="AP203" s="199">
        <v>0</v>
      </c>
      <c r="AQ203" s="239"/>
      <c r="AR203" s="199">
        <v>261</v>
      </c>
      <c r="AS203" s="239"/>
      <c r="AT203" s="199">
        <v>265</v>
      </c>
      <c r="AU203" s="239"/>
      <c r="AV203" s="274">
        <v>268</v>
      </c>
      <c r="AW203" s="239"/>
      <c r="AX203" s="199">
        <f>+AV203</f>
        <v>268</v>
      </c>
      <c r="AY203" s="58">
        <v>1</v>
      </c>
      <c r="AZ203" s="196">
        <f>AX203+AM203</f>
        <v>523</v>
      </c>
      <c r="BA203" s="218">
        <f>AZ203/Y203</f>
        <v>0.90798611111111116</v>
      </c>
      <c r="BB203" s="199">
        <f>AB203</f>
        <v>200</v>
      </c>
      <c r="BC203" s="199">
        <v>554</v>
      </c>
      <c r="BD203" s="199"/>
      <c r="BE203" s="199">
        <v>200</v>
      </c>
      <c r="BF203" s="199"/>
      <c r="BG203" s="199">
        <v>0</v>
      </c>
      <c r="BH203" s="199"/>
      <c r="BI203" s="199">
        <v>79</v>
      </c>
      <c r="BJ203" s="199"/>
      <c r="BK203" s="199">
        <f>+BC203+BE203+BI203</f>
        <v>833</v>
      </c>
      <c r="BL203" s="58">
        <v>1</v>
      </c>
      <c r="BM203" s="196">
        <f>BK203+AZ203</f>
        <v>1356</v>
      </c>
      <c r="BN203" s="58">
        <v>1</v>
      </c>
      <c r="BO203" s="204"/>
      <c r="BP203" s="204"/>
      <c r="BQ203" s="204"/>
      <c r="BR203" s="204"/>
      <c r="BS203" s="204"/>
      <c r="BT203" s="204"/>
      <c r="BU203" s="204"/>
      <c r="BV203" s="204"/>
      <c r="BW203" s="204"/>
      <c r="BX203" s="204"/>
      <c r="BY203" s="204"/>
      <c r="BZ203" s="204"/>
      <c r="CA203" s="204"/>
      <c r="CB203" s="204"/>
      <c r="CC203" s="204"/>
      <c r="CD203" s="204"/>
      <c r="CE203" s="204"/>
      <c r="CF203" s="204"/>
      <c r="CG203" s="204"/>
      <c r="CH203" s="204"/>
      <c r="CI203" s="204"/>
      <c r="CJ203" s="204"/>
      <c r="CK203" s="204"/>
      <c r="CL203" s="204"/>
      <c r="CM203" s="204"/>
      <c r="CN203" s="204"/>
      <c r="CO203" s="204"/>
      <c r="CP203" s="204"/>
      <c r="CQ203" s="204"/>
      <c r="CR203" s="204"/>
      <c r="CS203" s="204"/>
      <c r="CT203" s="204"/>
      <c r="CU203" s="204"/>
      <c r="CV203" s="204"/>
      <c r="CW203" s="204"/>
      <c r="CX203" s="204"/>
      <c r="CY203" s="204"/>
    </row>
    <row r="204" spans="1:103" ht="57" customHeight="1" x14ac:dyDescent="0.2">
      <c r="A204" s="1820"/>
      <c r="B204" s="1826"/>
      <c r="C204" s="418"/>
      <c r="D204" s="418"/>
      <c r="E204" s="195"/>
      <c r="F204" s="195"/>
      <c r="G204" s="195"/>
      <c r="H204" s="195"/>
      <c r="I204" s="195"/>
      <c r="J204" s="195"/>
      <c r="K204" s="195"/>
      <c r="L204" s="195"/>
      <c r="M204" s="195"/>
      <c r="N204" s="195"/>
      <c r="O204" s="195"/>
      <c r="P204" s="195"/>
      <c r="Q204" s="195"/>
      <c r="R204" s="195"/>
      <c r="S204" s="195"/>
      <c r="T204" s="418"/>
      <c r="U204" s="1830"/>
      <c r="V204" s="194" t="s">
        <v>1136</v>
      </c>
      <c r="W204" s="194" t="s">
        <v>1137</v>
      </c>
      <c r="X204" s="1241" t="s">
        <v>1138</v>
      </c>
      <c r="Y204" s="220">
        <v>20</v>
      </c>
      <c r="Z204" s="422" t="s">
        <v>177</v>
      </c>
      <c r="AA204" s="422">
        <v>5</v>
      </c>
      <c r="AB204" s="422">
        <v>8</v>
      </c>
      <c r="AC204" s="424"/>
      <c r="AD204" s="424">
        <v>0.25</v>
      </c>
      <c r="AE204" s="424"/>
      <c r="AF204" s="422"/>
      <c r="AG204" s="422"/>
      <c r="AH204" s="274"/>
      <c r="AI204" s="205"/>
      <c r="AJ204" s="274"/>
      <c r="AK204" s="205"/>
      <c r="AL204" s="365"/>
      <c r="AM204" s="205"/>
      <c r="AN204" s="365"/>
      <c r="AO204" s="422">
        <v>5</v>
      </c>
      <c r="AP204" s="199">
        <v>0</v>
      </c>
      <c r="AQ204" s="239"/>
      <c r="AR204" s="199">
        <v>1</v>
      </c>
      <c r="AS204" s="239"/>
      <c r="AT204" s="199">
        <v>20</v>
      </c>
      <c r="AU204" s="239"/>
      <c r="AV204" s="274">
        <v>20</v>
      </c>
      <c r="AW204" s="239"/>
      <c r="AX204" s="199">
        <f>+AT204</f>
        <v>20</v>
      </c>
      <c r="AY204" s="58">
        <v>1</v>
      </c>
      <c r="AZ204" s="196">
        <f>+AX204+AM204</f>
        <v>20</v>
      </c>
      <c r="BA204" s="218">
        <v>1</v>
      </c>
      <c r="BB204" s="199">
        <f>AB204</f>
        <v>8</v>
      </c>
      <c r="BC204" s="199">
        <v>4</v>
      </c>
      <c r="BD204" s="199"/>
      <c r="BE204" s="199">
        <v>17</v>
      </c>
      <c r="BF204" s="199"/>
      <c r="BG204" s="199">
        <v>9</v>
      </c>
      <c r="BH204" s="1420" t="s">
        <v>2224</v>
      </c>
      <c r="BI204" s="199">
        <v>16</v>
      </c>
      <c r="BJ204" s="199"/>
      <c r="BK204" s="199">
        <f>BC204+BE204+BG204+BI204</f>
        <v>46</v>
      </c>
      <c r="BL204" s="58">
        <v>1</v>
      </c>
      <c r="BM204" s="196">
        <f>BK204+AZ204</f>
        <v>66</v>
      </c>
      <c r="BN204" s="58">
        <v>1</v>
      </c>
      <c r="BO204" s="204"/>
      <c r="BP204" s="204"/>
      <c r="BQ204" s="204"/>
      <c r="BR204" s="204"/>
      <c r="BS204" s="204"/>
      <c r="BT204" s="204"/>
      <c r="BU204" s="204"/>
      <c r="BV204" s="204"/>
      <c r="BW204" s="204"/>
      <c r="BX204" s="204"/>
      <c r="BY204" s="204"/>
      <c r="BZ204" s="204"/>
      <c r="CA204" s="204"/>
      <c r="CB204" s="204"/>
      <c r="CC204" s="204"/>
      <c r="CD204" s="204"/>
      <c r="CE204" s="204"/>
      <c r="CF204" s="204"/>
      <c r="CG204" s="204"/>
      <c r="CH204" s="204"/>
      <c r="CI204" s="204"/>
      <c r="CJ204" s="204"/>
      <c r="CK204" s="204"/>
      <c r="CL204" s="204"/>
      <c r="CM204" s="204"/>
      <c r="CN204" s="204"/>
      <c r="CO204" s="204"/>
      <c r="CP204" s="204"/>
      <c r="CQ204" s="204"/>
      <c r="CR204" s="204"/>
      <c r="CS204" s="204"/>
      <c r="CT204" s="204"/>
      <c r="CU204" s="204"/>
      <c r="CV204" s="204"/>
      <c r="CW204" s="204"/>
      <c r="CX204" s="204"/>
      <c r="CY204" s="204"/>
    </row>
    <row r="205" spans="1:103" ht="15.75" customHeight="1" x14ac:dyDescent="0.2">
      <c r="A205" s="1820"/>
      <c r="B205" s="1826"/>
      <c r="C205" s="425"/>
      <c r="D205" s="425"/>
      <c r="E205" s="425"/>
      <c r="F205" s="425"/>
      <c r="G205" s="425"/>
      <c r="H205" s="425"/>
      <c r="I205" s="425"/>
      <c r="J205" s="425"/>
      <c r="K205" s="425"/>
      <c r="L205" s="425"/>
      <c r="M205" s="425"/>
      <c r="N205" s="425"/>
      <c r="O205" s="425"/>
      <c r="P205" s="425"/>
      <c r="Q205" s="425"/>
      <c r="R205" s="425"/>
      <c r="S205" s="425"/>
      <c r="T205" s="425"/>
      <c r="U205" s="1831"/>
      <c r="V205" s="246"/>
      <c r="W205" s="246"/>
      <c r="X205" s="1454"/>
      <c r="Y205" s="246"/>
      <c r="Z205" s="246"/>
      <c r="AA205" s="246"/>
      <c r="AB205" s="246"/>
      <c r="AC205" s="246"/>
      <c r="AD205" s="403">
        <v>0.25</v>
      </c>
      <c r="AE205" s="403">
        <f>AVERAGE(AE201:AE204)</f>
        <v>0.375</v>
      </c>
      <c r="AF205" s="246"/>
      <c r="AG205" s="246"/>
      <c r="AH205" s="246"/>
      <c r="AI205" s="396"/>
      <c r="AJ205" s="246"/>
      <c r="AK205" s="246"/>
      <c r="AL205" s="403">
        <f>AVERAGE(AL201:AL204)</f>
        <v>0.85</v>
      </c>
      <c r="AM205" s="426"/>
      <c r="AN205" s="427">
        <f>AVERAGE(AN201:AN204)</f>
        <v>0.39673611111111112</v>
      </c>
      <c r="AO205" s="246"/>
      <c r="AP205" s="428"/>
      <c r="AQ205" s="428"/>
      <c r="AR205" s="428"/>
      <c r="AS205" s="428"/>
      <c r="AT205" s="220"/>
      <c r="AU205" s="428"/>
      <c r="AV205" s="428"/>
      <c r="AW205" s="428"/>
      <c r="AX205" s="428"/>
      <c r="AY205" s="429">
        <f>AVERAGE(AY201:AY204)</f>
        <v>0.87749999999999995</v>
      </c>
      <c r="AZ205" s="429"/>
      <c r="BA205" s="430">
        <f>AVERAGE(BA201:BA204)</f>
        <v>0.78793402777777777</v>
      </c>
      <c r="BB205" s="220"/>
      <c r="BC205" s="220"/>
      <c r="BD205" s="220"/>
      <c r="BE205" s="220"/>
      <c r="BF205" s="220"/>
      <c r="BG205" s="220"/>
      <c r="BH205" s="220"/>
      <c r="BI205" s="220"/>
      <c r="BJ205" s="220"/>
      <c r="BK205" s="220"/>
      <c r="BL205" s="430">
        <f>AVERAGE(BL201:BL204)</f>
        <v>0.92500000000000004</v>
      </c>
      <c r="BM205" s="220"/>
      <c r="BN205" s="430">
        <f>AVERAGE(BN201:BN204)</f>
        <v>0.88187499999999996</v>
      </c>
      <c r="BO205" s="431"/>
      <c r="BP205" s="220"/>
      <c r="BQ205" s="220"/>
      <c r="BR205" s="220"/>
      <c r="BS205" s="220"/>
      <c r="BT205" s="220"/>
      <c r="BU205" s="220"/>
      <c r="BV205" s="220"/>
      <c r="BW205" s="220"/>
      <c r="BX205" s="220"/>
      <c r="BY205" s="220"/>
      <c r="BZ205" s="220"/>
      <c r="CA205" s="220"/>
      <c r="CB205" s="220"/>
      <c r="CC205" s="220"/>
      <c r="CD205" s="220"/>
      <c r="CE205" s="220"/>
      <c r="CF205" s="220"/>
      <c r="CG205" s="220"/>
      <c r="CH205" s="220"/>
      <c r="CI205" s="220"/>
      <c r="CJ205" s="220"/>
      <c r="CK205" s="220"/>
      <c r="CL205" s="220"/>
      <c r="CM205" s="220"/>
      <c r="CN205" s="220"/>
      <c r="CO205" s="220"/>
      <c r="CP205" s="220"/>
      <c r="CQ205" s="220"/>
      <c r="CR205" s="220"/>
      <c r="CS205" s="220"/>
      <c r="CT205" s="220"/>
      <c r="CU205" s="220"/>
      <c r="CV205" s="220"/>
      <c r="CW205" s="220"/>
      <c r="CX205" s="220"/>
      <c r="CY205" s="220"/>
    </row>
    <row r="206" spans="1:103" ht="54.75" customHeight="1" x14ac:dyDescent="0.2">
      <c r="A206" s="1820"/>
      <c r="B206" s="1826"/>
      <c r="C206" s="418"/>
      <c r="D206" s="418"/>
      <c r="E206" s="195"/>
      <c r="F206" s="195"/>
      <c r="G206" s="195"/>
      <c r="H206" s="195"/>
      <c r="I206" s="195"/>
      <c r="J206" s="195"/>
      <c r="K206" s="195"/>
      <c r="L206" s="195"/>
      <c r="M206" s="195"/>
      <c r="N206" s="195"/>
      <c r="O206" s="195"/>
      <c r="P206" s="195"/>
      <c r="Q206" s="195"/>
      <c r="R206" s="195"/>
      <c r="S206" s="195"/>
      <c r="T206" s="418"/>
      <c r="U206" s="1829" t="s">
        <v>1139</v>
      </c>
      <c r="V206" s="194" t="s">
        <v>1140</v>
      </c>
      <c r="W206" s="333" t="s">
        <v>1141</v>
      </c>
      <c r="X206" s="1241" t="s">
        <v>1142</v>
      </c>
      <c r="Y206" s="215">
        <v>120000</v>
      </c>
      <c r="Z206" s="432">
        <v>33627</v>
      </c>
      <c r="AA206" s="433">
        <v>62418</v>
      </c>
      <c r="AB206" s="434">
        <v>30000</v>
      </c>
      <c r="AC206" s="420">
        <f>+Z206/Y206</f>
        <v>0.280225</v>
      </c>
      <c r="AD206" s="420">
        <f>+AA206/Y206</f>
        <v>0.52015</v>
      </c>
      <c r="AE206" s="420">
        <f>AB206/Y206</f>
        <v>0.25</v>
      </c>
      <c r="AF206" s="432">
        <v>382</v>
      </c>
      <c r="AG206" s="432">
        <v>11918</v>
      </c>
      <c r="AH206" s="274"/>
      <c r="AI206" s="205">
        <v>13510</v>
      </c>
      <c r="AJ206" s="274"/>
      <c r="AK206" s="410">
        <f>+AI206</f>
        <v>13510</v>
      </c>
      <c r="AL206" s="365">
        <f>+AK206/Z206</f>
        <v>0.4017604900823743</v>
      </c>
      <c r="AM206" s="205">
        <f>+AK206</f>
        <v>13510</v>
      </c>
      <c r="AN206" s="230">
        <f>+AM206/Y206</f>
        <v>0.11258333333333333</v>
      </c>
      <c r="AO206" s="435">
        <v>62418</v>
      </c>
      <c r="AP206" s="199">
        <v>0</v>
      </c>
      <c r="AQ206" s="239"/>
      <c r="AR206" s="199">
        <v>0</v>
      </c>
      <c r="AS206" s="239"/>
      <c r="AT206" s="199">
        <v>0</v>
      </c>
      <c r="AU206" s="239"/>
      <c r="AV206" s="372">
        <v>3950</v>
      </c>
      <c r="AW206" s="239"/>
      <c r="AX206" s="199">
        <f>+AV206</f>
        <v>3950</v>
      </c>
      <c r="AY206" s="58">
        <f>AX206/AO206</f>
        <v>6.3283027331859393E-2</v>
      </c>
      <c r="AZ206" s="196">
        <v>63043</v>
      </c>
      <c r="BA206" s="218">
        <f>AZ206/Y206</f>
        <v>0.52535833333333337</v>
      </c>
      <c r="BB206" s="892">
        <f>AB206</f>
        <v>30000</v>
      </c>
      <c r="BC206" s="199">
        <v>0</v>
      </c>
      <c r="BD206" s="199"/>
      <c r="BE206" s="199">
        <v>13510</v>
      </c>
      <c r="BF206" s="199"/>
      <c r="BG206" s="199">
        <v>0</v>
      </c>
      <c r="BH206" s="199"/>
      <c r="BI206" s="199">
        <v>18060</v>
      </c>
      <c r="BJ206" s="199"/>
      <c r="BK206" s="196">
        <v>31570</v>
      </c>
      <c r="BL206" s="58">
        <v>1</v>
      </c>
      <c r="BM206" s="1250">
        <f>76553+BK206</f>
        <v>108123</v>
      </c>
      <c r="BN206" s="58">
        <f>BM206/Y206</f>
        <v>0.90102499999999996</v>
      </c>
      <c r="BO206" s="204"/>
      <c r="BP206" s="204"/>
      <c r="BQ206" s="204"/>
      <c r="BR206" s="204"/>
      <c r="BS206" s="204"/>
      <c r="BT206" s="204"/>
      <c r="BU206" s="204"/>
      <c r="BV206" s="204"/>
      <c r="BW206" s="204"/>
      <c r="BX206" s="204"/>
      <c r="BY206" s="204"/>
      <c r="BZ206" s="204"/>
      <c r="CA206" s="204"/>
      <c r="CB206" s="204"/>
      <c r="CC206" s="204"/>
      <c r="CD206" s="204"/>
      <c r="CE206" s="204"/>
      <c r="CF206" s="204"/>
      <c r="CG206" s="204"/>
      <c r="CH206" s="204"/>
      <c r="CI206" s="204"/>
      <c r="CJ206" s="204"/>
      <c r="CK206" s="204"/>
      <c r="CL206" s="204"/>
      <c r="CM206" s="204"/>
      <c r="CN206" s="204"/>
      <c r="CO206" s="204"/>
      <c r="CP206" s="204"/>
      <c r="CQ206" s="204"/>
      <c r="CR206" s="204"/>
      <c r="CS206" s="204"/>
      <c r="CT206" s="204"/>
      <c r="CU206" s="204"/>
      <c r="CV206" s="204"/>
      <c r="CW206" s="204"/>
      <c r="CX206" s="204"/>
      <c r="CY206" s="204"/>
    </row>
    <row r="207" spans="1:103" ht="46.5" customHeight="1" x14ac:dyDescent="0.2">
      <c r="A207" s="1820"/>
      <c r="B207" s="1826"/>
      <c r="C207" s="418"/>
      <c r="D207" s="418"/>
      <c r="E207" s="195"/>
      <c r="F207" s="195"/>
      <c r="G207" s="195"/>
      <c r="H207" s="195"/>
      <c r="I207" s="195"/>
      <c r="J207" s="195"/>
      <c r="K207" s="195"/>
      <c r="L207" s="195"/>
      <c r="M207" s="195"/>
      <c r="N207" s="195"/>
      <c r="O207" s="195"/>
      <c r="P207" s="195"/>
      <c r="Q207" s="195"/>
      <c r="R207" s="195"/>
      <c r="S207" s="195"/>
      <c r="T207" s="418"/>
      <c r="U207" s="1830"/>
      <c r="V207" s="194" t="s">
        <v>1143</v>
      </c>
      <c r="W207" s="194" t="s">
        <v>1144</v>
      </c>
      <c r="X207" s="1241" t="s">
        <v>1145</v>
      </c>
      <c r="Y207" s="220">
        <v>15</v>
      </c>
      <c r="Z207" s="419">
        <v>1</v>
      </c>
      <c r="AA207" s="419">
        <v>5</v>
      </c>
      <c r="AB207" s="419">
        <v>6</v>
      </c>
      <c r="AC207" s="420">
        <f>+Z207/Y207</f>
        <v>6.6666666666666666E-2</v>
      </c>
      <c r="AD207" s="420">
        <f>+AA207/Y207</f>
        <v>0.33333333333333331</v>
      </c>
      <c r="AE207" s="420">
        <f>AB207/Y207</f>
        <v>0.4</v>
      </c>
      <c r="AF207" s="432">
        <v>0</v>
      </c>
      <c r="AG207" s="432">
        <v>0</v>
      </c>
      <c r="AH207" s="274"/>
      <c r="AI207" s="205">
        <v>0</v>
      </c>
      <c r="AJ207" s="274"/>
      <c r="AK207" s="410">
        <f>+AI207</f>
        <v>0</v>
      </c>
      <c r="AL207" s="365">
        <f>+AK207/Z207</f>
        <v>0</v>
      </c>
      <c r="AM207" s="205">
        <f>+AK207</f>
        <v>0</v>
      </c>
      <c r="AN207" s="230">
        <f>+AM207/Y207</f>
        <v>0</v>
      </c>
      <c r="AO207" s="419">
        <v>5</v>
      </c>
      <c r="AP207" s="199">
        <v>0</v>
      </c>
      <c r="AQ207" s="239"/>
      <c r="AR207" s="199">
        <v>0</v>
      </c>
      <c r="AS207" s="239"/>
      <c r="AT207" s="199">
        <v>0</v>
      </c>
      <c r="AU207" s="239"/>
      <c r="AV207" s="372">
        <v>6</v>
      </c>
      <c r="AW207" s="239"/>
      <c r="AX207" s="199">
        <f>+AV207</f>
        <v>6</v>
      </c>
      <c r="AY207" s="58">
        <v>1</v>
      </c>
      <c r="AZ207" s="196">
        <f>AX207+AM207</f>
        <v>6</v>
      </c>
      <c r="BA207" s="218">
        <f>AZ207/Y207</f>
        <v>0.4</v>
      </c>
      <c r="BB207" s="199">
        <v>5</v>
      </c>
      <c r="BC207" s="199">
        <v>0</v>
      </c>
      <c r="BD207" s="199"/>
      <c r="BE207" s="199">
        <v>0</v>
      </c>
      <c r="BF207" s="199"/>
      <c r="BG207" s="199">
        <v>0</v>
      </c>
      <c r="BH207" s="199"/>
      <c r="BI207" s="199">
        <v>6</v>
      </c>
      <c r="BJ207" s="199"/>
      <c r="BK207" s="199">
        <f>+BI207</f>
        <v>6</v>
      </c>
      <c r="BL207" s="58">
        <v>1</v>
      </c>
      <c r="BM207" s="196">
        <f>BK207+AZ207</f>
        <v>12</v>
      </c>
      <c r="BN207" s="58">
        <f>BM207/Y207</f>
        <v>0.8</v>
      </c>
      <c r="BO207" s="204"/>
      <c r="BP207" s="204"/>
      <c r="BQ207" s="204"/>
      <c r="BR207" s="204"/>
      <c r="BS207" s="204"/>
      <c r="BT207" s="204"/>
      <c r="BU207" s="204"/>
      <c r="BV207" s="204"/>
      <c r="BW207" s="204"/>
      <c r="BX207" s="204"/>
      <c r="BY207" s="204"/>
      <c r="BZ207" s="204"/>
      <c r="CA207" s="204"/>
      <c r="CB207" s="204"/>
      <c r="CC207" s="204"/>
      <c r="CD207" s="204"/>
      <c r="CE207" s="204"/>
      <c r="CF207" s="204"/>
      <c r="CG207" s="204"/>
      <c r="CH207" s="204"/>
      <c r="CI207" s="204"/>
      <c r="CJ207" s="204"/>
      <c r="CK207" s="204"/>
      <c r="CL207" s="204"/>
      <c r="CM207" s="204"/>
      <c r="CN207" s="204"/>
      <c r="CO207" s="204"/>
      <c r="CP207" s="204"/>
      <c r="CQ207" s="204"/>
      <c r="CR207" s="204"/>
      <c r="CS207" s="204"/>
      <c r="CT207" s="204"/>
      <c r="CU207" s="204"/>
      <c r="CV207" s="204"/>
      <c r="CW207" s="204"/>
      <c r="CX207" s="204"/>
      <c r="CY207" s="204"/>
    </row>
    <row r="208" spans="1:103" ht="15.75" customHeight="1" x14ac:dyDescent="0.2">
      <c r="A208" s="1820"/>
      <c r="B208" s="1826"/>
      <c r="C208" s="418"/>
      <c r="D208" s="418"/>
      <c r="E208" s="195"/>
      <c r="F208" s="195"/>
      <c r="G208" s="195"/>
      <c r="H208" s="195"/>
      <c r="I208" s="195"/>
      <c r="J208" s="195"/>
      <c r="K208" s="195"/>
      <c r="L208" s="195"/>
      <c r="M208" s="195"/>
      <c r="N208" s="195"/>
      <c r="O208" s="195"/>
      <c r="P208" s="195"/>
      <c r="Q208" s="195"/>
      <c r="R208" s="195"/>
      <c r="S208" s="195"/>
      <c r="T208" s="418"/>
      <c r="U208" s="1831"/>
      <c r="V208" s="246"/>
      <c r="W208" s="246"/>
      <c r="X208" s="1454"/>
      <c r="Y208" s="246"/>
      <c r="Z208" s="247"/>
      <c r="AA208" s="247"/>
      <c r="AB208" s="247"/>
      <c r="AC208" s="252">
        <f>AVERAGE(AC201:AC207)</f>
        <v>0.21937833333333331</v>
      </c>
      <c r="AD208" s="252">
        <f>AVERAGE(AD201:AD207)</f>
        <v>0.30049761904761907</v>
      </c>
      <c r="AE208" s="252">
        <f>AVERAGE(AE206:AE207)</f>
        <v>0.32500000000000001</v>
      </c>
      <c r="AF208" s="247"/>
      <c r="AG208" s="247"/>
      <c r="AH208" s="247"/>
      <c r="AI208" s="251"/>
      <c r="AJ208" s="247"/>
      <c r="AK208" s="247"/>
      <c r="AL208" s="252">
        <f>AVERAGE(AL206:AL207)</f>
        <v>0.20088024504118715</v>
      </c>
      <c r="AM208" s="296"/>
      <c r="AN208" s="253">
        <f>AVERAGE(AN206:AN207)</f>
        <v>5.6291666666666663E-2</v>
      </c>
      <c r="AO208" s="247"/>
      <c r="AP208" s="239"/>
      <c r="AQ208" s="239"/>
      <c r="AR208" s="239"/>
      <c r="AS208" s="239"/>
      <c r="AT208" s="199"/>
      <c r="AU208" s="239"/>
      <c r="AV208" s="239"/>
      <c r="AW208" s="239"/>
      <c r="AX208" s="239"/>
      <c r="AY208" s="436">
        <f>AVERAGE(AY206:AY207)</f>
        <v>0.53164151366592971</v>
      </c>
      <c r="AZ208" s="437"/>
      <c r="BA208" s="438">
        <f>AVERAGE(BA206:BA207)</f>
        <v>0.4626791666666667</v>
      </c>
      <c r="BB208" s="195"/>
      <c r="BC208" s="195"/>
      <c r="BD208" s="195"/>
      <c r="BE208" s="195"/>
      <c r="BF208" s="195"/>
      <c r="BG208" s="195"/>
      <c r="BH208" s="195"/>
      <c r="BI208" s="195"/>
      <c r="BJ208" s="195"/>
      <c r="BK208" s="195"/>
      <c r="BL208" s="438">
        <f>AVERAGE(BL206:BL207)</f>
        <v>1</v>
      </c>
      <c r="BM208" s="195"/>
      <c r="BN208" s="438">
        <f>AVERAGE(BN206:BN207)</f>
        <v>0.8505125</v>
      </c>
      <c r="BO208" s="204"/>
      <c r="BP208" s="204"/>
      <c r="BQ208" s="204"/>
      <c r="BR208" s="204"/>
      <c r="BS208" s="204"/>
      <c r="BT208" s="204"/>
      <c r="BU208" s="204"/>
      <c r="BV208" s="204"/>
      <c r="BW208" s="204"/>
      <c r="BX208" s="204"/>
      <c r="BY208" s="204"/>
      <c r="BZ208" s="204"/>
      <c r="CA208" s="204"/>
      <c r="CB208" s="204"/>
      <c r="CC208" s="204"/>
      <c r="CD208" s="204"/>
      <c r="CE208" s="204"/>
      <c r="CF208" s="204"/>
      <c r="CG208" s="204"/>
      <c r="CH208" s="204"/>
      <c r="CI208" s="204"/>
      <c r="CJ208" s="204"/>
      <c r="CK208" s="204"/>
      <c r="CL208" s="204"/>
      <c r="CM208" s="204"/>
      <c r="CN208" s="204"/>
      <c r="CO208" s="204"/>
      <c r="CP208" s="204"/>
      <c r="CQ208" s="204"/>
      <c r="CR208" s="204"/>
      <c r="CS208" s="204"/>
      <c r="CT208" s="204"/>
      <c r="CU208" s="204"/>
      <c r="CV208" s="204"/>
      <c r="CW208" s="204"/>
      <c r="CX208" s="204"/>
      <c r="CY208" s="204"/>
    </row>
    <row r="209" spans="1:103" ht="38.25" customHeight="1" x14ac:dyDescent="0.2">
      <c r="A209" s="1820"/>
      <c r="B209" s="1826"/>
      <c r="C209" s="418"/>
      <c r="D209" s="418"/>
      <c r="E209" s="195"/>
      <c r="F209" s="195"/>
      <c r="G209" s="195"/>
      <c r="H209" s="195"/>
      <c r="I209" s="195"/>
      <c r="J209" s="195"/>
      <c r="K209" s="195"/>
      <c r="L209" s="195"/>
      <c r="M209" s="195"/>
      <c r="N209" s="195"/>
      <c r="O209" s="195"/>
      <c r="P209" s="195"/>
      <c r="Q209" s="195"/>
      <c r="R209" s="195"/>
      <c r="S209" s="195"/>
      <c r="T209" s="418"/>
      <c r="U209" s="1829" t="s">
        <v>1146</v>
      </c>
      <c r="V209" s="194" t="s">
        <v>1147</v>
      </c>
      <c r="W209" s="333" t="s">
        <v>1148</v>
      </c>
      <c r="X209" s="1241" t="s">
        <v>1149</v>
      </c>
      <c r="Y209" s="220">
        <v>14131</v>
      </c>
      <c r="Z209" s="432">
        <v>9421</v>
      </c>
      <c r="AA209" s="432">
        <v>10991</v>
      </c>
      <c r="AB209" s="432">
        <v>12561</v>
      </c>
      <c r="AC209" s="420">
        <v>0.25</v>
      </c>
      <c r="AD209" s="439">
        <v>0.25</v>
      </c>
      <c r="AE209" s="893"/>
      <c r="AF209" s="894">
        <f>3320+2102+490+3302</f>
        <v>9214</v>
      </c>
      <c r="AG209" s="894">
        <v>13886</v>
      </c>
      <c r="AH209" s="876"/>
      <c r="AI209" s="894">
        <v>13886</v>
      </c>
      <c r="AJ209" s="876"/>
      <c r="AK209" s="883">
        <v>13886</v>
      </c>
      <c r="AL209" s="875">
        <v>1</v>
      </c>
      <c r="AM209" s="883">
        <f>+AK209</f>
        <v>13886</v>
      </c>
      <c r="AN209" s="875">
        <f>+AM209/Y209</f>
        <v>0.98266223197225955</v>
      </c>
      <c r="AO209" s="894">
        <v>10991</v>
      </c>
      <c r="AP209" s="876">
        <v>9345</v>
      </c>
      <c r="AQ209" s="876"/>
      <c r="AR209" s="876">
        <v>4560</v>
      </c>
      <c r="AS209" s="876"/>
      <c r="AT209" s="876">
        <v>13905</v>
      </c>
      <c r="AU209" s="876"/>
      <c r="AV209" s="879"/>
      <c r="AW209" s="876"/>
      <c r="AX209" s="199">
        <f>AP209+AR209</f>
        <v>13905</v>
      </c>
      <c r="AY209" s="58">
        <v>1</v>
      </c>
      <c r="AZ209" s="196">
        <f>AX209+AM209</f>
        <v>27791</v>
      </c>
      <c r="BA209" s="233">
        <v>1</v>
      </c>
      <c r="BB209" s="196">
        <f>AB209</f>
        <v>12561</v>
      </c>
      <c r="BC209" s="199">
        <v>13559</v>
      </c>
      <c r="BD209" s="199"/>
      <c r="BE209" s="199">
        <v>11615</v>
      </c>
      <c r="BF209" s="199"/>
      <c r="BG209" s="199">
        <v>16387</v>
      </c>
      <c r="BH209" s="1420" t="s">
        <v>2224</v>
      </c>
      <c r="BI209" s="199">
        <v>6339</v>
      </c>
      <c r="BJ209" s="199"/>
      <c r="BK209" s="199">
        <f>BC209+BE209+BG209+BI209</f>
        <v>47900</v>
      </c>
      <c r="BL209" s="58">
        <v>1</v>
      </c>
      <c r="BM209" s="196">
        <f>BK209+AZ209</f>
        <v>75691</v>
      </c>
      <c r="BN209" s="58">
        <v>1</v>
      </c>
      <c r="BO209" s="204"/>
      <c r="BP209" s="204"/>
      <c r="BQ209" s="204"/>
      <c r="BR209" s="204"/>
      <c r="BS209" s="204"/>
      <c r="BT209" s="204"/>
      <c r="BU209" s="204"/>
      <c r="BV209" s="204"/>
      <c r="BW209" s="204"/>
      <c r="BX209" s="204"/>
      <c r="BY209" s="204"/>
      <c r="BZ209" s="204"/>
      <c r="CA209" s="204"/>
      <c r="CB209" s="204"/>
      <c r="CC209" s="204"/>
      <c r="CD209" s="204"/>
      <c r="CE209" s="204"/>
      <c r="CF209" s="204"/>
      <c r="CG209" s="204"/>
      <c r="CH209" s="204"/>
      <c r="CI209" s="204"/>
      <c r="CJ209" s="204"/>
      <c r="CK209" s="204"/>
      <c r="CL209" s="204"/>
      <c r="CM209" s="204"/>
      <c r="CN209" s="204"/>
      <c r="CO209" s="204"/>
      <c r="CP209" s="204"/>
      <c r="CQ209" s="204"/>
      <c r="CR209" s="204"/>
      <c r="CS209" s="204"/>
      <c r="CT209" s="204"/>
      <c r="CU209" s="204"/>
      <c r="CV209" s="204"/>
      <c r="CW209" s="204"/>
      <c r="CX209" s="204"/>
      <c r="CY209" s="204"/>
    </row>
    <row r="210" spans="1:103" ht="53.25" customHeight="1" x14ac:dyDescent="0.2">
      <c r="A210" s="1820"/>
      <c r="B210" s="1826"/>
      <c r="C210" s="418"/>
      <c r="D210" s="418"/>
      <c r="E210" s="195"/>
      <c r="F210" s="195"/>
      <c r="G210" s="195"/>
      <c r="H210" s="195"/>
      <c r="I210" s="195"/>
      <c r="J210" s="195"/>
      <c r="K210" s="195"/>
      <c r="L210" s="195"/>
      <c r="M210" s="195"/>
      <c r="N210" s="195"/>
      <c r="O210" s="195"/>
      <c r="P210" s="195"/>
      <c r="Q210" s="195"/>
      <c r="R210" s="195"/>
      <c r="S210" s="195"/>
      <c r="T210" s="418"/>
      <c r="U210" s="1830"/>
      <c r="V210" s="194" t="s">
        <v>1150</v>
      </c>
      <c r="W210" s="333" t="s">
        <v>1151</v>
      </c>
      <c r="X210" s="1241" t="s">
        <v>1152</v>
      </c>
      <c r="Y210" s="220">
        <v>19448</v>
      </c>
      <c r="Z210" s="423">
        <v>15587</v>
      </c>
      <c r="AA210" s="432">
        <v>16874</v>
      </c>
      <c r="AB210" s="432">
        <v>2500</v>
      </c>
      <c r="AC210" s="420">
        <v>0.25</v>
      </c>
      <c r="AD210" s="439">
        <v>0.25</v>
      </c>
      <c r="AE210" s="893">
        <f>AB210/Y210</f>
        <v>0.12854792266556972</v>
      </c>
      <c r="AF210" s="895">
        <v>15012</v>
      </c>
      <c r="AG210" s="895">
        <f>+AF210</f>
        <v>15012</v>
      </c>
      <c r="AH210" s="876"/>
      <c r="AI210" s="883">
        <v>15532</v>
      </c>
      <c r="AJ210" s="876"/>
      <c r="AK210" s="877">
        <f>+AI210</f>
        <v>15532</v>
      </c>
      <c r="AL210" s="875">
        <f>+AK210/Z210</f>
        <v>0.99647141848976717</v>
      </c>
      <c r="AM210" s="883">
        <v>15012</v>
      </c>
      <c r="AN210" s="875">
        <f>+AM210/Y210</f>
        <v>0.77190456602221313</v>
      </c>
      <c r="AO210" s="894">
        <v>16874</v>
      </c>
      <c r="AP210" s="876">
        <v>0</v>
      </c>
      <c r="AQ210" s="876"/>
      <c r="AR210" s="876">
        <v>0</v>
      </c>
      <c r="AS210" s="876"/>
      <c r="AT210" s="876">
        <v>609</v>
      </c>
      <c r="AU210" s="876"/>
      <c r="AV210" s="879"/>
      <c r="AW210" s="876"/>
      <c r="AX210" s="199">
        <f>+AT210</f>
        <v>609</v>
      </c>
      <c r="AY210" s="58">
        <f>AX210/AO210</f>
        <v>3.6091027616451346E-2</v>
      </c>
      <c r="AZ210" s="196">
        <f>+AK210+AX210</f>
        <v>16141</v>
      </c>
      <c r="BA210" s="233">
        <f>AZ210/Y210</f>
        <v>0.82995680789798432</v>
      </c>
      <c r="BB210" s="196">
        <f>AB210</f>
        <v>2500</v>
      </c>
      <c r="BC210" s="199">
        <v>314</v>
      </c>
      <c r="BD210" s="199"/>
      <c r="BE210" s="199">
        <v>851</v>
      </c>
      <c r="BF210" s="199"/>
      <c r="BG210" s="199">
        <v>973</v>
      </c>
      <c r="BH210" s="199"/>
      <c r="BI210" s="199">
        <v>5509</v>
      </c>
      <c r="BJ210" s="199"/>
      <c r="BK210" s="199">
        <f>BC210+BE210+BG210+BI210</f>
        <v>7647</v>
      </c>
      <c r="BL210" s="58">
        <v>1</v>
      </c>
      <c r="BM210" s="196">
        <f>BK210+AZ210</f>
        <v>23788</v>
      </c>
      <c r="BN210" s="58">
        <v>1</v>
      </c>
      <c r="BO210" s="204"/>
      <c r="BP210" s="204"/>
      <c r="BQ210" s="204"/>
      <c r="BR210" s="204"/>
      <c r="BS210" s="204"/>
      <c r="BT210" s="204"/>
      <c r="BU210" s="204"/>
      <c r="BV210" s="204"/>
      <c r="BW210" s="204"/>
      <c r="BX210" s="204"/>
      <c r="BY210" s="204"/>
      <c r="BZ210" s="204"/>
      <c r="CA210" s="204"/>
      <c r="CB210" s="204"/>
      <c r="CC210" s="204"/>
      <c r="CD210" s="204"/>
      <c r="CE210" s="204"/>
      <c r="CF210" s="204"/>
      <c r="CG210" s="204"/>
      <c r="CH210" s="204"/>
      <c r="CI210" s="204"/>
      <c r="CJ210" s="204"/>
      <c r="CK210" s="204"/>
      <c r="CL210" s="204"/>
      <c r="CM210" s="204"/>
      <c r="CN210" s="204"/>
      <c r="CO210" s="204"/>
      <c r="CP210" s="204"/>
      <c r="CQ210" s="204"/>
      <c r="CR210" s="204"/>
      <c r="CS210" s="204"/>
      <c r="CT210" s="204"/>
      <c r="CU210" s="204"/>
      <c r="CV210" s="204"/>
      <c r="CW210" s="204"/>
      <c r="CX210" s="204"/>
      <c r="CY210" s="204"/>
    </row>
    <row r="211" spans="1:103" ht="40.5" customHeight="1" x14ac:dyDescent="0.2">
      <c r="A211" s="1820"/>
      <c r="B211" s="1826"/>
      <c r="C211" s="418"/>
      <c r="D211" s="418"/>
      <c r="E211" s="195"/>
      <c r="F211" s="195"/>
      <c r="G211" s="195"/>
      <c r="H211" s="195"/>
      <c r="I211" s="195"/>
      <c r="J211" s="195"/>
      <c r="K211" s="195"/>
      <c r="L211" s="195"/>
      <c r="M211" s="195"/>
      <c r="N211" s="195"/>
      <c r="O211" s="195"/>
      <c r="P211" s="195"/>
      <c r="Q211" s="195"/>
      <c r="R211" s="195"/>
      <c r="S211" s="195"/>
      <c r="T211" s="418"/>
      <c r="U211" s="1830"/>
      <c r="V211" s="194" t="s">
        <v>1153</v>
      </c>
      <c r="W211" s="194" t="s">
        <v>1154</v>
      </c>
      <c r="X211" s="1241" t="s">
        <v>1155</v>
      </c>
      <c r="Y211" s="220">
        <v>18</v>
      </c>
      <c r="Z211" s="423">
        <v>2</v>
      </c>
      <c r="AA211" s="432">
        <v>5</v>
      </c>
      <c r="AB211" s="419">
        <v>5</v>
      </c>
      <c r="AC211" s="420">
        <f>+Z211/Y211</f>
        <v>0.1111111111111111</v>
      </c>
      <c r="AD211" s="439">
        <f>+AA211/Y211</f>
        <v>0.27777777777777779</v>
      </c>
      <c r="AE211" s="893">
        <f>AB211/Y211</f>
        <v>0.27777777777777779</v>
      </c>
      <c r="AF211" s="895">
        <v>2</v>
      </c>
      <c r="AG211" s="895">
        <v>2</v>
      </c>
      <c r="AH211" s="876"/>
      <c r="AI211" s="883">
        <v>2</v>
      </c>
      <c r="AJ211" s="876"/>
      <c r="AK211" s="877">
        <f>+AI211</f>
        <v>2</v>
      </c>
      <c r="AL211" s="875">
        <f>+AK211/Z211</f>
        <v>1</v>
      </c>
      <c r="AM211" s="883">
        <f>+AK211</f>
        <v>2</v>
      </c>
      <c r="AN211" s="875">
        <f>+AM211/Y211</f>
        <v>0.1111111111111111</v>
      </c>
      <c r="AO211" s="894">
        <v>5</v>
      </c>
      <c r="AP211" s="876">
        <v>0</v>
      </c>
      <c r="AQ211" s="876"/>
      <c r="AR211" s="876">
        <v>0</v>
      </c>
      <c r="AS211" s="876"/>
      <c r="AT211" s="876">
        <v>3</v>
      </c>
      <c r="AU211" s="876"/>
      <c r="AV211" s="879">
        <v>0</v>
      </c>
      <c r="AW211" s="876"/>
      <c r="AX211" s="199">
        <f>+AT211</f>
        <v>3</v>
      </c>
      <c r="AY211" s="58">
        <f>+AX211/AO211</f>
        <v>0.6</v>
      </c>
      <c r="AZ211" s="196">
        <f>+AX211+AM211</f>
        <v>5</v>
      </c>
      <c r="BA211" s="233">
        <f>AZ211/Y211</f>
        <v>0.27777777777777779</v>
      </c>
      <c r="BB211" s="199">
        <f>AB211</f>
        <v>5</v>
      </c>
      <c r="BC211" s="199">
        <v>3</v>
      </c>
      <c r="BD211" s="199"/>
      <c r="BE211" s="199">
        <v>0</v>
      </c>
      <c r="BF211" s="199"/>
      <c r="BG211" s="199">
        <v>3</v>
      </c>
      <c r="BH211" s="199"/>
      <c r="BI211" s="199">
        <v>9</v>
      </c>
      <c r="BJ211" s="199"/>
      <c r="BK211" s="199">
        <f>BC211+BG211+BI211</f>
        <v>15</v>
      </c>
      <c r="BL211" s="58">
        <v>1</v>
      </c>
      <c r="BM211" s="196">
        <f>BK211+AZ211</f>
        <v>20</v>
      </c>
      <c r="BN211" s="58">
        <v>1</v>
      </c>
      <c r="BO211" s="204"/>
      <c r="BP211" s="204"/>
      <c r="BQ211" s="204"/>
      <c r="BR211" s="204"/>
      <c r="BS211" s="204"/>
      <c r="BT211" s="204"/>
      <c r="BU211" s="204"/>
      <c r="BV211" s="204"/>
      <c r="BW211" s="204"/>
      <c r="BX211" s="204"/>
      <c r="BY211" s="204"/>
      <c r="BZ211" s="204"/>
      <c r="CA211" s="204"/>
      <c r="CB211" s="204"/>
      <c r="CC211" s="204"/>
      <c r="CD211" s="204"/>
      <c r="CE211" s="204"/>
      <c r="CF211" s="204"/>
      <c r="CG211" s="204"/>
      <c r="CH211" s="204"/>
      <c r="CI211" s="204"/>
      <c r="CJ211" s="204"/>
      <c r="CK211" s="204"/>
      <c r="CL211" s="204"/>
      <c r="CM211" s="204"/>
      <c r="CN211" s="204"/>
      <c r="CO211" s="204"/>
      <c r="CP211" s="204"/>
      <c r="CQ211" s="204"/>
      <c r="CR211" s="204"/>
      <c r="CS211" s="204"/>
      <c r="CT211" s="204"/>
      <c r="CU211" s="204"/>
      <c r="CV211" s="204"/>
      <c r="CW211" s="204"/>
      <c r="CX211" s="204"/>
      <c r="CY211" s="204"/>
    </row>
    <row r="212" spans="1:103" ht="15.75" customHeight="1" x14ac:dyDescent="0.2">
      <c r="A212" s="1820"/>
      <c r="B212" s="1826"/>
      <c r="C212" s="418"/>
      <c r="D212" s="418"/>
      <c r="E212" s="195"/>
      <c r="F212" s="195"/>
      <c r="G212" s="195"/>
      <c r="H212" s="195"/>
      <c r="I212" s="195"/>
      <c r="J212" s="195"/>
      <c r="K212" s="195"/>
      <c r="L212" s="195"/>
      <c r="M212" s="195"/>
      <c r="N212" s="195"/>
      <c r="O212" s="195"/>
      <c r="P212" s="195"/>
      <c r="Q212" s="195"/>
      <c r="R212" s="195"/>
      <c r="S212" s="195"/>
      <c r="T212" s="418"/>
      <c r="U212" s="1831"/>
      <c r="V212" s="246"/>
      <c r="W212" s="246"/>
      <c r="X212" s="1454"/>
      <c r="Y212" s="246"/>
      <c r="Z212" s="247"/>
      <c r="AA212" s="247"/>
      <c r="AB212" s="247"/>
      <c r="AC212" s="252">
        <f>AVERAGE(AC209:AC211)</f>
        <v>0.20370370370370372</v>
      </c>
      <c r="AD212" s="416">
        <f>AVERAGE(AD209:AD211)</f>
        <v>0.25925925925925924</v>
      </c>
      <c r="AE212" s="884">
        <f>AVERAGE(AE209:AE211)</f>
        <v>0.20316285022167374</v>
      </c>
      <c r="AF212" s="247"/>
      <c r="AG212" s="247"/>
      <c r="AH212" s="247"/>
      <c r="AI212" s="251"/>
      <c r="AJ212" s="247"/>
      <c r="AK212" s="247"/>
      <c r="AL212" s="252">
        <f>AVERAGE(AL209:AL211)</f>
        <v>0.99882380616325561</v>
      </c>
      <c r="AM212" s="296"/>
      <c r="AN212" s="252">
        <f>AVERAGE(AN209:AN211)</f>
        <v>0.62189263636852798</v>
      </c>
      <c r="AO212" s="247"/>
      <c r="AP212" s="199"/>
      <c r="AQ212" s="199"/>
      <c r="AR212" s="199"/>
      <c r="AS212" s="199"/>
      <c r="AT212" s="199"/>
      <c r="AU212" s="199"/>
      <c r="AV212" s="199"/>
      <c r="AW212" s="199"/>
      <c r="AX212" s="199"/>
      <c r="AY212" s="440">
        <f>AVERAGE(AY209:AY211)</f>
        <v>0.5453636758721504</v>
      </c>
      <c r="AZ212" s="440"/>
      <c r="BA212" s="441">
        <f>AVERAGE(BA209:BA211)</f>
        <v>0.702578195225254</v>
      </c>
      <c r="BB212" s="195"/>
      <c r="BC212" s="195"/>
      <c r="BD212" s="195"/>
      <c r="BE212" s="195"/>
      <c r="BF212" s="195"/>
      <c r="BG212" s="195"/>
      <c r="BH212" s="195"/>
      <c r="BI212" s="195"/>
      <c r="BJ212" s="195"/>
      <c r="BK212" s="195"/>
      <c r="BL212" s="441">
        <f>AVERAGE(BL209:BL211)</f>
        <v>1</v>
      </c>
      <c r="BM212" s="195"/>
      <c r="BN212" s="441">
        <f>AVERAGE(BN209:BN211)</f>
        <v>1</v>
      </c>
      <c r="BO212" s="204"/>
      <c r="BP212" s="204"/>
      <c r="BQ212" s="204"/>
      <c r="BR212" s="204"/>
      <c r="BS212" s="204"/>
      <c r="BT212" s="204"/>
      <c r="BU212" s="204"/>
      <c r="BV212" s="204"/>
      <c r="BW212" s="204"/>
      <c r="BX212" s="204"/>
      <c r="BY212" s="204"/>
      <c r="BZ212" s="204"/>
      <c r="CA212" s="204"/>
      <c r="CB212" s="204"/>
      <c r="CC212" s="204"/>
      <c r="CD212" s="204"/>
      <c r="CE212" s="204"/>
      <c r="CF212" s="204"/>
      <c r="CG212" s="204"/>
      <c r="CH212" s="204"/>
      <c r="CI212" s="204"/>
      <c r="CJ212" s="204"/>
      <c r="CK212" s="204"/>
      <c r="CL212" s="204"/>
      <c r="CM212" s="204"/>
      <c r="CN212" s="204"/>
      <c r="CO212" s="204"/>
      <c r="CP212" s="204"/>
      <c r="CQ212" s="204"/>
      <c r="CR212" s="204"/>
      <c r="CS212" s="204"/>
      <c r="CT212" s="204"/>
      <c r="CU212" s="204"/>
      <c r="CV212" s="204"/>
      <c r="CW212" s="204"/>
      <c r="CX212" s="204"/>
      <c r="CY212" s="204"/>
    </row>
    <row r="213" spans="1:103" ht="57.75" customHeight="1" x14ac:dyDescent="0.2">
      <c r="A213" s="1820"/>
      <c r="B213" s="1826"/>
      <c r="C213" s="418"/>
      <c r="D213" s="418"/>
      <c r="E213" s="195"/>
      <c r="F213" s="195"/>
      <c r="G213" s="195"/>
      <c r="H213" s="195"/>
      <c r="I213" s="195"/>
      <c r="J213" s="195"/>
      <c r="K213" s="195"/>
      <c r="L213" s="195"/>
      <c r="M213" s="195"/>
      <c r="N213" s="195"/>
      <c r="O213" s="195"/>
      <c r="P213" s="195"/>
      <c r="Q213" s="195"/>
      <c r="R213" s="195"/>
      <c r="S213" s="195"/>
      <c r="T213" s="418"/>
      <c r="U213" s="1829" t="s">
        <v>1156</v>
      </c>
      <c r="V213" s="194" t="s">
        <v>1157</v>
      </c>
      <c r="W213" s="333" t="s">
        <v>1158</v>
      </c>
      <c r="X213" s="1459" t="s">
        <v>1159</v>
      </c>
      <c r="Y213" s="220">
        <v>24984</v>
      </c>
      <c r="Z213" s="432">
        <v>19630.599999999999</v>
      </c>
      <c r="AA213" s="432">
        <v>21415</v>
      </c>
      <c r="AB213" s="220">
        <v>20000</v>
      </c>
      <c r="AC213" s="420">
        <v>0.25</v>
      </c>
      <c r="AD213" s="439">
        <v>0.25</v>
      </c>
      <c r="AE213" s="896"/>
      <c r="AF213" s="423">
        <v>2759</v>
      </c>
      <c r="AG213" s="423">
        <v>3817</v>
      </c>
      <c r="AH213" s="199"/>
      <c r="AI213" s="196">
        <v>4370</v>
      </c>
      <c r="AJ213" s="199"/>
      <c r="AK213" s="410">
        <f>+AI213</f>
        <v>4370</v>
      </c>
      <c r="AL213" s="197">
        <f>+AK213/Z213</f>
        <v>0.22261163693417421</v>
      </c>
      <c r="AM213" s="352">
        <f>+AK213</f>
        <v>4370</v>
      </c>
      <c r="AN213" s="197">
        <f>+AM213/Y213</f>
        <v>0.17491194364393212</v>
      </c>
      <c r="AO213" s="432">
        <v>21415</v>
      </c>
      <c r="AP213" s="199">
        <v>3025</v>
      </c>
      <c r="AQ213" s="199"/>
      <c r="AR213" s="442">
        <v>648</v>
      </c>
      <c r="AS213" s="199"/>
      <c r="AT213" s="199">
        <v>11476</v>
      </c>
      <c r="AU213" s="199"/>
      <c r="AV213" s="276">
        <v>0</v>
      </c>
      <c r="AW213" s="199"/>
      <c r="AX213" s="199">
        <f>+AT213</f>
        <v>11476</v>
      </c>
      <c r="AY213" s="58">
        <f>+AX213/AO213</f>
        <v>0.5358860611720756</v>
      </c>
      <c r="AZ213" s="352">
        <f>AX213+AM213</f>
        <v>15846</v>
      </c>
      <c r="BA213" s="218">
        <f>+AZ213/Y213</f>
        <v>0.63424591738712777</v>
      </c>
      <c r="BB213" s="199">
        <f>AB213</f>
        <v>20000</v>
      </c>
      <c r="BC213" s="199">
        <v>11000</v>
      </c>
      <c r="BD213" s="199"/>
      <c r="BE213" s="199">
        <v>19201</v>
      </c>
      <c r="BF213" s="199"/>
      <c r="BG213" s="199">
        <v>10973</v>
      </c>
      <c r="BH213" s="1420" t="s">
        <v>2224</v>
      </c>
      <c r="BI213" s="199">
        <v>18355</v>
      </c>
      <c r="BJ213" s="199"/>
      <c r="BK213" s="199">
        <f>BC213+BE213+BG213+BI213</f>
        <v>59529</v>
      </c>
      <c r="BL213" s="58">
        <v>1</v>
      </c>
      <c r="BM213" s="352">
        <f>BK213+AZ213</f>
        <v>75375</v>
      </c>
      <c r="BN213" s="197">
        <v>1</v>
      </c>
      <c r="BO213" s="204"/>
      <c r="BP213" s="204"/>
      <c r="BQ213" s="204"/>
      <c r="BR213" s="204"/>
      <c r="BS213" s="204"/>
      <c r="BT213" s="204"/>
      <c r="BU213" s="204"/>
      <c r="BV213" s="204"/>
      <c r="BW213" s="204"/>
      <c r="BX213" s="204"/>
      <c r="BY213" s="204"/>
      <c r="BZ213" s="204"/>
      <c r="CA213" s="204"/>
      <c r="CB213" s="204"/>
      <c r="CC213" s="204"/>
      <c r="CD213" s="204"/>
      <c r="CE213" s="204"/>
      <c r="CF213" s="204"/>
      <c r="CG213" s="204"/>
      <c r="CH213" s="204"/>
      <c r="CI213" s="204"/>
      <c r="CJ213" s="204"/>
      <c r="CK213" s="204"/>
      <c r="CL213" s="204"/>
      <c r="CM213" s="204"/>
      <c r="CN213" s="204"/>
      <c r="CO213" s="204"/>
      <c r="CP213" s="204"/>
      <c r="CQ213" s="204"/>
      <c r="CR213" s="204"/>
      <c r="CS213" s="204"/>
      <c r="CT213" s="204"/>
      <c r="CU213" s="204"/>
      <c r="CV213" s="204"/>
      <c r="CW213" s="204"/>
      <c r="CX213" s="204"/>
      <c r="CY213" s="204"/>
    </row>
    <row r="214" spans="1:103" ht="51" customHeight="1" x14ac:dyDescent="0.2">
      <c r="A214" s="1820"/>
      <c r="B214" s="1826"/>
      <c r="C214" s="418"/>
      <c r="D214" s="418"/>
      <c r="E214" s="195"/>
      <c r="F214" s="195"/>
      <c r="G214" s="195"/>
      <c r="H214" s="195"/>
      <c r="I214" s="195"/>
      <c r="J214" s="195"/>
      <c r="K214" s="195"/>
      <c r="L214" s="195"/>
      <c r="M214" s="195"/>
      <c r="N214" s="195"/>
      <c r="O214" s="195"/>
      <c r="P214" s="195"/>
      <c r="Q214" s="195"/>
      <c r="R214" s="195"/>
      <c r="S214" s="195"/>
      <c r="T214" s="418"/>
      <c r="U214" s="1830"/>
      <c r="V214" s="194" t="s">
        <v>1160</v>
      </c>
      <c r="W214" s="333" t="s">
        <v>1161</v>
      </c>
      <c r="X214" s="1459" t="s">
        <v>1162</v>
      </c>
      <c r="Y214" s="220">
        <v>22999</v>
      </c>
      <c r="Z214" s="423">
        <v>16428</v>
      </c>
      <c r="AA214" s="432">
        <v>19714</v>
      </c>
      <c r="AB214" s="220">
        <v>10000</v>
      </c>
      <c r="AC214" s="420">
        <v>0.25</v>
      </c>
      <c r="AD214" s="439">
        <v>0.25</v>
      </c>
      <c r="AE214" s="896">
        <f>AB214/Y214</f>
        <v>0.43480151310926562</v>
      </c>
      <c r="AF214" s="423">
        <v>4656</v>
      </c>
      <c r="AG214" s="423">
        <f>+AF214</f>
        <v>4656</v>
      </c>
      <c r="AH214" s="199"/>
      <c r="AI214" s="196">
        <v>4656</v>
      </c>
      <c r="AJ214" s="199"/>
      <c r="AK214" s="410">
        <f>+AI214</f>
        <v>4656</v>
      </c>
      <c r="AL214" s="197">
        <f>+AK214/Z214</f>
        <v>0.28341855368882396</v>
      </c>
      <c r="AM214" s="352">
        <f>+AK214</f>
        <v>4656</v>
      </c>
      <c r="AN214" s="197">
        <f>+AM214/Y214</f>
        <v>0.20244358450367408</v>
      </c>
      <c r="AO214" s="432">
        <v>19714</v>
      </c>
      <c r="AP214" s="199">
        <v>0</v>
      </c>
      <c r="AQ214" s="199"/>
      <c r="AR214" s="199">
        <v>0</v>
      </c>
      <c r="AS214" s="199"/>
      <c r="AT214" s="199">
        <v>1497</v>
      </c>
      <c r="AU214" s="199"/>
      <c r="AV214" s="274">
        <v>0</v>
      </c>
      <c r="AW214" s="199"/>
      <c r="AX214" s="199">
        <f>+AT214</f>
        <v>1497</v>
      </c>
      <c r="AY214" s="58">
        <f>AX214/AO214</f>
        <v>7.5935883128741E-2</v>
      </c>
      <c r="AZ214" s="352">
        <f>+AX214+AM214</f>
        <v>6153</v>
      </c>
      <c r="BA214" s="218">
        <f>AZ214/Y214</f>
        <v>0.26753337101613112</v>
      </c>
      <c r="BB214" s="199">
        <f>AB214</f>
        <v>10000</v>
      </c>
      <c r="BC214" s="199">
        <v>0</v>
      </c>
      <c r="BD214" s="199"/>
      <c r="BE214" s="199">
        <v>2136</v>
      </c>
      <c r="BF214" s="199"/>
      <c r="BG214" s="199">
        <v>0</v>
      </c>
      <c r="BH214" s="199"/>
      <c r="BI214" s="199">
        <v>3898</v>
      </c>
      <c r="BJ214" s="199"/>
      <c r="BK214" s="199">
        <f>+BE214+BI214</f>
        <v>6034</v>
      </c>
      <c r="BL214" s="58">
        <f>BK214/BB214</f>
        <v>0.60340000000000005</v>
      </c>
      <c r="BM214" s="352">
        <f>BK214+AZ214</f>
        <v>12187</v>
      </c>
      <c r="BN214" s="58">
        <f>BM214/Y214</f>
        <v>0.52989260402626204</v>
      </c>
      <c r="BO214" s="204"/>
      <c r="BP214" s="204"/>
      <c r="BQ214" s="204"/>
      <c r="BR214" s="204"/>
      <c r="BS214" s="204"/>
      <c r="BT214" s="204"/>
      <c r="BU214" s="204"/>
      <c r="BV214" s="204"/>
      <c r="BW214" s="204"/>
      <c r="BX214" s="204"/>
      <c r="BY214" s="204"/>
      <c r="BZ214" s="204"/>
      <c r="CA214" s="204"/>
      <c r="CB214" s="204"/>
      <c r="CC214" s="204"/>
      <c r="CD214" s="204"/>
      <c r="CE214" s="204"/>
      <c r="CF214" s="204"/>
      <c r="CG214" s="204"/>
      <c r="CH214" s="204"/>
      <c r="CI214" s="204"/>
      <c r="CJ214" s="204"/>
      <c r="CK214" s="204"/>
      <c r="CL214" s="204"/>
      <c r="CM214" s="204"/>
      <c r="CN214" s="204"/>
      <c r="CO214" s="204"/>
      <c r="CP214" s="204"/>
      <c r="CQ214" s="204"/>
      <c r="CR214" s="204"/>
      <c r="CS214" s="204"/>
      <c r="CT214" s="204"/>
      <c r="CU214" s="204"/>
      <c r="CV214" s="204"/>
      <c r="CW214" s="204"/>
      <c r="CX214" s="204"/>
      <c r="CY214" s="204"/>
    </row>
    <row r="215" spans="1:103" ht="45.75" customHeight="1" x14ac:dyDescent="0.2">
      <c r="A215" s="1820"/>
      <c r="B215" s="1826"/>
      <c r="C215" s="418"/>
      <c r="D215" s="418"/>
      <c r="E215" s="195"/>
      <c r="F215" s="195"/>
      <c r="G215" s="195"/>
      <c r="H215" s="195"/>
      <c r="I215" s="195"/>
      <c r="J215" s="195"/>
      <c r="K215" s="195"/>
      <c r="L215" s="195"/>
      <c r="M215" s="195"/>
      <c r="N215" s="195"/>
      <c r="O215" s="195"/>
      <c r="P215" s="195"/>
      <c r="Q215" s="195"/>
      <c r="R215" s="195"/>
      <c r="S215" s="195"/>
      <c r="T215" s="418"/>
      <c r="U215" s="1830"/>
      <c r="V215" s="194" t="s">
        <v>1163</v>
      </c>
      <c r="W215" s="194" t="s">
        <v>1164</v>
      </c>
      <c r="X215" s="1459" t="s">
        <v>1165</v>
      </c>
      <c r="Y215" s="220">
        <v>17</v>
      </c>
      <c r="Z215" s="422">
        <v>2</v>
      </c>
      <c r="AA215" s="419">
        <v>5</v>
      </c>
      <c r="AB215" s="220">
        <v>5</v>
      </c>
      <c r="AC215" s="420">
        <f>+Z215/Y215</f>
        <v>0.11764705882352941</v>
      </c>
      <c r="AD215" s="439">
        <f>+AA215/Y215</f>
        <v>0.29411764705882354</v>
      </c>
      <c r="AE215" s="896">
        <f>AB215/Y215</f>
        <v>0.29411764705882354</v>
      </c>
      <c r="AF215" s="422">
        <v>2</v>
      </c>
      <c r="AG215" s="422">
        <f>+AF215</f>
        <v>2</v>
      </c>
      <c r="AH215" s="199"/>
      <c r="AI215" s="196">
        <v>2</v>
      </c>
      <c r="AJ215" s="199"/>
      <c r="AK215" s="410">
        <f>+AI215</f>
        <v>2</v>
      </c>
      <c r="AL215" s="197">
        <f>+AK215/Z215</f>
        <v>1</v>
      </c>
      <c r="AM215" s="352">
        <f>+AK215</f>
        <v>2</v>
      </c>
      <c r="AN215" s="197">
        <f>+AM215/Y215</f>
        <v>0.11764705882352941</v>
      </c>
      <c r="AO215" s="419">
        <v>5</v>
      </c>
      <c r="AP215" s="199">
        <v>0</v>
      </c>
      <c r="AQ215" s="199"/>
      <c r="AR215" s="199">
        <v>0</v>
      </c>
      <c r="AS215" s="199"/>
      <c r="AT215" s="199">
        <v>4</v>
      </c>
      <c r="AU215" s="199"/>
      <c r="AV215" s="274">
        <v>4</v>
      </c>
      <c r="AW215" s="199"/>
      <c r="AX215" s="199">
        <f>+AV215</f>
        <v>4</v>
      </c>
      <c r="AY215" s="58">
        <f>AX215/AO215</f>
        <v>0.8</v>
      </c>
      <c r="AZ215" s="352">
        <f>AX215+AM215</f>
        <v>6</v>
      </c>
      <c r="BA215" s="218">
        <f>AZ215/Y215</f>
        <v>0.35294117647058826</v>
      </c>
      <c r="BB215" s="199">
        <f>AB215</f>
        <v>5</v>
      </c>
      <c r="BC215" s="199">
        <v>0</v>
      </c>
      <c r="BD215" s="199"/>
      <c r="BE215" s="199">
        <v>3</v>
      </c>
      <c r="BF215" s="199"/>
      <c r="BG215" s="199">
        <v>0</v>
      </c>
      <c r="BH215" s="199"/>
      <c r="BI215" s="199">
        <v>13</v>
      </c>
      <c r="BJ215" s="199"/>
      <c r="BK215" s="199">
        <f>+BE215+BI215</f>
        <v>16</v>
      </c>
      <c r="BL215" s="58">
        <v>1</v>
      </c>
      <c r="BM215" s="352">
        <f>BK215+AZ215</f>
        <v>22</v>
      </c>
      <c r="BN215" s="58">
        <v>1</v>
      </c>
      <c r="BO215" s="204"/>
      <c r="BP215" s="204"/>
      <c r="BQ215" s="204"/>
      <c r="BR215" s="204"/>
      <c r="BS215" s="204"/>
      <c r="BT215" s="204"/>
      <c r="BU215" s="204"/>
      <c r="BV215" s="204"/>
      <c r="BW215" s="204"/>
      <c r="BX215" s="204"/>
      <c r="BY215" s="204"/>
      <c r="BZ215" s="204"/>
      <c r="CA215" s="204"/>
      <c r="CB215" s="204"/>
      <c r="CC215" s="204"/>
      <c r="CD215" s="204"/>
      <c r="CE215" s="204"/>
      <c r="CF215" s="204"/>
      <c r="CG215" s="204"/>
      <c r="CH215" s="204"/>
      <c r="CI215" s="204"/>
      <c r="CJ215" s="204"/>
      <c r="CK215" s="204"/>
      <c r="CL215" s="204"/>
      <c r="CM215" s="204"/>
      <c r="CN215" s="204"/>
      <c r="CO215" s="204"/>
      <c r="CP215" s="204"/>
      <c r="CQ215" s="204"/>
      <c r="CR215" s="204"/>
      <c r="CS215" s="204"/>
      <c r="CT215" s="204"/>
      <c r="CU215" s="204"/>
      <c r="CV215" s="204"/>
      <c r="CW215" s="204"/>
      <c r="CX215" s="204"/>
      <c r="CY215" s="204"/>
    </row>
    <row r="216" spans="1:103" ht="15.75" customHeight="1" x14ac:dyDescent="0.2">
      <c r="A216" s="1820"/>
      <c r="B216" s="1826"/>
      <c r="C216" s="418"/>
      <c r="D216" s="418"/>
      <c r="E216" s="195"/>
      <c r="F216" s="195"/>
      <c r="G216" s="195"/>
      <c r="H216" s="195"/>
      <c r="I216" s="195"/>
      <c r="J216" s="195"/>
      <c r="K216" s="195"/>
      <c r="L216" s="195"/>
      <c r="M216" s="195"/>
      <c r="N216" s="195"/>
      <c r="O216" s="195"/>
      <c r="P216" s="195"/>
      <c r="Q216" s="195"/>
      <c r="R216" s="195"/>
      <c r="S216" s="195"/>
      <c r="T216" s="418"/>
      <c r="U216" s="1831"/>
      <c r="V216" s="246"/>
      <c r="W216" s="246"/>
      <c r="X216" s="1454"/>
      <c r="Y216" s="246"/>
      <c r="Z216" s="247"/>
      <c r="AA216" s="247"/>
      <c r="AB216" s="247"/>
      <c r="AC216" s="252">
        <f>AVERAGE(AC213:AC215)</f>
        <v>0.20588235294117649</v>
      </c>
      <c r="AD216" s="416">
        <f>AVERAGE(AD213:AD215)</f>
        <v>0.26470588235294118</v>
      </c>
      <c r="AE216" s="884">
        <f>AVERAGE(AE213:AE215)</f>
        <v>0.36445958008404455</v>
      </c>
      <c r="AF216" s="247"/>
      <c r="AG216" s="247"/>
      <c r="AH216" s="247"/>
      <c r="AI216" s="251"/>
      <c r="AJ216" s="247"/>
      <c r="AK216" s="247"/>
      <c r="AL216" s="252">
        <f>AVERAGE(AL213:AL215)</f>
        <v>0.50201006354099942</v>
      </c>
      <c r="AM216" s="296"/>
      <c r="AN216" s="252">
        <f>AVERAGE(AN213:AN215)</f>
        <v>0.16500086232371189</v>
      </c>
      <c r="AO216" s="247"/>
      <c r="AP216" s="239"/>
      <c r="AQ216" s="239"/>
      <c r="AR216" s="239"/>
      <c r="AS216" s="239"/>
      <c r="AT216" s="199"/>
      <c r="AU216" s="239"/>
      <c r="AV216" s="239"/>
      <c r="AW216" s="239"/>
      <c r="AX216" s="239"/>
      <c r="AY216" s="443">
        <f>AVERAGE(AY213:AY215)</f>
        <v>0.4706073147669389</v>
      </c>
      <c r="AZ216" s="444"/>
      <c r="BA216" s="445">
        <f>AVERAGE(BA213:BA215)</f>
        <v>0.41824015495794908</v>
      </c>
      <c r="BB216" s="195"/>
      <c r="BC216" s="195"/>
      <c r="BD216" s="195"/>
      <c r="BE216" s="195"/>
      <c r="BF216" s="195"/>
      <c r="BG216" s="195"/>
      <c r="BH216" s="195"/>
      <c r="BI216" s="195"/>
      <c r="BJ216" s="195"/>
      <c r="BK216" s="195"/>
      <c r="BL216" s="445">
        <f>AVERAGE(BL213:BL215)</f>
        <v>0.86780000000000002</v>
      </c>
      <c r="BM216" s="195"/>
      <c r="BN216" s="445">
        <f>AVERAGE(BN213:BN215)</f>
        <v>0.84329753467542068</v>
      </c>
      <c r="BO216" s="204"/>
      <c r="BP216" s="204"/>
      <c r="BQ216" s="204"/>
      <c r="BR216" s="204"/>
      <c r="BS216" s="204"/>
      <c r="BT216" s="204"/>
      <c r="BU216" s="204"/>
      <c r="BV216" s="204"/>
      <c r="BW216" s="204"/>
      <c r="BX216" s="204"/>
      <c r="BY216" s="204"/>
      <c r="BZ216" s="204"/>
      <c r="CA216" s="204"/>
      <c r="CB216" s="204"/>
      <c r="CC216" s="204"/>
      <c r="CD216" s="204"/>
      <c r="CE216" s="204"/>
      <c r="CF216" s="204"/>
      <c r="CG216" s="204"/>
      <c r="CH216" s="204"/>
      <c r="CI216" s="204"/>
      <c r="CJ216" s="204"/>
      <c r="CK216" s="204"/>
      <c r="CL216" s="204"/>
      <c r="CM216" s="204"/>
      <c r="CN216" s="204"/>
      <c r="CO216" s="204"/>
      <c r="CP216" s="204"/>
      <c r="CQ216" s="204"/>
      <c r="CR216" s="204"/>
      <c r="CS216" s="204"/>
      <c r="CT216" s="204"/>
      <c r="CU216" s="204"/>
      <c r="CV216" s="204"/>
      <c r="CW216" s="204"/>
      <c r="CX216" s="204"/>
      <c r="CY216" s="204"/>
    </row>
    <row r="217" spans="1:103" ht="69.75" customHeight="1" x14ac:dyDescent="0.2">
      <c r="A217" s="1820"/>
      <c r="B217" s="1826"/>
      <c r="C217" s="418"/>
      <c r="D217" s="418"/>
      <c r="E217" s="195"/>
      <c r="F217" s="195"/>
      <c r="G217" s="195"/>
      <c r="H217" s="195"/>
      <c r="I217" s="195"/>
      <c r="J217" s="195"/>
      <c r="K217" s="195"/>
      <c r="L217" s="195"/>
      <c r="M217" s="195"/>
      <c r="N217" s="195"/>
      <c r="O217" s="195"/>
      <c r="P217" s="195"/>
      <c r="Q217" s="195"/>
      <c r="R217" s="195"/>
      <c r="S217" s="195"/>
      <c r="T217" s="418"/>
      <c r="U217" s="1829" t="s">
        <v>1166</v>
      </c>
      <c r="V217" s="194" t="s">
        <v>1167</v>
      </c>
      <c r="W217" s="194">
        <v>0</v>
      </c>
      <c r="X217" s="1241" t="s">
        <v>1168</v>
      </c>
      <c r="Y217" s="220">
        <v>4</v>
      </c>
      <c r="Z217" s="422">
        <v>1</v>
      </c>
      <c r="AA217" s="422">
        <v>1</v>
      </c>
      <c r="AB217" s="422">
        <v>1</v>
      </c>
      <c r="AC217" s="424">
        <f>+Z217/Y217</f>
        <v>0.25</v>
      </c>
      <c r="AD217" s="424">
        <f>+AA217/Y217</f>
        <v>0.25</v>
      </c>
      <c r="AE217" s="424"/>
      <c r="AF217" s="422">
        <v>2</v>
      </c>
      <c r="AG217" s="422">
        <v>2</v>
      </c>
      <c r="AH217" s="199"/>
      <c r="AI217" s="196">
        <v>2</v>
      </c>
      <c r="AJ217" s="199"/>
      <c r="AK217" s="410">
        <f>+AI217</f>
        <v>2</v>
      </c>
      <c r="AL217" s="197">
        <v>1</v>
      </c>
      <c r="AM217" s="352">
        <f>+AK217</f>
        <v>2</v>
      </c>
      <c r="AN217" s="197">
        <f>+AM217/Y217</f>
        <v>0.5</v>
      </c>
      <c r="AO217" s="422">
        <v>1</v>
      </c>
      <c r="AP217" s="199">
        <v>0</v>
      </c>
      <c r="AQ217" s="199"/>
      <c r="AR217" s="199">
        <v>0.25</v>
      </c>
      <c r="AS217" s="199"/>
      <c r="AT217" s="199">
        <v>0.8</v>
      </c>
      <c r="AU217" s="199"/>
      <c r="AV217" s="274">
        <v>1</v>
      </c>
      <c r="AW217" s="199"/>
      <c r="AX217" s="199">
        <f>+AV217</f>
        <v>1</v>
      </c>
      <c r="AY217" s="58">
        <f>AX217/AO217</f>
        <v>1</v>
      </c>
      <c r="AZ217" s="352">
        <f>AX217+AK217</f>
        <v>3</v>
      </c>
      <c r="BA217" s="218">
        <f>AZ217/Y217</f>
        <v>0.75</v>
      </c>
      <c r="BB217" s="199">
        <v>1</v>
      </c>
      <c r="BC217" s="199"/>
      <c r="BD217" s="199"/>
      <c r="BE217" s="199">
        <v>0.2</v>
      </c>
      <c r="BF217" s="199"/>
      <c r="BG217" s="199">
        <v>0.1</v>
      </c>
      <c r="BH217" s="199"/>
      <c r="BI217" s="199">
        <v>0.7</v>
      </c>
      <c r="BJ217" s="199"/>
      <c r="BK217" s="199">
        <f>+BE217+BG217+BI217</f>
        <v>1</v>
      </c>
      <c r="BL217" s="197">
        <v>1</v>
      </c>
      <c r="BM217" s="352">
        <f>+BE217+AZ217+BG217+BI217</f>
        <v>4</v>
      </c>
      <c r="BN217" s="58">
        <f>+BM217/Y217</f>
        <v>1</v>
      </c>
      <c r="BO217" s="204"/>
      <c r="BP217" s="204"/>
      <c r="BQ217" s="204"/>
      <c r="BR217" s="204"/>
      <c r="BS217" s="204"/>
      <c r="BT217" s="204"/>
      <c r="BU217" s="204"/>
      <c r="BV217" s="204"/>
      <c r="BW217" s="204"/>
      <c r="BX217" s="204"/>
      <c r="BY217" s="204"/>
      <c r="BZ217" s="204"/>
      <c r="CA217" s="204"/>
      <c r="CB217" s="204"/>
      <c r="CC217" s="204"/>
      <c r="CD217" s="204"/>
      <c r="CE217" s="204"/>
      <c r="CF217" s="204"/>
      <c r="CG217" s="204"/>
      <c r="CH217" s="204"/>
      <c r="CI217" s="204"/>
      <c r="CJ217" s="204"/>
      <c r="CK217" s="204"/>
      <c r="CL217" s="204"/>
      <c r="CM217" s="204"/>
      <c r="CN217" s="204"/>
      <c r="CO217" s="204"/>
      <c r="CP217" s="204"/>
      <c r="CQ217" s="204"/>
      <c r="CR217" s="204"/>
      <c r="CS217" s="204"/>
      <c r="CT217" s="204"/>
      <c r="CU217" s="204"/>
      <c r="CV217" s="204"/>
      <c r="CW217" s="204"/>
      <c r="CX217" s="204"/>
      <c r="CY217" s="204"/>
    </row>
    <row r="218" spans="1:103" ht="45.75" customHeight="1" x14ac:dyDescent="0.2">
      <c r="A218" s="1820"/>
      <c r="B218" s="1826"/>
      <c r="C218" s="418"/>
      <c r="D218" s="418"/>
      <c r="E218" s="195"/>
      <c r="F218" s="195"/>
      <c r="G218" s="195"/>
      <c r="H218" s="195"/>
      <c r="I218" s="195"/>
      <c r="J218" s="195"/>
      <c r="K218" s="195"/>
      <c r="L218" s="195"/>
      <c r="M218" s="195"/>
      <c r="N218" s="195"/>
      <c r="O218" s="195"/>
      <c r="P218" s="195"/>
      <c r="Q218" s="195"/>
      <c r="R218" s="195"/>
      <c r="S218" s="195"/>
      <c r="T218" s="418"/>
      <c r="U218" s="1830"/>
      <c r="V218" s="194" t="s">
        <v>1169</v>
      </c>
      <c r="W218" s="333" t="s">
        <v>1170</v>
      </c>
      <c r="X218" s="1241" t="s">
        <v>1171</v>
      </c>
      <c r="Y218" s="220">
        <v>16720</v>
      </c>
      <c r="Z218" s="423">
        <v>11147</v>
      </c>
      <c r="AA218" s="446">
        <v>13004</v>
      </c>
      <c r="AB218" s="446">
        <v>4000</v>
      </c>
      <c r="AC218" s="424">
        <v>0.25</v>
      </c>
      <c r="AD218" s="424">
        <v>0.25</v>
      </c>
      <c r="AE218" s="424"/>
      <c r="AF218" s="423">
        <v>4222</v>
      </c>
      <c r="AG218" s="423">
        <v>4949</v>
      </c>
      <c r="AH218" s="199"/>
      <c r="AI218" s="196">
        <v>5547</v>
      </c>
      <c r="AJ218" s="199"/>
      <c r="AK218" s="410">
        <f>+AI218</f>
        <v>5547</v>
      </c>
      <c r="AL218" s="197">
        <f>+AK218/Z218</f>
        <v>0.4976226787476451</v>
      </c>
      <c r="AM218" s="352">
        <f>+AK218</f>
        <v>5547</v>
      </c>
      <c r="AN218" s="197">
        <f>+AM218/Y218</f>
        <v>0.33175837320574164</v>
      </c>
      <c r="AO218" s="199">
        <v>13004</v>
      </c>
      <c r="AP218" s="199">
        <v>0</v>
      </c>
      <c r="AQ218" s="199"/>
      <c r="AR218" s="199">
        <v>4689</v>
      </c>
      <c r="AS218" s="199"/>
      <c r="AT218" s="199">
        <v>6729</v>
      </c>
      <c r="AU218" s="199"/>
      <c r="AV218" s="274">
        <v>11418</v>
      </c>
      <c r="AW218" s="199"/>
      <c r="AX218" s="199">
        <f>+AV218</f>
        <v>11418</v>
      </c>
      <c r="AY218" s="58">
        <f>AX218/AO218</f>
        <v>0.87803752691479542</v>
      </c>
      <c r="AZ218" s="352">
        <f>+AX218+AM218</f>
        <v>16965</v>
      </c>
      <c r="BA218" s="218">
        <v>1</v>
      </c>
      <c r="BB218" s="892">
        <f>AB218</f>
        <v>4000</v>
      </c>
      <c r="BC218" s="199">
        <v>0</v>
      </c>
      <c r="BD218" s="199"/>
      <c r="BE218" s="199">
        <v>973</v>
      </c>
      <c r="BF218" s="199"/>
      <c r="BG218" s="199">
        <v>1072</v>
      </c>
      <c r="BH218" s="1420" t="s">
        <v>2224</v>
      </c>
      <c r="BI218" s="199">
        <v>0</v>
      </c>
      <c r="BJ218" s="199"/>
      <c r="BK218" s="199">
        <f>+BE218+BG218</f>
        <v>2045</v>
      </c>
      <c r="BL218" s="58">
        <f>+BK218/BB218</f>
        <v>0.51124999999999998</v>
      </c>
      <c r="BM218" s="352">
        <f>BK218+AZ218</f>
        <v>19010</v>
      </c>
      <c r="BN218" s="58">
        <v>1</v>
      </c>
      <c r="BO218" s="204"/>
      <c r="BP218" s="204"/>
      <c r="BQ218" s="204"/>
      <c r="BR218" s="204"/>
      <c r="BS218" s="204"/>
      <c r="BT218" s="204"/>
      <c r="BU218" s="204"/>
      <c r="BV218" s="204"/>
      <c r="BW218" s="204"/>
      <c r="BX218" s="204"/>
      <c r="BY218" s="204"/>
      <c r="BZ218" s="204"/>
      <c r="CA218" s="204"/>
      <c r="CB218" s="204"/>
      <c r="CC218" s="204"/>
      <c r="CD218" s="204"/>
      <c r="CE218" s="204"/>
      <c r="CF218" s="204"/>
      <c r="CG218" s="204"/>
      <c r="CH218" s="204"/>
      <c r="CI218" s="204"/>
      <c r="CJ218" s="204"/>
      <c r="CK218" s="204"/>
      <c r="CL218" s="204"/>
      <c r="CM218" s="204"/>
      <c r="CN218" s="204"/>
      <c r="CO218" s="204"/>
      <c r="CP218" s="204"/>
      <c r="CQ218" s="204"/>
      <c r="CR218" s="204"/>
      <c r="CS218" s="204"/>
      <c r="CT218" s="204"/>
      <c r="CU218" s="204"/>
      <c r="CV218" s="204"/>
      <c r="CW218" s="204"/>
      <c r="CX218" s="204"/>
      <c r="CY218" s="204"/>
    </row>
    <row r="219" spans="1:103" ht="61.5" customHeight="1" x14ac:dyDescent="0.2">
      <c r="A219" s="1820"/>
      <c r="B219" s="1826"/>
      <c r="C219" s="418"/>
      <c r="D219" s="418"/>
      <c r="E219" s="195"/>
      <c r="F219" s="195"/>
      <c r="G219" s="195"/>
      <c r="H219" s="195"/>
      <c r="I219" s="195"/>
      <c r="J219" s="195"/>
      <c r="K219" s="195"/>
      <c r="L219" s="195"/>
      <c r="M219" s="195"/>
      <c r="N219" s="195"/>
      <c r="O219" s="195"/>
      <c r="P219" s="195"/>
      <c r="Q219" s="195"/>
      <c r="R219" s="195"/>
      <c r="S219" s="195"/>
      <c r="T219" s="418"/>
      <c r="U219" s="1830"/>
      <c r="V219" s="194" t="s">
        <v>1172</v>
      </c>
      <c r="W219" s="194">
        <v>0</v>
      </c>
      <c r="X219" s="1241" t="s">
        <v>1173</v>
      </c>
      <c r="Y219" s="220">
        <v>10</v>
      </c>
      <c r="Z219" s="274">
        <v>1</v>
      </c>
      <c r="AA219" s="274">
        <v>4</v>
      </c>
      <c r="AB219" s="274">
        <v>4</v>
      </c>
      <c r="AC219" s="424">
        <f>+Z219/Y219</f>
        <v>0.1</v>
      </c>
      <c r="AD219" s="424">
        <f>+AA219/Y219</f>
        <v>0.4</v>
      </c>
      <c r="AE219" s="424">
        <v>0.4</v>
      </c>
      <c r="AF219" s="199">
        <v>0</v>
      </c>
      <c r="AG219" s="199">
        <v>0</v>
      </c>
      <c r="AH219" s="199"/>
      <c r="AI219" s="196">
        <v>0</v>
      </c>
      <c r="AJ219" s="199"/>
      <c r="AK219" s="410">
        <f>+AI219</f>
        <v>0</v>
      </c>
      <c r="AL219" s="197">
        <f>+AK219/Z219</f>
        <v>0</v>
      </c>
      <c r="AM219" s="352">
        <f>+AK219</f>
        <v>0</v>
      </c>
      <c r="AN219" s="197">
        <f>+AM219/Y219</f>
        <v>0</v>
      </c>
      <c r="AO219" s="274">
        <v>4</v>
      </c>
      <c r="AP219" s="199">
        <v>0</v>
      </c>
      <c r="AQ219" s="199"/>
      <c r="AR219" s="199">
        <v>0</v>
      </c>
      <c r="AS219" s="199"/>
      <c r="AT219" s="199">
        <v>0</v>
      </c>
      <c r="AU219" s="199"/>
      <c r="AV219" s="274">
        <v>0</v>
      </c>
      <c r="AW219" s="199"/>
      <c r="AX219" s="199">
        <f>AP219</f>
        <v>0</v>
      </c>
      <c r="AY219" s="58">
        <f>AX219/AO219</f>
        <v>0</v>
      </c>
      <c r="AZ219" s="352">
        <f>AX219+AM219</f>
        <v>0</v>
      </c>
      <c r="BA219" s="218">
        <f>AZ219/Y219</f>
        <v>0</v>
      </c>
      <c r="BB219" s="199">
        <v>4</v>
      </c>
      <c r="BC219" s="199">
        <v>0</v>
      </c>
      <c r="BD219" s="199"/>
      <c r="BE219" s="199">
        <v>0.6</v>
      </c>
      <c r="BF219" s="199"/>
      <c r="BG219" s="199">
        <v>0.3</v>
      </c>
      <c r="BH219" s="199"/>
      <c r="BI219" s="199">
        <v>1.1000000000000001</v>
      </c>
      <c r="BJ219" s="199"/>
      <c r="BK219" s="199">
        <f>+BE219+BG219+BI219</f>
        <v>2</v>
      </c>
      <c r="BL219" s="58">
        <f>+BK219/BB219</f>
        <v>0.5</v>
      </c>
      <c r="BM219" s="352">
        <f>BK219+AZ219</f>
        <v>2</v>
      </c>
      <c r="BN219" s="58">
        <f>BM219/Y219</f>
        <v>0.2</v>
      </c>
      <c r="BO219" s="204"/>
      <c r="BP219" s="204"/>
      <c r="BQ219" s="204"/>
      <c r="BR219" s="204"/>
      <c r="BS219" s="204"/>
      <c r="BT219" s="204"/>
      <c r="BU219" s="204"/>
      <c r="BV219" s="204"/>
      <c r="BW219" s="204"/>
      <c r="BX219" s="204"/>
      <c r="BY219" s="204"/>
      <c r="BZ219" s="204"/>
      <c r="CA219" s="204"/>
      <c r="CB219" s="204"/>
      <c r="CC219" s="204"/>
      <c r="CD219" s="204"/>
      <c r="CE219" s="204"/>
      <c r="CF219" s="204"/>
      <c r="CG219" s="204"/>
      <c r="CH219" s="204"/>
      <c r="CI219" s="204"/>
      <c r="CJ219" s="204"/>
      <c r="CK219" s="204"/>
      <c r="CL219" s="204"/>
      <c r="CM219" s="204"/>
      <c r="CN219" s="204"/>
      <c r="CO219" s="204"/>
      <c r="CP219" s="204"/>
      <c r="CQ219" s="204"/>
      <c r="CR219" s="204"/>
      <c r="CS219" s="204"/>
      <c r="CT219" s="204"/>
      <c r="CU219" s="204"/>
      <c r="CV219" s="204"/>
      <c r="CW219" s="204"/>
      <c r="CX219" s="204"/>
      <c r="CY219" s="204"/>
    </row>
    <row r="220" spans="1:103" ht="48" customHeight="1" x14ac:dyDescent="0.2">
      <c r="A220" s="1820"/>
      <c r="B220" s="1826"/>
      <c r="C220" s="418"/>
      <c r="D220" s="418"/>
      <c r="E220" s="195"/>
      <c r="F220" s="195"/>
      <c r="G220" s="195"/>
      <c r="H220" s="195"/>
      <c r="I220" s="195"/>
      <c r="J220" s="195"/>
      <c r="K220" s="195"/>
      <c r="L220" s="195"/>
      <c r="M220" s="195"/>
      <c r="N220" s="195"/>
      <c r="O220" s="195"/>
      <c r="P220" s="195"/>
      <c r="Q220" s="195"/>
      <c r="R220" s="195"/>
      <c r="S220" s="195"/>
      <c r="T220" s="418"/>
      <c r="U220" s="1830"/>
      <c r="V220" s="194" t="s">
        <v>1174</v>
      </c>
      <c r="W220" s="194">
        <v>0</v>
      </c>
      <c r="X220" s="1241" t="s">
        <v>1175</v>
      </c>
      <c r="Y220" s="220">
        <v>1</v>
      </c>
      <c r="Z220" s="274" t="s">
        <v>177</v>
      </c>
      <c r="AA220" s="274">
        <v>1</v>
      </c>
      <c r="AB220" s="274">
        <v>1</v>
      </c>
      <c r="AC220" s="424"/>
      <c r="AD220" s="424">
        <f>+AA220/Y220</f>
        <v>1</v>
      </c>
      <c r="AE220" s="424">
        <v>0.2</v>
      </c>
      <c r="AF220" s="199"/>
      <c r="AG220" s="199"/>
      <c r="AH220" s="199"/>
      <c r="AI220" s="196"/>
      <c r="AJ220" s="199"/>
      <c r="AK220" s="199"/>
      <c r="AL220" s="197"/>
      <c r="AM220" s="199"/>
      <c r="AN220" s="197"/>
      <c r="AO220" s="274">
        <v>1</v>
      </c>
      <c r="AP220" s="199">
        <v>0</v>
      </c>
      <c r="AQ220" s="199"/>
      <c r="AR220" s="199">
        <v>0.55000000000000004</v>
      </c>
      <c r="AS220" s="199"/>
      <c r="AT220" s="199">
        <v>0.25</v>
      </c>
      <c r="AU220" s="199"/>
      <c r="AV220" s="274">
        <v>0</v>
      </c>
      <c r="AW220" s="199"/>
      <c r="AX220" s="199">
        <f>+AR220+AT220</f>
        <v>0.8</v>
      </c>
      <c r="AY220" s="58">
        <f>AX220/AO220</f>
        <v>0.8</v>
      </c>
      <c r="AZ220" s="199">
        <f>AX220+AM220</f>
        <v>0.8</v>
      </c>
      <c r="BA220" s="218">
        <f>+AZ220/Y220</f>
        <v>0.8</v>
      </c>
      <c r="BB220" s="197">
        <v>0.2</v>
      </c>
      <c r="BC220" s="197">
        <v>0</v>
      </c>
      <c r="BD220" s="199"/>
      <c r="BE220" s="199">
        <v>0</v>
      </c>
      <c r="BF220" s="199"/>
      <c r="BG220" s="199">
        <v>0.1</v>
      </c>
      <c r="BH220" s="199" t="s">
        <v>2225</v>
      </c>
      <c r="BI220" s="199">
        <v>0.6</v>
      </c>
      <c r="BJ220" s="199"/>
      <c r="BK220" s="199">
        <f>+BG220+BI220</f>
        <v>0.7</v>
      </c>
      <c r="BL220" s="58">
        <v>1</v>
      </c>
      <c r="BM220" s="199">
        <v>1</v>
      </c>
      <c r="BN220" s="58">
        <v>1</v>
      </c>
      <c r="BO220" s="204"/>
      <c r="BP220" s="204"/>
      <c r="BQ220" s="204"/>
      <c r="BR220" s="204"/>
      <c r="BS220" s="204"/>
      <c r="BT220" s="204"/>
      <c r="BU220" s="204"/>
      <c r="BV220" s="204"/>
      <c r="BW220" s="204"/>
      <c r="BX220" s="204"/>
      <c r="BY220" s="204"/>
      <c r="BZ220" s="204"/>
      <c r="CA220" s="204"/>
      <c r="CB220" s="204"/>
      <c r="CC220" s="204"/>
      <c r="CD220" s="204"/>
      <c r="CE220" s="204"/>
      <c r="CF220" s="204"/>
      <c r="CG220" s="204"/>
      <c r="CH220" s="204"/>
      <c r="CI220" s="204"/>
      <c r="CJ220" s="204"/>
      <c r="CK220" s="204"/>
      <c r="CL220" s="204"/>
      <c r="CM220" s="204"/>
      <c r="CN220" s="204"/>
      <c r="CO220" s="204"/>
      <c r="CP220" s="204"/>
      <c r="CQ220" s="204"/>
      <c r="CR220" s="204"/>
      <c r="CS220" s="204"/>
      <c r="CT220" s="204"/>
      <c r="CU220" s="204"/>
      <c r="CV220" s="204"/>
      <c r="CW220" s="204"/>
      <c r="CX220" s="204"/>
      <c r="CY220" s="204"/>
    </row>
    <row r="221" spans="1:103" ht="50.25" customHeight="1" x14ac:dyDescent="0.2">
      <c r="A221" s="1820"/>
      <c r="B221" s="1826"/>
      <c r="C221" s="418"/>
      <c r="D221" s="418"/>
      <c r="E221" s="195"/>
      <c r="F221" s="195"/>
      <c r="G221" s="195"/>
      <c r="H221" s="195"/>
      <c r="I221" s="195"/>
      <c r="J221" s="195"/>
      <c r="K221" s="195"/>
      <c r="L221" s="195"/>
      <c r="M221" s="195"/>
      <c r="N221" s="195"/>
      <c r="O221" s="195"/>
      <c r="P221" s="195"/>
      <c r="Q221" s="195"/>
      <c r="R221" s="195"/>
      <c r="S221" s="195"/>
      <c r="T221" s="418"/>
      <c r="U221" s="1830"/>
      <c r="V221" s="194" t="s">
        <v>1176</v>
      </c>
      <c r="W221" s="194" t="s">
        <v>1177</v>
      </c>
      <c r="X221" s="1241" t="s">
        <v>1178</v>
      </c>
      <c r="Y221" s="220">
        <v>10</v>
      </c>
      <c r="Z221" s="274">
        <v>2</v>
      </c>
      <c r="AA221" s="274">
        <v>3</v>
      </c>
      <c r="AB221" s="274">
        <v>3</v>
      </c>
      <c r="AC221" s="424">
        <f>+Z221/Y221</f>
        <v>0.2</v>
      </c>
      <c r="AD221" s="424">
        <f>+AA221/Y221</f>
        <v>0.3</v>
      </c>
      <c r="AE221" s="424">
        <v>0.3</v>
      </c>
      <c r="AF221" s="199">
        <v>1</v>
      </c>
      <c r="AG221" s="199">
        <v>1</v>
      </c>
      <c r="AH221" s="199"/>
      <c r="AI221" s="196">
        <v>1</v>
      </c>
      <c r="AJ221" s="199"/>
      <c r="AK221" s="410">
        <f>+AI221</f>
        <v>1</v>
      </c>
      <c r="AL221" s="197">
        <f>+AK221/Z221</f>
        <v>0.5</v>
      </c>
      <c r="AM221" s="352">
        <f>+AK221</f>
        <v>1</v>
      </c>
      <c r="AN221" s="197">
        <f>+AM221/Y221</f>
        <v>0.1</v>
      </c>
      <c r="AO221" s="274">
        <v>3</v>
      </c>
      <c r="AP221" s="199">
        <v>1</v>
      </c>
      <c r="AQ221" s="199"/>
      <c r="AR221" s="199">
        <v>0</v>
      </c>
      <c r="AS221" s="199"/>
      <c r="AT221" s="199">
        <v>0</v>
      </c>
      <c r="AU221" s="199"/>
      <c r="AV221" s="274">
        <v>0</v>
      </c>
      <c r="AW221" s="199"/>
      <c r="AX221" s="199">
        <f>AP221</f>
        <v>1</v>
      </c>
      <c r="AY221" s="58">
        <f>AX221/AO221</f>
        <v>0.33333333333333331</v>
      </c>
      <c r="AZ221" s="352">
        <f>AX221+AM221</f>
        <v>2</v>
      </c>
      <c r="BA221" s="218">
        <f>AZ221/Y221</f>
        <v>0.2</v>
      </c>
      <c r="BB221" s="199">
        <v>3</v>
      </c>
      <c r="BC221" s="199">
        <v>0</v>
      </c>
      <c r="BD221" s="199"/>
      <c r="BE221" s="199">
        <v>2.2999999999999998</v>
      </c>
      <c r="BF221" s="199"/>
      <c r="BG221" s="199">
        <v>1.6</v>
      </c>
      <c r="BH221" s="199"/>
      <c r="BI221" s="199">
        <v>3.1</v>
      </c>
      <c r="BJ221" s="199"/>
      <c r="BK221" s="199">
        <f>+BE221+BG221+BI221</f>
        <v>7</v>
      </c>
      <c r="BL221" s="58">
        <v>1</v>
      </c>
      <c r="BM221" s="352">
        <f>BK221+AZ221</f>
        <v>9</v>
      </c>
      <c r="BN221" s="58">
        <f>BM221/Y221</f>
        <v>0.9</v>
      </c>
      <c r="BO221" s="204"/>
      <c r="BP221" s="204"/>
      <c r="BQ221" s="204"/>
      <c r="BR221" s="204"/>
      <c r="BS221" s="204"/>
      <c r="BT221" s="204"/>
      <c r="BU221" s="204"/>
      <c r="BV221" s="204"/>
      <c r="BW221" s="204"/>
      <c r="BX221" s="204"/>
      <c r="BY221" s="204"/>
      <c r="BZ221" s="204"/>
      <c r="CA221" s="204"/>
      <c r="CB221" s="204"/>
      <c r="CC221" s="204"/>
      <c r="CD221" s="204"/>
      <c r="CE221" s="204"/>
      <c r="CF221" s="204"/>
      <c r="CG221" s="204"/>
      <c r="CH221" s="204"/>
      <c r="CI221" s="204"/>
      <c r="CJ221" s="204"/>
      <c r="CK221" s="204"/>
      <c r="CL221" s="204"/>
      <c r="CM221" s="204"/>
      <c r="CN221" s="204"/>
      <c r="CO221" s="204"/>
      <c r="CP221" s="204"/>
      <c r="CQ221" s="204"/>
      <c r="CR221" s="204"/>
      <c r="CS221" s="204"/>
      <c r="CT221" s="204"/>
      <c r="CU221" s="204"/>
      <c r="CV221" s="204"/>
      <c r="CW221" s="204"/>
      <c r="CX221" s="204"/>
      <c r="CY221" s="204"/>
    </row>
    <row r="222" spans="1:103" ht="15.75" customHeight="1" x14ac:dyDescent="0.2">
      <c r="A222" s="1820"/>
      <c r="B222" s="1826"/>
      <c r="C222" s="418"/>
      <c r="D222" s="418"/>
      <c r="E222" s="195"/>
      <c r="F222" s="195"/>
      <c r="G222" s="195"/>
      <c r="H222" s="195"/>
      <c r="I222" s="195"/>
      <c r="J222" s="195"/>
      <c r="K222" s="195"/>
      <c r="L222" s="195"/>
      <c r="M222" s="195"/>
      <c r="N222" s="195"/>
      <c r="O222" s="195"/>
      <c r="P222" s="195"/>
      <c r="Q222" s="195"/>
      <c r="R222" s="195"/>
      <c r="S222" s="195"/>
      <c r="T222" s="418"/>
      <c r="U222" s="1831"/>
      <c r="V222" s="246"/>
      <c r="W222" s="246"/>
      <c r="X222" s="1454"/>
      <c r="Y222" s="246"/>
      <c r="Z222" s="247"/>
      <c r="AA222" s="247"/>
      <c r="AB222" s="247"/>
      <c r="AC222" s="252">
        <f>AVERAGE(AC217:AC221)</f>
        <v>0.2</v>
      </c>
      <c r="AD222" s="252">
        <f>AVERAGE(AD217:AD221)</f>
        <v>0.43999999999999995</v>
      </c>
      <c r="AE222" s="252">
        <f>AVERAGE(AE217:AE221)</f>
        <v>0.30000000000000004</v>
      </c>
      <c r="AF222" s="296"/>
      <c r="AG222" s="296"/>
      <c r="AH222" s="296"/>
      <c r="AI222" s="447"/>
      <c r="AJ222" s="296"/>
      <c r="AK222" s="296"/>
      <c r="AL222" s="252">
        <f>AVERAGE(AL217:AL221)</f>
        <v>0.49940566968691125</v>
      </c>
      <c r="AM222" s="296"/>
      <c r="AN222" s="295">
        <f>AVERAGE(AN217:AN221)</f>
        <v>0.2329395933014354</v>
      </c>
      <c r="AO222" s="247"/>
      <c r="AP222" s="199"/>
      <c r="AQ222" s="199"/>
      <c r="AR222" s="199"/>
      <c r="AS222" s="199"/>
      <c r="AT222" s="199"/>
      <c r="AU222" s="199"/>
      <c r="AV222" s="199"/>
      <c r="AW222" s="199"/>
      <c r="AX222" s="199"/>
      <c r="AY222" s="440">
        <f>AVERAGE(AY217:AY221)</f>
        <v>0.60227417204962574</v>
      </c>
      <c r="AZ222" s="440"/>
      <c r="BA222" s="441">
        <f>AVERAGE(BA217:BA221)</f>
        <v>0.55000000000000004</v>
      </c>
      <c r="BB222" s="195"/>
      <c r="BC222" s="195"/>
      <c r="BD222" s="195"/>
      <c r="BE222" s="195"/>
      <c r="BF222" s="195"/>
      <c r="BG222" s="195"/>
      <c r="BH222" s="195"/>
      <c r="BI222" s="195"/>
      <c r="BJ222" s="195"/>
      <c r="BK222" s="195"/>
      <c r="BL222" s="441">
        <f>AVERAGE(BL217:BL221)</f>
        <v>0.80225000000000013</v>
      </c>
      <c r="BM222" s="195"/>
      <c r="BN222" s="441">
        <f>AVERAGE(BN217:BN221)</f>
        <v>0.82000000000000006</v>
      </c>
      <c r="BO222" s="204"/>
      <c r="BP222" s="204"/>
      <c r="BQ222" s="204"/>
      <c r="BR222" s="204"/>
      <c r="BS222" s="204"/>
      <c r="BT222" s="204"/>
      <c r="BU222" s="204"/>
      <c r="BV222" s="204"/>
      <c r="BW222" s="204"/>
      <c r="BX222" s="204"/>
      <c r="BY222" s="204"/>
      <c r="BZ222" s="204"/>
      <c r="CA222" s="204"/>
      <c r="CB222" s="204"/>
      <c r="CC222" s="204"/>
      <c r="CD222" s="204"/>
      <c r="CE222" s="204"/>
      <c r="CF222" s="204"/>
      <c r="CG222" s="204"/>
      <c r="CH222" s="204"/>
      <c r="CI222" s="204"/>
      <c r="CJ222" s="204"/>
      <c r="CK222" s="204"/>
      <c r="CL222" s="204"/>
      <c r="CM222" s="204"/>
      <c r="CN222" s="204"/>
      <c r="CO222" s="204"/>
      <c r="CP222" s="204"/>
      <c r="CQ222" s="204"/>
      <c r="CR222" s="204"/>
      <c r="CS222" s="204"/>
      <c r="CT222" s="204"/>
      <c r="CU222" s="204"/>
      <c r="CV222" s="204"/>
      <c r="CW222" s="204"/>
      <c r="CX222" s="204"/>
      <c r="CY222" s="204"/>
    </row>
    <row r="223" spans="1:103" ht="46.5" customHeight="1" x14ac:dyDescent="0.2">
      <c r="A223" s="1820"/>
      <c r="B223" s="1826"/>
      <c r="C223" s="418"/>
      <c r="D223" s="418"/>
      <c r="E223" s="195"/>
      <c r="F223" s="195"/>
      <c r="G223" s="195"/>
      <c r="H223" s="195"/>
      <c r="I223" s="195"/>
      <c r="J223" s="195"/>
      <c r="K223" s="195"/>
      <c r="L223" s="195"/>
      <c r="M223" s="195"/>
      <c r="N223" s="195"/>
      <c r="O223" s="195"/>
      <c r="P223" s="195"/>
      <c r="Q223" s="195"/>
      <c r="R223" s="195"/>
      <c r="S223" s="195"/>
      <c r="T223" s="418"/>
      <c r="U223" s="1829" t="s">
        <v>1179</v>
      </c>
      <c r="V223" s="194" t="s">
        <v>1180</v>
      </c>
      <c r="W223" s="194">
        <v>0</v>
      </c>
      <c r="X223" s="1459" t="s">
        <v>1181</v>
      </c>
      <c r="Y223" s="220">
        <v>8800</v>
      </c>
      <c r="Z223" s="423">
        <v>2400</v>
      </c>
      <c r="AA223" s="423">
        <v>2400</v>
      </c>
      <c r="AB223" s="423">
        <v>2400</v>
      </c>
      <c r="AC223" s="424">
        <v>0.25</v>
      </c>
      <c r="AD223" s="424">
        <v>0.25</v>
      </c>
      <c r="AE223" s="424">
        <f>AB223/Y223</f>
        <v>0.27272727272727271</v>
      </c>
      <c r="AF223" s="423">
        <v>138</v>
      </c>
      <c r="AG223" s="423">
        <v>277</v>
      </c>
      <c r="AH223" s="199"/>
      <c r="AI223" s="196">
        <v>552</v>
      </c>
      <c r="AJ223" s="199"/>
      <c r="AK223" s="410">
        <f>+AI223</f>
        <v>552</v>
      </c>
      <c r="AL223" s="197">
        <f>+AK223/Z223</f>
        <v>0.23</v>
      </c>
      <c r="AM223" s="352">
        <f>+AK223</f>
        <v>552</v>
      </c>
      <c r="AN223" s="197">
        <f>+AM223/Y223</f>
        <v>6.2727272727272729E-2</v>
      </c>
      <c r="AO223" s="423">
        <v>2400</v>
      </c>
      <c r="AP223" s="199">
        <v>793</v>
      </c>
      <c r="AQ223" s="199"/>
      <c r="AR223" s="199">
        <v>2362</v>
      </c>
      <c r="AS223" s="199"/>
      <c r="AT223" s="199">
        <v>3764</v>
      </c>
      <c r="AU223" s="199"/>
      <c r="AV223" s="274">
        <v>6126</v>
      </c>
      <c r="AW223" s="199"/>
      <c r="AX223" s="199">
        <f>+AV223</f>
        <v>6126</v>
      </c>
      <c r="AY223" s="58">
        <v>1</v>
      </c>
      <c r="AZ223" s="352">
        <f>AX223+AM223</f>
        <v>6678</v>
      </c>
      <c r="BA223" s="218">
        <f>+AZ223/Y223</f>
        <v>0.75886363636363641</v>
      </c>
      <c r="BB223" s="196">
        <f>AB223</f>
        <v>2400</v>
      </c>
      <c r="BC223" s="199">
        <v>1125</v>
      </c>
      <c r="BD223" s="199"/>
      <c r="BE223" s="199">
        <v>1084</v>
      </c>
      <c r="BF223" s="199"/>
      <c r="BG223" s="199">
        <v>1306</v>
      </c>
      <c r="BH223" s="199"/>
      <c r="BI223" s="199">
        <v>810</v>
      </c>
      <c r="BJ223" s="199"/>
      <c r="BK223" s="199">
        <f>BC223+BE223+BI223+BG223</f>
        <v>4325</v>
      </c>
      <c r="BL223" s="58">
        <v>1</v>
      </c>
      <c r="BM223" s="352">
        <f>BK223+AZ223</f>
        <v>11003</v>
      </c>
      <c r="BN223" s="58">
        <v>1</v>
      </c>
      <c r="BO223" s="204"/>
      <c r="BP223" s="204"/>
      <c r="BQ223" s="204"/>
      <c r="BR223" s="204"/>
      <c r="BS223" s="204"/>
      <c r="BT223" s="204"/>
      <c r="BU223" s="204"/>
      <c r="BV223" s="204"/>
      <c r="BW223" s="204"/>
      <c r="BX223" s="204"/>
      <c r="BY223" s="204"/>
      <c r="BZ223" s="204"/>
      <c r="CA223" s="204"/>
      <c r="CB223" s="204"/>
      <c r="CC223" s="204"/>
      <c r="CD223" s="204"/>
      <c r="CE223" s="204"/>
      <c r="CF223" s="204"/>
      <c r="CG223" s="204"/>
      <c r="CH223" s="204"/>
      <c r="CI223" s="204"/>
      <c r="CJ223" s="204"/>
      <c r="CK223" s="204"/>
      <c r="CL223" s="204"/>
      <c r="CM223" s="204"/>
      <c r="CN223" s="204"/>
      <c r="CO223" s="204"/>
      <c r="CP223" s="204"/>
      <c r="CQ223" s="204"/>
      <c r="CR223" s="204"/>
      <c r="CS223" s="204"/>
      <c r="CT223" s="204"/>
      <c r="CU223" s="204"/>
      <c r="CV223" s="204"/>
      <c r="CW223" s="204"/>
      <c r="CX223" s="204"/>
      <c r="CY223" s="204"/>
    </row>
    <row r="224" spans="1:103" ht="51" customHeight="1" x14ac:dyDescent="0.2">
      <c r="A224" s="1820"/>
      <c r="B224" s="1826"/>
      <c r="C224" s="418"/>
      <c r="D224" s="418"/>
      <c r="E224" s="195"/>
      <c r="F224" s="195"/>
      <c r="G224" s="195"/>
      <c r="H224" s="195"/>
      <c r="I224" s="195"/>
      <c r="J224" s="195"/>
      <c r="K224" s="195"/>
      <c r="L224" s="195"/>
      <c r="M224" s="195"/>
      <c r="N224" s="195"/>
      <c r="O224" s="195"/>
      <c r="P224" s="195"/>
      <c r="Q224" s="195"/>
      <c r="R224" s="195"/>
      <c r="S224" s="195"/>
      <c r="T224" s="418"/>
      <c r="U224" s="1830"/>
      <c r="V224" s="194" t="s">
        <v>1182</v>
      </c>
      <c r="W224" s="194">
        <v>0</v>
      </c>
      <c r="X224" s="1459" t="s">
        <v>1183</v>
      </c>
      <c r="Y224" s="220">
        <v>209842</v>
      </c>
      <c r="Z224" s="448">
        <v>209842.40000000002</v>
      </c>
      <c r="AA224" s="448">
        <v>209842.40000000002</v>
      </c>
      <c r="AB224" s="448">
        <v>209842</v>
      </c>
      <c r="AC224" s="424">
        <v>0.25</v>
      </c>
      <c r="AD224" s="424">
        <v>0.25</v>
      </c>
      <c r="AE224" s="424">
        <v>0.25</v>
      </c>
      <c r="AF224" s="448">
        <v>2665</v>
      </c>
      <c r="AG224" s="448">
        <v>3602</v>
      </c>
      <c r="AH224" s="199"/>
      <c r="AI224" s="196">
        <v>7720</v>
      </c>
      <c r="AJ224" s="199"/>
      <c r="AK224" s="410">
        <f>+AI224</f>
        <v>7720</v>
      </c>
      <c r="AL224" s="197">
        <f>+AK224/Z224</f>
        <v>3.6789514416533546E-2</v>
      </c>
      <c r="AM224" s="352">
        <f>+AK224</f>
        <v>7720</v>
      </c>
      <c r="AN224" s="197">
        <f>+AM224/Y224</f>
        <v>3.6789584544562097E-2</v>
      </c>
      <c r="AO224" s="448">
        <v>209842.40000000002</v>
      </c>
      <c r="AP224" s="199">
        <v>3449</v>
      </c>
      <c r="AQ224" s="199"/>
      <c r="AR224" s="199">
        <v>12177</v>
      </c>
      <c r="AS224" s="199"/>
      <c r="AT224" s="281">
        <v>26506</v>
      </c>
      <c r="AU224" s="199"/>
      <c r="AV224" s="282">
        <v>42132</v>
      </c>
      <c r="AW224" s="199"/>
      <c r="AX224" s="281">
        <f>+AV224</f>
        <v>42132</v>
      </c>
      <c r="AY224" s="58">
        <v>1</v>
      </c>
      <c r="AZ224" s="352">
        <f>AX224+AM224</f>
        <v>49852</v>
      </c>
      <c r="BA224" s="218">
        <f>+AZ224/Y224</f>
        <v>0.23756921874553236</v>
      </c>
      <c r="BB224" s="892">
        <f>AB224</f>
        <v>209842</v>
      </c>
      <c r="BC224" s="199">
        <v>19824</v>
      </c>
      <c r="BD224" s="199"/>
      <c r="BE224" s="199">
        <v>25224</v>
      </c>
      <c r="BF224" s="199"/>
      <c r="BG224" s="199">
        <v>41881</v>
      </c>
      <c r="BH224" s="199"/>
      <c r="BI224" s="199">
        <v>249201</v>
      </c>
      <c r="BJ224" s="199"/>
      <c r="BK224" s="199">
        <f>+BE224+BC224+BG224+BI224</f>
        <v>336130</v>
      </c>
      <c r="BL224" s="58">
        <v>1</v>
      </c>
      <c r="BM224" s="352">
        <f>BK224+AZ224</f>
        <v>385982</v>
      </c>
      <c r="BN224" s="58">
        <v>1</v>
      </c>
      <c r="BO224" s="204"/>
      <c r="BP224" s="204"/>
      <c r="BQ224" s="204"/>
      <c r="BR224" s="204"/>
      <c r="BS224" s="204"/>
      <c r="BT224" s="204"/>
      <c r="BU224" s="204"/>
      <c r="BV224" s="204"/>
      <c r="BW224" s="204"/>
      <c r="BX224" s="204"/>
      <c r="BY224" s="204"/>
      <c r="BZ224" s="204"/>
      <c r="CA224" s="204"/>
      <c r="CB224" s="204"/>
      <c r="CC224" s="204"/>
      <c r="CD224" s="204"/>
      <c r="CE224" s="204"/>
      <c r="CF224" s="204"/>
      <c r="CG224" s="204"/>
      <c r="CH224" s="204"/>
      <c r="CI224" s="204"/>
      <c r="CJ224" s="204"/>
      <c r="CK224" s="204"/>
      <c r="CL224" s="204"/>
      <c r="CM224" s="204"/>
      <c r="CN224" s="204"/>
      <c r="CO224" s="204"/>
      <c r="CP224" s="204"/>
      <c r="CQ224" s="204"/>
      <c r="CR224" s="204"/>
      <c r="CS224" s="204"/>
      <c r="CT224" s="204"/>
      <c r="CU224" s="204"/>
      <c r="CV224" s="204"/>
      <c r="CW224" s="204"/>
      <c r="CX224" s="204"/>
      <c r="CY224" s="204"/>
    </row>
    <row r="225" spans="1:103" ht="58.5" customHeight="1" x14ac:dyDescent="0.2">
      <c r="A225" s="1820"/>
      <c r="B225" s="1826"/>
      <c r="C225" s="425"/>
      <c r="D225" s="425"/>
      <c r="E225" s="425"/>
      <c r="F225" s="425"/>
      <c r="G225" s="425"/>
      <c r="H225" s="425"/>
      <c r="I225" s="425"/>
      <c r="J225" s="425"/>
      <c r="K225" s="425"/>
      <c r="L225" s="425"/>
      <c r="M225" s="425"/>
      <c r="N225" s="425"/>
      <c r="O225" s="425"/>
      <c r="P225" s="425"/>
      <c r="Q225" s="425"/>
      <c r="R225" s="425"/>
      <c r="S225" s="425"/>
      <c r="T225" s="425"/>
      <c r="U225" s="1830"/>
      <c r="V225" s="220" t="s">
        <v>1184</v>
      </c>
      <c r="W225" s="220">
        <v>83</v>
      </c>
      <c r="X225" s="1459" t="s">
        <v>1185</v>
      </c>
      <c r="Y225" s="220">
        <f>110*4</f>
        <v>440</v>
      </c>
      <c r="Z225" s="448">
        <v>83</v>
      </c>
      <c r="AA225" s="448">
        <v>92</v>
      </c>
      <c r="AB225" s="448">
        <v>110</v>
      </c>
      <c r="AC225" s="424">
        <v>0.25</v>
      </c>
      <c r="AD225" s="424">
        <v>0.25</v>
      </c>
      <c r="AE225" s="424"/>
      <c r="AF225" s="448">
        <v>44</v>
      </c>
      <c r="AG225" s="448">
        <v>45</v>
      </c>
      <c r="AH225" s="274"/>
      <c r="AI225" s="205">
        <v>45</v>
      </c>
      <c r="AJ225" s="274"/>
      <c r="AK225" s="410">
        <f>+AI225</f>
        <v>45</v>
      </c>
      <c r="AL225" s="365">
        <f>+AK225/Z225</f>
        <v>0.54216867469879515</v>
      </c>
      <c r="AM225" s="410">
        <f>+AK225</f>
        <v>45</v>
      </c>
      <c r="AN225" s="365">
        <f>+AM225/Y225</f>
        <v>0.10227272727272728</v>
      </c>
      <c r="AO225" s="448">
        <v>92</v>
      </c>
      <c r="AP225" s="274">
        <v>71</v>
      </c>
      <c r="AQ225" s="274"/>
      <c r="AR225" s="274">
        <v>139</v>
      </c>
      <c r="AS225" s="274"/>
      <c r="AT225" s="274">
        <v>173</v>
      </c>
      <c r="AU225" s="274"/>
      <c r="AV225" s="274">
        <v>173</v>
      </c>
      <c r="AW225" s="274"/>
      <c r="AX225" s="274">
        <f>+AR225</f>
        <v>139</v>
      </c>
      <c r="AY225" s="405">
        <v>1</v>
      </c>
      <c r="AZ225" s="410">
        <f>AX225+AM225</f>
        <v>184</v>
      </c>
      <c r="BA225" s="297">
        <v>1</v>
      </c>
      <c r="BB225" s="199">
        <f>AB225</f>
        <v>110</v>
      </c>
      <c r="BC225" s="892">
        <v>171</v>
      </c>
      <c r="BD225" s="892"/>
      <c r="BE225" s="892">
        <v>212</v>
      </c>
      <c r="BF225" s="892"/>
      <c r="BG225" s="199">
        <v>11</v>
      </c>
      <c r="BH225" s="274"/>
      <c r="BI225" s="274">
        <v>4</v>
      </c>
      <c r="BJ225" s="274"/>
      <c r="BK225" s="1677">
        <f>+BE225+BG225+BI225</f>
        <v>227</v>
      </c>
      <c r="BL225" s="365">
        <v>1</v>
      </c>
      <c r="BM225" s="410">
        <f>BK225+AZ225</f>
        <v>411</v>
      </c>
      <c r="BN225" s="365">
        <v>1</v>
      </c>
      <c r="BO225" s="449"/>
      <c r="BP225" s="449"/>
      <c r="BQ225" s="449"/>
      <c r="BR225" s="449"/>
      <c r="BS225" s="449"/>
      <c r="BT225" s="449"/>
      <c r="BU225" s="449"/>
      <c r="BV225" s="449"/>
      <c r="BW225" s="449"/>
      <c r="BX225" s="449"/>
      <c r="BY225" s="449"/>
      <c r="BZ225" s="449"/>
      <c r="CA225" s="449"/>
      <c r="CB225" s="449"/>
      <c r="CC225" s="449"/>
      <c r="CD225" s="449"/>
      <c r="CE225" s="449"/>
      <c r="CF225" s="449"/>
      <c r="CG225" s="449"/>
      <c r="CH225" s="449"/>
      <c r="CI225" s="449"/>
      <c r="CJ225" s="449"/>
      <c r="CK225" s="449"/>
      <c r="CL225" s="449"/>
      <c r="CM225" s="449"/>
      <c r="CN225" s="449"/>
      <c r="CO225" s="449"/>
      <c r="CP225" s="449"/>
      <c r="CQ225" s="449"/>
      <c r="CR225" s="449"/>
      <c r="CS225" s="449"/>
      <c r="CT225" s="449"/>
      <c r="CU225" s="449"/>
      <c r="CV225" s="449"/>
      <c r="CW225" s="449"/>
      <c r="CX225" s="449"/>
      <c r="CY225" s="449"/>
    </row>
    <row r="226" spans="1:103" ht="49.5" customHeight="1" x14ac:dyDescent="0.2">
      <c r="A226" s="1820"/>
      <c r="B226" s="1826"/>
      <c r="C226" s="418"/>
      <c r="D226" s="418"/>
      <c r="E226" s="195"/>
      <c r="F226" s="195"/>
      <c r="G226" s="195"/>
      <c r="H226" s="195"/>
      <c r="I226" s="195"/>
      <c r="J226" s="195"/>
      <c r="K226" s="195"/>
      <c r="L226" s="195"/>
      <c r="M226" s="195"/>
      <c r="N226" s="195"/>
      <c r="O226" s="195"/>
      <c r="P226" s="195"/>
      <c r="Q226" s="195"/>
      <c r="R226" s="195"/>
      <c r="S226" s="195"/>
      <c r="T226" s="418"/>
      <c r="U226" s="1830"/>
      <c r="V226" s="194" t="s">
        <v>1186</v>
      </c>
      <c r="W226" s="194">
        <v>9</v>
      </c>
      <c r="X226" s="1459" t="s">
        <v>1187</v>
      </c>
      <c r="Y226" s="220">
        <v>10</v>
      </c>
      <c r="Z226" s="448">
        <v>1</v>
      </c>
      <c r="AA226" s="448">
        <v>3</v>
      </c>
      <c r="AB226" s="448">
        <v>3</v>
      </c>
      <c r="AC226" s="424">
        <f>+Z226/Y226</f>
        <v>0.1</v>
      </c>
      <c r="AD226" s="424">
        <f>+AA226/Y226</f>
        <v>0.3</v>
      </c>
      <c r="AE226" s="424">
        <v>0.3</v>
      </c>
      <c r="AF226" s="450">
        <v>0</v>
      </c>
      <c r="AG226" s="450">
        <v>2</v>
      </c>
      <c r="AH226" s="199"/>
      <c r="AI226" s="196">
        <v>2</v>
      </c>
      <c r="AJ226" s="199"/>
      <c r="AK226" s="410">
        <f>+AI226</f>
        <v>2</v>
      </c>
      <c r="AL226" s="197">
        <v>1</v>
      </c>
      <c r="AM226" s="352">
        <f>+AK226</f>
        <v>2</v>
      </c>
      <c r="AN226" s="197">
        <f>+AM226/Y226</f>
        <v>0.2</v>
      </c>
      <c r="AO226" s="448">
        <v>3</v>
      </c>
      <c r="AP226" s="199">
        <v>0</v>
      </c>
      <c r="AQ226" s="199"/>
      <c r="AR226" s="199">
        <v>0</v>
      </c>
      <c r="AS226" s="199"/>
      <c r="AT226" s="199">
        <v>0</v>
      </c>
      <c r="AU226" s="199"/>
      <c r="AV226" s="274">
        <v>0</v>
      </c>
      <c r="AW226" s="199"/>
      <c r="AX226" s="199">
        <f>AP226+AV226</f>
        <v>0</v>
      </c>
      <c r="AY226" s="58">
        <f>AX226/AO226</f>
        <v>0</v>
      </c>
      <c r="AZ226" s="352">
        <f>AX226+AM226</f>
        <v>2</v>
      </c>
      <c r="BA226" s="218">
        <f>AZ226/Y226</f>
        <v>0.2</v>
      </c>
      <c r="BB226" s="892">
        <f>AB226</f>
        <v>3</v>
      </c>
      <c r="BC226" s="199">
        <v>0</v>
      </c>
      <c r="BD226" s="199"/>
      <c r="BE226" s="199">
        <v>0</v>
      </c>
      <c r="BF226" s="199"/>
      <c r="BG226" s="199">
        <v>2</v>
      </c>
      <c r="BH226" s="199"/>
      <c r="BI226" s="199">
        <v>3</v>
      </c>
      <c r="BJ226" s="199"/>
      <c r="BK226" s="199">
        <f>+BG226+BI226</f>
        <v>5</v>
      </c>
      <c r="BL226" s="1227">
        <v>1</v>
      </c>
      <c r="BM226" s="352">
        <f>BK226+AZ226</f>
        <v>7</v>
      </c>
      <c r="BN226" s="58">
        <f>BM226/Y226</f>
        <v>0.7</v>
      </c>
      <c r="BO226" s="204"/>
      <c r="BP226" s="204"/>
      <c r="BQ226" s="204"/>
      <c r="BR226" s="204"/>
      <c r="BS226" s="204"/>
      <c r="BT226" s="204"/>
      <c r="BU226" s="204"/>
      <c r="BV226" s="204"/>
      <c r="BW226" s="204"/>
      <c r="BX226" s="204"/>
      <c r="BY226" s="204"/>
      <c r="BZ226" s="204"/>
      <c r="CA226" s="204"/>
      <c r="CB226" s="204"/>
      <c r="CC226" s="204"/>
      <c r="CD226" s="204"/>
      <c r="CE226" s="204"/>
      <c r="CF226" s="204"/>
      <c r="CG226" s="204"/>
      <c r="CH226" s="204"/>
      <c r="CI226" s="204"/>
      <c r="CJ226" s="204"/>
      <c r="CK226" s="204"/>
      <c r="CL226" s="204"/>
      <c r="CM226" s="204"/>
      <c r="CN226" s="204"/>
      <c r="CO226" s="204"/>
      <c r="CP226" s="204"/>
      <c r="CQ226" s="204"/>
      <c r="CR226" s="204"/>
      <c r="CS226" s="204"/>
      <c r="CT226" s="204"/>
      <c r="CU226" s="204"/>
      <c r="CV226" s="204"/>
      <c r="CW226" s="204"/>
      <c r="CX226" s="204"/>
      <c r="CY226" s="204"/>
    </row>
    <row r="227" spans="1:103" ht="15.75" customHeight="1" x14ac:dyDescent="0.2">
      <c r="A227" s="1820"/>
      <c r="B227" s="1826"/>
      <c r="C227" s="359"/>
      <c r="D227" s="359"/>
      <c r="E227" s="195"/>
      <c r="F227" s="195"/>
      <c r="G227" s="195"/>
      <c r="H227" s="195"/>
      <c r="I227" s="195"/>
      <c r="J227" s="195"/>
      <c r="K227" s="195"/>
      <c r="L227" s="195"/>
      <c r="M227" s="195"/>
      <c r="N227" s="195"/>
      <c r="O227" s="195"/>
      <c r="P227" s="195"/>
      <c r="Q227" s="195"/>
      <c r="R227" s="195"/>
      <c r="S227" s="195"/>
      <c r="T227" s="359"/>
      <c r="U227" s="1831"/>
      <c r="V227" s="246"/>
      <c r="W227" s="246"/>
      <c r="X227" s="1454"/>
      <c r="Y227" s="246"/>
      <c r="Z227" s="247"/>
      <c r="AA227" s="247"/>
      <c r="AB227" s="247"/>
      <c r="AC227" s="252">
        <f>AVERAGE(AC223:AC226)</f>
        <v>0.21249999999999999</v>
      </c>
      <c r="AD227" s="252">
        <f>AVERAGE(AD223:AD226)</f>
        <v>0.26250000000000001</v>
      </c>
      <c r="AE227" s="252">
        <f>AVERAGE(AE223:AE226)</f>
        <v>0.27424242424242423</v>
      </c>
      <c r="AF227" s="247"/>
      <c r="AG227" s="247"/>
      <c r="AH227" s="247"/>
      <c r="AI227" s="251"/>
      <c r="AJ227" s="247"/>
      <c r="AK227" s="247"/>
      <c r="AL227" s="252">
        <f>AVERAGE(AL223:AL226)</f>
        <v>0.4522395472788322</v>
      </c>
      <c r="AM227" s="296"/>
      <c r="AN227" s="252">
        <f>AVERAGE(AN223:AN226)</f>
        <v>0.10044739613614052</v>
      </c>
      <c r="AO227" s="247"/>
      <c r="AP227" s="247"/>
      <c r="AQ227" s="247"/>
      <c r="AR227" s="247"/>
      <c r="AS227" s="247"/>
      <c r="AT227" s="247"/>
      <c r="AU227" s="247"/>
      <c r="AV227" s="247"/>
      <c r="AW227" s="247"/>
      <c r="AX227" s="247"/>
      <c r="AY227" s="295">
        <f>AVERAGE(AY223:AY226)</f>
        <v>0.75</v>
      </c>
      <c r="AZ227" s="295"/>
      <c r="BA227" s="417">
        <f>AVERAGE(BA223:BA226)</f>
        <v>0.54910821377729224</v>
      </c>
      <c r="BB227" s="290"/>
      <c r="BC227" s="290"/>
      <c r="BD227" s="290"/>
      <c r="BE227" s="290"/>
      <c r="BF227" s="290"/>
      <c r="BG227" s="290"/>
      <c r="BH227" s="290"/>
      <c r="BI227" s="290"/>
      <c r="BJ227" s="290"/>
      <c r="BK227" s="290"/>
      <c r="BL227" s="417">
        <f>AVERAGE(BL223:BL226)</f>
        <v>1</v>
      </c>
      <c r="BM227" s="290"/>
      <c r="BN227" s="417">
        <f>AVERAGE(BN223:BN226)</f>
        <v>0.92500000000000004</v>
      </c>
      <c r="BO227" s="291"/>
      <c r="BP227" s="291"/>
      <c r="BQ227" s="291"/>
      <c r="BR227" s="291"/>
      <c r="BS227" s="291"/>
      <c r="BT227" s="291"/>
      <c r="BU227" s="291"/>
      <c r="BV227" s="291"/>
      <c r="BW227" s="291"/>
      <c r="BX227" s="291"/>
      <c r="BY227" s="291"/>
      <c r="BZ227" s="291"/>
      <c r="CA227" s="291"/>
      <c r="CB227" s="291"/>
      <c r="CC227" s="291"/>
      <c r="CD227" s="291"/>
      <c r="CE227" s="291"/>
      <c r="CF227" s="291"/>
      <c r="CG227" s="291"/>
      <c r="CH227" s="291"/>
      <c r="CI227" s="291"/>
      <c r="CJ227" s="291"/>
      <c r="CK227" s="291"/>
      <c r="CL227" s="291"/>
      <c r="CM227" s="291"/>
      <c r="CN227" s="291"/>
      <c r="CO227" s="291"/>
      <c r="CP227" s="291"/>
      <c r="CQ227" s="291"/>
      <c r="CR227" s="291"/>
      <c r="CS227" s="291"/>
      <c r="CT227" s="291"/>
      <c r="CU227" s="291"/>
      <c r="CV227" s="291"/>
      <c r="CW227" s="291"/>
      <c r="CX227" s="291"/>
      <c r="CY227" s="291"/>
    </row>
    <row r="228" spans="1:103" ht="15.75" customHeight="1" x14ac:dyDescent="0.2">
      <c r="A228" s="1820"/>
      <c r="B228" s="1827"/>
      <c r="C228" s="413"/>
      <c r="D228" s="413"/>
      <c r="E228" s="263"/>
      <c r="F228" s="263"/>
      <c r="G228" s="263"/>
      <c r="H228" s="263"/>
      <c r="I228" s="263"/>
      <c r="J228" s="263"/>
      <c r="K228" s="263"/>
      <c r="L228" s="263"/>
      <c r="M228" s="263"/>
      <c r="N228" s="263"/>
      <c r="O228" s="263"/>
      <c r="P228" s="263"/>
      <c r="Q228" s="263"/>
      <c r="R228" s="263"/>
      <c r="S228" s="263"/>
      <c r="T228" s="413"/>
      <c r="U228" s="192"/>
      <c r="V228" s="262"/>
      <c r="W228" s="262"/>
      <c r="X228" s="1460"/>
      <c r="Y228" s="262"/>
      <c r="Z228" s="264"/>
      <c r="AA228" s="264"/>
      <c r="AB228" s="264"/>
      <c r="AC228" s="265">
        <f>+(AC227+AC222+AC216+AC212+AC208+AC200)/5</f>
        <v>0.3082928779956427</v>
      </c>
      <c r="AD228" s="265">
        <f>+(AD227+AD222+AD216+AD212+AD208+AD200)/5</f>
        <v>0.40539255213196385</v>
      </c>
      <c r="AE228" s="265">
        <f>+(AE227+AE222+AE216+AE212+AE208+AE200+AE205)/7</f>
        <v>0.36521327936092562</v>
      </c>
      <c r="AF228" s="265"/>
      <c r="AG228" s="265"/>
      <c r="AH228" s="265"/>
      <c r="AI228" s="267"/>
      <c r="AJ228" s="265"/>
      <c r="AK228" s="265"/>
      <c r="AL228" s="265">
        <f>+(AL227+AL222+AL216+AL212+AL208+AL200)/5</f>
        <v>0.68992239045125181</v>
      </c>
      <c r="AM228" s="265"/>
      <c r="AN228" s="265">
        <f>+(AN227+AN222+AN216+AN212+AN208+AN200+AN205)/7</f>
        <v>0.32142756931687133</v>
      </c>
      <c r="AO228" s="264"/>
      <c r="AP228" s="413"/>
      <c r="AQ228" s="413"/>
      <c r="AR228" s="413"/>
      <c r="AS228" s="413"/>
      <c r="AT228" s="264"/>
      <c r="AU228" s="413"/>
      <c r="AV228" s="413"/>
      <c r="AW228" s="413"/>
      <c r="AX228" s="413"/>
      <c r="AY228" s="451">
        <f>+(AY227+AY222+AY216+AY212+AY208+AY200+AY205)/7</f>
        <v>0.64176709183023817</v>
      </c>
      <c r="AZ228" s="451"/>
      <c r="BA228" s="452">
        <f>+(BA227+BA222+BA216+BA212+BA208+BA200+BA205)/7</f>
        <v>0.61379859431740724</v>
      </c>
      <c r="BB228" s="263"/>
      <c r="BC228" s="263"/>
      <c r="BD228" s="263"/>
      <c r="BE228" s="263"/>
      <c r="BF228" s="263"/>
      <c r="BG228" s="263"/>
      <c r="BH228" s="263"/>
      <c r="BI228" s="263"/>
      <c r="BJ228" s="263"/>
      <c r="BK228" s="263"/>
      <c r="BL228" s="452">
        <f>+(BL227+BL222+BL216+BL212+BL208+BL200+BL205)/7</f>
        <v>0.94214999999999993</v>
      </c>
      <c r="BM228" s="263"/>
      <c r="BN228" s="452">
        <f>+(BN227+BN222+BN216+BN212+BN208+BN200+BN205)/7</f>
        <v>0.90119133652329642</v>
      </c>
      <c r="BO228" s="272"/>
      <c r="BP228" s="272"/>
      <c r="BQ228" s="272"/>
      <c r="BR228" s="272"/>
      <c r="BS228" s="272"/>
      <c r="BT228" s="272"/>
      <c r="BU228" s="272"/>
      <c r="BV228" s="272"/>
      <c r="BW228" s="272"/>
      <c r="BX228" s="272"/>
      <c r="BY228" s="272"/>
      <c r="BZ228" s="272"/>
      <c r="CA228" s="272"/>
      <c r="CB228" s="272"/>
      <c r="CC228" s="272"/>
      <c r="CD228" s="272"/>
      <c r="CE228" s="272"/>
      <c r="CF228" s="272"/>
      <c r="CG228" s="272"/>
      <c r="CH228" s="272"/>
      <c r="CI228" s="272"/>
      <c r="CJ228" s="272"/>
      <c r="CK228" s="272"/>
      <c r="CL228" s="272"/>
      <c r="CM228" s="272"/>
      <c r="CN228" s="272"/>
      <c r="CO228" s="272"/>
      <c r="CP228" s="272"/>
      <c r="CQ228" s="272"/>
      <c r="CR228" s="272"/>
      <c r="CS228" s="272"/>
      <c r="CT228" s="272"/>
      <c r="CU228" s="272"/>
      <c r="CV228" s="272"/>
      <c r="CW228" s="272"/>
      <c r="CX228" s="272"/>
      <c r="CY228" s="272"/>
    </row>
    <row r="229" spans="1:103" ht="108" customHeight="1" x14ac:dyDescent="0.2">
      <c r="A229" s="1820"/>
      <c r="B229" s="1828" t="s">
        <v>1188</v>
      </c>
      <c r="C229" s="343" t="s">
        <v>1189</v>
      </c>
      <c r="D229" s="194" t="s">
        <v>1190</v>
      </c>
      <c r="E229" s="195"/>
      <c r="F229" s="195"/>
      <c r="G229" s="195"/>
      <c r="H229" s="195"/>
      <c r="I229" s="195"/>
      <c r="J229" s="195"/>
      <c r="K229" s="195"/>
      <c r="L229" s="195"/>
      <c r="M229" s="195"/>
      <c r="N229" s="195"/>
      <c r="O229" s="195"/>
      <c r="P229" s="195"/>
      <c r="Q229" s="195"/>
      <c r="R229" s="195"/>
      <c r="S229" s="195"/>
      <c r="T229" s="343" t="s">
        <v>1191</v>
      </c>
      <c r="U229" s="1832" t="s">
        <v>1192</v>
      </c>
      <c r="V229" s="194" t="s">
        <v>1193</v>
      </c>
      <c r="W229" s="333" t="s">
        <v>1194</v>
      </c>
      <c r="X229" s="1241" t="s">
        <v>1195</v>
      </c>
      <c r="Y229" s="220">
        <v>402978</v>
      </c>
      <c r="Z229" s="199">
        <v>4482</v>
      </c>
      <c r="AA229" s="199">
        <v>132832</v>
      </c>
      <c r="AB229" s="199">
        <v>133778</v>
      </c>
      <c r="AC229" s="197">
        <f>+Z229/Y229</f>
        <v>1.1122195256316723E-2</v>
      </c>
      <c r="AD229" s="197">
        <f>+AA229/Y229</f>
        <v>0.3296259349145611</v>
      </c>
      <c r="AE229" s="197">
        <f>AB229/Y229</f>
        <v>0.33197345760810765</v>
      </c>
      <c r="AF229" s="199">
        <v>1118</v>
      </c>
      <c r="AG229" s="199">
        <v>2930</v>
      </c>
      <c r="AH229" s="199"/>
      <c r="AI229" s="196">
        <v>5680</v>
      </c>
      <c r="AJ229" s="199"/>
      <c r="AK229" s="410">
        <f>+AI229</f>
        <v>5680</v>
      </c>
      <c r="AL229" s="197">
        <v>1</v>
      </c>
      <c r="AM229" s="352">
        <v>0</v>
      </c>
      <c r="AN229" s="230">
        <f>+AM229/Y229</f>
        <v>0</v>
      </c>
      <c r="AO229" s="199">
        <v>132832</v>
      </c>
      <c r="AP229" s="199">
        <v>24506</v>
      </c>
      <c r="AQ229" s="199"/>
      <c r="AR229" s="281">
        <v>24864</v>
      </c>
      <c r="AS229" s="199"/>
      <c r="AT229" s="199">
        <v>28813</v>
      </c>
      <c r="AU229" s="199"/>
      <c r="AV229" s="199">
        <v>50461</v>
      </c>
      <c r="AW229" s="199"/>
      <c r="AX229" s="281">
        <f>AP229+AR229+AT229+AV229</f>
        <v>128644</v>
      </c>
      <c r="AY229" s="58">
        <f>AX229/AO229</f>
        <v>0.96847145266200918</v>
      </c>
      <c r="AZ229" s="352">
        <f>AX229+AM229</f>
        <v>128644</v>
      </c>
      <c r="BA229" s="218">
        <f>AZ229/Y229</f>
        <v>0.31923330802177785</v>
      </c>
      <c r="BB229" s="199">
        <f>AB229</f>
        <v>133778</v>
      </c>
      <c r="BC229" s="199">
        <v>5904</v>
      </c>
      <c r="BD229" s="199"/>
      <c r="BE229" s="199">
        <v>8892</v>
      </c>
      <c r="BF229" s="199"/>
      <c r="BG229" s="199">
        <v>10402</v>
      </c>
      <c r="BH229" s="199"/>
      <c r="BI229" s="199">
        <v>41266</v>
      </c>
      <c r="BJ229" s="199"/>
      <c r="BK229" s="199">
        <f>BC229+BE229+BG229+BI229</f>
        <v>66464</v>
      </c>
      <c r="BL229" s="58">
        <f>BK229/BB229</f>
        <v>0.49682309497824756</v>
      </c>
      <c r="BM229" s="352">
        <f>BK229+AZ229+6800-22</f>
        <v>201886</v>
      </c>
      <c r="BN229" s="58">
        <f>BM229/Y229</f>
        <v>0.50098516544327487</v>
      </c>
      <c r="BO229" s="204"/>
      <c r="BP229" s="204"/>
      <c r="BQ229" s="204"/>
      <c r="BR229" s="204"/>
      <c r="BS229" s="204"/>
      <c r="BT229" s="204"/>
      <c r="BU229" s="204"/>
      <c r="BV229" s="204"/>
      <c r="BW229" s="204"/>
      <c r="BX229" s="204"/>
      <c r="BY229" s="204"/>
      <c r="BZ229" s="204"/>
      <c r="CA229" s="204"/>
      <c r="CB229" s="204"/>
      <c r="CC229" s="204"/>
      <c r="CD229" s="204"/>
      <c r="CE229" s="204"/>
      <c r="CF229" s="204"/>
      <c r="CG229" s="204"/>
      <c r="CH229" s="204"/>
      <c r="CI229" s="204"/>
      <c r="CJ229" s="204"/>
      <c r="CK229" s="204"/>
      <c r="CL229" s="204"/>
      <c r="CM229" s="204"/>
      <c r="CN229" s="204"/>
      <c r="CO229" s="204"/>
      <c r="CP229" s="204"/>
      <c r="CQ229" s="204"/>
      <c r="CR229" s="204"/>
      <c r="CS229" s="204"/>
      <c r="CT229" s="204"/>
      <c r="CU229" s="204"/>
      <c r="CV229" s="204"/>
      <c r="CW229" s="204"/>
      <c r="CX229" s="204"/>
      <c r="CY229" s="204"/>
    </row>
    <row r="230" spans="1:103" ht="108" customHeight="1" x14ac:dyDescent="0.2">
      <c r="A230" s="1820"/>
      <c r="B230" s="1823"/>
      <c r="C230" s="343" t="s">
        <v>1196</v>
      </c>
      <c r="D230" s="453" t="s">
        <v>1197</v>
      </c>
      <c r="E230" s="195"/>
      <c r="F230" s="195"/>
      <c r="G230" s="195"/>
      <c r="H230" s="195"/>
      <c r="I230" s="195"/>
      <c r="J230" s="195"/>
      <c r="K230" s="195"/>
      <c r="L230" s="195"/>
      <c r="M230" s="195"/>
      <c r="N230" s="195"/>
      <c r="O230" s="195"/>
      <c r="P230" s="195"/>
      <c r="Q230" s="195"/>
      <c r="R230" s="195"/>
      <c r="S230" s="195"/>
      <c r="T230" s="343" t="s">
        <v>1198</v>
      </c>
      <c r="U230" s="1833"/>
      <c r="V230" s="194" t="s">
        <v>1199</v>
      </c>
      <c r="W230" s="194" t="s">
        <v>1200</v>
      </c>
      <c r="X230" s="1241" t="s">
        <v>1201</v>
      </c>
      <c r="Y230" s="220">
        <v>720</v>
      </c>
      <c r="Z230" s="199">
        <v>180</v>
      </c>
      <c r="AA230" s="199">
        <v>200</v>
      </c>
      <c r="AB230" s="199">
        <v>187</v>
      </c>
      <c r="AC230" s="197">
        <f>+Z230/Y230</f>
        <v>0.25</v>
      </c>
      <c r="AD230" s="197">
        <f>+AA230/Y230</f>
        <v>0.27777777777777779</v>
      </c>
      <c r="AE230" s="197">
        <f>AB230/Y230</f>
        <v>0.25972222222222224</v>
      </c>
      <c r="AF230" s="199">
        <v>14</v>
      </c>
      <c r="AG230" s="199">
        <v>30</v>
      </c>
      <c r="AH230" s="199"/>
      <c r="AI230" s="196">
        <v>160</v>
      </c>
      <c r="AJ230" s="199"/>
      <c r="AK230" s="410">
        <v>60</v>
      </c>
      <c r="AL230" s="197">
        <f>+AG230/Z230</f>
        <v>0.16666666666666666</v>
      </c>
      <c r="AM230" s="352">
        <v>60</v>
      </c>
      <c r="AN230" s="230">
        <f>+AM230/Y230</f>
        <v>8.3333333333333329E-2</v>
      </c>
      <c r="AO230" s="199">
        <v>200</v>
      </c>
      <c r="AP230" s="199">
        <v>50</v>
      </c>
      <c r="AQ230" s="199"/>
      <c r="AR230" s="199">
        <v>50</v>
      </c>
      <c r="AS230" s="199"/>
      <c r="AT230" s="199">
        <v>14</v>
      </c>
      <c r="AU230" s="199"/>
      <c r="AV230" s="199">
        <v>57</v>
      </c>
      <c r="AW230" s="199"/>
      <c r="AX230" s="281">
        <f>AP230+AR230+AT230+AV230</f>
        <v>171</v>
      </c>
      <c r="AY230" s="58">
        <f>AX230/AO230</f>
        <v>0.85499999999999998</v>
      </c>
      <c r="AZ230" s="352">
        <v>345</v>
      </c>
      <c r="BA230" s="218">
        <f>AZ230/Y230</f>
        <v>0.47916666666666669</v>
      </c>
      <c r="BB230" s="199">
        <f>AB230</f>
        <v>187</v>
      </c>
      <c r="BC230" s="199">
        <v>28</v>
      </c>
      <c r="BD230" s="199"/>
      <c r="BE230" s="199">
        <v>25</v>
      </c>
      <c r="BF230" s="199"/>
      <c r="BG230" s="199">
        <v>19</v>
      </c>
      <c r="BH230" s="199"/>
      <c r="BI230" s="199">
        <v>19</v>
      </c>
      <c r="BJ230" s="199"/>
      <c r="BK230" s="199">
        <f>+BC230+BE230+BG230+BI230</f>
        <v>91</v>
      </c>
      <c r="BL230" s="1228">
        <f>+BK230/BB230</f>
        <v>0.48663101604278075</v>
      </c>
      <c r="BM230" s="352">
        <f>+BK230+AZ230</f>
        <v>436</v>
      </c>
      <c r="BN230" s="58">
        <f>BM230/Y230</f>
        <v>0.60555555555555551</v>
      </c>
      <c r="BO230" s="204"/>
      <c r="BP230" s="204"/>
      <c r="BQ230" s="204"/>
      <c r="BR230" s="204"/>
      <c r="BS230" s="204"/>
      <c r="BT230" s="204"/>
      <c r="BU230" s="204"/>
      <c r="BV230" s="204"/>
      <c r="BW230" s="204"/>
      <c r="BX230" s="204"/>
      <c r="BY230" s="204"/>
      <c r="BZ230" s="204"/>
      <c r="CA230" s="204"/>
      <c r="CB230" s="204"/>
      <c r="CC230" s="204"/>
      <c r="CD230" s="204"/>
      <c r="CE230" s="204"/>
      <c r="CF230" s="204"/>
      <c r="CG230" s="204"/>
      <c r="CH230" s="204"/>
      <c r="CI230" s="204"/>
      <c r="CJ230" s="204"/>
      <c r="CK230" s="204"/>
      <c r="CL230" s="204"/>
      <c r="CM230" s="204"/>
      <c r="CN230" s="204"/>
      <c r="CO230" s="204"/>
      <c r="CP230" s="204"/>
      <c r="CQ230" s="204"/>
      <c r="CR230" s="204"/>
      <c r="CS230" s="204"/>
      <c r="CT230" s="204"/>
      <c r="CU230" s="204"/>
      <c r="CV230" s="204"/>
      <c r="CW230" s="204"/>
      <c r="CX230" s="204"/>
      <c r="CY230" s="204"/>
    </row>
    <row r="231" spans="1:103" ht="98.25" customHeight="1" x14ac:dyDescent="0.2">
      <c r="A231" s="1820"/>
      <c r="B231" s="1823"/>
      <c r="C231" s="343" t="s">
        <v>1202</v>
      </c>
      <c r="D231" s="194" t="s">
        <v>1203</v>
      </c>
      <c r="E231" s="195"/>
      <c r="F231" s="195"/>
      <c r="G231" s="195"/>
      <c r="H231" s="195"/>
      <c r="I231" s="195"/>
      <c r="J231" s="195"/>
      <c r="K231" s="195"/>
      <c r="L231" s="195"/>
      <c r="M231" s="195"/>
      <c r="N231" s="195"/>
      <c r="O231" s="195"/>
      <c r="P231" s="195"/>
      <c r="Q231" s="195"/>
      <c r="R231" s="195"/>
      <c r="S231" s="195"/>
      <c r="T231" s="343" t="s">
        <v>1204</v>
      </c>
      <c r="U231" s="1833"/>
      <c r="V231" s="194" t="s">
        <v>1205</v>
      </c>
      <c r="W231" s="194" t="s">
        <v>1206</v>
      </c>
      <c r="X231" s="1241" t="s">
        <v>1207</v>
      </c>
      <c r="Y231" s="220">
        <v>300</v>
      </c>
      <c r="Z231" s="199">
        <v>26</v>
      </c>
      <c r="AA231" s="199">
        <v>100</v>
      </c>
      <c r="AB231" s="199">
        <v>60</v>
      </c>
      <c r="AC231" s="197">
        <f>+Z231/Y231</f>
        <v>8.666666666666667E-2</v>
      </c>
      <c r="AD231" s="197">
        <f>+AA231/Y231</f>
        <v>0.33333333333333331</v>
      </c>
      <c r="AE231" s="197"/>
      <c r="AF231" s="199">
        <v>3</v>
      </c>
      <c r="AG231" s="199">
        <v>12</v>
      </c>
      <c r="AH231" s="199"/>
      <c r="AI231" s="196">
        <v>30</v>
      </c>
      <c r="AJ231" s="199"/>
      <c r="AK231" s="410">
        <f>+AI231</f>
        <v>30</v>
      </c>
      <c r="AL231" s="197">
        <v>1</v>
      </c>
      <c r="AM231" s="352">
        <f>+AK231</f>
        <v>30</v>
      </c>
      <c r="AN231" s="230">
        <f>+AM231/Y231</f>
        <v>0.1</v>
      </c>
      <c r="AO231" s="199">
        <v>100</v>
      </c>
      <c r="AP231" s="199">
        <v>100</v>
      </c>
      <c r="AQ231" s="239"/>
      <c r="AR231" s="199">
        <v>15</v>
      </c>
      <c r="AS231" s="239"/>
      <c r="AT231" s="199">
        <v>100</v>
      </c>
      <c r="AU231" s="239"/>
      <c r="AV231" s="199">
        <v>296</v>
      </c>
      <c r="AW231" s="239"/>
      <c r="AX231" s="281">
        <f>AP231+AR231+AT231+AV231</f>
        <v>511</v>
      </c>
      <c r="AY231" s="58">
        <v>1</v>
      </c>
      <c r="AZ231" s="352">
        <v>345</v>
      </c>
      <c r="BA231" s="218">
        <v>1</v>
      </c>
      <c r="BB231" s="199">
        <v>60</v>
      </c>
      <c r="BC231" s="199">
        <v>18</v>
      </c>
      <c r="BD231" s="199"/>
      <c r="BE231" s="199">
        <v>21</v>
      </c>
      <c r="BF231" s="199"/>
      <c r="BG231" s="199">
        <v>11</v>
      </c>
      <c r="BH231" s="199"/>
      <c r="BI231" s="199">
        <v>29</v>
      </c>
      <c r="BJ231" s="199"/>
      <c r="BK231" s="199">
        <f>18+BE231+BG231+BI231</f>
        <v>79</v>
      </c>
      <c r="BL231" s="58">
        <v>1</v>
      </c>
      <c r="BM231" s="352">
        <f>+AZ231+BK231+3</f>
        <v>427</v>
      </c>
      <c r="BN231" s="197">
        <v>1</v>
      </c>
      <c r="BO231" s="204"/>
      <c r="BP231" s="204"/>
      <c r="BQ231" s="204"/>
      <c r="BR231" s="204"/>
      <c r="BS231" s="204"/>
      <c r="BT231" s="204"/>
      <c r="BU231" s="204"/>
      <c r="BV231" s="204"/>
      <c r="BW231" s="204"/>
      <c r="BX231" s="204"/>
      <c r="BY231" s="204"/>
      <c r="BZ231" s="204"/>
      <c r="CA231" s="204"/>
      <c r="CB231" s="204"/>
      <c r="CC231" s="204"/>
      <c r="CD231" s="204"/>
      <c r="CE231" s="204"/>
      <c r="CF231" s="204"/>
      <c r="CG231" s="204"/>
      <c r="CH231" s="204"/>
      <c r="CI231" s="204"/>
      <c r="CJ231" s="204"/>
      <c r="CK231" s="204"/>
      <c r="CL231" s="204"/>
      <c r="CM231" s="204"/>
      <c r="CN231" s="204"/>
      <c r="CO231" s="204"/>
      <c r="CP231" s="204"/>
      <c r="CQ231" s="204"/>
      <c r="CR231" s="204"/>
      <c r="CS231" s="204"/>
      <c r="CT231" s="204"/>
      <c r="CU231" s="204"/>
      <c r="CV231" s="204"/>
      <c r="CW231" s="204"/>
      <c r="CX231" s="204"/>
      <c r="CY231" s="204"/>
    </row>
    <row r="232" spans="1:103" ht="15.75" customHeight="1" x14ac:dyDescent="0.2">
      <c r="A232" s="1820"/>
      <c r="B232" s="1823"/>
      <c r="C232" s="343"/>
      <c r="D232" s="194"/>
      <c r="E232" s="195"/>
      <c r="F232" s="195"/>
      <c r="G232" s="195"/>
      <c r="H232" s="195"/>
      <c r="I232" s="195"/>
      <c r="J232" s="195"/>
      <c r="K232" s="195"/>
      <c r="L232" s="195"/>
      <c r="M232" s="195"/>
      <c r="N232" s="195"/>
      <c r="O232" s="195"/>
      <c r="P232" s="195"/>
      <c r="Q232" s="195"/>
      <c r="R232" s="195"/>
      <c r="S232" s="195"/>
      <c r="T232" s="343"/>
      <c r="U232" s="1834"/>
      <c r="V232" s="246"/>
      <c r="W232" s="246"/>
      <c r="X232" s="1454"/>
      <c r="Y232" s="246"/>
      <c r="Z232" s="247"/>
      <c r="AA232" s="247"/>
      <c r="AB232" s="247"/>
      <c r="AC232" s="252">
        <f>AVERAGE(AC229:AC231)</f>
        <v>0.11592962064099448</v>
      </c>
      <c r="AD232" s="252">
        <f>AVERAGE(AD229:AD231)</f>
        <v>0.3135790153418907</v>
      </c>
      <c r="AE232" s="252">
        <f>AVERAGE(AE229:AE231)</f>
        <v>0.29584783991516495</v>
      </c>
      <c r="AF232" s="247"/>
      <c r="AG232" s="247"/>
      <c r="AH232" s="247"/>
      <c r="AI232" s="251"/>
      <c r="AJ232" s="247"/>
      <c r="AK232" s="247"/>
      <c r="AL232" s="295">
        <f>AVERAGE(AL229:AL231)</f>
        <v>0.72222222222222232</v>
      </c>
      <c r="AM232" s="295"/>
      <c r="AN232" s="295">
        <f>AVERAGE(AN229:AN231)</f>
        <v>6.1111111111111116E-2</v>
      </c>
      <c r="AO232" s="247"/>
      <c r="AP232" s="385"/>
      <c r="AQ232" s="385"/>
      <c r="AR232" s="385"/>
      <c r="AS232" s="385"/>
      <c r="AT232" s="247"/>
      <c r="AU232" s="385"/>
      <c r="AV232" s="385"/>
      <c r="AW232" s="385"/>
      <c r="AX232" s="385"/>
      <c r="AY232" s="454">
        <f>AVERAGE(AY229:AY231)</f>
        <v>0.94115715088733642</v>
      </c>
      <c r="AZ232" s="455"/>
      <c r="BA232" s="456">
        <f>AVERAGE(BA229:BA231)</f>
        <v>0.59946665822948153</v>
      </c>
      <c r="BB232" s="290"/>
      <c r="BC232" s="290"/>
      <c r="BD232" s="290"/>
      <c r="BE232" s="290"/>
      <c r="BF232" s="290"/>
      <c r="BG232" s="290"/>
      <c r="BH232" s="290"/>
      <c r="BI232" s="290"/>
      <c r="BJ232" s="290"/>
      <c r="BK232" s="290"/>
      <c r="BL232" s="214">
        <f>AVERAGE(BL229:BL231)</f>
        <v>0.66115137034034277</v>
      </c>
      <c r="BM232" s="290"/>
      <c r="BN232" s="214">
        <f>AVERAGE(BN229:BN231)</f>
        <v>0.70218024033294346</v>
      </c>
      <c r="BO232" s="291"/>
      <c r="BP232" s="291"/>
      <c r="BQ232" s="291"/>
      <c r="BR232" s="291"/>
      <c r="BS232" s="291"/>
      <c r="BT232" s="291"/>
      <c r="BU232" s="291"/>
      <c r="BV232" s="291"/>
      <c r="BW232" s="291"/>
      <c r="BX232" s="291"/>
      <c r="BY232" s="291"/>
      <c r="BZ232" s="291"/>
      <c r="CA232" s="291"/>
      <c r="CB232" s="291"/>
      <c r="CC232" s="291"/>
      <c r="CD232" s="291"/>
      <c r="CE232" s="291"/>
      <c r="CF232" s="291"/>
      <c r="CG232" s="291"/>
      <c r="CH232" s="291"/>
      <c r="CI232" s="291"/>
      <c r="CJ232" s="291"/>
      <c r="CK232" s="291"/>
      <c r="CL232" s="291"/>
      <c r="CM232" s="291"/>
      <c r="CN232" s="291"/>
      <c r="CO232" s="291"/>
      <c r="CP232" s="291"/>
      <c r="CQ232" s="291"/>
      <c r="CR232" s="291"/>
      <c r="CS232" s="291"/>
      <c r="CT232" s="291"/>
      <c r="CU232" s="291"/>
      <c r="CV232" s="291"/>
      <c r="CW232" s="291"/>
      <c r="CX232" s="291"/>
      <c r="CY232" s="291"/>
    </row>
    <row r="233" spans="1:103" ht="99" customHeight="1" x14ac:dyDescent="0.2">
      <c r="A233" s="1820"/>
      <c r="B233" s="1823"/>
      <c r="C233" s="346" t="s">
        <v>1208</v>
      </c>
      <c r="D233" s="326" t="s">
        <v>1209</v>
      </c>
      <c r="E233" s="195"/>
      <c r="F233" s="195"/>
      <c r="G233" s="195"/>
      <c r="H233" s="195"/>
      <c r="I233" s="195"/>
      <c r="J233" s="195"/>
      <c r="K233" s="195"/>
      <c r="L233" s="195"/>
      <c r="M233" s="195"/>
      <c r="N233" s="195"/>
      <c r="O233" s="195"/>
      <c r="P233" s="195"/>
      <c r="Q233" s="195"/>
      <c r="R233" s="195"/>
      <c r="S233" s="195"/>
      <c r="T233" s="346" t="s">
        <v>1210</v>
      </c>
      <c r="U233" s="1829" t="s">
        <v>1211</v>
      </c>
      <c r="V233" s="194" t="s">
        <v>1212</v>
      </c>
      <c r="W233" s="194" t="s">
        <v>1213</v>
      </c>
      <c r="X233" s="1241" t="s">
        <v>1214</v>
      </c>
      <c r="Y233" s="220">
        <v>53286</v>
      </c>
      <c r="Z233" s="199">
        <v>1770</v>
      </c>
      <c r="AA233" s="281">
        <v>20000</v>
      </c>
      <c r="AB233" s="281">
        <v>14886</v>
      </c>
      <c r="AC233" s="230">
        <f>+Z233/Y233</f>
        <v>3.3216980069811955E-2</v>
      </c>
      <c r="AD233" s="230">
        <f>+AA233/Y233</f>
        <v>0.37533310813346843</v>
      </c>
      <c r="AE233" s="230"/>
      <c r="AF233" s="199">
        <v>1073</v>
      </c>
      <c r="AG233" s="199">
        <v>1213</v>
      </c>
      <c r="AH233" s="199"/>
      <c r="AI233" s="196">
        <v>1213</v>
      </c>
      <c r="AJ233" s="199"/>
      <c r="AK233" s="410">
        <f>+AI233</f>
        <v>1213</v>
      </c>
      <c r="AL233" s="197">
        <v>1</v>
      </c>
      <c r="AM233" s="352">
        <f>+AK233</f>
        <v>1213</v>
      </c>
      <c r="AN233" s="197">
        <f>+AM233/Y233</f>
        <v>2.2763953008294861E-2</v>
      </c>
      <c r="AO233" s="281">
        <v>20000</v>
      </c>
      <c r="AP233" s="199">
        <v>6869</v>
      </c>
      <c r="AQ233" s="199"/>
      <c r="AR233" s="199">
        <v>13505</v>
      </c>
      <c r="AS233" s="199"/>
      <c r="AT233" s="199">
        <v>94</v>
      </c>
      <c r="AU233" s="199"/>
      <c r="AV233" s="199">
        <v>94</v>
      </c>
      <c r="AW233" s="199"/>
      <c r="AX233" s="199">
        <f>AP233+AR233+AT233</f>
        <v>20468</v>
      </c>
      <c r="AY233" s="58">
        <v>1</v>
      </c>
      <c r="AZ233" s="352">
        <f>AX233+AM233</f>
        <v>21681</v>
      </c>
      <c r="BA233" s="218">
        <f>AZ233/Y233</f>
        <v>0.40687985587208647</v>
      </c>
      <c r="BB233" s="199">
        <v>14886</v>
      </c>
      <c r="BC233" s="199">
        <v>0</v>
      </c>
      <c r="BD233" s="199"/>
      <c r="BE233" s="199">
        <v>30</v>
      </c>
      <c r="BF233" s="199"/>
      <c r="BG233" s="199">
        <v>198</v>
      </c>
      <c r="BH233" s="199"/>
      <c r="BI233" s="199">
        <v>3000</v>
      </c>
      <c r="BJ233" s="199"/>
      <c r="BK233" s="199">
        <f>+BE233+BG233+BI233</f>
        <v>3228</v>
      </c>
      <c r="BL233" s="58">
        <f>+BK233/BB233</f>
        <v>0.21684804514308748</v>
      </c>
      <c r="BM233" s="352">
        <f>AZ233+1833+BK233</f>
        <v>26742</v>
      </c>
      <c r="BN233" s="58">
        <f>BM233/Y233</f>
        <v>0.50185789888526067</v>
      </c>
      <c r="BO233" s="204"/>
      <c r="BP233" s="204"/>
      <c r="BQ233" s="204"/>
      <c r="BR233" s="204"/>
      <c r="BS233" s="204"/>
      <c r="BT233" s="204"/>
      <c r="BU233" s="204"/>
      <c r="BV233" s="204"/>
      <c r="BW233" s="204"/>
      <c r="BX233" s="204"/>
      <c r="BY233" s="204"/>
      <c r="BZ233" s="204"/>
      <c r="CA233" s="204"/>
      <c r="CB233" s="204"/>
      <c r="CC233" s="204"/>
      <c r="CD233" s="204"/>
      <c r="CE233" s="204"/>
      <c r="CF233" s="204"/>
      <c r="CG233" s="204"/>
      <c r="CH233" s="204"/>
      <c r="CI233" s="204"/>
      <c r="CJ233" s="204"/>
      <c r="CK233" s="204"/>
      <c r="CL233" s="204"/>
      <c r="CM233" s="204"/>
      <c r="CN233" s="204"/>
      <c r="CO233" s="204"/>
      <c r="CP233" s="204"/>
      <c r="CQ233" s="204"/>
      <c r="CR233" s="204"/>
      <c r="CS233" s="204"/>
      <c r="CT233" s="204"/>
      <c r="CU233" s="204"/>
      <c r="CV233" s="204"/>
      <c r="CW233" s="204"/>
      <c r="CX233" s="204"/>
      <c r="CY233" s="204"/>
    </row>
    <row r="234" spans="1:103" ht="86.25" customHeight="1" x14ac:dyDescent="0.2">
      <c r="A234" s="1820"/>
      <c r="B234" s="1823"/>
      <c r="C234" s="343" t="s">
        <v>1215</v>
      </c>
      <c r="D234" s="194" t="s">
        <v>1216</v>
      </c>
      <c r="E234" s="195"/>
      <c r="F234" s="195"/>
      <c r="G234" s="195"/>
      <c r="H234" s="195"/>
      <c r="I234" s="195"/>
      <c r="J234" s="195"/>
      <c r="K234" s="195"/>
      <c r="L234" s="195"/>
      <c r="M234" s="195"/>
      <c r="N234" s="195"/>
      <c r="O234" s="195"/>
      <c r="P234" s="195"/>
      <c r="Q234" s="195"/>
      <c r="R234" s="195"/>
      <c r="S234" s="195"/>
      <c r="T234" s="343" t="s">
        <v>1217</v>
      </c>
      <c r="U234" s="1830"/>
      <c r="V234" s="194" t="s">
        <v>1218</v>
      </c>
      <c r="W234" s="194" t="s">
        <v>1219</v>
      </c>
      <c r="X234" s="1241" t="s">
        <v>1220</v>
      </c>
      <c r="Y234" s="220">
        <v>240</v>
      </c>
      <c r="Z234" s="199">
        <v>30</v>
      </c>
      <c r="AA234" s="199">
        <v>30</v>
      </c>
      <c r="AB234" s="199">
        <v>80</v>
      </c>
      <c r="AC234" s="230">
        <f>+Z234/Y234</f>
        <v>0.125</v>
      </c>
      <c r="AD234" s="230">
        <f>+AA234/Y234</f>
        <v>0.125</v>
      </c>
      <c r="AE234" s="230"/>
      <c r="AF234" s="199">
        <v>113</v>
      </c>
      <c r="AG234" s="199">
        <v>201</v>
      </c>
      <c r="AH234" s="199"/>
      <c r="AI234" s="196">
        <v>201</v>
      </c>
      <c r="AJ234" s="199"/>
      <c r="AK234" s="410">
        <f>+AI234</f>
        <v>201</v>
      </c>
      <c r="AL234" s="197">
        <v>1</v>
      </c>
      <c r="AM234" s="352">
        <f>+AK234</f>
        <v>201</v>
      </c>
      <c r="AN234" s="197">
        <f>+AM234/Y234</f>
        <v>0.83750000000000002</v>
      </c>
      <c r="AO234" s="199">
        <v>30</v>
      </c>
      <c r="AP234" s="199">
        <v>11</v>
      </c>
      <c r="AQ234" s="199"/>
      <c r="AR234" s="199">
        <v>32</v>
      </c>
      <c r="AS234" s="199"/>
      <c r="AT234" s="199">
        <v>158</v>
      </c>
      <c r="AU234" s="199"/>
      <c r="AV234" s="199">
        <v>158</v>
      </c>
      <c r="AW234" s="199"/>
      <c r="AX234" s="199">
        <f>+AR234+AT234</f>
        <v>190</v>
      </c>
      <c r="AY234" s="58">
        <v>1</v>
      </c>
      <c r="AZ234" s="352">
        <f>AX234+AM234</f>
        <v>391</v>
      </c>
      <c r="BA234" s="218">
        <v>1</v>
      </c>
      <c r="BB234" s="199">
        <v>80</v>
      </c>
      <c r="BC234" s="199">
        <v>19</v>
      </c>
      <c r="BD234" s="199"/>
      <c r="BE234" s="199">
        <v>0</v>
      </c>
      <c r="BF234" s="199"/>
      <c r="BG234" s="199">
        <v>57</v>
      </c>
      <c r="BH234" s="199"/>
      <c r="BI234" s="199">
        <v>148</v>
      </c>
      <c r="BJ234" s="199"/>
      <c r="BK234" s="199">
        <f>+BC234+BG234+BI234</f>
        <v>224</v>
      </c>
      <c r="BL234" s="58">
        <v>1</v>
      </c>
      <c r="BM234" s="352">
        <f>BK234+AZ234+152</f>
        <v>767</v>
      </c>
      <c r="BN234" s="197">
        <v>1</v>
      </c>
      <c r="BO234" s="204"/>
      <c r="BP234" s="204"/>
      <c r="BQ234" s="204"/>
      <c r="BR234" s="204"/>
      <c r="BS234" s="204"/>
      <c r="BT234" s="204"/>
      <c r="BU234" s="204"/>
      <c r="BV234" s="204"/>
      <c r="BW234" s="204"/>
      <c r="BX234" s="204"/>
      <c r="BY234" s="204"/>
      <c r="BZ234" s="204"/>
      <c r="CA234" s="204"/>
      <c r="CB234" s="204"/>
      <c r="CC234" s="204"/>
      <c r="CD234" s="204"/>
      <c r="CE234" s="204"/>
      <c r="CF234" s="204"/>
      <c r="CG234" s="204"/>
      <c r="CH234" s="204"/>
      <c r="CI234" s="204"/>
      <c r="CJ234" s="204"/>
      <c r="CK234" s="204"/>
      <c r="CL234" s="204"/>
      <c r="CM234" s="204"/>
      <c r="CN234" s="204"/>
      <c r="CO234" s="204"/>
      <c r="CP234" s="204"/>
      <c r="CQ234" s="204"/>
      <c r="CR234" s="204"/>
      <c r="CS234" s="204"/>
      <c r="CT234" s="204"/>
      <c r="CU234" s="204"/>
      <c r="CV234" s="204"/>
      <c r="CW234" s="204"/>
      <c r="CX234" s="204"/>
      <c r="CY234" s="204"/>
    </row>
    <row r="235" spans="1:103" ht="74.25" customHeight="1" x14ac:dyDescent="0.2">
      <c r="A235" s="1820"/>
      <c r="B235" s="1823"/>
      <c r="C235" s="359"/>
      <c r="D235" s="359"/>
      <c r="E235" s="195"/>
      <c r="F235" s="195"/>
      <c r="G235" s="195"/>
      <c r="H235" s="195"/>
      <c r="I235" s="195"/>
      <c r="J235" s="195"/>
      <c r="K235" s="195"/>
      <c r="L235" s="195"/>
      <c r="M235" s="195"/>
      <c r="N235" s="195"/>
      <c r="O235" s="195"/>
      <c r="P235" s="195"/>
      <c r="Q235" s="195"/>
      <c r="R235" s="195"/>
      <c r="S235" s="195"/>
      <c r="T235" s="359"/>
      <c r="U235" s="1830"/>
      <c r="V235" s="194" t="s">
        <v>1221</v>
      </c>
      <c r="W235" s="194" t="s">
        <v>1222</v>
      </c>
      <c r="X235" s="1241" t="s">
        <v>1223</v>
      </c>
      <c r="Y235" s="220">
        <v>240</v>
      </c>
      <c r="Z235" s="199">
        <v>30</v>
      </c>
      <c r="AA235" s="199">
        <v>30</v>
      </c>
      <c r="AB235" s="199">
        <v>40</v>
      </c>
      <c r="AC235" s="230">
        <f>+Z235/Y235</f>
        <v>0.125</v>
      </c>
      <c r="AD235" s="230">
        <f>+AA235/Y235</f>
        <v>0.125</v>
      </c>
      <c r="AE235" s="230">
        <f>AB235/Y235</f>
        <v>0.16666666666666666</v>
      </c>
      <c r="AF235" s="199">
        <v>30</v>
      </c>
      <c r="AG235" s="199">
        <v>60</v>
      </c>
      <c r="AH235" s="199"/>
      <c r="AI235" s="196">
        <v>60</v>
      </c>
      <c r="AJ235" s="199"/>
      <c r="AK235" s="410">
        <f>+AI235</f>
        <v>60</v>
      </c>
      <c r="AL235" s="197">
        <v>1</v>
      </c>
      <c r="AM235" s="352">
        <f>+AK235</f>
        <v>60</v>
      </c>
      <c r="AN235" s="197">
        <f>+AM235/Y235</f>
        <v>0.25</v>
      </c>
      <c r="AO235" s="199">
        <v>30</v>
      </c>
      <c r="AP235" s="199">
        <v>0</v>
      </c>
      <c r="AQ235" s="199"/>
      <c r="AR235" s="199">
        <v>27</v>
      </c>
      <c r="AS235" s="199"/>
      <c r="AT235" s="199">
        <v>124</v>
      </c>
      <c r="AU235" s="199"/>
      <c r="AV235" s="199">
        <v>56</v>
      </c>
      <c r="AW235" s="199"/>
      <c r="AX235" s="199">
        <f>+AT235+AV235</f>
        <v>180</v>
      </c>
      <c r="AY235" s="58">
        <v>1</v>
      </c>
      <c r="AZ235" s="352">
        <f>AX235+AM235</f>
        <v>240</v>
      </c>
      <c r="BA235" s="218">
        <f>AZ235/Y235</f>
        <v>1</v>
      </c>
      <c r="BB235" s="199">
        <v>40</v>
      </c>
      <c r="BC235" s="199">
        <v>6</v>
      </c>
      <c r="BD235" s="199"/>
      <c r="BE235" s="199">
        <v>9</v>
      </c>
      <c r="BF235" s="199"/>
      <c r="BG235" s="199">
        <v>27</v>
      </c>
      <c r="BH235" s="199"/>
      <c r="BI235" s="199">
        <v>0</v>
      </c>
      <c r="BJ235" s="199"/>
      <c r="BK235" s="199">
        <f>+BC235+BE235+BG235</f>
        <v>42</v>
      </c>
      <c r="BL235" s="58">
        <v>1</v>
      </c>
      <c r="BM235" s="352">
        <f>BK235+AZ235+129</f>
        <v>411</v>
      </c>
      <c r="BN235" s="197">
        <v>1</v>
      </c>
      <c r="BO235" s="204"/>
      <c r="BP235" s="204"/>
      <c r="BQ235" s="204"/>
      <c r="BR235" s="204"/>
      <c r="BS235" s="204"/>
      <c r="BT235" s="204"/>
      <c r="BU235" s="204"/>
      <c r="BV235" s="204"/>
      <c r="BW235" s="204"/>
      <c r="BX235" s="204"/>
      <c r="BY235" s="204"/>
      <c r="BZ235" s="204"/>
      <c r="CA235" s="204"/>
      <c r="CB235" s="204"/>
      <c r="CC235" s="204"/>
      <c r="CD235" s="204"/>
      <c r="CE235" s="204"/>
      <c r="CF235" s="204"/>
      <c r="CG235" s="204"/>
      <c r="CH235" s="204"/>
      <c r="CI235" s="204"/>
      <c r="CJ235" s="204"/>
      <c r="CK235" s="204"/>
      <c r="CL235" s="204"/>
      <c r="CM235" s="204"/>
      <c r="CN235" s="204"/>
      <c r="CO235" s="204"/>
      <c r="CP235" s="204"/>
      <c r="CQ235" s="204"/>
      <c r="CR235" s="204"/>
      <c r="CS235" s="204"/>
      <c r="CT235" s="204"/>
      <c r="CU235" s="204"/>
      <c r="CV235" s="204"/>
      <c r="CW235" s="204"/>
      <c r="CX235" s="204"/>
      <c r="CY235" s="204"/>
    </row>
    <row r="236" spans="1:103" ht="124.5" customHeight="1" x14ac:dyDescent="0.2">
      <c r="A236" s="1820"/>
      <c r="B236" s="1823"/>
      <c r="C236" s="359"/>
      <c r="D236" s="359"/>
      <c r="E236" s="195"/>
      <c r="F236" s="195"/>
      <c r="G236" s="195"/>
      <c r="H236" s="195"/>
      <c r="I236" s="195"/>
      <c r="J236" s="195"/>
      <c r="K236" s="195"/>
      <c r="L236" s="195"/>
      <c r="M236" s="195"/>
      <c r="N236" s="195"/>
      <c r="O236" s="195"/>
      <c r="P236" s="195"/>
      <c r="Q236" s="195"/>
      <c r="R236" s="195"/>
      <c r="S236" s="195"/>
      <c r="T236" s="359"/>
      <c r="U236" s="1830"/>
      <c r="V236" s="194" t="s">
        <v>1224</v>
      </c>
      <c r="W236" s="194" t="s">
        <v>201</v>
      </c>
      <c r="X236" s="1241" t="s">
        <v>1225</v>
      </c>
      <c r="Y236" s="220">
        <v>12</v>
      </c>
      <c r="Z236" s="199">
        <v>1</v>
      </c>
      <c r="AA236" s="199">
        <v>5</v>
      </c>
      <c r="AB236" s="199">
        <v>4</v>
      </c>
      <c r="AC236" s="230">
        <f>+Z236/Y236</f>
        <v>8.3333333333333329E-2</v>
      </c>
      <c r="AD236" s="230">
        <f>+AA236/Y236</f>
        <v>0.41666666666666669</v>
      </c>
      <c r="AE236" s="230"/>
      <c r="AF236" s="199">
        <v>0</v>
      </c>
      <c r="AG236" s="199">
        <v>0</v>
      </c>
      <c r="AH236" s="199"/>
      <c r="AI236" s="196">
        <v>0</v>
      </c>
      <c r="AJ236" s="199"/>
      <c r="AK236" s="410">
        <f>+AI236</f>
        <v>0</v>
      </c>
      <c r="AL236" s="197">
        <f>+AK236/Z236</f>
        <v>0</v>
      </c>
      <c r="AM236" s="352">
        <f>+AK236</f>
        <v>0</v>
      </c>
      <c r="AN236" s="197">
        <f>+AM236/Y236</f>
        <v>0</v>
      </c>
      <c r="AO236" s="199">
        <v>5</v>
      </c>
      <c r="AP236" s="199">
        <v>2</v>
      </c>
      <c r="AQ236" s="199"/>
      <c r="AR236" s="199">
        <v>1</v>
      </c>
      <c r="AS236" s="199"/>
      <c r="AT236" s="199">
        <v>0</v>
      </c>
      <c r="AU236" s="199"/>
      <c r="AV236" s="199">
        <v>2</v>
      </c>
      <c r="AW236" s="199"/>
      <c r="AX236" s="199">
        <f>AP236+AR236+AV236</f>
        <v>5</v>
      </c>
      <c r="AY236" s="58">
        <f>AX236/AO236</f>
        <v>1</v>
      </c>
      <c r="AZ236" s="352">
        <f>AX236+AM236</f>
        <v>5</v>
      </c>
      <c r="BA236" s="218">
        <f>AZ236/Y236</f>
        <v>0.41666666666666669</v>
      </c>
      <c r="BB236" s="199">
        <v>4</v>
      </c>
      <c r="BC236" s="199">
        <v>0</v>
      </c>
      <c r="BD236" s="199"/>
      <c r="BE236" s="199">
        <v>0</v>
      </c>
      <c r="BF236" s="199"/>
      <c r="BG236" s="199">
        <v>0</v>
      </c>
      <c r="BH236" s="199"/>
      <c r="BI236" s="199">
        <v>2</v>
      </c>
      <c r="BJ236" s="199"/>
      <c r="BK236" s="199">
        <f>+BG236+BI236</f>
        <v>2</v>
      </c>
      <c r="BL236" s="58">
        <v>0.5</v>
      </c>
      <c r="BM236" s="352">
        <f>BK236+AZ236</f>
        <v>7</v>
      </c>
      <c r="BN236" s="58">
        <f>BM236/Y236</f>
        <v>0.58333333333333337</v>
      </c>
      <c r="BO236" s="204"/>
      <c r="BP236" s="204"/>
      <c r="BQ236" s="204"/>
      <c r="BR236" s="204"/>
      <c r="BS236" s="204"/>
      <c r="BT236" s="204"/>
      <c r="BU236" s="204"/>
      <c r="BV236" s="204"/>
      <c r="BW236" s="204"/>
      <c r="BX236" s="204"/>
      <c r="BY236" s="204"/>
      <c r="BZ236" s="204"/>
      <c r="CA236" s="204"/>
      <c r="CB236" s="204"/>
      <c r="CC236" s="204"/>
      <c r="CD236" s="204"/>
      <c r="CE236" s="204"/>
      <c r="CF236" s="204"/>
      <c r="CG236" s="204"/>
      <c r="CH236" s="204"/>
      <c r="CI236" s="204"/>
      <c r="CJ236" s="204"/>
      <c r="CK236" s="204"/>
      <c r="CL236" s="204"/>
      <c r="CM236" s="204"/>
      <c r="CN236" s="204"/>
      <c r="CO236" s="204"/>
      <c r="CP236" s="204"/>
      <c r="CQ236" s="204"/>
      <c r="CR236" s="204"/>
      <c r="CS236" s="204"/>
      <c r="CT236" s="204"/>
      <c r="CU236" s="204"/>
      <c r="CV236" s="204"/>
      <c r="CW236" s="204"/>
      <c r="CX236" s="204"/>
      <c r="CY236" s="204"/>
    </row>
    <row r="237" spans="1:103" ht="15.75" customHeight="1" x14ac:dyDescent="0.2">
      <c r="A237" s="1820"/>
      <c r="B237" s="1823"/>
      <c r="C237" s="359"/>
      <c r="D237" s="359"/>
      <c r="E237" s="195"/>
      <c r="F237" s="195"/>
      <c r="G237" s="195"/>
      <c r="H237" s="195"/>
      <c r="I237" s="195"/>
      <c r="J237" s="195"/>
      <c r="K237" s="195"/>
      <c r="L237" s="195"/>
      <c r="M237" s="195"/>
      <c r="N237" s="195"/>
      <c r="O237" s="195"/>
      <c r="P237" s="195"/>
      <c r="Q237" s="195"/>
      <c r="R237" s="195"/>
      <c r="S237" s="195"/>
      <c r="T237" s="359"/>
      <c r="U237" s="1831"/>
      <c r="V237" s="246"/>
      <c r="W237" s="246"/>
      <c r="X237" s="1454"/>
      <c r="Y237" s="246"/>
      <c r="Z237" s="247"/>
      <c r="AA237" s="247"/>
      <c r="AB237" s="247"/>
      <c r="AC237" s="253">
        <f>AVERAGE(AC233:AC236)</f>
        <v>9.1637578350786314E-2</v>
      </c>
      <c r="AD237" s="253">
        <f>AVERAGE(AD233:AD236)</f>
        <v>0.26049994370003376</v>
      </c>
      <c r="AE237" s="253">
        <f>AVERAGE(AE233:AE236)</f>
        <v>0.16666666666666666</v>
      </c>
      <c r="AF237" s="247"/>
      <c r="AG237" s="247"/>
      <c r="AH237" s="247"/>
      <c r="AI237" s="251"/>
      <c r="AJ237" s="247"/>
      <c r="AK237" s="247"/>
      <c r="AL237" s="252">
        <f>AVERAGE(AL233:AL236)</f>
        <v>0.75</v>
      </c>
      <c r="AM237" s="247"/>
      <c r="AN237" s="252">
        <f>AVERAGE(AN233:AN236)</f>
        <v>0.27756598825207368</v>
      </c>
      <c r="AO237" s="247"/>
      <c r="AP237" s="290"/>
      <c r="AQ237" s="290"/>
      <c r="AR237" s="290"/>
      <c r="AS237" s="290"/>
      <c r="AT237" s="247"/>
      <c r="AU237" s="290"/>
      <c r="AV237" s="290"/>
      <c r="AW237" s="290"/>
      <c r="AX237" s="290"/>
      <c r="AY237" s="252">
        <f>AVERAGE(AY233:AY236)</f>
        <v>1</v>
      </c>
      <c r="AZ237" s="247"/>
      <c r="BA237" s="397">
        <f>AVERAGE(BA233:BA236)</f>
        <v>0.70588663063468826</v>
      </c>
      <c r="BB237" s="290"/>
      <c r="BC237" s="290"/>
      <c r="BD237" s="290"/>
      <c r="BE237" s="290"/>
      <c r="BF237" s="290"/>
      <c r="BG237" s="290"/>
      <c r="BH237" s="290"/>
      <c r="BI237" s="290"/>
      <c r="BJ237" s="290"/>
      <c r="BK237" s="290"/>
      <c r="BL237" s="214">
        <f>AVERAGE(BL233:BL236)</f>
        <v>0.6792120112857718</v>
      </c>
      <c r="BM237" s="290"/>
      <c r="BN237" s="1169">
        <f>AVERAGE(BN233:BN236)</f>
        <v>0.77129780805464854</v>
      </c>
      <c r="BO237" s="291"/>
      <c r="BP237" s="291"/>
      <c r="BQ237" s="291"/>
      <c r="BR237" s="291"/>
      <c r="BS237" s="291"/>
      <c r="BT237" s="291"/>
      <c r="BU237" s="291"/>
      <c r="BV237" s="291"/>
      <c r="BW237" s="291"/>
      <c r="BX237" s="291"/>
      <c r="BY237" s="291"/>
      <c r="BZ237" s="291"/>
      <c r="CA237" s="291"/>
      <c r="CB237" s="291"/>
      <c r="CC237" s="291"/>
      <c r="CD237" s="291"/>
      <c r="CE237" s="291"/>
      <c r="CF237" s="291"/>
      <c r="CG237" s="291"/>
      <c r="CH237" s="291"/>
      <c r="CI237" s="291"/>
      <c r="CJ237" s="291"/>
      <c r="CK237" s="291"/>
      <c r="CL237" s="291"/>
      <c r="CM237" s="291"/>
      <c r="CN237" s="291"/>
      <c r="CO237" s="291"/>
      <c r="CP237" s="291"/>
      <c r="CQ237" s="291"/>
      <c r="CR237" s="291"/>
      <c r="CS237" s="291"/>
      <c r="CT237" s="291"/>
      <c r="CU237" s="291"/>
      <c r="CV237" s="291"/>
      <c r="CW237" s="291"/>
      <c r="CX237" s="291"/>
      <c r="CY237" s="291"/>
    </row>
    <row r="238" spans="1:103" ht="96" customHeight="1" x14ac:dyDescent="0.2">
      <c r="A238" s="1820"/>
      <c r="B238" s="1823"/>
      <c r="C238" s="359"/>
      <c r="D238" s="359"/>
      <c r="E238" s="195"/>
      <c r="F238" s="195"/>
      <c r="G238" s="195"/>
      <c r="H238" s="195"/>
      <c r="I238" s="195"/>
      <c r="J238" s="195"/>
      <c r="K238" s="195"/>
      <c r="L238" s="195"/>
      <c r="M238" s="195"/>
      <c r="N238" s="195"/>
      <c r="O238" s="195"/>
      <c r="P238" s="195"/>
      <c r="Q238" s="195"/>
      <c r="R238" s="195"/>
      <c r="S238" s="195"/>
      <c r="T238" s="359"/>
      <c r="U238" s="1829" t="s">
        <v>1226</v>
      </c>
      <c r="V238" s="194" t="s">
        <v>1227</v>
      </c>
      <c r="W238" s="194" t="s">
        <v>1228</v>
      </c>
      <c r="X238" s="1241" t="s">
        <v>1229</v>
      </c>
      <c r="Y238" s="220">
        <v>237</v>
      </c>
      <c r="Z238" s="199">
        <v>47</v>
      </c>
      <c r="AA238" s="199">
        <v>63</v>
      </c>
      <c r="AB238" s="199">
        <v>80</v>
      </c>
      <c r="AC238" s="197">
        <f>+Z238/Y238</f>
        <v>0.19831223628691982</v>
      </c>
      <c r="AD238" s="197">
        <f>+AA238/Y238</f>
        <v>0.26582278481012656</v>
      </c>
      <c r="AE238" s="197"/>
      <c r="AF238" s="199">
        <v>0</v>
      </c>
      <c r="AG238" s="199">
        <v>165</v>
      </c>
      <c r="AH238" s="199"/>
      <c r="AI238" s="196">
        <v>165</v>
      </c>
      <c r="AJ238" s="199"/>
      <c r="AK238" s="410">
        <f>+AI238</f>
        <v>165</v>
      </c>
      <c r="AL238" s="197">
        <v>1</v>
      </c>
      <c r="AM238" s="352">
        <f>+AK238</f>
        <v>165</v>
      </c>
      <c r="AN238" s="197">
        <f>+AM238/Y238</f>
        <v>0.69620253164556967</v>
      </c>
      <c r="AO238" s="199">
        <v>63</v>
      </c>
      <c r="AP238" s="199">
        <v>14</v>
      </c>
      <c r="AQ238" s="199"/>
      <c r="AR238" s="199">
        <v>15</v>
      </c>
      <c r="AS238" s="199"/>
      <c r="AT238" s="199">
        <v>27</v>
      </c>
      <c r="AU238" s="199"/>
      <c r="AV238" s="199">
        <v>141</v>
      </c>
      <c r="AW238" s="199"/>
      <c r="AX238" s="199">
        <f>AP238+AR238+AT238+AV238</f>
        <v>197</v>
      </c>
      <c r="AY238" s="58">
        <v>1</v>
      </c>
      <c r="AZ238" s="352">
        <f>AX238+AM238</f>
        <v>362</v>
      </c>
      <c r="BA238" s="218">
        <v>1</v>
      </c>
      <c r="BB238" s="199">
        <v>80</v>
      </c>
      <c r="BC238" s="199">
        <v>56</v>
      </c>
      <c r="BD238" s="199"/>
      <c r="BE238" s="199">
        <v>79</v>
      </c>
      <c r="BF238" s="199"/>
      <c r="BG238" s="199">
        <v>55</v>
      </c>
      <c r="BH238" s="199"/>
      <c r="BI238" s="1445">
        <v>111</v>
      </c>
      <c r="BJ238" s="1446"/>
      <c r="BK238" s="199">
        <f>56+BE238+BG238+BI238</f>
        <v>301</v>
      </c>
      <c r="BL238" s="58">
        <v>1</v>
      </c>
      <c r="BM238" s="352">
        <f>BK238+AZ238+221</f>
        <v>884</v>
      </c>
      <c r="BN238" s="197">
        <v>1</v>
      </c>
      <c r="BO238" s="204"/>
      <c r="BP238" s="204"/>
      <c r="BQ238" s="204"/>
      <c r="BR238" s="204"/>
      <c r="BS238" s="204"/>
      <c r="BT238" s="204"/>
      <c r="BU238" s="204"/>
      <c r="BV238" s="204"/>
      <c r="BW238" s="204"/>
      <c r="BX238" s="204"/>
      <c r="BY238" s="204"/>
      <c r="BZ238" s="204"/>
      <c r="CA238" s="204"/>
      <c r="CB238" s="204"/>
      <c r="CC238" s="204"/>
      <c r="CD238" s="204"/>
      <c r="CE238" s="204"/>
      <c r="CF238" s="204"/>
      <c r="CG238" s="204"/>
      <c r="CH238" s="204"/>
      <c r="CI238" s="204"/>
      <c r="CJ238" s="204"/>
      <c r="CK238" s="204"/>
      <c r="CL238" s="204"/>
      <c r="CM238" s="204"/>
      <c r="CN238" s="204"/>
      <c r="CO238" s="204"/>
      <c r="CP238" s="204"/>
      <c r="CQ238" s="204"/>
      <c r="CR238" s="204"/>
      <c r="CS238" s="204"/>
      <c r="CT238" s="204"/>
      <c r="CU238" s="204"/>
      <c r="CV238" s="204"/>
      <c r="CW238" s="204"/>
      <c r="CX238" s="204"/>
      <c r="CY238" s="204"/>
    </row>
    <row r="239" spans="1:103" ht="78" customHeight="1" x14ac:dyDescent="0.2">
      <c r="A239" s="1820"/>
      <c r="B239" s="1823"/>
      <c r="C239" s="359"/>
      <c r="D239" s="359"/>
      <c r="E239" s="195"/>
      <c r="F239" s="195"/>
      <c r="G239" s="195"/>
      <c r="H239" s="195"/>
      <c r="I239" s="195"/>
      <c r="J239" s="195"/>
      <c r="K239" s="195"/>
      <c r="L239" s="195"/>
      <c r="M239" s="195"/>
      <c r="N239" s="195"/>
      <c r="O239" s="195"/>
      <c r="P239" s="195"/>
      <c r="Q239" s="195"/>
      <c r="R239" s="195"/>
      <c r="S239" s="195"/>
      <c r="T239" s="359"/>
      <c r="U239" s="1830"/>
      <c r="V239" s="194" t="s">
        <v>1230</v>
      </c>
      <c r="W239" s="194" t="s">
        <v>1231</v>
      </c>
      <c r="X239" s="1241" t="s">
        <v>1232</v>
      </c>
      <c r="Y239" s="220">
        <v>16</v>
      </c>
      <c r="Z239" s="199">
        <v>3</v>
      </c>
      <c r="AA239" s="199">
        <v>4</v>
      </c>
      <c r="AB239" s="199">
        <v>15</v>
      </c>
      <c r="AC239" s="197">
        <f>+Z239/Y239</f>
        <v>0.1875</v>
      </c>
      <c r="AD239" s="197">
        <f>+AA239/Y239</f>
        <v>0.25</v>
      </c>
      <c r="AE239" s="197"/>
      <c r="AF239" s="199">
        <v>0</v>
      </c>
      <c r="AG239" s="199">
        <v>3</v>
      </c>
      <c r="AH239" s="199"/>
      <c r="AI239" s="196">
        <v>3</v>
      </c>
      <c r="AJ239" s="199"/>
      <c r="AK239" s="410">
        <f>+AI239</f>
        <v>3</v>
      </c>
      <c r="AL239" s="197">
        <f>+AK239/Z239</f>
        <v>1</v>
      </c>
      <c r="AM239" s="352">
        <f>+AK239</f>
        <v>3</v>
      </c>
      <c r="AN239" s="197">
        <f>+AM239/Y239</f>
        <v>0.1875</v>
      </c>
      <c r="AO239" s="199">
        <v>4</v>
      </c>
      <c r="AP239" s="199">
        <v>2</v>
      </c>
      <c r="AQ239" s="199"/>
      <c r="AR239" s="199">
        <v>11</v>
      </c>
      <c r="AS239" s="199"/>
      <c r="AT239" s="199">
        <v>11</v>
      </c>
      <c r="AU239" s="199"/>
      <c r="AV239" s="199">
        <v>3</v>
      </c>
      <c r="AW239" s="199"/>
      <c r="AX239" s="199">
        <f>AP239+AR239+AT239+AV239</f>
        <v>27</v>
      </c>
      <c r="AY239" s="58">
        <v>1</v>
      </c>
      <c r="AZ239" s="352">
        <f>AX239+AM239</f>
        <v>30</v>
      </c>
      <c r="BA239" s="218">
        <v>1</v>
      </c>
      <c r="BB239" s="199">
        <v>15</v>
      </c>
      <c r="BC239" s="199">
        <v>1</v>
      </c>
      <c r="BD239" s="199"/>
      <c r="BE239" s="199">
        <v>2</v>
      </c>
      <c r="BF239" s="199"/>
      <c r="BG239" s="199">
        <v>20</v>
      </c>
      <c r="BH239" s="199"/>
      <c r="BI239" s="199">
        <v>3</v>
      </c>
      <c r="BJ239" s="199"/>
      <c r="BK239" s="199">
        <f>1+BE239+BG239+BI239</f>
        <v>26</v>
      </c>
      <c r="BL239" s="58">
        <v>1</v>
      </c>
      <c r="BM239" s="352">
        <f>BK239+AZ239</f>
        <v>56</v>
      </c>
      <c r="BN239" s="197">
        <v>1</v>
      </c>
      <c r="BO239" s="204"/>
      <c r="BP239" s="204"/>
      <c r="BQ239" s="204"/>
      <c r="BR239" s="204"/>
      <c r="BS239" s="204"/>
      <c r="BT239" s="204"/>
      <c r="BU239" s="204"/>
      <c r="BV239" s="204"/>
      <c r="BW239" s="204"/>
      <c r="BX239" s="204"/>
      <c r="BY239" s="204"/>
      <c r="BZ239" s="204"/>
      <c r="CA239" s="204"/>
      <c r="CB239" s="204"/>
      <c r="CC239" s="204"/>
      <c r="CD239" s="204"/>
      <c r="CE239" s="204"/>
      <c r="CF239" s="204"/>
      <c r="CG239" s="204"/>
      <c r="CH239" s="204"/>
      <c r="CI239" s="204"/>
      <c r="CJ239" s="204"/>
      <c r="CK239" s="204"/>
      <c r="CL239" s="204"/>
      <c r="CM239" s="204"/>
      <c r="CN239" s="204"/>
      <c r="CO239" s="204"/>
      <c r="CP239" s="204"/>
      <c r="CQ239" s="204"/>
      <c r="CR239" s="204"/>
      <c r="CS239" s="204"/>
      <c r="CT239" s="204"/>
      <c r="CU239" s="204"/>
      <c r="CV239" s="204"/>
      <c r="CW239" s="204"/>
      <c r="CX239" s="204"/>
      <c r="CY239" s="204"/>
    </row>
    <row r="240" spans="1:103" ht="71.25" customHeight="1" x14ac:dyDescent="0.2">
      <c r="A240" s="1820"/>
      <c r="B240" s="1823"/>
      <c r="C240" s="359"/>
      <c r="D240" s="359"/>
      <c r="E240" s="195"/>
      <c r="F240" s="195"/>
      <c r="G240" s="195"/>
      <c r="H240" s="195"/>
      <c r="I240" s="195"/>
      <c r="J240" s="195"/>
      <c r="K240" s="195"/>
      <c r="L240" s="195"/>
      <c r="M240" s="195"/>
      <c r="N240" s="195"/>
      <c r="O240" s="195"/>
      <c r="P240" s="195"/>
      <c r="Q240" s="195"/>
      <c r="R240" s="195"/>
      <c r="S240" s="195"/>
      <c r="T240" s="359"/>
      <c r="U240" s="1830"/>
      <c r="V240" s="194" t="s">
        <v>1233</v>
      </c>
      <c r="W240" s="194" t="s">
        <v>201</v>
      </c>
      <c r="X240" s="1241" t="s">
        <v>1234</v>
      </c>
      <c r="Y240" s="220">
        <v>2</v>
      </c>
      <c r="Z240" s="199" t="s">
        <v>177</v>
      </c>
      <c r="AA240" s="199">
        <v>1</v>
      </c>
      <c r="AB240" s="199"/>
      <c r="AC240" s="197"/>
      <c r="AD240" s="197">
        <f>+AA240/Y240</f>
        <v>0.5</v>
      </c>
      <c r="AE240" s="197"/>
      <c r="AF240" s="199"/>
      <c r="AG240" s="199"/>
      <c r="AH240" s="199"/>
      <c r="AI240" s="196"/>
      <c r="AJ240" s="199"/>
      <c r="AK240" s="199"/>
      <c r="AL240" s="199"/>
      <c r="AM240" s="199"/>
      <c r="AN240" s="199"/>
      <c r="AO240" s="199">
        <v>1</v>
      </c>
      <c r="AP240" s="199">
        <v>0</v>
      </c>
      <c r="AQ240" s="199"/>
      <c r="AR240" s="199">
        <v>2</v>
      </c>
      <c r="AS240" s="199"/>
      <c r="AT240" s="199">
        <v>1</v>
      </c>
      <c r="AU240" s="199"/>
      <c r="AV240" s="199">
        <v>1</v>
      </c>
      <c r="AW240" s="199"/>
      <c r="AX240" s="199">
        <f>+AR240</f>
        <v>2</v>
      </c>
      <c r="AY240" s="58">
        <v>1</v>
      </c>
      <c r="AZ240" s="199">
        <f>AX240+AM240</f>
        <v>2</v>
      </c>
      <c r="BA240" s="218">
        <f>+AZ240/Y240</f>
        <v>1</v>
      </c>
      <c r="BB240" s="199">
        <v>4</v>
      </c>
      <c r="BC240" s="199"/>
      <c r="BD240" s="199"/>
      <c r="BE240" s="199">
        <v>4</v>
      </c>
      <c r="BF240" s="199"/>
      <c r="BG240" s="199">
        <v>0</v>
      </c>
      <c r="BH240" s="199"/>
      <c r="BI240" s="199">
        <v>0</v>
      </c>
      <c r="BJ240" s="199"/>
      <c r="BK240" s="199">
        <f>+BE240</f>
        <v>4</v>
      </c>
      <c r="BL240" s="1227">
        <f>+BK240/BB240</f>
        <v>1</v>
      </c>
      <c r="BM240" s="199">
        <f>2+BK240</f>
        <v>6</v>
      </c>
      <c r="BN240" s="58">
        <f>BA240</f>
        <v>1</v>
      </c>
      <c r="BO240" s="204"/>
      <c r="BP240" s="204"/>
      <c r="BQ240" s="204"/>
      <c r="BR240" s="204"/>
      <c r="BS240" s="204"/>
      <c r="BT240" s="204"/>
      <c r="BU240" s="204"/>
      <c r="BV240" s="204"/>
      <c r="BW240" s="204"/>
      <c r="BX240" s="204"/>
      <c r="BY240" s="204"/>
      <c r="BZ240" s="204"/>
      <c r="CA240" s="204"/>
      <c r="CB240" s="204"/>
      <c r="CC240" s="204"/>
      <c r="CD240" s="204"/>
      <c r="CE240" s="204"/>
      <c r="CF240" s="204"/>
      <c r="CG240" s="204"/>
      <c r="CH240" s="204"/>
      <c r="CI240" s="204"/>
      <c r="CJ240" s="204"/>
      <c r="CK240" s="204"/>
      <c r="CL240" s="204"/>
      <c r="CM240" s="204"/>
      <c r="CN240" s="204"/>
      <c r="CO240" s="204"/>
      <c r="CP240" s="204"/>
      <c r="CQ240" s="204"/>
      <c r="CR240" s="204"/>
      <c r="CS240" s="204"/>
      <c r="CT240" s="204"/>
      <c r="CU240" s="204"/>
      <c r="CV240" s="204"/>
      <c r="CW240" s="204"/>
      <c r="CX240" s="204"/>
      <c r="CY240" s="204"/>
    </row>
    <row r="241" spans="1:103" ht="15.75" customHeight="1" x14ac:dyDescent="0.2">
      <c r="A241" s="1820"/>
      <c r="B241" s="1823"/>
      <c r="C241" s="359"/>
      <c r="D241" s="359"/>
      <c r="E241" s="195"/>
      <c r="F241" s="195"/>
      <c r="G241" s="195"/>
      <c r="H241" s="195"/>
      <c r="I241" s="195"/>
      <c r="J241" s="195"/>
      <c r="K241" s="195"/>
      <c r="L241" s="195"/>
      <c r="M241" s="195"/>
      <c r="N241" s="195"/>
      <c r="O241" s="195"/>
      <c r="P241" s="195"/>
      <c r="Q241" s="195"/>
      <c r="R241" s="195"/>
      <c r="S241" s="195"/>
      <c r="T241" s="359"/>
      <c r="U241" s="1831"/>
      <c r="V241" s="246"/>
      <c r="W241" s="246"/>
      <c r="X241" s="1454"/>
      <c r="Y241" s="246"/>
      <c r="Z241" s="247"/>
      <c r="AA241" s="247"/>
      <c r="AB241" s="247"/>
      <c r="AC241" s="252">
        <f>AVERAGE(AC238:AC240)</f>
        <v>0.19290611814345993</v>
      </c>
      <c r="AD241" s="252">
        <f>AVERAGE(AD238:AD240)</f>
        <v>0.33860759493670889</v>
      </c>
      <c r="AE241" s="252">
        <v>0</v>
      </c>
      <c r="AF241" s="247"/>
      <c r="AG241" s="247"/>
      <c r="AH241" s="247"/>
      <c r="AI241" s="251"/>
      <c r="AJ241" s="247"/>
      <c r="AK241" s="247"/>
      <c r="AL241" s="252">
        <f>AVERAGE(AL238:AL240)</f>
        <v>1</v>
      </c>
      <c r="AM241" s="247"/>
      <c r="AN241" s="252">
        <f>AVERAGE(AN238:AN240)</f>
        <v>0.44185126582278483</v>
      </c>
      <c r="AO241" s="247"/>
      <c r="AP241" s="291"/>
      <c r="AQ241" s="291"/>
      <c r="AR241" s="291"/>
      <c r="AS241" s="291"/>
      <c r="AT241" s="299"/>
      <c r="AU241" s="291"/>
      <c r="AV241" s="291"/>
      <c r="AW241" s="291"/>
      <c r="AX241" s="291"/>
      <c r="AY241" s="300">
        <f>AVERAGE(AY238:AY240)</f>
        <v>1</v>
      </c>
      <c r="AZ241" s="457"/>
      <c r="BA241" s="300">
        <f>AVERAGE(BA238:BA240)</f>
        <v>1</v>
      </c>
      <c r="BB241" s="290"/>
      <c r="BC241" s="290"/>
      <c r="BD241" s="290"/>
      <c r="BE241" s="290"/>
      <c r="BF241" s="290"/>
      <c r="BG241" s="290"/>
      <c r="BH241" s="290"/>
      <c r="BI241" s="290"/>
      <c r="BJ241" s="290"/>
      <c r="BK241" s="290"/>
      <c r="BL241" s="1243">
        <f>AVERAGE(BL238:BL240)</f>
        <v>1</v>
      </c>
      <c r="BM241" s="1244"/>
      <c r="BN241" s="1245">
        <f>AVERAGE(BN238:BN240)</f>
        <v>1</v>
      </c>
      <c r="BO241" s="291"/>
      <c r="BP241" s="291"/>
      <c r="BQ241" s="291"/>
      <c r="BR241" s="291"/>
      <c r="BS241" s="291"/>
      <c r="BT241" s="291"/>
      <c r="BU241" s="291"/>
      <c r="BV241" s="291"/>
      <c r="BW241" s="291"/>
      <c r="BX241" s="291"/>
      <c r="BY241" s="291"/>
      <c r="BZ241" s="291"/>
      <c r="CA241" s="291"/>
      <c r="CB241" s="291"/>
      <c r="CC241" s="291"/>
      <c r="CD241" s="291"/>
      <c r="CE241" s="291"/>
      <c r="CF241" s="291"/>
      <c r="CG241" s="291"/>
      <c r="CH241" s="291"/>
      <c r="CI241" s="291"/>
      <c r="CJ241" s="291"/>
      <c r="CK241" s="291"/>
      <c r="CL241" s="291"/>
      <c r="CM241" s="291"/>
      <c r="CN241" s="291"/>
      <c r="CO241" s="291"/>
      <c r="CP241" s="291"/>
      <c r="CQ241" s="291"/>
      <c r="CR241" s="291"/>
      <c r="CS241" s="291"/>
      <c r="CT241" s="291"/>
      <c r="CU241" s="291"/>
      <c r="CV241" s="291"/>
      <c r="CW241" s="291"/>
      <c r="CX241" s="291"/>
      <c r="CY241" s="291"/>
    </row>
    <row r="242" spans="1:103" ht="65.25" customHeight="1" x14ac:dyDescent="0.2">
      <c r="A242" s="1820"/>
      <c r="B242" s="1823"/>
      <c r="C242" s="359"/>
      <c r="D242" s="359"/>
      <c r="E242" s="195"/>
      <c r="F242" s="195"/>
      <c r="G242" s="195"/>
      <c r="H242" s="195"/>
      <c r="I242" s="195"/>
      <c r="J242" s="195"/>
      <c r="K242" s="195"/>
      <c r="L242" s="195"/>
      <c r="M242" s="195"/>
      <c r="N242" s="195"/>
      <c r="O242" s="195"/>
      <c r="P242" s="195"/>
      <c r="Q242" s="195"/>
      <c r="R242" s="195"/>
      <c r="S242" s="195"/>
      <c r="T242" s="359"/>
      <c r="U242" s="1829" t="s">
        <v>1235</v>
      </c>
      <c r="V242" s="194" t="s">
        <v>1236</v>
      </c>
      <c r="W242" s="194" t="s">
        <v>1237</v>
      </c>
      <c r="X242" s="1459" t="s">
        <v>2255</v>
      </c>
      <c r="Y242" s="220">
        <v>127</v>
      </c>
      <c r="Z242" s="199">
        <v>20</v>
      </c>
      <c r="AA242" s="199">
        <v>36</v>
      </c>
      <c r="AB242" s="199">
        <v>60</v>
      </c>
      <c r="AC242" s="197">
        <f>+Z242/Y242</f>
        <v>0.15748031496062992</v>
      </c>
      <c r="AD242" s="197">
        <f>+AA242/Y242</f>
        <v>0.28346456692913385</v>
      </c>
      <c r="AE242" s="197"/>
      <c r="AF242" s="199"/>
      <c r="AG242" s="199">
        <v>20</v>
      </c>
      <c r="AH242" s="199"/>
      <c r="AI242" s="196">
        <v>20</v>
      </c>
      <c r="AJ242" s="199"/>
      <c r="AK242" s="410">
        <f>+AI242</f>
        <v>20</v>
      </c>
      <c r="AL242" s="197">
        <f>+AK242/Z242</f>
        <v>1</v>
      </c>
      <c r="AM242" s="352">
        <f>+AK242</f>
        <v>20</v>
      </c>
      <c r="AN242" s="197">
        <f>+AM242/Y242</f>
        <v>0.15748031496062992</v>
      </c>
      <c r="AO242" s="234">
        <v>36</v>
      </c>
      <c r="AP242" s="199">
        <v>6</v>
      </c>
      <c r="AQ242" s="199"/>
      <c r="AR242" s="199">
        <v>122</v>
      </c>
      <c r="AS242" s="199"/>
      <c r="AT242" s="199">
        <v>18</v>
      </c>
      <c r="AU242" s="199"/>
      <c r="AV242" s="199">
        <v>0</v>
      </c>
      <c r="AW242" s="199"/>
      <c r="AX242" s="199">
        <f>+AR242</f>
        <v>122</v>
      </c>
      <c r="AY242" s="458">
        <v>1</v>
      </c>
      <c r="AZ242" s="352">
        <f>AX242+AM242</f>
        <v>142</v>
      </c>
      <c r="BA242" s="218">
        <v>1</v>
      </c>
      <c r="BB242" s="199">
        <v>60</v>
      </c>
      <c r="BC242" s="199">
        <v>24</v>
      </c>
      <c r="BD242" s="199"/>
      <c r="BE242" s="199">
        <v>26</v>
      </c>
      <c r="BF242" s="199"/>
      <c r="BG242" s="199">
        <v>26</v>
      </c>
      <c r="BH242" s="199"/>
      <c r="BI242" s="199">
        <v>28</v>
      </c>
      <c r="BJ242" s="199"/>
      <c r="BK242" s="199">
        <f>24+BE242+BG242+BI242</f>
        <v>104</v>
      </c>
      <c r="BL242" s="58">
        <v>1</v>
      </c>
      <c r="BM242" s="352">
        <f>BK242+AZ242+147</f>
        <v>393</v>
      </c>
      <c r="BN242" s="197">
        <v>1</v>
      </c>
      <c r="BO242" s="204"/>
      <c r="BP242" s="204"/>
      <c r="BQ242" s="204"/>
      <c r="BR242" s="204"/>
      <c r="BS242" s="204"/>
      <c r="BT242" s="204"/>
      <c r="BU242" s="204"/>
      <c r="BV242" s="204"/>
      <c r="BW242" s="204"/>
      <c r="BX242" s="204"/>
      <c r="BY242" s="204"/>
      <c r="BZ242" s="204"/>
      <c r="CA242" s="204"/>
      <c r="CB242" s="204"/>
      <c r="CC242" s="204"/>
      <c r="CD242" s="204"/>
      <c r="CE242" s="204"/>
      <c r="CF242" s="204"/>
      <c r="CG242" s="204"/>
      <c r="CH242" s="204"/>
      <c r="CI242" s="204"/>
      <c r="CJ242" s="204"/>
      <c r="CK242" s="204"/>
      <c r="CL242" s="204"/>
      <c r="CM242" s="204"/>
      <c r="CN242" s="204"/>
      <c r="CO242" s="204"/>
      <c r="CP242" s="204"/>
      <c r="CQ242" s="204"/>
      <c r="CR242" s="204"/>
      <c r="CS242" s="204"/>
      <c r="CT242" s="204"/>
      <c r="CU242" s="204"/>
      <c r="CV242" s="204"/>
      <c r="CW242" s="204"/>
      <c r="CX242" s="204"/>
      <c r="CY242" s="204"/>
    </row>
    <row r="243" spans="1:103" ht="92.25" customHeight="1" x14ac:dyDescent="0.2">
      <c r="A243" s="1820"/>
      <c r="B243" s="1823"/>
      <c r="C243" s="359"/>
      <c r="D243" s="359"/>
      <c r="E243" s="195"/>
      <c r="F243" s="195"/>
      <c r="G243" s="195"/>
      <c r="H243" s="195"/>
      <c r="I243" s="195"/>
      <c r="J243" s="195"/>
      <c r="K243" s="195"/>
      <c r="L243" s="195"/>
      <c r="M243" s="195"/>
      <c r="N243" s="195"/>
      <c r="O243" s="195"/>
      <c r="P243" s="195"/>
      <c r="Q243" s="195"/>
      <c r="R243" s="195"/>
      <c r="S243" s="195"/>
      <c r="T243" s="359"/>
      <c r="U243" s="1830"/>
      <c r="V243" s="194" t="s">
        <v>1238</v>
      </c>
      <c r="W243" s="194" t="s">
        <v>1239</v>
      </c>
      <c r="X243" s="1459" t="s">
        <v>1240</v>
      </c>
      <c r="Y243" s="220">
        <v>1767</v>
      </c>
      <c r="Z243" s="199">
        <v>100</v>
      </c>
      <c r="AA243" s="199">
        <v>555</v>
      </c>
      <c r="AB243" s="199">
        <v>450</v>
      </c>
      <c r="AC243" s="197">
        <f>+Z243/Y243</f>
        <v>5.6593095642331635E-2</v>
      </c>
      <c r="AD243" s="197">
        <f>+AA243/Y243</f>
        <v>0.3140916808149406</v>
      </c>
      <c r="AE243" s="197"/>
      <c r="AF243" s="199">
        <v>100</v>
      </c>
      <c r="AG243" s="199">
        <v>105</v>
      </c>
      <c r="AH243" s="199"/>
      <c r="AI243" s="196">
        <v>115</v>
      </c>
      <c r="AJ243" s="199"/>
      <c r="AK243" s="410">
        <f>+AI243</f>
        <v>115</v>
      </c>
      <c r="AL243" s="197">
        <v>1</v>
      </c>
      <c r="AM243" s="352">
        <f>+AK243</f>
        <v>115</v>
      </c>
      <c r="AN243" s="197">
        <f>+AM243/Y243</f>
        <v>6.5082059988681384E-2</v>
      </c>
      <c r="AO243" s="234">
        <v>555</v>
      </c>
      <c r="AP243" s="199">
        <v>280</v>
      </c>
      <c r="AQ243" s="199"/>
      <c r="AR243" s="199">
        <v>422</v>
      </c>
      <c r="AS243" s="199"/>
      <c r="AT243" s="199">
        <v>422</v>
      </c>
      <c r="AU243" s="199"/>
      <c r="AV243" s="276">
        <v>422</v>
      </c>
      <c r="AW243" s="199"/>
      <c r="AX243" s="199">
        <f>+AR243</f>
        <v>422</v>
      </c>
      <c r="AY243" s="459">
        <f>AX243/AO243</f>
        <v>0.76036036036036037</v>
      </c>
      <c r="AZ243" s="352">
        <f>AX243+AM243</f>
        <v>537</v>
      </c>
      <c r="BA243" s="218">
        <f>AZ243/Y243</f>
        <v>0.30390492359932086</v>
      </c>
      <c r="BB243" s="199">
        <f>AB243</f>
        <v>450</v>
      </c>
      <c r="BC243" s="199">
        <v>850</v>
      </c>
      <c r="BD243" s="199"/>
      <c r="BE243" s="199">
        <v>25</v>
      </c>
      <c r="BF243" s="199"/>
      <c r="BG243" s="199">
        <v>315</v>
      </c>
      <c r="BH243" s="199"/>
      <c r="BI243" s="199">
        <v>17</v>
      </c>
      <c r="BJ243" s="199"/>
      <c r="BK243" s="199">
        <f>BC243+BE243+BG243+BI243</f>
        <v>1207</v>
      </c>
      <c r="BL243" s="58">
        <f>100%</f>
        <v>1</v>
      </c>
      <c r="BM243" s="352">
        <f>BK243+AZ243+1224</f>
        <v>2968</v>
      </c>
      <c r="BN243" s="58">
        <v>1</v>
      </c>
      <c r="BO243" s="204"/>
      <c r="BP243" s="204"/>
      <c r="BQ243" s="204"/>
      <c r="BR243" s="204"/>
      <c r="BS243" s="204"/>
      <c r="BT243" s="204"/>
      <c r="BU243" s="204"/>
      <c r="BV243" s="204"/>
      <c r="BW243" s="204"/>
      <c r="BX243" s="204"/>
      <c r="BY243" s="204"/>
      <c r="BZ243" s="204"/>
      <c r="CA243" s="204"/>
      <c r="CB243" s="204"/>
      <c r="CC243" s="204"/>
      <c r="CD243" s="204"/>
      <c r="CE243" s="204"/>
      <c r="CF243" s="204"/>
      <c r="CG243" s="204"/>
      <c r="CH243" s="204"/>
      <c r="CI243" s="204"/>
      <c r="CJ243" s="204"/>
      <c r="CK243" s="204"/>
      <c r="CL243" s="204"/>
      <c r="CM243" s="204"/>
      <c r="CN243" s="204"/>
      <c r="CO243" s="204"/>
      <c r="CP243" s="204"/>
      <c r="CQ243" s="204"/>
      <c r="CR243" s="204"/>
      <c r="CS243" s="204"/>
      <c r="CT243" s="204"/>
      <c r="CU243" s="204"/>
      <c r="CV243" s="204"/>
      <c r="CW243" s="204"/>
      <c r="CX243" s="204"/>
      <c r="CY243" s="204"/>
    </row>
    <row r="244" spans="1:103" ht="100.5" customHeight="1" x14ac:dyDescent="0.2">
      <c r="A244" s="1820"/>
      <c r="B244" s="1823"/>
      <c r="C244" s="359"/>
      <c r="D244" s="359"/>
      <c r="E244" s="195"/>
      <c r="F244" s="195"/>
      <c r="G244" s="195"/>
      <c r="H244" s="195"/>
      <c r="I244" s="195"/>
      <c r="J244" s="195"/>
      <c r="K244" s="195"/>
      <c r="L244" s="195"/>
      <c r="M244" s="195"/>
      <c r="N244" s="195"/>
      <c r="O244" s="195"/>
      <c r="P244" s="195"/>
      <c r="Q244" s="195"/>
      <c r="R244" s="195"/>
      <c r="S244" s="195"/>
      <c r="T244" s="359"/>
      <c r="U244" s="1830"/>
      <c r="V244" s="194" t="s">
        <v>1241</v>
      </c>
      <c r="W244" s="194">
        <v>20</v>
      </c>
      <c r="X244" s="1459" t="s">
        <v>1242</v>
      </c>
      <c r="Y244" s="220">
        <v>30</v>
      </c>
      <c r="Z244" s="199">
        <v>2</v>
      </c>
      <c r="AA244" s="199">
        <v>9</v>
      </c>
      <c r="AB244" s="199">
        <v>8</v>
      </c>
      <c r="AC244" s="197">
        <f>+Z244/Y244</f>
        <v>6.6666666666666666E-2</v>
      </c>
      <c r="AD244" s="197">
        <f>+AA244/Y244</f>
        <v>0.3</v>
      </c>
      <c r="AE244" s="197">
        <f>AB244/Y244</f>
        <v>0.26666666666666666</v>
      </c>
      <c r="AF244" s="199">
        <v>2</v>
      </c>
      <c r="AG244" s="199">
        <v>2</v>
      </c>
      <c r="AH244" s="199"/>
      <c r="AI244" s="196">
        <v>2</v>
      </c>
      <c r="AJ244" s="199"/>
      <c r="AK244" s="410">
        <f>+AI244</f>
        <v>2</v>
      </c>
      <c r="AL244" s="197">
        <f>+AK244/Z244</f>
        <v>1</v>
      </c>
      <c r="AM244" s="352">
        <f>+AK244</f>
        <v>2</v>
      </c>
      <c r="AN244" s="197">
        <f>+AM244/Y244</f>
        <v>6.6666666666666666E-2</v>
      </c>
      <c r="AO244" s="199">
        <v>9</v>
      </c>
      <c r="AP244" s="278">
        <v>0</v>
      </c>
      <c r="AQ244" s="278"/>
      <c r="AR244" s="278">
        <v>4</v>
      </c>
      <c r="AS244" s="278"/>
      <c r="AT244" s="278">
        <v>4</v>
      </c>
      <c r="AU244" s="278"/>
      <c r="AV244" s="460">
        <v>4</v>
      </c>
      <c r="AW244" s="278"/>
      <c r="AX244" s="278">
        <f>+AR244+AT244+AV244</f>
        <v>12</v>
      </c>
      <c r="AY244" s="58">
        <v>1</v>
      </c>
      <c r="AZ244" s="352">
        <f>AX244+AM244</f>
        <v>14</v>
      </c>
      <c r="BA244" s="218">
        <f>AZ244/Y244</f>
        <v>0.46666666666666667</v>
      </c>
      <c r="BB244" s="199">
        <v>8</v>
      </c>
      <c r="BC244" s="199">
        <v>0</v>
      </c>
      <c r="BD244" s="199"/>
      <c r="BE244" s="199">
        <v>0</v>
      </c>
      <c r="BF244" s="199"/>
      <c r="BG244" s="199">
        <v>8</v>
      </c>
      <c r="BH244" s="199"/>
      <c r="BI244" s="199">
        <v>0</v>
      </c>
      <c r="BJ244" s="199"/>
      <c r="BK244" s="199">
        <f>+BG244</f>
        <v>8</v>
      </c>
      <c r="BL244" s="197">
        <v>1</v>
      </c>
      <c r="BM244" s="352">
        <f>BK244+AZ244+2</f>
        <v>24</v>
      </c>
      <c r="BN244" s="58">
        <f>BM244/Y244</f>
        <v>0.8</v>
      </c>
      <c r="BO244" s="204"/>
      <c r="BP244" s="204"/>
      <c r="BQ244" s="204"/>
      <c r="BR244" s="204"/>
      <c r="BS244" s="204"/>
      <c r="BT244" s="204"/>
      <c r="BU244" s="204"/>
      <c r="BV244" s="204"/>
      <c r="BW244" s="204"/>
      <c r="BX244" s="204"/>
      <c r="BY244" s="204"/>
      <c r="BZ244" s="204"/>
      <c r="CA244" s="204"/>
      <c r="CB244" s="204"/>
      <c r="CC244" s="204"/>
      <c r="CD244" s="204"/>
      <c r="CE244" s="204"/>
      <c r="CF244" s="204"/>
      <c r="CG244" s="204"/>
      <c r="CH244" s="204"/>
      <c r="CI244" s="204"/>
      <c r="CJ244" s="204"/>
      <c r="CK244" s="204"/>
      <c r="CL244" s="204"/>
      <c r="CM244" s="204"/>
      <c r="CN244" s="204"/>
      <c r="CO244" s="204"/>
      <c r="CP244" s="204"/>
      <c r="CQ244" s="204"/>
      <c r="CR244" s="204"/>
      <c r="CS244" s="204"/>
      <c r="CT244" s="204"/>
      <c r="CU244" s="204"/>
      <c r="CV244" s="204"/>
      <c r="CW244" s="204"/>
      <c r="CX244" s="204"/>
      <c r="CY244" s="204"/>
    </row>
    <row r="245" spans="1:103" ht="71.25" customHeight="1" x14ac:dyDescent="0.2">
      <c r="A245" s="1820"/>
      <c r="B245" s="1823"/>
      <c r="C245" s="359"/>
      <c r="D245" s="359"/>
      <c r="E245" s="195"/>
      <c r="F245" s="195"/>
      <c r="G245" s="195"/>
      <c r="H245" s="195"/>
      <c r="I245" s="195"/>
      <c r="J245" s="195"/>
      <c r="K245" s="195"/>
      <c r="L245" s="195"/>
      <c r="M245" s="195"/>
      <c r="N245" s="195"/>
      <c r="O245" s="195"/>
      <c r="P245" s="195"/>
      <c r="Q245" s="195"/>
      <c r="R245" s="195"/>
      <c r="S245" s="195"/>
      <c r="T245" s="359"/>
      <c r="U245" s="1830"/>
      <c r="V245" s="194" t="s">
        <v>1243</v>
      </c>
      <c r="W245" s="194" t="s">
        <v>1244</v>
      </c>
      <c r="X245" s="1459" t="s">
        <v>1245</v>
      </c>
      <c r="Y245" s="220">
        <v>36</v>
      </c>
      <c r="Z245" s="199">
        <v>6</v>
      </c>
      <c r="AA245" s="199">
        <v>10</v>
      </c>
      <c r="AB245" s="199">
        <v>9</v>
      </c>
      <c r="AC245" s="197">
        <f>+Z245/Y245</f>
        <v>0.16666666666666666</v>
      </c>
      <c r="AD245" s="197">
        <f>+AA245/Y245</f>
        <v>0.27777777777777779</v>
      </c>
      <c r="AE245" s="197">
        <f>AB245/Y245</f>
        <v>0.25</v>
      </c>
      <c r="AF245" s="199">
        <v>4</v>
      </c>
      <c r="AG245" s="199">
        <v>5</v>
      </c>
      <c r="AH245" s="199"/>
      <c r="AI245" s="196">
        <v>6</v>
      </c>
      <c r="AJ245" s="199"/>
      <c r="AK245" s="410">
        <f>+AI245</f>
        <v>6</v>
      </c>
      <c r="AL245" s="197">
        <f>+AK245/Z245</f>
        <v>1</v>
      </c>
      <c r="AM245" s="352">
        <f>+AK245</f>
        <v>6</v>
      </c>
      <c r="AN245" s="197">
        <f>+AM245/Y245</f>
        <v>0.16666666666666666</v>
      </c>
      <c r="AO245" s="199">
        <v>10</v>
      </c>
      <c r="AP245" s="199">
        <v>5</v>
      </c>
      <c r="AQ245" s="199"/>
      <c r="AR245" s="199">
        <v>8</v>
      </c>
      <c r="AS245" s="199"/>
      <c r="AT245" s="199">
        <v>2</v>
      </c>
      <c r="AU245" s="199"/>
      <c r="AV245" s="199">
        <v>2</v>
      </c>
      <c r="AW245" s="199"/>
      <c r="AX245" s="199">
        <f>AR245+AV245+AT245+AP245</f>
        <v>17</v>
      </c>
      <c r="AY245" s="58">
        <v>1</v>
      </c>
      <c r="AZ245" s="352">
        <f>AX245+AM245</f>
        <v>23</v>
      </c>
      <c r="BA245" s="218">
        <f>AZ245/Y245</f>
        <v>0.63888888888888884</v>
      </c>
      <c r="BB245" s="199">
        <v>9</v>
      </c>
      <c r="BC245" s="199">
        <v>4</v>
      </c>
      <c r="BD245" s="199"/>
      <c r="BE245" s="199">
        <v>3</v>
      </c>
      <c r="BF245" s="199"/>
      <c r="BG245" s="199">
        <v>8</v>
      </c>
      <c r="BH245" s="199"/>
      <c r="BI245" s="199">
        <v>8</v>
      </c>
      <c r="BJ245" s="199"/>
      <c r="BK245" s="199">
        <f>4+BE245+BG245+BI245</f>
        <v>23</v>
      </c>
      <c r="BL245" s="58">
        <v>1</v>
      </c>
      <c r="BM245" s="352">
        <f>BK245+AZ245+4</f>
        <v>50</v>
      </c>
      <c r="BN245" s="58">
        <v>1</v>
      </c>
      <c r="BO245" s="204"/>
      <c r="BP245" s="204"/>
      <c r="BQ245" s="204"/>
      <c r="BR245" s="204"/>
      <c r="BS245" s="204"/>
      <c r="BT245" s="204"/>
      <c r="BU245" s="204"/>
      <c r="BV245" s="204"/>
      <c r="BW245" s="204"/>
      <c r="BX245" s="204"/>
      <c r="BY245" s="204"/>
      <c r="BZ245" s="204"/>
      <c r="CA245" s="204"/>
      <c r="CB245" s="204"/>
      <c r="CC245" s="204"/>
      <c r="CD245" s="204"/>
      <c r="CE245" s="204"/>
      <c r="CF245" s="204"/>
      <c r="CG245" s="204"/>
      <c r="CH245" s="204"/>
      <c r="CI245" s="204"/>
      <c r="CJ245" s="204"/>
      <c r="CK245" s="204"/>
      <c r="CL245" s="204"/>
      <c r="CM245" s="204"/>
      <c r="CN245" s="204"/>
      <c r="CO245" s="204"/>
      <c r="CP245" s="204"/>
      <c r="CQ245" s="204"/>
      <c r="CR245" s="204"/>
      <c r="CS245" s="204"/>
      <c r="CT245" s="204"/>
      <c r="CU245" s="204"/>
      <c r="CV245" s="204"/>
      <c r="CW245" s="204"/>
      <c r="CX245" s="204"/>
      <c r="CY245" s="204"/>
    </row>
    <row r="246" spans="1:103" ht="15.75" customHeight="1" x14ac:dyDescent="0.2">
      <c r="A246" s="1820"/>
      <c r="B246" s="1823"/>
      <c r="C246" s="359"/>
      <c r="D246" s="359"/>
      <c r="E246" s="195"/>
      <c r="F246" s="195"/>
      <c r="G246" s="195"/>
      <c r="H246" s="195"/>
      <c r="I246" s="195"/>
      <c r="J246" s="195"/>
      <c r="K246" s="195"/>
      <c r="L246" s="195"/>
      <c r="M246" s="195"/>
      <c r="N246" s="195"/>
      <c r="O246" s="195"/>
      <c r="P246" s="195"/>
      <c r="Q246" s="195"/>
      <c r="R246" s="195"/>
      <c r="S246" s="195"/>
      <c r="T246" s="359"/>
      <c r="U246" s="1831"/>
      <c r="V246" s="246"/>
      <c r="W246" s="246"/>
      <c r="X246" s="1454"/>
      <c r="Y246" s="246"/>
      <c r="Z246" s="247"/>
      <c r="AA246" s="247"/>
      <c r="AB246" s="247"/>
      <c r="AC246" s="252">
        <f>AVERAGE(AC242:AC245)</f>
        <v>0.11185168598407372</v>
      </c>
      <c r="AD246" s="252">
        <f>AVERAGE(AD242:AD245)</f>
        <v>0.29383350638046302</v>
      </c>
      <c r="AE246" s="252">
        <f>AVERAGE(AE242:AE245)</f>
        <v>0.2583333333333333</v>
      </c>
      <c r="AF246" s="247"/>
      <c r="AG246" s="247"/>
      <c r="AH246" s="247"/>
      <c r="AI246" s="251"/>
      <c r="AJ246" s="247"/>
      <c r="AK246" s="247"/>
      <c r="AL246" s="252">
        <f>AVERAGE(AL242:AL245)</f>
        <v>1</v>
      </c>
      <c r="AM246" s="247"/>
      <c r="AN246" s="252">
        <f>AVERAGE(AN242:AN245)</f>
        <v>0.11397392707066115</v>
      </c>
      <c r="AO246" s="247"/>
      <c r="AP246" s="291"/>
      <c r="AQ246" s="291"/>
      <c r="AR246" s="291"/>
      <c r="AS246" s="291"/>
      <c r="AT246" s="299"/>
      <c r="AU246" s="291"/>
      <c r="AV246" s="291"/>
      <c r="AW246" s="291"/>
      <c r="AX246" s="291"/>
      <c r="AY246" s="300">
        <f>AVERAGE(AY242:AY245)</f>
        <v>0.94009009009009015</v>
      </c>
      <c r="AZ246" s="457"/>
      <c r="BA246" s="300">
        <f>AVERAGE(BA242:BA245)</f>
        <v>0.60236511978871909</v>
      </c>
      <c r="BB246" s="290"/>
      <c r="BC246" s="290"/>
      <c r="BD246" s="290"/>
      <c r="BE246" s="290"/>
      <c r="BF246" s="290"/>
      <c r="BG246" s="290"/>
      <c r="BH246" s="290"/>
      <c r="BI246" s="290"/>
      <c r="BJ246" s="290"/>
      <c r="BK246" s="290"/>
      <c r="BL246" s="214">
        <f>AVERAGE(BL242:BL245)</f>
        <v>1</v>
      </c>
      <c r="BM246" s="290"/>
      <c r="BN246" s="214">
        <f>AVERAGE(BN242:BN245)</f>
        <v>0.95</v>
      </c>
      <c r="BO246" s="291"/>
      <c r="BP246" s="291"/>
      <c r="BQ246" s="291"/>
      <c r="BR246" s="291"/>
      <c r="BS246" s="291"/>
      <c r="BT246" s="291"/>
      <c r="BU246" s="291"/>
      <c r="BV246" s="291"/>
      <c r="BW246" s="291"/>
      <c r="BX246" s="291"/>
      <c r="BY246" s="291"/>
      <c r="BZ246" s="291"/>
      <c r="CA246" s="291"/>
      <c r="CB246" s="291"/>
      <c r="CC246" s="291"/>
      <c r="CD246" s="291"/>
      <c r="CE246" s="291"/>
      <c r="CF246" s="291"/>
      <c r="CG246" s="291"/>
      <c r="CH246" s="291"/>
      <c r="CI246" s="291"/>
      <c r="CJ246" s="291"/>
      <c r="CK246" s="291"/>
      <c r="CL246" s="291"/>
      <c r="CM246" s="291"/>
      <c r="CN246" s="291"/>
      <c r="CO246" s="291"/>
      <c r="CP246" s="291"/>
      <c r="CQ246" s="291"/>
      <c r="CR246" s="291"/>
      <c r="CS246" s="291"/>
      <c r="CT246" s="291"/>
      <c r="CU246" s="291"/>
      <c r="CV246" s="291"/>
      <c r="CW246" s="291"/>
      <c r="CX246" s="291"/>
      <c r="CY246" s="291"/>
    </row>
    <row r="247" spans="1:103" ht="44.25" customHeight="1" x14ac:dyDescent="0.2">
      <c r="A247" s="1820"/>
      <c r="B247" s="1823"/>
      <c r="C247" s="359"/>
      <c r="D247" s="359"/>
      <c r="E247" s="195"/>
      <c r="F247" s="195"/>
      <c r="G247" s="195"/>
      <c r="H247" s="195"/>
      <c r="I247" s="195"/>
      <c r="J247" s="195"/>
      <c r="K247" s="195"/>
      <c r="L247" s="195"/>
      <c r="M247" s="195"/>
      <c r="N247" s="195"/>
      <c r="O247" s="195"/>
      <c r="P247" s="195"/>
      <c r="Q247" s="195"/>
      <c r="R247" s="195"/>
      <c r="S247" s="195"/>
      <c r="T247" s="359"/>
      <c r="U247" s="1829" t="s">
        <v>1246</v>
      </c>
      <c r="V247" s="194" t="s">
        <v>1247</v>
      </c>
      <c r="W247" s="194">
        <v>0</v>
      </c>
      <c r="X247" s="1459" t="s">
        <v>1248</v>
      </c>
      <c r="Y247" s="220">
        <v>1</v>
      </c>
      <c r="Z247" s="199">
        <v>0.25</v>
      </c>
      <c r="AA247" s="199">
        <v>0.5</v>
      </c>
      <c r="AB247" s="199">
        <v>0.25</v>
      </c>
      <c r="AC247" s="197">
        <f>+Z247/Y247</f>
        <v>0.25</v>
      </c>
      <c r="AD247" s="197">
        <v>0.5</v>
      </c>
      <c r="AE247" s="197">
        <v>0.25</v>
      </c>
      <c r="AF247" s="199">
        <v>0</v>
      </c>
      <c r="AG247" s="199">
        <v>0</v>
      </c>
      <c r="AH247" s="199"/>
      <c r="AI247" s="196">
        <v>0</v>
      </c>
      <c r="AJ247" s="199"/>
      <c r="AK247" s="410">
        <f>+AI247</f>
        <v>0</v>
      </c>
      <c r="AL247" s="197">
        <f>+AK247/Z247</f>
        <v>0</v>
      </c>
      <c r="AM247" s="352">
        <f>+AK247</f>
        <v>0</v>
      </c>
      <c r="AN247" s="197">
        <f>+AM247/Y247</f>
        <v>0</v>
      </c>
      <c r="AO247" s="199">
        <v>0.5</v>
      </c>
      <c r="AP247" s="199">
        <v>0.2</v>
      </c>
      <c r="AQ247" s="199"/>
      <c r="AR247" s="199">
        <v>0.1</v>
      </c>
      <c r="AS247" s="199"/>
      <c r="AT247" s="199">
        <v>0.2</v>
      </c>
      <c r="AU247" s="199"/>
      <c r="AV247" s="276"/>
      <c r="AW247" s="199"/>
      <c r="AX247" s="199">
        <f>AP247+AR247+AT247</f>
        <v>0.5</v>
      </c>
      <c r="AY247" s="58">
        <f>AX247/AO247</f>
        <v>1</v>
      </c>
      <c r="AZ247" s="352">
        <f>AX247+AM247</f>
        <v>0.5</v>
      </c>
      <c r="BA247" s="218">
        <f>AZ247/Y247</f>
        <v>0.5</v>
      </c>
      <c r="BB247" s="197">
        <v>0.25</v>
      </c>
      <c r="BC247" s="1234">
        <v>6.25E-2</v>
      </c>
      <c r="BD247" s="195"/>
      <c r="BE247" s="199">
        <v>6.25E-2</v>
      </c>
      <c r="BF247" s="199"/>
      <c r="BG247" s="199">
        <f>+BE247</f>
        <v>6.25E-2</v>
      </c>
      <c r="BH247" s="199"/>
      <c r="BI247" s="199">
        <v>6.25E-2</v>
      </c>
      <c r="BJ247" s="199"/>
      <c r="BK247" s="1233">
        <f>+BC247+BE247+BG247+BI247</f>
        <v>0.25</v>
      </c>
      <c r="BL247" s="197">
        <f>+BK247/BB247</f>
        <v>1</v>
      </c>
      <c r="BM247" s="1236">
        <f>AZ247+BK247</f>
        <v>0.75</v>
      </c>
      <c r="BN247" s="58">
        <f>+BM247</f>
        <v>0.75</v>
      </c>
      <c r="BO247" s="204"/>
      <c r="BP247" s="204"/>
      <c r="BQ247" s="204"/>
      <c r="BR247" s="204"/>
      <c r="BS247" s="204"/>
      <c r="BT247" s="204"/>
      <c r="BU247" s="204"/>
      <c r="BV247" s="204"/>
      <c r="BW247" s="204"/>
      <c r="BX247" s="204"/>
      <c r="BY247" s="204"/>
      <c r="BZ247" s="204"/>
      <c r="CA247" s="204"/>
      <c r="CB247" s="204"/>
      <c r="CC247" s="204"/>
      <c r="CD247" s="204"/>
      <c r="CE247" s="204"/>
      <c r="CF247" s="204"/>
      <c r="CG247" s="204"/>
      <c r="CH247" s="204"/>
      <c r="CI247" s="204"/>
      <c r="CJ247" s="204"/>
      <c r="CK247" s="204"/>
      <c r="CL247" s="204"/>
      <c r="CM247" s="204"/>
      <c r="CN247" s="204"/>
      <c r="CO247" s="204"/>
      <c r="CP247" s="204"/>
      <c r="CQ247" s="204"/>
      <c r="CR247" s="204"/>
      <c r="CS247" s="204"/>
      <c r="CT247" s="204"/>
      <c r="CU247" s="204"/>
      <c r="CV247" s="204"/>
      <c r="CW247" s="204"/>
      <c r="CX247" s="204"/>
      <c r="CY247" s="204"/>
    </row>
    <row r="248" spans="1:103" ht="44.25" customHeight="1" x14ac:dyDescent="0.2">
      <c r="A248" s="1820"/>
      <c r="B248" s="1823"/>
      <c r="C248" s="359"/>
      <c r="D248" s="359"/>
      <c r="E248" s="195"/>
      <c r="F248" s="195"/>
      <c r="G248" s="195"/>
      <c r="H248" s="195"/>
      <c r="I248" s="195"/>
      <c r="J248" s="195"/>
      <c r="K248" s="195"/>
      <c r="L248" s="195"/>
      <c r="M248" s="195"/>
      <c r="N248" s="195"/>
      <c r="O248" s="195"/>
      <c r="P248" s="195"/>
      <c r="Q248" s="195"/>
      <c r="R248" s="195"/>
      <c r="S248" s="195"/>
      <c r="T248" s="359"/>
      <c r="U248" s="1830"/>
      <c r="V248" s="194" t="s">
        <v>1249</v>
      </c>
      <c r="W248" s="194">
        <v>0</v>
      </c>
      <c r="X248" s="1459" t="s">
        <v>1250</v>
      </c>
      <c r="Y248" s="220">
        <v>4</v>
      </c>
      <c r="Z248" s="199">
        <v>1</v>
      </c>
      <c r="AA248" s="199">
        <v>2</v>
      </c>
      <c r="AB248" s="199">
        <v>4</v>
      </c>
      <c r="AC248" s="197">
        <f>+Z248/Y248</f>
        <v>0.25</v>
      </c>
      <c r="AD248" s="197">
        <v>0.5</v>
      </c>
      <c r="AE248" s="197"/>
      <c r="AF248" s="199">
        <v>0</v>
      </c>
      <c r="AG248" s="199">
        <v>0</v>
      </c>
      <c r="AH248" s="199"/>
      <c r="AI248" s="196">
        <v>0</v>
      </c>
      <c r="AJ248" s="199"/>
      <c r="AK248" s="410">
        <f>+AI248</f>
        <v>0</v>
      </c>
      <c r="AL248" s="197">
        <f>+AK248/Z248</f>
        <v>0</v>
      </c>
      <c r="AM248" s="352">
        <f>+AK248</f>
        <v>0</v>
      </c>
      <c r="AN248" s="197">
        <f>+AM248/Y248</f>
        <v>0</v>
      </c>
      <c r="AO248" s="199">
        <v>2</v>
      </c>
      <c r="AP248" s="199">
        <v>0</v>
      </c>
      <c r="AQ248" s="199"/>
      <c r="AR248" s="199">
        <v>1</v>
      </c>
      <c r="AS248" s="199"/>
      <c r="AT248" s="199">
        <v>2</v>
      </c>
      <c r="AU248" s="199"/>
      <c r="AV248" s="276">
        <v>1</v>
      </c>
      <c r="AW248" s="199"/>
      <c r="AX248" s="199">
        <f>AP248+AR248+AT248+AV248</f>
        <v>4</v>
      </c>
      <c r="AY248" s="58">
        <v>1</v>
      </c>
      <c r="AZ248" s="352">
        <f>AX248+AM248</f>
        <v>4</v>
      </c>
      <c r="BA248" s="218">
        <f>AZ248/Y248</f>
        <v>1</v>
      </c>
      <c r="BB248" s="199">
        <v>4</v>
      </c>
      <c r="BC248" s="199"/>
      <c r="BD248" s="195"/>
      <c r="BE248" s="1232"/>
      <c r="BF248" s="199"/>
      <c r="BG248" s="199"/>
      <c r="BH248" s="1414" t="s">
        <v>2266</v>
      </c>
      <c r="BI248" s="199"/>
      <c r="BJ248" s="199"/>
      <c r="BK248" s="199">
        <v>4</v>
      </c>
      <c r="BL248" s="1231"/>
      <c r="BM248" s="199">
        <f>BK248</f>
        <v>4</v>
      </c>
      <c r="BN248" s="1229"/>
      <c r="BO248" s="204"/>
      <c r="BP248" s="204"/>
      <c r="BQ248" s="204"/>
      <c r="BR248" s="204"/>
      <c r="BS248" s="204"/>
      <c r="BT248" s="204"/>
      <c r="BU248" s="204"/>
      <c r="BV248" s="204"/>
      <c r="BW248" s="204"/>
      <c r="BX248" s="204"/>
      <c r="BY248" s="204"/>
      <c r="BZ248" s="204"/>
      <c r="CA248" s="204"/>
      <c r="CB248" s="204"/>
      <c r="CC248" s="204"/>
      <c r="CD248" s="204"/>
      <c r="CE248" s="204"/>
      <c r="CF248" s="204"/>
      <c r="CG248" s="204"/>
      <c r="CH248" s="204"/>
      <c r="CI248" s="204"/>
      <c r="CJ248" s="204"/>
      <c r="CK248" s="204"/>
      <c r="CL248" s="204"/>
      <c r="CM248" s="204"/>
      <c r="CN248" s="204"/>
      <c r="CO248" s="204"/>
      <c r="CP248" s="204"/>
      <c r="CQ248" s="204"/>
      <c r="CR248" s="204"/>
      <c r="CS248" s="204"/>
      <c r="CT248" s="204"/>
      <c r="CU248" s="204"/>
      <c r="CV248" s="204"/>
      <c r="CW248" s="204"/>
      <c r="CX248" s="204"/>
      <c r="CY248" s="204"/>
    </row>
    <row r="249" spans="1:103" ht="15.75" customHeight="1" x14ac:dyDescent="0.2">
      <c r="A249" s="1820"/>
      <c r="B249" s="1823"/>
      <c r="C249" s="359"/>
      <c r="D249" s="359"/>
      <c r="E249" s="195"/>
      <c r="F249" s="195"/>
      <c r="G249" s="195"/>
      <c r="H249" s="195"/>
      <c r="I249" s="195"/>
      <c r="J249" s="195"/>
      <c r="K249" s="195"/>
      <c r="L249" s="195"/>
      <c r="M249" s="195"/>
      <c r="N249" s="195"/>
      <c r="O249" s="195"/>
      <c r="P249" s="195"/>
      <c r="Q249" s="195"/>
      <c r="R249" s="195"/>
      <c r="S249" s="195"/>
      <c r="T249" s="359"/>
      <c r="U249" s="1831"/>
      <c r="V249" s="246"/>
      <c r="W249" s="246"/>
      <c r="X249" s="1454"/>
      <c r="Y249" s="246"/>
      <c r="Z249" s="247"/>
      <c r="AA249" s="247"/>
      <c r="AB249" s="247"/>
      <c r="AC249" s="252">
        <f>AVERAGE(AC247:AC248)</f>
        <v>0.25</v>
      </c>
      <c r="AD249" s="252">
        <f>AVERAGE(AD247:AD248)</f>
        <v>0.5</v>
      </c>
      <c r="AE249" s="252">
        <f>AVERAGE(AE247:AE248)</f>
        <v>0.25</v>
      </c>
      <c r="AF249" s="247"/>
      <c r="AG249" s="247"/>
      <c r="AH249" s="247"/>
      <c r="AI249" s="251"/>
      <c r="AJ249" s="247"/>
      <c r="AK249" s="247"/>
      <c r="AL249" s="252">
        <f>AVERAGE(AL247:AL248)</f>
        <v>0</v>
      </c>
      <c r="AM249" s="296"/>
      <c r="AN249" s="252">
        <f>AVERAGE(AN247:AN248)</f>
        <v>0</v>
      </c>
      <c r="AO249" s="247"/>
      <c r="AP249" s="291"/>
      <c r="AQ249" s="291"/>
      <c r="AR249" s="291"/>
      <c r="AS249" s="291"/>
      <c r="AT249" s="299"/>
      <c r="AU249" s="291"/>
      <c r="AV249" s="291"/>
      <c r="AW249" s="291"/>
      <c r="AX249" s="291"/>
      <c r="AY249" s="300">
        <f>AVERAGE(AY247:AY248)</f>
        <v>1</v>
      </c>
      <c r="AZ249" s="457"/>
      <c r="BA249" s="300">
        <f>AVERAGE(BA247:BA248)</f>
        <v>0.75</v>
      </c>
      <c r="BB249" s="247"/>
      <c r="BC249" s="247"/>
      <c r="BD249" s="290"/>
      <c r="BE249" s="290"/>
      <c r="BF249" s="290"/>
      <c r="BG249" s="290"/>
      <c r="BH249" s="290"/>
      <c r="BI249" s="290"/>
      <c r="BJ249" s="290"/>
      <c r="BK249" s="290"/>
      <c r="BL249" s="1230">
        <f>AVERAGE(BL247:BL248)</f>
        <v>1</v>
      </c>
      <c r="BM249" s="290"/>
      <c r="BN249" s="1235">
        <f>AVERAGE(BN247:BN248)</f>
        <v>0.75</v>
      </c>
      <c r="BO249" s="291"/>
      <c r="BP249" s="291"/>
      <c r="BQ249" s="291"/>
      <c r="BR249" s="291"/>
      <c r="BS249" s="291"/>
      <c r="BT249" s="291"/>
      <c r="BU249" s="291"/>
      <c r="BV249" s="291"/>
      <c r="BW249" s="291"/>
      <c r="BX249" s="291"/>
      <c r="BY249" s="291"/>
      <c r="BZ249" s="291"/>
      <c r="CA249" s="291"/>
      <c r="CB249" s="291"/>
      <c r="CC249" s="291"/>
      <c r="CD249" s="291"/>
      <c r="CE249" s="291"/>
      <c r="CF249" s="291"/>
      <c r="CG249" s="291"/>
      <c r="CH249" s="291"/>
      <c r="CI249" s="291"/>
      <c r="CJ249" s="291"/>
      <c r="CK249" s="291"/>
      <c r="CL249" s="291"/>
      <c r="CM249" s="291"/>
      <c r="CN249" s="291"/>
      <c r="CO249" s="291"/>
      <c r="CP249" s="291"/>
      <c r="CQ249" s="291"/>
      <c r="CR249" s="291"/>
      <c r="CS249" s="291"/>
      <c r="CT249" s="291"/>
      <c r="CU249" s="291"/>
      <c r="CV249" s="291"/>
      <c r="CW249" s="291"/>
      <c r="CX249" s="291"/>
      <c r="CY249" s="291"/>
    </row>
    <row r="250" spans="1:103" ht="46.5" customHeight="1" x14ac:dyDescent="0.2">
      <c r="A250" s="1820"/>
      <c r="B250" s="1823"/>
      <c r="C250" s="359"/>
      <c r="D250" s="359"/>
      <c r="E250" s="195"/>
      <c r="F250" s="195"/>
      <c r="G250" s="195"/>
      <c r="H250" s="195"/>
      <c r="I250" s="195"/>
      <c r="J250" s="195"/>
      <c r="K250" s="195"/>
      <c r="L250" s="195"/>
      <c r="M250" s="195"/>
      <c r="N250" s="195"/>
      <c r="O250" s="195"/>
      <c r="P250" s="195"/>
      <c r="Q250" s="195"/>
      <c r="R250" s="195"/>
      <c r="S250" s="195"/>
      <c r="T250" s="359"/>
      <c r="U250" s="1829" t="s">
        <v>1251</v>
      </c>
      <c r="V250" s="194" t="s">
        <v>1252</v>
      </c>
      <c r="W250" s="194" t="s">
        <v>1253</v>
      </c>
      <c r="X250" s="1459" t="s">
        <v>1254</v>
      </c>
      <c r="Y250" s="220">
        <v>21</v>
      </c>
      <c r="Z250" s="199">
        <v>3</v>
      </c>
      <c r="AA250" s="199">
        <v>9</v>
      </c>
      <c r="AB250" s="199">
        <v>5</v>
      </c>
      <c r="AC250" s="197">
        <f>+Z250/Y250</f>
        <v>0.14285714285714285</v>
      </c>
      <c r="AD250" s="197">
        <f>+AA250/Y250</f>
        <v>0.42857142857142855</v>
      </c>
      <c r="AE250" s="197"/>
      <c r="AF250" s="199">
        <v>0</v>
      </c>
      <c r="AG250" s="199">
        <v>0</v>
      </c>
      <c r="AH250" s="199"/>
      <c r="AI250" s="196">
        <v>1</v>
      </c>
      <c r="AJ250" s="199"/>
      <c r="AK250" s="410">
        <f>+AI250</f>
        <v>1</v>
      </c>
      <c r="AL250" s="197">
        <f>+AK250/Z250</f>
        <v>0.33333333333333331</v>
      </c>
      <c r="AM250" s="352">
        <f>+AK250</f>
        <v>1</v>
      </c>
      <c r="AN250" s="197">
        <f>+AM250/Y250</f>
        <v>4.7619047619047616E-2</v>
      </c>
      <c r="AO250" s="199">
        <v>9</v>
      </c>
      <c r="AP250" s="199">
        <v>8</v>
      </c>
      <c r="AQ250" s="199"/>
      <c r="AR250" s="199">
        <v>2</v>
      </c>
      <c r="AS250" s="199"/>
      <c r="AT250" s="199">
        <v>10</v>
      </c>
      <c r="AU250" s="199"/>
      <c r="AV250" s="199">
        <v>0</v>
      </c>
      <c r="AW250" s="195"/>
      <c r="AX250" s="199">
        <f>AP250+AR250</f>
        <v>10</v>
      </c>
      <c r="AY250" s="219">
        <v>1</v>
      </c>
      <c r="AZ250" s="352">
        <v>11</v>
      </c>
      <c r="BA250" s="218">
        <f>AZ250/Y250</f>
        <v>0.52380952380952384</v>
      </c>
      <c r="BB250" s="199">
        <v>5</v>
      </c>
      <c r="BC250" s="199">
        <v>0</v>
      </c>
      <c r="BD250" s="199"/>
      <c r="BE250" s="199">
        <v>0</v>
      </c>
      <c r="BF250" s="199"/>
      <c r="BG250" s="199">
        <v>2</v>
      </c>
      <c r="BH250" s="1414" t="s">
        <v>2265</v>
      </c>
      <c r="BI250" s="199">
        <v>4</v>
      </c>
      <c r="BJ250" s="324" t="s">
        <v>2299</v>
      </c>
      <c r="BK250" s="199">
        <f>+BG250+BI250</f>
        <v>6</v>
      </c>
      <c r="BL250" s="197">
        <v>1</v>
      </c>
      <c r="BM250" s="352">
        <f>AZ250+BK250</f>
        <v>17</v>
      </c>
      <c r="BN250" s="197">
        <f>+BM250/21</f>
        <v>0.80952380952380953</v>
      </c>
      <c r="BO250" s="204"/>
      <c r="BP250" s="204"/>
      <c r="BQ250" s="204"/>
      <c r="BR250" s="204"/>
      <c r="BS250" s="204"/>
      <c r="BT250" s="204"/>
      <c r="BU250" s="204"/>
      <c r="BV250" s="204"/>
      <c r="BW250" s="204"/>
      <c r="BX250" s="204"/>
      <c r="BY250" s="204"/>
      <c r="BZ250" s="204"/>
      <c r="CA250" s="204"/>
      <c r="CB250" s="204"/>
      <c r="CC250" s="204"/>
      <c r="CD250" s="204"/>
      <c r="CE250" s="204"/>
      <c r="CF250" s="204"/>
      <c r="CG250" s="204"/>
      <c r="CH250" s="204"/>
      <c r="CI250" s="204"/>
      <c r="CJ250" s="204"/>
      <c r="CK250" s="204"/>
      <c r="CL250" s="204"/>
      <c r="CM250" s="204"/>
      <c r="CN250" s="204"/>
      <c r="CO250" s="204"/>
      <c r="CP250" s="204"/>
      <c r="CQ250" s="204"/>
      <c r="CR250" s="204"/>
      <c r="CS250" s="204"/>
      <c r="CT250" s="204"/>
      <c r="CU250" s="204"/>
      <c r="CV250" s="204"/>
      <c r="CW250" s="204"/>
      <c r="CX250" s="204"/>
      <c r="CY250" s="204"/>
    </row>
    <row r="251" spans="1:103" ht="40.5" customHeight="1" x14ac:dyDescent="0.2">
      <c r="A251" s="1820"/>
      <c r="B251" s="1823"/>
      <c r="C251" s="359"/>
      <c r="D251" s="359"/>
      <c r="E251" s="195"/>
      <c r="F251" s="195"/>
      <c r="G251" s="195"/>
      <c r="H251" s="195"/>
      <c r="I251" s="195"/>
      <c r="J251" s="195"/>
      <c r="K251" s="195"/>
      <c r="L251" s="195"/>
      <c r="M251" s="195"/>
      <c r="N251" s="195"/>
      <c r="O251" s="195"/>
      <c r="P251" s="195"/>
      <c r="Q251" s="195"/>
      <c r="R251" s="195"/>
      <c r="S251" s="195"/>
      <c r="T251" s="359"/>
      <c r="U251" s="1830"/>
      <c r="V251" s="194" t="s">
        <v>1255</v>
      </c>
      <c r="W251" s="194" t="s">
        <v>1256</v>
      </c>
      <c r="X251" s="1459" t="s">
        <v>1257</v>
      </c>
      <c r="Y251" s="220">
        <v>6</v>
      </c>
      <c r="Z251" s="199">
        <v>3</v>
      </c>
      <c r="AA251" s="199">
        <v>4</v>
      </c>
      <c r="AB251" s="199">
        <v>6</v>
      </c>
      <c r="AC251" s="197">
        <v>0.25</v>
      </c>
      <c r="AD251" s="197">
        <v>0.25</v>
      </c>
      <c r="AE251" s="197">
        <f>AB251/Y251</f>
        <v>1</v>
      </c>
      <c r="AF251" s="199">
        <v>0</v>
      </c>
      <c r="AG251" s="199">
        <v>0</v>
      </c>
      <c r="AH251" s="199"/>
      <c r="AI251" s="196">
        <v>0</v>
      </c>
      <c r="AJ251" s="199"/>
      <c r="AK251" s="410">
        <f>+AI251</f>
        <v>0</v>
      </c>
      <c r="AL251" s="197">
        <f>+AK251/Z251</f>
        <v>0</v>
      </c>
      <c r="AM251" s="352">
        <f>+AK251</f>
        <v>0</v>
      </c>
      <c r="AN251" s="197">
        <f>+AM251/Y251</f>
        <v>0</v>
      </c>
      <c r="AO251" s="199">
        <v>4</v>
      </c>
      <c r="AP251" s="199">
        <v>0</v>
      </c>
      <c r="AQ251" s="199"/>
      <c r="AR251" s="199">
        <v>0</v>
      </c>
      <c r="AS251" s="199"/>
      <c r="AT251" s="199">
        <v>0</v>
      </c>
      <c r="AU251" s="199"/>
      <c r="AV251" s="199">
        <v>0</v>
      </c>
      <c r="AW251" s="195"/>
      <c r="AX251" s="195">
        <f>AP251</f>
        <v>0</v>
      </c>
      <c r="AY251" s="219">
        <f>AX251/AO251</f>
        <v>0</v>
      </c>
      <c r="AZ251" s="352">
        <f>AX251+AM251</f>
        <v>0</v>
      </c>
      <c r="BA251" s="218">
        <f>AZ251/Y251</f>
        <v>0</v>
      </c>
      <c r="BB251" s="199">
        <v>6</v>
      </c>
      <c r="BC251" s="199">
        <v>0</v>
      </c>
      <c r="BD251" s="199"/>
      <c r="BE251" s="199">
        <v>18</v>
      </c>
      <c r="BF251" s="199"/>
      <c r="BG251" s="199"/>
      <c r="BH251" s="199"/>
      <c r="BI251" s="199"/>
      <c r="BJ251" s="199"/>
      <c r="BK251" s="199">
        <f>+BE251</f>
        <v>18</v>
      </c>
      <c r="BL251" s="197">
        <v>1</v>
      </c>
      <c r="BM251" s="352">
        <f>AZ251</f>
        <v>0</v>
      </c>
      <c r="BN251" s="197">
        <v>1</v>
      </c>
      <c r="BO251" s="204"/>
      <c r="BP251" s="204"/>
      <c r="BQ251" s="204"/>
      <c r="BR251" s="204"/>
      <c r="BS251" s="204"/>
      <c r="BT251" s="204"/>
      <c r="BU251" s="204"/>
      <c r="BV251" s="204"/>
      <c r="BW251" s="204"/>
      <c r="BX251" s="204"/>
      <c r="BY251" s="204"/>
      <c r="BZ251" s="204"/>
      <c r="CA251" s="204"/>
      <c r="CB251" s="204"/>
      <c r="CC251" s="204"/>
      <c r="CD251" s="204"/>
      <c r="CE251" s="204"/>
      <c r="CF251" s="204"/>
      <c r="CG251" s="204"/>
      <c r="CH251" s="204"/>
      <c r="CI251" s="204"/>
      <c r="CJ251" s="204"/>
      <c r="CK251" s="204"/>
      <c r="CL251" s="204"/>
      <c r="CM251" s="204"/>
      <c r="CN251" s="204"/>
      <c r="CO251" s="204"/>
      <c r="CP251" s="204"/>
      <c r="CQ251" s="204"/>
      <c r="CR251" s="204"/>
      <c r="CS251" s="204"/>
      <c r="CT251" s="204"/>
      <c r="CU251" s="204"/>
      <c r="CV251" s="204"/>
      <c r="CW251" s="204"/>
      <c r="CX251" s="204"/>
      <c r="CY251" s="204"/>
    </row>
    <row r="252" spans="1:103" ht="15.75" customHeight="1" x14ac:dyDescent="0.2">
      <c r="A252" s="1820"/>
      <c r="B252" s="1823"/>
      <c r="C252" s="359"/>
      <c r="D252" s="359"/>
      <c r="E252" s="195"/>
      <c r="F252" s="195"/>
      <c r="G252" s="195"/>
      <c r="H252" s="195"/>
      <c r="I252" s="195"/>
      <c r="J252" s="195"/>
      <c r="K252" s="195"/>
      <c r="L252" s="195"/>
      <c r="M252" s="195"/>
      <c r="N252" s="195"/>
      <c r="O252" s="195"/>
      <c r="P252" s="195"/>
      <c r="Q252" s="195"/>
      <c r="R252" s="195"/>
      <c r="S252" s="195"/>
      <c r="T252" s="359"/>
      <c r="U252" s="1831"/>
      <c r="V252" s="246"/>
      <c r="W252" s="246"/>
      <c r="X252" s="1454"/>
      <c r="Y252" s="246"/>
      <c r="Z252" s="247"/>
      <c r="AA252" s="247"/>
      <c r="AB252" s="247"/>
      <c r="AC252" s="252">
        <f>AVERAGE(AC250:AC251)</f>
        <v>0.19642857142857142</v>
      </c>
      <c r="AD252" s="252">
        <f>AVERAGE(AD250:AD251)</f>
        <v>0.3392857142857143</v>
      </c>
      <c r="AE252" s="252">
        <f>AVERAGE(AE250:AE251)</f>
        <v>1</v>
      </c>
      <c r="AF252" s="247"/>
      <c r="AG252" s="247"/>
      <c r="AH252" s="247"/>
      <c r="AI252" s="251"/>
      <c r="AJ252" s="247"/>
      <c r="AK252" s="247"/>
      <c r="AL252" s="252">
        <f>AVERAGE(AL250:AL251)</f>
        <v>0.16666666666666666</v>
      </c>
      <c r="AM252" s="296"/>
      <c r="AN252" s="252">
        <f>AVERAGE(AN250:AN251)</f>
        <v>2.3809523809523808E-2</v>
      </c>
      <c r="AO252" s="247"/>
      <c r="AP252" s="291"/>
      <c r="AQ252" s="291"/>
      <c r="AR252" s="291"/>
      <c r="AS252" s="291"/>
      <c r="AT252" s="299"/>
      <c r="AU252" s="291"/>
      <c r="AV252" s="291"/>
      <c r="AW252" s="291"/>
      <c r="AX252" s="291"/>
      <c r="AY252" s="300">
        <f>AVERAGE(AY250:AY251)</f>
        <v>0.5</v>
      </c>
      <c r="AZ252" s="457"/>
      <c r="BA252" s="300">
        <f>AVERAGE(BA250:BA251)</f>
        <v>0.26190476190476192</v>
      </c>
      <c r="BB252" s="290"/>
      <c r="BC252" s="290"/>
      <c r="BD252" s="290"/>
      <c r="BE252" s="290"/>
      <c r="BF252" s="290"/>
      <c r="BG252" s="290"/>
      <c r="BH252" s="290"/>
      <c r="BI252" s="290"/>
      <c r="BJ252" s="290"/>
      <c r="BK252" s="290"/>
      <c r="BL252" s="411">
        <f>AVERAGE(BL250:BL251)</f>
        <v>1</v>
      </c>
      <c r="BM252" s="213"/>
      <c r="BN252" s="411">
        <f>AVERAGE(BN250:BN251)</f>
        <v>0.90476190476190477</v>
      </c>
      <c r="BO252" s="291"/>
      <c r="BP252" s="291"/>
      <c r="BQ252" s="291"/>
      <c r="BR252" s="291"/>
      <c r="BS252" s="291"/>
      <c r="BT252" s="291"/>
      <c r="BU252" s="291"/>
      <c r="BV252" s="291"/>
      <c r="BW252" s="291"/>
      <c r="BX252" s="291"/>
      <c r="BY252" s="291"/>
      <c r="BZ252" s="291"/>
      <c r="CA252" s="291"/>
      <c r="CB252" s="291"/>
      <c r="CC252" s="291"/>
      <c r="CD252" s="291"/>
      <c r="CE252" s="291"/>
      <c r="CF252" s="291"/>
      <c r="CG252" s="291"/>
      <c r="CH252" s="291"/>
      <c r="CI252" s="291"/>
      <c r="CJ252" s="291"/>
      <c r="CK252" s="291"/>
      <c r="CL252" s="291"/>
      <c r="CM252" s="291"/>
      <c r="CN252" s="291"/>
      <c r="CO252" s="291"/>
      <c r="CP252" s="291"/>
      <c r="CQ252" s="291"/>
      <c r="CR252" s="291"/>
      <c r="CS252" s="291"/>
      <c r="CT252" s="291"/>
      <c r="CU252" s="291"/>
      <c r="CV252" s="291"/>
      <c r="CW252" s="291"/>
      <c r="CX252" s="291"/>
      <c r="CY252" s="291"/>
    </row>
    <row r="253" spans="1:103" ht="15.75" customHeight="1" x14ac:dyDescent="0.2">
      <c r="A253" s="1820"/>
      <c r="B253" s="1824"/>
      <c r="C253" s="413"/>
      <c r="D253" s="413"/>
      <c r="E253" s="263"/>
      <c r="F253" s="263"/>
      <c r="G253" s="263"/>
      <c r="H253" s="263"/>
      <c r="I253" s="263"/>
      <c r="J253" s="263"/>
      <c r="K253" s="263"/>
      <c r="L253" s="263"/>
      <c r="M253" s="263"/>
      <c r="N253" s="263"/>
      <c r="O253" s="263"/>
      <c r="P253" s="263"/>
      <c r="Q253" s="263"/>
      <c r="R253" s="263"/>
      <c r="S253" s="263"/>
      <c r="T253" s="413"/>
      <c r="U253" s="192"/>
      <c r="V253" s="262"/>
      <c r="W253" s="262"/>
      <c r="X253" s="1460"/>
      <c r="Y253" s="262"/>
      <c r="Z253" s="264"/>
      <c r="AA253" s="264"/>
      <c r="AB253" s="264"/>
      <c r="AC253" s="265">
        <f>+(AC252+AC249+AC241+AC237+AC232+AC246)/6</f>
        <v>0.15979226242464764</v>
      </c>
      <c r="AD253" s="265">
        <f>+(AD252+AD249+AD241+AD237+AD232+AD246)/6</f>
        <v>0.34096762910746842</v>
      </c>
      <c r="AE253" s="265">
        <f>+(AE252+AE249+AE241+AE237+AE232+AE246)/6</f>
        <v>0.32847463998586085</v>
      </c>
      <c r="AF253" s="264"/>
      <c r="AG253" s="264"/>
      <c r="AH253" s="264"/>
      <c r="AI253" s="338"/>
      <c r="AJ253" s="264"/>
      <c r="AK253" s="264"/>
      <c r="AL253" s="265">
        <f>+(AL252+AL249+AL241+AL237+AL232+AL246)/6</f>
        <v>0.60648148148148151</v>
      </c>
      <c r="AM253" s="461"/>
      <c r="AN253" s="265">
        <f>+(AN252+AN249+AN241+AN237+AN232+AN246)/6</f>
        <v>0.15305196934435908</v>
      </c>
      <c r="AO253" s="264"/>
      <c r="AP253" s="272"/>
      <c r="AQ253" s="272"/>
      <c r="AR253" s="272"/>
      <c r="AS253" s="272"/>
      <c r="AT253" s="340"/>
      <c r="AU253" s="272"/>
      <c r="AV253" s="272"/>
      <c r="AW253" s="272"/>
      <c r="AX253" s="272"/>
      <c r="AY253" s="341">
        <f>+(AY252+AY249+AY241+AY237+AY232+AY246)/6</f>
        <v>0.89687454016290447</v>
      </c>
      <c r="AZ253" s="341"/>
      <c r="BA253" s="341">
        <f>+(BA252+BA249+BA241+BA237+BA232+BA246)/6</f>
        <v>0.65327052842627509</v>
      </c>
      <c r="BB253" s="263"/>
      <c r="BC253" s="263"/>
      <c r="BD253" s="263"/>
      <c r="BE253" s="263"/>
      <c r="BF253" s="263"/>
      <c r="BG253" s="263"/>
      <c r="BH253" s="263"/>
      <c r="BI253" s="263"/>
      <c r="BJ253" s="263"/>
      <c r="BK253" s="263"/>
      <c r="BL253" s="271">
        <f>+(BL252+BL249+BL241+BL237+BL232+BL246)/6</f>
        <v>0.89006056360435248</v>
      </c>
      <c r="BM253" s="263"/>
      <c r="BN253" s="271">
        <f>+(BN252+BN249+BN241+BN237+BN232+BN246)/6</f>
        <v>0.84637332552491618</v>
      </c>
      <c r="BO253" s="272"/>
      <c r="BP253" s="272"/>
      <c r="BQ253" s="272"/>
      <c r="BR253" s="272"/>
      <c r="BS253" s="272"/>
      <c r="BT253" s="272"/>
      <c r="BU253" s="272"/>
      <c r="BV253" s="272"/>
      <c r="BW253" s="272"/>
      <c r="BX253" s="272"/>
      <c r="BY253" s="272"/>
      <c r="BZ253" s="272"/>
      <c r="CA253" s="272"/>
      <c r="CB253" s="272"/>
      <c r="CC253" s="272"/>
      <c r="CD253" s="272"/>
      <c r="CE253" s="272"/>
      <c r="CF253" s="272"/>
      <c r="CG253" s="272"/>
      <c r="CH253" s="272"/>
      <c r="CI253" s="272"/>
      <c r="CJ253" s="272"/>
      <c r="CK253" s="272"/>
      <c r="CL253" s="272"/>
      <c r="CM253" s="272"/>
      <c r="CN253" s="272"/>
      <c r="CO253" s="272"/>
      <c r="CP253" s="272"/>
      <c r="CQ253" s="272"/>
      <c r="CR253" s="272"/>
      <c r="CS253" s="272"/>
      <c r="CT253" s="272"/>
      <c r="CU253" s="272"/>
      <c r="CV253" s="272"/>
      <c r="CW253" s="272"/>
      <c r="CX253" s="272"/>
      <c r="CY253" s="272"/>
    </row>
    <row r="254" spans="1:103" ht="38.25" customHeight="1" x14ac:dyDescent="0.2">
      <c r="A254" s="1820"/>
      <c r="B254" s="1825" t="s">
        <v>1258</v>
      </c>
      <c r="C254" s="462" t="s">
        <v>1259</v>
      </c>
      <c r="D254" s="462">
        <v>0.3</v>
      </c>
      <c r="E254" s="195"/>
      <c r="F254" s="195"/>
      <c r="G254" s="195"/>
      <c r="H254" s="195"/>
      <c r="I254" s="195"/>
      <c r="J254" s="195"/>
      <c r="K254" s="195"/>
      <c r="L254" s="195"/>
      <c r="M254" s="195"/>
      <c r="N254" s="195"/>
      <c r="O254" s="195"/>
      <c r="P254" s="195"/>
      <c r="Q254" s="195"/>
      <c r="R254" s="195"/>
      <c r="S254" s="195"/>
      <c r="T254" s="462" t="s">
        <v>1260</v>
      </c>
      <c r="U254" s="1829" t="s">
        <v>1261</v>
      </c>
      <c r="V254" s="194" t="s">
        <v>1262</v>
      </c>
      <c r="W254" s="326">
        <v>0.32</v>
      </c>
      <c r="X254" s="1241" t="s">
        <v>2256</v>
      </c>
      <c r="Y254" s="294">
        <v>1</v>
      </c>
      <c r="Z254" s="197">
        <v>0.7</v>
      </c>
      <c r="AA254" s="230">
        <v>0.19650000000000001</v>
      </c>
      <c r="AB254" s="230">
        <v>1</v>
      </c>
      <c r="AC254" s="197">
        <f>+Z254</f>
        <v>0.7</v>
      </c>
      <c r="AD254" s="230">
        <f>+AA254</f>
        <v>0.19650000000000001</v>
      </c>
      <c r="AE254" s="230"/>
      <c r="AF254" s="197">
        <v>0.56000000000000005</v>
      </c>
      <c r="AG254" s="197">
        <v>0.56000000000000005</v>
      </c>
      <c r="AH254" s="199"/>
      <c r="AI254" s="196">
        <v>0.56000000000000005</v>
      </c>
      <c r="AJ254" s="199"/>
      <c r="AK254" s="410">
        <f>+AI254</f>
        <v>0.56000000000000005</v>
      </c>
      <c r="AL254" s="197">
        <f>+AK254/Z254</f>
        <v>0.80000000000000016</v>
      </c>
      <c r="AM254" s="197">
        <f>+AK254</f>
        <v>0.56000000000000005</v>
      </c>
      <c r="AN254" s="236">
        <f>+AM254/Y254</f>
        <v>0.56000000000000005</v>
      </c>
      <c r="AO254" s="230">
        <v>0.19650000000000001</v>
      </c>
      <c r="AP254" s="230">
        <v>0</v>
      </c>
      <c r="AQ254" s="204"/>
      <c r="AR254" s="230">
        <v>0.09</v>
      </c>
      <c r="AS254" s="204"/>
      <c r="AT254" s="197">
        <v>0.09</v>
      </c>
      <c r="AU254" s="204"/>
      <c r="AV254" s="197">
        <v>0.26</v>
      </c>
      <c r="AW254" s="204"/>
      <c r="AX254" s="230">
        <f>+AP254+AR254+AT254+AV254</f>
        <v>0.44</v>
      </c>
      <c r="AY254" s="230">
        <v>1</v>
      </c>
      <c r="AZ254" s="230">
        <f>AX254+AM254</f>
        <v>1</v>
      </c>
      <c r="BA254" s="376">
        <f>AZ254/Y254</f>
        <v>1</v>
      </c>
      <c r="BB254" s="230">
        <v>1</v>
      </c>
      <c r="BC254" s="197">
        <v>1</v>
      </c>
      <c r="BD254" s="199"/>
      <c r="BE254" s="197">
        <v>1</v>
      </c>
      <c r="BF254" s="199"/>
      <c r="BG254" s="197">
        <v>1</v>
      </c>
      <c r="BH254" s="199"/>
      <c r="BI254" s="197">
        <v>1</v>
      </c>
      <c r="BJ254" s="199"/>
      <c r="BK254" s="197">
        <f t="shared" ref="BK254:BK260" si="20">BC254</f>
        <v>1</v>
      </c>
      <c r="BL254" s="58">
        <f t="shared" ref="BL254:BL260" si="21">IFERROR(IF((+BK254/BB254)&gt;100%,100%,(+BK254/BB254)),"NP")</f>
        <v>1</v>
      </c>
      <c r="BM254" s="58">
        <f t="shared" ref="BM254:BM260" si="22">IFERROR(IF((+AZ254+BK254)&gt;100%,100%,(+AZ254+BK254)),"NP")</f>
        <v>1</v>
      </c>
      <c r="BN254" s="58">
        <f>IFERROR(IF((+BM254/Y254)&gt;100%,100%,(+BM254/Y254)),"NP")</f>
        <v>1</v>
      </c>
      <c r="BO254" s="204"/>
      <c r="BP254" s="204"/>
      <c r="BQ254" s="204"/>
      <c r="BR254" s="204"/>
      <c r="BS254" s="204"/>
      <c r="BT254" s="204"/>
      <c r="BU254" s="204"/>
      <c r="BV254" s="204"/>
      <c r="BW254" s="204"/>
      <c r="BX254" s="204"/>
      <c r="BY254" s="204"/>
      <c r="BZ254" s="204"/>
      <c r="CA254" s="204"/>
      <c r="CB254" s="204"/>
      <c r="CC254" s="204"/>
      <c r="CD254" s="204"/>
      <c r="CE254" s="204"/>
      <c r="CF254" s="204"/>
      <c r="CG254" s="204"/>
      <c r="CH254" s="204"/>
      <c r="CI254" s="204"/>
      <c r="CJ254" s="204"/>
      <c r="CK254" s="204"/>
      <c r="CL254" s="204"/>
      <c r="CM254" s="204"/>
      <c r="CN254" s="204"/>
      <c r="CO254" s="204"/>
      <c r="CP254" s="204"/>
      <c r="CQ254" s="204"/>
      <c r="CR254" s="204"/>
      <c r="CS254" s="204"/>
      <c r="CT254" s="204"/>
      <c r="CU254" s="204"/>
      <c r="CV254" s="204"/>
      <c r="CW254" s="204"/>
      <c r="CX254" s="204"/>
      <c r="CY254" s="204"/>
    </row>
    <row r="255" spans="1:103" ht="43.5" customHeight="1" x14ac:dyDescent="0.2">
      <c r="A255" s="1820"/>
      <c r="B255" s="1826"/>
      <c r="C255" s="462"/>
      <c r="D255" s="462"/>
      <c r="E255" s="195"/>
      <c r="F255" s="195"/>
      <c r="G255" s="195"/>
      <c r="H255" s="195"/>
      <c r="I255" s="195"/>
      <c r="J255" s="195"/>
      <c r="K255" s="195"/>
      <c r="L255" s="195"/>
      <c r="M255" s="195"/>
      <c r="N255" s="195"/>
      <c r="O255" s="195"/>
      <c r="P255" s="195"/>
      <c r="Q255" s="195"/>
      <c r="R255" s="195"/>
      <c r="S255" s="195"/>
      <c r="T255" s="462"/>
      <c r="U255" s="1830"/>
      <c r="V255" s="194" t="s">
        <v>1263</v>
      </c>
      <c r="W255" s="326">
        <v>0.32</v>
      </c>
      <c r="X255" s="1241" t="s">
        <v>2257</v>
      </c>
      <c r="Y255" s="294">
        <v>1</v>
      </c>
      <c r="Z255" s="199" t="s">
        <v>177</v>
      </c>
      <c r="AA255" s="230">
        <v>0.19650000000000001</v>
      </c>
      <c r="AB255" s="230">
        <v>1</v>
      </c>
      <c r="AC255" s="199"/>
      <c r="AD255" s="230">
        <f>+AA255</f>
        <v>0.19650000000000001</v>
      </c>
      <c r="AE255" s="230"/>
      <c r="AF255" s="199"/>
      <c r="AG255" s="199"/>
      <c r="AH255" s="199"/>
      <c r="AI255" s="196"/>
      <c r="AJ255" s="199"/>
      <c r="AK255" s="199"/>
      <c r="AL255" s="199"/>
      <c r="AM255" s="233">
        <v>0.56000000000000005</v>
      </c>
      <c r="AN255" s="463"/>
      <c r="AO255" s="464">
        <v>0.19650000000000001</v>
      </c>
      <c r="AP255" s="230">
        <v>0</v>
      </c>
      <c r="AQ255" s="204"/>
      <c r="AR255" s="230">
        <v>0.09</v>
      </c>
      <c r="AS255" s="204"/>
      <c r="AT255" s="197">
        <v>0.09</v>
      </c>
      <c r="AU255" s="204"/>
      <c r="AV255" s="197">
        <v>0.33</v>
      </c>
      <c r="AW255" s="204"/>
      <c r="AX255" s="230">
        <f>+AP255+AR255+AT255+AV255</f>
        <v>0.51</v>
      </c>
      <c r="AY255" s="230">
        <v>1</v>
      </c>
      <c r="AZ255" s="230">
        <f>+AX255+AM255</f>
        <v>1.07</v>
      </c>
      <c r="BA255" s="376">
        <v>0.89</v>
      </c>
      <c r="BB255" s="230">
        <v>1</v>
      </c>
      <c r="BC255" s="197">
        <v>0.89</v>
      </c>
      <c r="BD255" s="199"/>
      <c r="BE255" s="197">
        <v>1</v>
      </c>
      <c r="BF255" s="199"/>
      <c r="BG255" s="197">
        <v>1</v>
      </c>
      <c r="BH255" s="199"/>
      <c r="BI255" s="197">
        <v>1</v>
      </c>
      <c r="BJ255" s="199"/>
      <c r="BK255" s="197">
        <f>BE255</f>
        <v>1</v>
      </c>
      <c r="BL255" s="58">
        <f t="shared" si="21"/>
        <v>1</v>
      </c>
      <c r="BM255" s="58">
        <f t="shared" si="22"/>
        <v>1</v>
      </c>
      <c r="BN255" s="58">
        <f>IFERROR(IF((+BM255/Y255)&gt;100%,100%,(+BM255/Y255)),"NP")</f>
        <v>1</v>
      </c>
      <c r="BO255" s="204"/>
      <c r="BP255" s="204"/>
      <c r="BQ255" s="204"/>
      <c r="BR255" s="204"/>
      <c r="BS255" s="204"/>
      <c r="BT255" s="204"/>
      <c r="BU255" s="204"/>
      <c r="BV255" s="204"/>
      <c r="BW255" s="204"/>
      <c r="BX255" s="204"/>
      <c r="BY255" s="204"/>
      <c r="BZ255" s="204"/>
      <c r="CA255" s="204"/>
      <c r="CB255" s="204"/>
      <c r="CC255" s="204"/>
      <c r="CD255" s="204"/>
      <c r="CE255" s="204"/>
      <c r="CF255" s="204"/>
      <c r="CG255" s="204"/>
      <c r="CH255" s="204"/>
      <c r="CI255" s="204"/>
      <c r="CJ255" s="204"/>
      <c r="CK255" s="204"/>
      <c r="CL255" s="204"/>
      <c r="CM255" s="204"/>
      <c r="CN255" s="204"/>
      <c r="CO255" s="204"/>
      <c r="CP255" s="204"/>
      <c r="CQ255" s="204"/>
      <c r="CR255" s="204"/>
      <c r="CS255" s="204"/>
      <c r="CT255" s="204"/>
      <c r="CU255" s="204"/>
      <c r="CV255" s="204"/>
      <c r="CW255" s="204"/>
      <c r="CX255" s="204"/>
      <c r="CY255" s="204"/>
    </row>
    <row r="256" spans="1:103" ht="78" customHeight="1" x14ac:dyDescent="0.2">
      <c r="A256" s="1820"/>
      <c r="B256" s="1826"/>
      <c r="C256" s="462"/>
      <c r="D256" s="462"/>
      <c r="E256" s="195"/>
      <c r="F256" s="195"/>
      <c r="G256" s="195"/>
      <c r="H256" s="195"/>
      <c r="I256" s="195"/>
      <c r="J256" s="195"/>
      <c r="K256" s="195"/>
      <c r="L256" s="195"/>
      <c r="M256" s="195"/>
      <c r="N256" s="195"/>
      <c r="O256" s="195"/>
      <c r="P256" s="195"/>
      <c r="Q256" s="195"/>
      <c r="R256" s="195"/>
      <c r="S256" s="195"/>
      <c r="T256" s="462"/>
      <c r="U256" s="1830"/>
      <c r="V256" s="194" t="s">
        <v>1264</v>
      </c>
      <c r="W256" s="194">
        <v>0</v>
      </c>
      <c r="X256" s="1241" t="s">
        <v>2258</v>
      </c>
      <c r="Y256" s="220">
        <v>1</v>
      </c>
      <c r="Z256" s="199">
        <v>1</v>
      </c>
      <c r="AA256" s="197">
        <v>0.25</v>
      </c>
      <c r="AB256" s="230">
        <v>1</v>
      </c>
      <c r="AC256" s="197">
        <v>0.25</v>
      </c>
      <c r="AD256" s="197">
        <v>0.25</v>
      </c>
      <c r="AE256" s="230"/>
      <c r="AF256" s="197">
        <v>0.25</v>
      </c>
      <c r="AG256" s="197">
        <v>0.25</v>
      </c>
      <c r="AH256" s="199"/>
      <c r="AI256" s="197">
        <v>0.25</v>
      </c>
      <c r="AJ256" s="199"/>
      <c r="AK256" s="365">
        <f>+AI256</f>
        <v>0.25</v>
      </c>
      <c r="AL256" s="197">
        <f>+AK256/AG256</f>
        <v>1</v>
      </c>
      <c r="AM256" s="197">
        <v>0.48</v>
      </c>
      <c r="AN256" s="240">
        <f>+AM256/Y256</f>
        <v>0.48</v>
      </c>
      <c r="AO256" s="197">
        <v>0.25</v>
      </c>
      <c r="AP256" s="197">
        <v>0.12</v>
      </c>
      <c r="AQ256" s="204"/>
      <c r="AR256" s="230">
        <v>0.1</v>
      </c>
      <c r="AS256" s="204"/>
      <c r="AT256" s="197">
        <v>0.22</v>
      </c>
      <c r="AU256" s="204"/>
      <c r="AV256" s="197">
        <v>0.52</v>
      </c>
      <c r="AW256" s="204"/>
      <c r="AX256" s="230">
        <f>+AP256+AR256+AT256+AV256</f>
        <v>0.96</v>
      </c>
      <c r="AY256" s="197">
        <v>1</v>
      </c>
      <c r="AZ256" s="197">
        <f>AX256+AM256</f>
        <v>1.44</v>
      </c>
      <c r="BA256" s="233">
        <v>1</v>
      </c>
      <c r="BB256" s="230">
        <v>1</v>
      </c>
      <c r="BC256" s="197">
        <v>0.3</v>
      </c>
      <c r="BD256" s="199"/>
      <c r="BE256" s="197">
        <v>1</v>
      </c>
      <c r="BF256" s="199"/>
      <c r="BG256" s="197">
        <v>1</v>
      </c>
      <c r="BH256" s="199"/>
      <c r="BI256" s="197">
        <v>1</v>
      </c>
      <c r="BJ256" s="199"/>
      <c r="BK256" s="197">
        <f>BE256</f>
        <v>1</v>
      </c>
      <c r="BL256" s="58">
        <f t="shared" si="21"/>
        <v>1</v>
      </c>
      <c r="BM256" s="58">
        <f t="shared" si="22"/>
        <v>1</v>
      </c>
      <c r="BN256" s="58">
        <f>IFERROR(IF((+BM256/Y256)&gt;100%,100%,(+BM256/Y256)),"NP")</f>
        <v>1</v>
      </c>
      <c r="BO256" s="204"/>
      <c r="BP256" s="204"/>
      <c r="BQ256" s="204"/>
      <c r="BR256" s="204"/>
      <c r="BS256" s="204"/>
      <c r="BT256" s="204"/>
      <c r="BU256" s="204"/>
      <c r="BV256" s="204"/>
      <c r="BW256" s="204"/>
      <c r="BX256" s="204"/>
      <c r="BY256" s="204"/>
      <c r="BZ256" s="204"/>
      <c r="CA256" s="204"/>
      <c r="CB256" s="204"/>
      <c r="CC256" s="204"/>
      <c r="CD256" s="204"/>
      <c r="CE256" s="204"/>
      <c r="CF256" s="204"/>
      <c r="CG256" s="204"/>
      <c r="CH256" s="204"/>
      <c r="CI256" s="204"/>
      <c r="CJ256" s="204"/>
      <c r="CK256" s="204"/>
      <c r="CL256" s="204"/>
      <c r="CM256" s="204"/>
      <c r="CN256" s="204"/>
      <c r="CO256" s="204"/>
      <c r="CP256" s="204"/>
      <c r="CQ256" s="204"/>
      <c r="CR256" s="204"/>
      <c r="CS256" s="204"/>
      <c r="CT256" s="204"/>
      <c r="CU256" s="204"/>
      <c r="CV256" s="204"/>
      <c r="CW256" s="204"/>
      <c r="CX256" s="204"/>
      <c r="CY256" s="204"/>
    </row>
    <row r="257" spans="1:103" ht="39.75" customHeight="1" x14ac:dyDescent="0.2">
      <c r="A257" s="1820"/>
      <c r="B257" s="1826"/>
      <c r="C257" s="462"/>
      <c r="D257" s="462"/>
      <c r="E257" s="195"/>
      <c r="F257" s="195"/>
      <c r="G257" s="195"/>
      <c r="H257" s="195"/>
      <c r="I257" s="195"/>
      <c r="J257" s="195"/>
      <c r="K257" s="195"/>
      <c r="L257" s="195"/>
      <c r="M257" s="195"/>
      <c r="N257" s="195"/>
      <c r="O257" s="195"/>
      <c r="P257" s="195"/>
      <c r="Q257" s="195"/>
      <c r="R257" s="195"/>
      <c r="S257" s="195"/>
      <c r="T257" s="462"/>
      <c r="U257" s="1830"/>
      <c r="V257" s="194" t="s">
        <v>1265</v>
      </c>
      <c r="W257" s="194">
        <v>0</v>
      </c>
      <c r="X257" s="1241" t="s">
        <v>1266</v>
      </c>
      <c r="Y257" s="220">
        <v>2</v>
      </c>
      <c r="Z257" s="197">
        <v>0.25</v>
      </c>
      <c r="AA257" s="281">
        <v>2</v>
      </c>
      <c r="AB257" s="197">
        <v>0.8</v>
      </c>
      <c r="AC257" s="197">
        <f>+Z257/Y257</f>
        <v>0.125</v>
      </c>
      <c r="AD257" s="197">
        <v>0.87</v>
      </c>
      <c r="AE257" s="230">
        <f>AB257/Y257</f>
        <v>0.4</v>
      </c>
      <c r="AF257" s="199">
        <v>0</v>
      </c>
      <c r="AG257" s="197">
        <v>0.25</v>
      </c>
      <c r="AH257" s="199"/>
      <c r="AI257" s="197">
        <v>0.25</v>
      </c>
      <c r="AJ257" s="199"/>
      <c r="AK257" s="365">
        <f>+AI257</f>
        <v>0.25</v>
      </c>
      <c r="AL257" s="197">
        <f>+AK257/AG257</f>
        <v>1</v>
      </c>
      <c r="AM257" s="197">
        <v>0.53</v>
      </c>
      <c r="AN257" s="197">
        <f>+AM257/Y257</f>
        <v>0.26500000000000001</v>
      </c>
      <c r="AO257" s="281">
        <v>2</v>
      </c>
      <c r="AP257" s="197">
        <v>1.0999999999999999E-2</v>
      </c>
      <c r="AQ257" s="204"/>
      <c r="AR257" s="230">
        <v>0.4</v>
      </c>
      <c r="AS257" s="204"/>
      <c r="AT257" s="199">
        <v>0</v>
      </c>
      <c r="AU257" s="204"/>
      <c r="AV257" s="197">
        <v>0.44</v>
      </c>
      <c r="AW257" s="204"/>
      <c r="AX257" s="230">
        <f>+AP257+AR257+AV257</f>
        <v>0.85099999999999998</v>
      </c>
      <c r="AY257" s="197">
        <f>+AX257</f>
        <v>0.85099999999999998</v>
      </c>
      <c r="AZ257" s="197">
        <f>+AX257</f>
        <v>0.85099999999999998</v>
      </c>
      <c r="BA257" s="233">
        <v>0.93</v>
      </c>
      <c r="BB257" s="197">
        <v>0.8</v>
      </c>
      <c r="BC257" s="197">
        <v>0.05</v>
      </c>
      <c r="BD257" s="199"/>
      <c r="BE257" s="197">
        <v>0.05</v>
      </c>
      <c r="BF257" s="199"/>
      <c r="BG257" s="197">
        <v>0.05</v>
      </c>
      <c r="BH257" s="199"/>
      <c r="BI257" s="197">
        <v>0.8</v>
      </c>
      <c r="BJ257" s="199"/>
      <c r="BK257" s="197">
        <f>BC257+BI257</f>
        <v>0.85000000000000009</v>
      </c>
      <c r="BL257" s="58">
        <f t="shared" si="21"/>
        <v>1</v>
      </c>
      <c r="BM257" s="58">
        <f>IFERROR(IF((+AZ257+BK257)&gt;100%,100%,(+AZ257+BK257)),"NP")</f>
        <v>1</v>
      </c>
      <c r="BN257" s="58">
        <v>1</v>
      </c>
      <c r="BO257" s="204"/>
      <c r="BP257" s="204"/>
      <c r="BQ257" s="204"/>
      <c r="BR257" s="204"/>
      <c r="BS257" s="204"/>
      <c r="BT257" s="204"/>
      <c r="BU257" s="204"/>
      <c r="BV257" s="204"/>
      <c r="BW257" s="204"/>
      <c r="BX257" s="204"/>
      <c r="BY257" s="204"/>
      <c r="BZ257" s="204"/>
      <c r="CA257" s="204"/>
      <c r="CB257" s="204"/>
      <c r="CC257" s="204"/>
      <c r="CD257" s="204"/>
      <c r="CE257" s="204"/>
      <c r="CF257" s="204"/>
      <c r="CG257" s="204"/>
      <c r="CH257" s="204"/>
      <c r="CI257" s="204"/>
      <c r="CJ257" s="204"/>
      <c r="CK257" s="204"/>
      <c r="CL257" s="204"/>
      <c r="CM257" s="204"/>
      <c r="CN257" s="204"/>
      <c r="CO257" s="204"/>
      <c r="CP257" s="204"/>
      <c r="CQ257" s="204"/>
      <c r="CR257" s="204"/>
      <c r="CS257" s="204"/>
      <c r="CT257" s="204"/>
      <c r="CU257" s="204"/>
      <c r="CV257" s="204"/>
      <c r="CW257" s="204"/>
      <c r="CX257" s="204"/>
      <c r="CY257" s="204"/>
    </row>
    <row r="258" spans="1:103" ht="33" customHeight="1" x14ac:dyDescent="0.2">
      <c r="A258" s="1820"/>
      <c r="B258" s="1826"/>
      <c r="C258" s="462"/>
      <c r="D258" s="462"/>
      <c r="E258" s="195"/>
      <c r="F258" s="195"/>
      <c r="G258" s="195"/>
      <c r="H258" s="195"/>
      <c r="I258" s="195"/>
      <c r="J258" s="195"/>
      <c r="K258" s="195"/>
      <c r="L258" s="195"/>
      <c r="M258" s="195"/>
      <c r="N258" s="195"/>
      <c r="O258" s="195"/>
      <c r="P258" s="195"/>
      <c r="Q258" s="195"/>
      <c r="R258" s="195"/>
      <c r="S258" s="195"/>
      <c r="T258" s="462"/>
      <c r="U258" s="1830"/>
      <c r="V258" s="194" t="s">
        <v>1267</v>
      </c>
      <c r="W258" s="326">
        <v>1</v>
      </c>
      <c r="X258" s="1241" t="s">
        <v>2259</v>
      </c>
      <c r="Y258" s="294">
        <v>1</v>
      </c>
      <c r="Z258" s="197">
        <v>1</v>
      </c>
      <c r="AA258" s="197">
        <v>0.25</v>
      </c>
      <c r="AB258" s="197">
        <v>1</v>
      </c>
      <c r="AC258" s="197">
        <v>0.25</v>
      </c>
      <c r="AD258" s="197">
        <v>0.25</v>
      </c>
      <c r="AE258" s="230"/>
      <c r="AF258" s="197">
        <v>0.8</v>
      </c>
      <c r="AG258" s="197">
        <v>1</v>
      </c>
      <c r="AH258" s="199"/>
      <c r="AI258" s="196">
        <v>1</v>
      </c>
      <c r="AJ258" s="199"/>
      <c r="AK258" s="365">
        <f>+AI258</f>
        <v>1</v>
      </c>
      <c r="AL258" s="197">
        <f>+AK258/Z258</f>
        <v>1</v>
      </c>
      <c r="AM258" s="197">
        <f>+AK258</f>
        <v>1</v>
      </c>
      <c r="AN258" s="197">
        <f>+(AM258/Y258)/4</f>
        <v>0.25</v>
      </c>
      <c r="AO258" s="197">
        <v>0.25</v>
      </c>
      <c r="AP258" s="197">
        <v>1</v>
      </c>
      <c r="AQ258" s="197"/>
      <c r="AR258" s="230">
        <v>1</v>
      </c>
      <c r="AS258" s="197"/>
      <c r="AT258" s="240">
        <v>1</v>
      </c>
      <c r="AU258" s="197"/>
      <c r="AV258" s="240">
        <v>1</v>
      </c>
      <c r="AW258" s="197"/>
      <c r="AX258" s="197">
        <f>AP258</f>
        <v>1</v>
      </c>
      <c r="AY258" s="197">
        <f>AX258</f>
        <v>1</v>
      </c>
      <c r="AZ258" s="197">
        <v>1</v>
      </c>
      <c r="BA258" s="399">
        <v>1</v>
      </c>
      <c r="BB258" s="197">
        <v>1</v>
      </c>
      <c r="BC258" s="197">
        <v>0.25</v>
      </c>
      <c r="BD258" s="199"/>
      <c r="BE258" s="197">
        <v>1</v>
      </c>
      <c r="BF258" s="199"/>
      <c r="BG258" s="197">
        <v>1</v>
      </c>
      <c r="BH258" s="199"/>
      <c r="BI258" s="197">
        <v>1</v>
      </c>
      <c r="BJ258" s="199"/>
      <c r="BK258" s="197">
        <v>1</v>
      </c>
      <c r="BL258" s="58">
        <f t="shared" si="21"/>
        <v>1</v>
      </c>
      <c r="BM258" s="58">
        <f t="shared" si="22"/>
        <v>1</v>
      </c>
      <c r="BN258" s="58">
        <v>1</v>
      </c>
      <c r="BO258" s="204"/>
      <c r="BP258" s="204"/>
      <c r="BQ258" s="204"/>
      <c r="BR258" s="204"/>
      <c r="BS258" s="204"/>
      <c r="BT258" s="204"/>
      <c r="BU258" s="204"/>
      <c r="BV258" s="204"/>
      <c r="BW258" s="204"/>
      <c r="BX258" s="204"/>
      <c r="BY258" s="204"/>
      <c r="BZ258" s="204"/>
      <c r="CA258" s="204"/>
      <c r="CB258" s="204"/>
      <c r="CC258" s="204"/>
      <c r="CD258" s="204"/>
      <c r="CE258" s="204"/>
      <c r="CF258" s="204"/>
      <c r="CG258" s="204"/>
      <c r="CH258" s="204"/>
      <c r="CI258" s="204"/>
      <c r="CJ258" s="204"/>
      <c r="CK258" s="204"/>
      <c r="CL258" s="204"/>
      <c r="CM258" s="204"/>
      <c r="CN258" s="204"/>
      <c r="CO258" s="204"/>
      <c r="CP258" s="204"/>
      <c r="CQ258" s="204"/>
      <c r="CR258" s="204"/>
      <c r="CS258" s="204"/>
      <c r="CT258" s="204"/>
      <c r="CU258" s="204"/>
      <c r="CV258" s="204"/>
      <c r="CW258" s="204"/>
      <c r="CX258" s="204"/>
      <c r="CY258" s="204"/>
    </row>
    <row r="259" spans="1:103" ht="33" customHeight="1" x14ac:dyDescent="0.2">
      <c r="A259" s="1820"/>
      <c r="B259" s="1826"/>
      <c r="C259" s="462"/>
      <c r="D259" s="462"/>
      <c r="E259" s="195"/>
      <c r="F259" s="195"/>
      <c r="G259" s="195"/>
      <c r="H259" s="195"/>
      <c r="I259" s="195"/>
      <c r="J259" s="195"/>
      <c r="K259" s="195"/>
      <c r="L259" s="195"/>
      <c r="M259" s="195"/>
      <c r="N259" s="195"/>
      <c r="O259" s="195"/>
      <c r="P259" s="195"/>
      <c r="Q259" s="195"/>
      <c r="R259" s="195"/>
      <c r="S259" s="195"/>
      <c r="T259" s="462"/>
      <c r="U259" s="1830"/>
      <c r="V259" s="462" t="s">
        <v>1268</v>
      </c>
      <c r="W259" s="326">
        <v>1</v>
      </c>
      <c r="X259" s="1241" t="s">
        <v>2260</v>
      </c>
      <c r="Y259" s="294">
        <v>1</v>
      </c>
      <c r="Z259" s="199" t="s">
        <v>177</v>
      </c>
      <c r="AA259" s="197">
        <v>0.25</v>
      </c>
      <c r="AB259" s="197">
        <v>0.8</v>
      </c>
      <c r="AC259" s="197"/>
      <c r="AD259" s="197">
        <v>0.25</v>
      </c>
      <c r="AE259" s="230">
        <f>AB259/Y259</f>
        <v>0.8</v>
      </c>
      <c r="AF259" s="199"/>
      <c r="AG259" s="199"/>
      <c r="AH259" s="199"/>
      <c r="AI259" s="196"/>
      <c r="AJ259" s="199"/>
      <c r="AK259" s="199"/>
      <c r="AL259" s="199"/>
      <c r="AM259" s="199"/>
      <c r="AN259" s="199"/>
      <c r="AO259" s="197">
        <v>1</v>
      </c>
      <c r="AP259" s="197">
        <v>0.2</v>
      </c>
      <c r="AQ259" s="197"/>
      <c r="AR259" s="230">
        <v>0.5</v>
      </c>
      <c r="AS259" s="197"/>
      <c r="AT259" s="197">
        <v>0.1</v>
      </c>
      <c r="AU259" s="197"/>
      <c r="AV259" s="197"/>
      <c r="AW259" s="197"/>
      <c r="AX259" s="230">
        <f>+AP259+AR259+AT259</f>
        <v>0.79999999999999993</v>
      </c>
      <c r="AY259" s="197">
        <f>AX259/AO259</f>
        <v>0.79999999999999993</v>
      </c>
      <c r="AZ259" s="197">
        <f>AX259</f>
        <v>0.79999999999999993</v>
      </c>
      <c r="BA259" s="233">
        <v>0.8</v>
      </c>
      <c r="BB259" s="197">
        <v>0.8</v>
      </c>
      <c r="BC259" s="199">
        <v>0</v>
      </c>
      <c r="BD259" s="199"/>
      <c r="BE259" s="199">
        <v>0</v>
      </c>
      <c r="BF259" s="199"/>
      <c r="BG259" s="199">
        <v>0</v>
      </c>
      <c r="BH259" s="199"/>
      <c r="BI259" s="197">
        <v>0</v>
      </c>
      <c r="BJ259" s="199"/>
      <c r="BK259" s="199">
        <f t="shared" si="20"/>
        <v>0</v>
      </c>
      <c r="BL259" s="58">
        <f t="shared" si="21"/>
        <v>0</v>
      </c>
      <c r="BM259" s="58">
        <f t="shared" si="22"/>
        <v>0.79999999999999993</v>
      </c>
      <c r="BN259" s="58">
        <f>BA259</f>
        <v>0.8</v>
      </c>
      <c r="BO259" s="204"/>
      <c r="BP259" s="204"/>
      <c r="BQ259" s="204"/>
      <c r="BR259" s="204"/>
      <c r="BS259" s="204"/>
      <c r="BT259" s="204"/>
      <c r="BU259" s="204"/>
      <c r="BV259" s="204"/>
      <c r="BW259" s="204"/>
      <c r="BX259" s="204"/>
      <c r="BY259" s="204"/>
      <c r="BZ259" s="204"/>
      <c r="CA259" s="204"/>
      <c r="CB259" s="204"/>
      <c r="CC259" s="204"/>
      <c r="CD259" s="204"/>
      <c r="CE259" s="204"/>
      <c r="CF259" s="204"/>
      <c r="CG259" s="204"/>
      <c r="CH259" s="204"/>
      <c r="CI259" s="204"/>
      <c r="CJ259" s="204"/>
      <c r="CK259" s="204"/>
      <c r="CL259" s="204"/>
      <c r="CM259" s="204"/>
      <c r="CN259" s="204"/>
      <c r="CO259" s="204"/>
      <c r="CP259" s="204"/>
      <c r="CQ259" s="204"/>
      <c r="CR259" s="204"/>
      <c r="CS259" s="204"/>
      <c r="CT259" s="204"/>
      <c r="CU259" s="204"/>
      <c r="CV259" s="204"/>
      <c r="CW259" s="204"/>
      <c r="CX259" s="204"/>
      <c r="CY259" s="204"/>
    </row>
    <row r="260" spans="1:103" ht="45.75" customHeight="1" x14ac:dyDescent="0.2">
      <c r="A260" s="1820"/>
      <c r="B260" s="1826"/>
      <c r="C260" s="462"/>
      <c r="D260" s="462"/>
      <c r="E260" s="195"/>
      <c r="F260" s="195"/>
      <c r="G260" s="195"/>
      <c r="H260" s="195"/>
      <c r="I260" s="195"/>
      <c r="J260" s="195"/>
      <c r="K260" s="195"/>
      <c r="L260" s="195"/>
      <c r="M260" s="195"/>
      <c r="N260" s="195"/>
      <c r="O260" s="195"/>
      <c r="P260" s="195"/>
      <c r="Q260" s="195"/>
      <c r="R260" s="195"/>
      <c r="S260" s="195"/>
      <c r="T260" s="462"/>
      <c r="U260" s="1830"/>
      <c r="V260" s="194" t="s">
        <v>1269</v>
      </c>
      <c r="W260" s="194" t="s">
        <v>1270</v>
      </c>
      <c r="X260" s="1241" t="s">
        <v>1271</v>
      </c>
      <c r="Y260" s="294">
        <v>1</v>
      </c>
      <c r="Z260" s="199" t="s">
        <v>177</v>
      </c>
      <c r="AA260" s="199">
        <v>1</v>
      </c>
      <c r="AB260" s="199">
        <v>1</v>
      </c>
      <c r="AC260" s="199"/>
      <c r="AD260" s="197">
        <v>0.33</v>
      </c>
      <c r="AE260" s="230">
        <f>AB260/Y260</f>
        <v>1</v>
      </c>
      <c r="AF260" s="199"/>
      <c r="AG260" s="199"/>
      <c r="AH260" s="199"/>
      <c r="AI260" s="196"/>
      <c r="AJ260" s="199"/>
      <c r="AK260" s="199"/>
      <c r="AL260" s="199"/>
      <c r="AM260" s="199"/>
      <c r="AN260" s="199"/>
      <c r="AO260" s="199">
        <v>1</v>
      </c>
      <c r="AP260" s="244">
        <v>0</v>
      </c>
      <c r="AQ260" s="244"/>
      <c r="AR260" s="230">
        <v>0</v>
      </c>
      <c r="AS260" s="244"/>
      <c r="AT260" s="244"/>
      <c r="AU260" s="244"/>
      <c r="AV260" s="244"/>
      <c r="AW260" s="244"/>
      <c r="AX260" s="230">
        <f>+AP260+AR260</f>
        <v>0</v>
      </c>
      <c r="AY260" s="465">
        <f>AX260/AO260</f>
        <v>0</v>
      </c>
      <c r="AZ260" s="466">
        <f>AX260+AM260</f>
        <v>0</v>
      </c>
      <c r="BA260" s="467">
        <v>0</v>
      </c>
      <c r="BB260" s="199">
        <v>1</v>
      </c>
      <c r="BC260" s="199">
        <v>0</v>
      </c>
      <c r="BD260" s="199"/>
      <c r="BE260" s="199">
        <v>0</v>
      </c>
      <c r="BF260" s="199"/>
      <c r="BG260" s="199">
        <v>0</v>
      </c>
      <c r="BH260" s="199"/>
      <c r="BI260" s="197">
        <v>0</v>
      </c>
      <c r="BJ260" s="199"/>
      <c r="BK260" s="199">
        <f t="shared" si="20"/>
        <v>0</v>
      </c>
      <c r="BL260" s="58">
        <f t="shared" si="21"/>
        <v>0</v>
      </c>
      <c r="BM260" s="58">
        <f t="shared" si="22"/>
        <v>0</v>
      </c>
      <c r="BN260" s="58">
        <f>BA260</f>
        <v>0</v>
      </c>
      <c r="BO260" s="204"/>
      <c r="BP260" s="204"/>
      <c r="BQ260" s="204"/>
      <c r="BR260" s="204"/>
      <c r="BS260" s="204"/>
      <c r="BT260" s="204"/>
      <c r="BU260" s="204"/>
      <c r="BV260" s="204"/>
      <c r="BW260" s="204"/>
      <c r="BX260" s="204"/>
      <c r="BY260" s="204"/>
      <c r="BZ260" s="204"/>
      <c r="CA260" s="204"/>
      <c r="CB260" s="204"/>
      <c r="CC260" s="204"/>
      <c r="CD260" s="204"/>
      <c r="CE260" s="204"/>
      <c r="CF260" s="204"/>
      <c r="CG260" s="204"/>
      <c r="CH260" s="204"/>
      <c r="CI260" s="204"/>
      <c r="CJ260" s="204"/>
      <c r="CK260" s="204"/>
      <c r="CL260" s="204"/>
      <c r="CM260" s="204"/>
      <c r="CN260" s="204"/>
      <c r="CO260" s="204"/>
      <c r="CP260" s="204"/>
      <c r="CQ260" s="204"/>
      <c r="CR260" s="204"/>
      <c r="CS260" s="204"/>
      <c r="CT260" s="204"/>
      <c r="CU260" s="204"/>
      <c r="CV260" s="204"/>
      <c r="CW260" s="204"/>
      <c r="CX260" s="204"/>
      <c r="CY260" s="204"/>
    </row>
    <row r="261" spans="1:103" ht="15.75" customHeight="1" x14ac:dyDescent="0.2">
      <c r="A261" s="1820"/>
      <c r="B261" s="1826"/>
      <c r="C261" s="462"/>
      <c r="D261" s="462"/>
      <c r="E261" s="195"/>
      <c r="F261" s="195"/>
      <c r="G261" s="195"/>
      <c r="H261" s="195"/>
      <c r="I261" s="195"/>
      <c r="J261" s="195"/>
      <c r="K261" s="195"/>
      <c r="L261" s="195"/>
      <c r="M261" s="195"/>
      <c r="N261" s="195"/>
      <c r="O261" s="195"/>
      <c r="P261" s="195"/>
      <c r="Q261" s="195"/>
      <c r="R261" s="195"/>
      <c r="S261" s="195"/>
      <c r="T261" s="462"/>
      <c r="U261" s="1831"/>
      <c r="V261" s="246"/>
      <c r="W261" s="246"/>
      <c r="X261" s="1454"/>
      <c r="Y261" s="246"/>
      <c r="Z261" s="247"/>
      <c r="AA261" s="247"/>
      <c r="AB261" s="247"/>
      <c r="AC261" s="252">
        <f>AVERAGE(AC254:AC260)</f>
        <v>0.33124999999999999</v>
      </c>
      <c r="AD261" s="252">
        <f>AVERAGE(AD254:AD260)</f>
        <v>0.33471428571428569</v>
      </c>
      <c r="AE261" s="252">
        <f>AVERAGE(AE254:AE260)</f>
        <v>0.73333333333333339</v>
      </c>
      <c r="AF261" s="247"/>
      <c r="AG261" s="247"/>
      <c r="AH261" s="247"/>
      <c r="AI261" s="251"/>
      <c r="AJ261" s="247"/>
      <c r="AK261" s="247"/>
      <c r="AL261" s="252">
        <f>AVERAGE(AL254:AL260)</f>
        <v>0.95000000000000007</v>
      </c>
      <c r="AM261" s="296"/>
      <c r="AN261" s="252">
        <f>AVERAGE(AN254:AN260)</f>
        <v>0.38875000000000004</v>
      </c>
      <c r="AO261" s="317"/>
      <c r="AP261" s="195"/>
      <c r="AQ261" s="195"/>
      <c r="AR261" s="195"/>
      <c r="AS261" s="195"/>
      <c r="AT261" s="199"/>
      <c r="AU261" s="195"/>
      <c r="AV261" s="195"/>
      <c r="AW261" s="195"/>
      <c r="AX261" s="195"/>
      <c r="AY261" s="252">
        <f>AVERAGE(AY254:AY260)</f>
        <v>0.80728571428571427</v>
      </c>
      <c r="AZ261" s="296"/>
      <c r="BA261" s="397">
        <f>AVERAGE(BA254:BA260)</f>
        <v>0.80285714285714282</v>
      </c>
      <c r="BB261" s="195"/>
      <c r="BC261" s="195"/>
      <c r="BD261" s="195"/>
      <c r="BE261" s="195"/>
      <c r="BF261" s="195"/>
      <c r="BG261" s="195"/>
      <c r="BH261" s="195"/>
      <c r="BI261" s="195"/>
      <c r="BJ261" s="195"/>
      <c r="BK261" s="195"/>
      <c r="BL261" s="397">
        <f>AVERAGE(BL254:BL260)</f>
        <v>0.7142857142857143</v>
      </c>
      <c r="BM261" s="195"/>
      <c r="BN261" s="397">
        <f>AVERAGE(BN254:BN260)</f>
        <v>0.82857142857142851</v>
      </c>
      <c r="BO261" s="204"/>
      <c r="BP261" s="204"/>
      <c r="BQ261" s="204"/>
      <c r="BR261" s="204"/>
      <c r="BS261" s="204"/>
      <c r="BT261" s="204"/>
      <c r="BU261" s="204"/>
      <c r="BV261" s="204"/>
      <c r="BW261" s="204"/>
      <c r="BX261" s="204"/>
      <c r="BY261" s="204"/>
      <c r="BZ261" s="204"/>
      <c r="CA261" s="204"/>
      <c r="CB261" s="204"/>
      <c r="CC261" s="204"/>
      <c r="CD261" s="204"/>
      <c r="CE261" s="204"/>
      <c r="CF261" s="204"/>
      <c r="CG261" s="204"/>
      <c r="CH261" s="204"/>
      <c r="CI261" s="204"/>
      <c r="CJ261" s="204"/>
      <c r="CK261" s="204"/>
      <c r="CL261" s="204"/>
      <c r="CM261" s="204"/>
      <c r="CN261" s="204"/>
      <c r="CO261" s="204"/>
      <c r="CP261" s="204"/>
      <c r="CQ261" s="204"/>
      <c r="CR261" s="204"/>
      <c r="CS261" s="204"/>
      <c r="CT261" s="204"/>
      <c r="CU261" s="204"/>
      <c r="CV261" s="204"/>
      <c r="CW261" s="204"/>
      <c r="CX261" s="204"/>
      <c r="CY261" s="204"/>
    </row>
    <row r="262" spans="1:103" ht="39" customHeight="1" x14ac:dyDescent="0.2">
      <c r="A262" s="1820"/>
      <c r="B262" s="1826"/>
      <c r="C262" s="462"/>
      <c r="D262" s="462"/>
      <c r="E262" s="195"/>
      <c r="F262" s="195"/>
      <c r="G262" s="195"/>
      <c r="H262" s="195"/>
      <c r="I262" s="195"/>
      <c r="J262" s="195"/>
      <c r="K262" s="195"/>
      <c r="L262" s="195"/>
      <c r="M262" s="195"/>
      <c r="N262" s="195"/>
      <c r="O262" s="195"/>
      <c r="P262" s="195"/>
      <c r="Q262" s="195"/>
      <c r="R262" s="195"/>
      <c r="S262" s="195"/>
      <c r="T262" s="462"/>
      <c r="U262" s="1829" t="s">
        <v>1272</v>
      </c>
      <c r="V262" s="194" t="s">
        <v>1273</v>
      </c>
      <c r="W262" s="194">
        <v>0</v>
      </c>
      <c r="X262" s="1459" t="s">
        <v>1274</v>
      </c>
      <c r="Y262" s="294">
        <v>1</v>
      </c>
      <c r="Z262" s="197">
        <v>0.05</v>
      </c>
      <c r="AA262" s="199" t="s">
        <v>177</v>
      </c>
      <c r="AB262" s="197">
        <v>0.5</v>
      </c>
      <c r="AC262" s="197">
        <f>+Z262</f>
        <v>0.05</v>
      </c>
      <c r="AD262" s="197"/>
      <c r="AE262" s="230">
        <f>AB262/Y262</f>
        <v>0.5</v>
      </c>
      <c r="AF262" s="199">
        <v>0</v>
      </c>
      <c r="AG262" s="199">
        <v>0</v>
      </c>
      <c r="AH262" s="199"/>
      <c r="AI262" s="196">
        <v>0</v>
      </c>
      <c r="AJ262" s="199"/>
      <c r="AK262" s="196">
        <f>+AI262</f>
        <v>0</v>
      </c>
      <c r="AL262" s="197">
        <f>+AK262/Z262</f>
        <v>0</v>
      </c>
      <c r="AM262" s="197">
        <f>+AK262</f>
        <v>0</v>
      </c>
      <c r="AN262" s="197">
        <f>+AM262/Y262</f>
        <v>0</v>
      </c>
      <c r="AO262" s="234" t="s">
        <v>177</v>
      </c>
      <c r="AP262" s="199"/>
      <c r="AQ262" s="199"/>
      <c r="AR262" s="199"/>
      <c r="AS262" s="199"/>
      <c r="AT262" s="199"/>
      <c r="AU262" s="199"/>
      <c r="AV262" s="197">
        <v>0.1</v>
      </c>
      <c r="AW262" s="199"/>
      <c r="AX262" s="197">
        <f>+AV262</f>
        <v>0.1</v>
      </c>
      <c r="AY262" s="197"/>
      <c r="AZ262" s="197">
        <f>+AX262</f>
        <v>0.1</v>
      </c>
      <c r="BA262" s="233">
        <f>+AZ262</f>
        <v>0.1</v>
      </c>
      <c r="BB262" s="197">
        <v>0.5</v>
      </c>
      <c r="BC262" s="197">
        <v>0.15</v>
      </c>
      <c r="BD262" s="199"/>
      <c r="BE262" s="199">
        <v>0</v>
      </c>
      <c r="BF262" s="199"/>
      <c r="BG262" s="199">
        <v>0</v>
      </c>
      <c r="BH262" s="199"/>
      <c r="BI262" s="199">
        <v>0.75</v>
      </c>
      <c r="BJ262" s="199"/>
      <c r="BK262" s="197">
        <f>BC262+BI262</f>
        <v>0.9</v>
      </c>
      <c r="BL262" s="58">
        <f>IFERROR(IF((+BK262/BB262)&gt;100%,100%,(+BK262/BB262)),"NP")</f>
        <v>1</v>
      </c>
      <c r="BM262" s="58">
        <f>IFERROR(IF((+AZ262+BK262)&gt;100%,100%,(+AZ262+BK262)),"NP")</f>
        <v>1</v>
      </c>
      <c r="BN262" s="58">
        <f>BM262/Y262</f>
        <v>1</v>
      </c>
      <c r="BO262" s="204"/>
      <c r="BP262" s="204"/>
      <c r="BQ262" s="204"/>
      <c r="BR262" s="204"/>
      <c r="BS262" s="204"/>
      <c r="BT262" s="204"/>
      <c r="BU262" s="204"/>
      <c r="BV262" s="204"/>
      <c r="BW262" s="204"/>
      <c r="BX262" s="204"/>
      <c r="BY262" s="204"/>
      <c r="BZ262" s="204"/>
      <c r="CA262" s="204"/>
      <c r="CB262" s="204"/>
      <c r="CC262" s="204"/>
      <c r="CD262" s="204"/>
      <c r="CE262" s="204"/>
      <c r="CF262" s="204"/>
      <c r="CG262" s="204"/>
      <c r="CH262" s="204"/>
      <c r="CI262" s="204"/>
      <c r="CJ262" s="204"/>
      <c r="CK262" s="204"/>
      <c r="CL262" s="204"/>
      <c r="CM262" s="204"/>
      <c r="CN262" s="204"/>
      <c r="CO262" s="204"/>
      <c r="CP262" s="204"/>
      <c r="CQ262" s="204"/>
      <c r="CR262" s="204"/>
      <c r="CS262" s="204"/>
      <c r="CT262" s="204"/>
      <c r="CU262" s="204"/>
      <c r="CV262" s="204"/>
      <c r="CW262" s="204"/>
      <c r="CX262" s="204"/>
      <c r="CY262" s="204"/>
    </row>
    <row r="263" spans="1:103" ht="74.25" customHeight="1" x14ac:dyDescent="0.2">
      <c r="A263" s="1820"/>
      <c r="B263" s="1826"/>
      <c r="C263" s="462"/>
      <c r="D263" s="462"/>
      <c r="E263" s="195"/>
      <c r="F263" s="195"/>
      <c r="G263" s="195"/>
      <c r="H263" s="195"/>
      <c r="I263" s="195"/>
      <c r="J263" s="195"/>
      <c r="K263" s="195"/>
      <c r="L263" s="195"/>
      <c r="M263" s="195"/>
      <c r="N263" s="195"/>
      <c r="O263" s="195"/>
      <c r="P263" s="195"/>
      <c r="Q263" s="195"/>
      <c r="R263" s="195"/>
      <c r="S263" s="195"/>
      <c r="T263" s="462"/>
      <c r="U263" s="1830"/>
      <c r="V263" s="194" t="s">
        <v>1275</v>
      </c>
      <c r="W263" s="194">
        <v>0</v>
      </c>
      <c r="X263" s="1459" t="s">
        <v>1275</v>
      </c>
      <c r="Y263" s="220">
        <v>1</v>
      </c>
      <c r="Z263" s="199">
        <v>1</v>
      </c>
      <c r="AA263" s="199">
        <v>1</v>
      </c>
      <c r="AB263" s="199">
        <v>1</v>
      </c>
      <c r="AC263" s="197">
        <v>0.25</v>
      </c>
      <c r="AD263" s="197">
        <v>0.25</v>
      </c>
      <c r="AE263" s="230"/>
      <c r="AF263" s="199">
        <v>0</v>
      </c>
      <c r="AG263" s="199">
        <v>0</v>
      </c>
      <c r="AH263" s="199"/>
      <c r="AI263" s="196">
        <v>0</v>
      </c>
      <c r="AJ263" s="199"/>
      <c r="AK263" s="199">
        <f>+AG263</f>
        <v>0</v>
      </c>
      <c r="AL263" s="197">
        <f>+AK263/Z263</f>
        <v>0</v>
      </c>
      <c r="AM263" s="197">
        <f>+AK263</f>
        <v>0</v>
      </c>
      <c r="AN263" s="197">
        <f>+AM263/Y263</f>
        <v>0</v>
      </c>
      <c r="AO263" s="234">
        <v>1</v>
      </c>
      <c r="AP263" s="199">
        <v>0</v>
      </c>
      <c r="AQ263" s="199"/>
      <c r="AR263" s="199">
        <v>0</v>
      </c>
      <c r="AS263" s="199"/>
      <c r="AT263" s="199"/>
      <c r="AU263" s="199"/>
      <c r="AV263" s="199">
        <v>1</v>
      </c>
      <c r="AW263" s="199"/>
      <c r="AX263" s="199">
        <f>+AV263</f>
        <v>1</v>
      </c>
      <c r="AY263" s="197">
        <f>AX263/AO263</f>
        <v>1</v>
      </c>
      <c r="AZ263" s="197">
        <f>AX263+AM263</f>
        <v>1</v>
      </c>
      <c r="BA263" s="233">
        <f>AZ263/Y263</f>
        <v>1</v>
      </c>
      <c r="BB263" s="199">
        <v>1</v>
      </c>
      <c r="BC263" s="197">
        <v>1</v>
      </c>
      <c r="BD263" s="199"/>
      <c r="BE263" s="199">
        <v>1</v>
      </c>
      <c r="BF263" s="199"/>
      <c r="BG263" s="199">
        <v>0</v>
      </c>
      <c r="BH263" s="199"/>
      <c r="BI263" s="199">
        <v>0</v>
      </c>
      <c r="BJ263" s="199"/>
      <c r="BK263" s="197">
        <f>BC263</f>
        <v>1</v>
      </c>
      <c r="BL263" s="58">
        <f>IFERROR(IF((+BK263/BB263)&gt;100%,100%,(+BK263/BB263)),"NP")</f>
        <v>1</v>
      </c>
      <c r="BM263" s="58">
        <f>IFERROR(IF((+AZ263+BK263)&gt;100%,100%,(+AZ263+BK263)),"NP")</f>
        <v>1</v>
      </c>
      <c r="BN263" s="58">
        <f>BA263</f>
        <v>1</v>
      </c>
      <c r="BO263" s="204"/>
      <c r="BP263" s="204"/>
      <c r="BQ263" s="204"/>
      <c r="BR263" s="204"/>
      <c r="BS263" s="204"/>
      <c r="BT263" s="204"/>
      <c r="BU263" s="204"/>
      <c r="BV263" s="204"/>
      <c r="BW263" s="204"/>
      <c r="BX263" s="204"/>
      <c r="BY263" s="204"/>
      <c r="BZ263" s="204"/>
      <c r="CA263" s="204"/>
      <c r="CB263" s="204"/>
      <c r="CC263" s="204"/>
      <c r="CD263" s="204"/>
      <c r="CE263" s="204"/>
      <c r="CF263" s="204"/>
      <c r="CG263" s="204"/>
      <c r="CH263" s="204"/>
      <c r="CI263" s="204"/>
      <c r="CJ263" s="204"/>
      <c r="CK263" s="204"/>
      <c r="CL263" s="204"/>
      <c r="CM263" s="204"/>
      <c r="CN263" s="204"/>
      <c r="CO263" s="204"/>
      <c r="CP263" s="204"/>
      <c r="CQ263" s="204"/>
      <c r="CR263" s="204"/>
      <c r="CS263" s="204"/>
      <c r="CT263" s="204"/>
      <c r="CU263" s="204"/>
      <c r="CV263" s="204"/>
      <c r="CW263" s="204"/>
      <c r="CX263" s="204"/>
      <c r="CY263" s="204"/>
    </row>
    <row r="264" spans="1:103" ht="21.75" customHeight="1" x14ac:dyDescent="0.2">
      <c r="A264" s="1820"/>
      <c r="B264" s="1826"/>
      <c r="C264" s="195"/>
      <c r="D264" s="195"/>
      <c r="E264" s="195"/>
      <c r="F264" s="195"/>
      <c r="G264" s="195"/>
      <c r="H264" s="195"/>
      <c r="I264" s="195"/>
      <c r="J264" s="195"/>
      <c r="K264" s="195"/>
      <c r="L264" s="195"/>
      <c r="M264" s="195"/>
      <c r="N264" s="195"/>
      <c r="O264" s="195"/>
      <c r="P264" s="195"/>
      <c r="Q264" s="195"/>
      <c r="R264" s="195"/>
      <c r="S264" s="195"/>
      <c r="T264" s="195"/>
      <c r="U264" s="1831"/>
      <c r="V264" s="290"/>
      <c r="W264" s="290"/>
      <c r="X264" s="890"/>
      <c r="Y264" s="247"/>
      <c r="Z264" s="247"/>
      <c r="AA264" s="247"/>
      <c r="AB264" s="247"/>
      <c r="AC264" s="252">
        <f>AVERAGE(AC262:AC263)</f>
        <v>0.15</v>
      </c>
      <c r="AD264" s="252">
        <f>+AD263</f>
        <v>0.25</v>
      </c>
      <c r="AE264" s="252">
        <f>AVERAGE(AE262:AE263)</f>
        <v>0.5</v>
      </c>
      <c r="AF264" s="247"/>
      <c r="AG264" s="247"/>
      <c r="AH264" s="247"/>
      <c r="AI264" s="251"/>
      <c r="AJ264" s="247"/>
      <c r="AK264" s="247"/>
      <c r="AL264" s="252">
        <f>AVERAGE(AL262:AL263)</f>
        <v>0</v>
      </c>
      <c r="AM264" s="296"/>
      <c r="AN264" s="252">
        <f>AVERAGE(AN262:AN263)</f>
        <v>0</v>
      </c>
      <c r="AO264" s="247"/>
      <c r="AP264" s="204"/>
      <c r="AQ264" s="204"/>
      <c r="AR264" s="204"/>
      <c r="AS264" s="204"/>
      <c r="AT264" s="254"/>
      <c r="AU264" s="204"/>
      <c r="AV264" s="204"/>
      <c r="AW264" s="204"/>
      <c r="AX264" s="195"/>
      <c r="AY264" s="252">
        <f>AVERAGE(AY262:AY263)</f>
        <v>1</v>
      </c>
      <c r="AZ264" s="296"/>
      <c r="BA264" s="252">
        <f>AVERAGE(BA262:BA263)</f>
        <v>0.55000000000000004</v>
      </c>
      <c r="BB264" s="195"/>
      <c r="BC264" s="195"/>
      <c r="BD264" s="195"/>
      <c r="BE264" s="195"/>
      <c r="BF264" s="195"/>
      <c r="BG264" s="195"/>
      <c r="BH264" s="195"/>
      <c r="BI264" s="195"/>
      <c r="BJ264" s="195"/>
      <c r="BK264" s="195"/>
      <c r="BL264" s="252">
        <f>AVERAGE(BL262:BL263)</f>
        <v>1</v>
      </c>
      <c r="BM264" s="195"/>
      <c r="BN264" s="252">
        <f>AVERAGE(BN262:BN263)</f>
        <v>1</v>
      </c>
      <c r="BO264" s="204"/>
      <c r="BP264" s="204"/>
      <c r="BQ264" s="204"/>
      <c r="BR264" s="204"/>
      <c r="BS264" s="204"/>
      <c r="BT264" s="204"/>
      <c r="BU264" s="204"/>
      <c r="BV264" s="204"/>
      <c r="BW264" s="204"/>
      <c r="BX264" s="204"/>
      <c r="BY264" s="204"/>
      <c r="BZ264" s="204"/>
      <c r="CA264" s="204"/>
      <c r="CB264" s="204"/>
      <c r="CC264" s="204"/>
      <c r="CD264" s="204"/>
      <c r="CE264" s="204"/>
      <c r="CF264" s="204"/>
      <c r="CG264" s="204"/>
      <c r="CH264" s="204"/>
      <c r="CI264" s="204"/>
      <c r="CJ264" s="204"/>
      <c r="CK264" s="204"/>
      <c r="CL264" s="204"/>
      <c r="CM264" s="204"/>
      <c r="CN264" s="204"/>
      <c r="CO264" s="204"/>
      <c r="CP264" s="204"/>
      <c r="CQ264" s="204"/>
      <c r="CR264" s="204"/>
      <c r="CS264" s="204"/>
      <c r="CT264" s="204"/>
      <c r="CU264" s="204"/>
      <c r="CV264" s="204"/>
      <c r="CW264" s="204"/>
      <c r="CX264" s="204"/>
      <c r="CY264" s="204"/>
    </row>
    <row r="265" spans="1:103" ht="15.75" customHeight="1" x14ac:dyDescent="0.2">
      <c r="A265" s="1820"/>
      <c r="B265" s="1827"/>
      <c r="C265" s="263"/>
      <c r="D265" s="263"/>
      <c r="E265" s="263"/>
      <c r="F265" s="263"/>
      <c r="G265" s="263"/>
      <c r="H265" s="263"/>
      <c r="I265" s="263"/>
      <c r="J265" s="263"/>
      <c r="K265" s="263"/>
      <c r="L265" s="263"/>
      <c r="M265" s="263"/>
      <c r="N265" s="263"/>
      <c r="O265" s="263"/>
      <c r="P265" s="263"/>
      <c r="Q265" s="263"/>
      <c r="R265" s="263"/>
      <c r="S265" s="263"/>
      <c r="T265" s="263"/>
      <c r="U265" s="468"/>
      <c r="V265" s="263"/>
      <c r="W265" s="263"/>
      <c r="X265" s="1466"/>
      <c r="Y265" s="264"/>
      <c r="Z265" s="264"/>
      <c r="AA265" s="264"/>
      <c r="AB265" s="264"/>
      <c r="AC265" s="469">
        <f>+(AC264+AC261)/2</f>
        <v>0.24062499999999998</v>
      </c>
      <c r="AD265" s="469">
        <f>+(AD264+AD261)/2</f>
        <v>0.29235714285714287</v>
      </c>
      <c r="AE265" s="469">
        <f>+(AE264+AE261)/2</f>
        <v>0.6166666666666667</v>
      </c>
      <c r="AF265" s="264"/>
      <c r="AG265" s="264"/>
      <c r="AH265" s="264"/>
      <c r="AI265" s="338"/>
      <c r="AJ265" s="264"/>
      <c r="AK265" s="264"/>
      <c r="AL265" s="265">
        <f>+(AL264+AL261)/2</f>
        <v>0.47500000000000003</v>
      </c>
      <c r="AM265" s="265"/>
      <c r="AN265" s="265">
        <f>+(AN264+AN261)/2</f>
        <v>0.19437500000000002</v>
      </c>
      <c r="AO265" s="264"/>
      <c r="AP265" s="204"/>
      <c r="AQ265" s="204"/>
      <c r="AR265" s="204"/>
      <c r="AS265" s="204"/>
      <c r="AT265" s="254"/>
      <c r="AU265" s="204"/>
      <c r="AV265" s="204"/>
      <c r="AW265" s="204"/>
      <c r="AX265" s="195"/>
      <c r="AY265" s="265">
        <f>+(AY264+AY261)/2</f>
        <v>0.90364285714285719</v>
      </c>
      <c r="AZ265" s="265"/>
      <c r="BA265" s="265">
        <f>+(BA264+BA261)/2</f>
        <v>0.67642857142857138</v>
      </c>
      <c r="BB265" s="195"/>
      <c r="BC265" s="195"/>
      <c r="BD265" s="195"/>
      <c r="BE265" s="195"/>
      <c r="BF265" s="195"/>
      <c r="BG265" s="195"/>
      <c r="BH265" s="195"/>
      <c r="BI265" s="195"/>
      <c r="BJ265" s="195"/>
      <c r="BK265" s="195"/>
      <c r="BL265" s="265">
        <f>+(BL264+BL261)/2</f>
        <v>0.85714285714285721</v>
      </c>
      <c r="BM265" s="195"/>
      <c r="BN265" s="265">
        <f>+(BN264+BN261)/2</f>
        <v>0.91428571428571426</v>
      </c>
      <c r="BO265" s="204"/>
      <c r="BP265" s="204"/>
      <c r="BQ265" s="204"/>
      <c r="BR265" s="204"/>
      <c r="BS265" s="204"/>
      <c r="BT265" s="204"/>
      <c r="BU265" s="204"/>
      <c r="BV265" s="204"/>
      <c r="BW265" s="204"/>
      <c r="BX265" s="204"/>
      <c r="BY265" s="204"/>
      <c r="BZ265" s="204"/>
      <c r="CA265" s="204"/>
      <c r="CB265" s="204"/>
      <c r="CC265" s="204"/>
      <c r="CD265" s="204"/>
      <c r="CE265" s="204"/>
      <c r="CF265" s="204"/>
      <c r="CG265" s="204"/>
      <c r="CH265" s="204"/>
      <c r="CI265" s="204"/>
      <c r="CJ265" s="204"/>
      <c r="CK265" s="204"/>
      <c r="CL265" s="204"/>
      <c r="CM265" s="204"/>
      <c r="CN265" s="204"/>
      <c r="CO265" s="204"/>
      <c r="CP265" s="204"/>
      <c r="CQ265" s="204"/>
      <c r="CR265" s="204"/>
      <c r="CS265" s="204"/>
      <c r="CT265" s="204"/>
      <c r="CU265" s="204"/>
      <c r="CV265" s="204"/>
      <c r="CW265" s="204"/>
      <c r="CX265" s="204"/>
      <c r="CY265" s="204"/>
    </row>
    <row r="266" spans="1:103" ht="15.75" customHeight="1" x14ac:dyDescent="0.2">
      <c r="A266" s="1820"/>
      <c r="B266" s="195"/>
      <c r="C266" s="195"/>
      <c r="D266" s="195"/>
      <c r="E266" s="195"/>
      <c r="F266" s="195"/>
      <c r="G266" s="195"/>
      <c r="H266" s="195"/>
      <c r="I266" s="195"/>
      <c r="J266" s="195"/>
      <c r="K266" s="195"/>
      <c r="L266" s="195"/>
      <c r="M266" s="195"/>
      <c r="N266" s="195"/>
      <c r="O266" s="195"/>
      <c r="P266" s="195"/>
      <c r="Q266" s="195"/>
      <c r="R266" s="195"/>
      <c r="S266" s="195"/>
      <c r="T266" s="195"/>
      <c r="U266" s="195"/>
      <c r="V266" s="195"/>
      <c r="W266" s="195"/>
      <c r="X266" s="1467"/>
      <c r="Y266" s="199"/>
      <c r="Z266" s="199"/>
      <c r="AA266" s="199"/>
      <c r="AB266" s="199"/>
      <c r="AC266" s="199"/>
      <c r="AD266" s="199"/>
      <c r="AE266" s="199"/>
      <c r="AF266" s="199"/>
      <c r="AG266" s="199"/>
      <c r="AH266" s="199"/>
      <c r="AI266" s="196"/>
      <c r="AJ266" s="199"/>
      <c r="AK266" s="199"/>
      <c r="AL266" s="199"/>
      <c r="AM266" s="199"/>
      <c r="AN266" s="199"/>
      <c r="AO266" s="199"/>
      <c r="AP266" s="204"/>
      <c r="AQ266" s="204"/>
      <c r="AR266" s="204"/>
      <c r="AS266" s="204"/>
      <c r="AT266" s="254"/>
      <c r="AU266" s="204"/>
      <c r="AV266" s="204"/>
      <c r="AW266" s="204"/>
      <c r="AX266" s="195"/>
      <c r="AY266" s="195"/>
      <c r="AZ266" s="195"/>
      <c r="BA266" s="195"/>
      <c r="BB266" s="195"/>
      <c r="BC266" s="195"/>
      <c r="BD266" s="195"/>
      <c r="BE266" s="195"/>
      <c r="BF266" s="195"/>
      <c r="BG266" s="195"/>
      <c r="BH266" s="195"/>
      <c r="BI266" s="195"/>
      <c r="BJ266" s="195"/>
      <c r="BK266" s="195"/>
      <c r="BL266" s="195"/>
      <c r="BM266" s="195"/>
      <c r="BN266" s="195"/>
      <c r="BO266" s="204"/>
      <c r="BP266" s="204"/>
      <c r="BQ266" s="204"/>
      <c r="BR266" s="204"/>
      <c r="BS266" s="204"/>
      <c r="BT266" s="204"/>
      <c r="BU266" s="204"/>
      <c r="BV266" s="204"/>
      <c r="BW266" s="204"/>
      <c r="BX266" s="204"/>
      <c r="BY266" s="204"/>
      <c r="BZ266" s="204"/>
      <c r="CA266" s="204"/>
      <c r="CB266" s="204"/>
      <c r="CC266" s="204"/>
      <c r="CD266" s="204"/>
      <c r="CE266" s="204"/>
      <c r="CF266" s="204"/>
      <c r="CG266" s="204"/>
      <c r="CH266" s="204"/>
      <c r="CI266" s="204"/>
      <c r="CJ266" s="204"/>
      <c r="CK266" s="204"/>
      <c r="CL266" s="204"/>
      <c r="CM266" s="204"/>
      <c r="CN266" s="204"/>
      <c r="CO266" s="204"/>
      <c r="CP266" s="204"/>
      <c r="CQ266" s="204"/>
      <c r="CR266" s="204"/>
      <c r="CS266" s="204"/>
      <c r="CT266" s="204"/>
      <c r="CU266" s="204"/>
      <c r="CV266" s="204"/>
      <c r="CW266" s="204"/>
      <c r="CX266" s="204"/>
      <c r="CY266" s="204"/>
    </row>
    <row r="267" spans="1:103" ht="15.75" customHeight="1" x14ac:dyDescent="0.2">
      <c r="A267" s="1821"/>
      <c r="B267" s="195"/>
      <c r="C267" s="470"/>
      <c r="D267" s="470"/>
      <c r="E267" s="470"/>
      <c r="F267" s="470"/>
      <c r="G267" s="470"/>
      <c r="H267" s="470"/>
      <c r="I267" s="470"/>
      <c r="J267" s="470"/>
      <c r="K267" s="470"/>
      <c r="L267" s="470"/>
      <c r="M267" s="470"/>
      <c r="N267" s="470"/>
      <c r="O267" s="470"/>
      <c r="P267" s="470"/>
      <c r="Q267" s="470"/>
      <c r="R267" s="470"/>
      <c r="S267" s="470"/>
      <c r="T267" s="470"/>
      <c r="U267" s="470"/>
      <c r="V267" s="470"/>
      <c r="W267" s="470"/>
      <c r="X267" s="1468"/>
      <c r="Y267" s="471"/>
      <c r="Z267" s="471"/>
      <c r="AA267" s="471"/>
      <c r="AB267" s="471"/>
      <c r="AC267" s="471"/>
      <c r="AD267" s="471"/>
      <c r="AE267" s="471"/>
      <c r="AF267" s="471"/>
      <c r="AG267" s="471"/>
      <c r="AH267" s="471"/>
      <c r="AI267" s="472"/>
      <c r="AJ267" s="471"/>
      <c r="AK267" s="471"/>
      <c r="AL267" s="471"/>
      <c r="AM267" s="471"/>
      <c r="AN267" s="471"/>
      <c r="AO267" s="471"/>
      <c r="AP267" s="204"/>
      <c r="AQ267" s="204"/>
      <c r="AR267" s="204"/>
      <c r="AS267" s="204"/>
      <c r="AT267" s="254"/>
      <c r="AU267" s="204"/>
      <c r="AV267" s="204"/>
      <c r="AW267" s="204"/>
      <c r="AX267" s="195"/>
      <c r="AY267" s="195"/>
      <c r="AZ267" s="195"/>
      <c r="BA267" s="195"/>
      <c r="BB267" s="195"/>
      <c r="BC267" s="195"/>
      <c r="BD267" s="195"/>
      <c r="BE267" s="195"/>
      <c r="BF267" s="195"/>
      <c r="BG267" s="195"/>
      <c r="BH267" s="195"/>
      <c r="BI267" s="195"/>
      <c r="BJ267" s="195"/>
      <c r="BK267" s="195"/>
      <c r="BL267" s="195"/>
      <c r="BM267" s="195"/>
      <c r="BN267" s="195"/>
      <c r="BO267" s="204"/>
      <c r="BP267" s="204"/>
      <c r="BQ267" s="204"/>
      <c r="BR267" s="204"/>
      <c r="BS267" s="204"/>
      <c r="BT267" s="204"/>
      <c r="BU267" s="204"/>
      <c r="BV267" s="204"/>
      <c r="BW267" s="204"/>
      <c r="BX267" s="204"/>
      <c r="BY267" s="204"/>
      <c r="BZ267" s="204"/>
      <c r="CA267" s="204"/>
      <c r="CB267" s="204"/>
      <c r="CC267" s="204"/>
      <c r="CD267" s="204"/>
      <c r="CE267" s="204"/>
      <c r="CF267" s="204"/>
      <c r="CG267" s="204"/>
      <c r="CH267" s="204"/>
      <c r="CI267" s="204"/>
      <c r="CJ267" s="204"/>
      <c r="CK267" s="204"/>
      <c r="CL267" s="204"/>
      <c r="CM267" s="204"/>
      <c r="CN267" s="204"/>
      <c r="CO267" s="204"/>
      <c r="CP267" s="204"/>
      <c r="CQ267" s="204"/>
      <c r="CR267" s="204"/>
      <c r="CS267" s="204"/>
      <c r="CT267" s="204"/>
      <c r="CU267" s="204"/>
      <c r="CV267" s="204"/>
      <c r="CW267" s="204"/>
      <c r="CX267" s="204"/>
      <c r="CY267" s="204"/>
    </row>
    <row r="268" spans="1:103" ht="15.75" customHeight="1" x14ac:dyDescent="0.2">
      <c r="A268" s="204"/>
      <c r="B268" s="204"/>
      <c r="C268" s="204"/>
      <c r="D268" s="204"/>
      <c r="E268" s="204"/>
      <c r="F268" s="204"/>
      <c r="G268" s="204"/>
      <c r="H268" s="204"/>
      <c r="I268" s="204"/>
      <c r="J268" s="204"/>
      <c r="K268" s="204"/>
      <c r="L268" s="204"/>
      <c r="M268" s="204"/>
      <c r="N268" s="204"/>
      <c r="O268" s="204"/>
      <c r="P268" s="204"/>
      <c r="Q268" s="204"/>
      <c r="R268" s="204"/>
      <c r="S268" s="204"/>
      <c r="T268" s="204"/>
      <c r="U268" s="204"/>
      <c r="V268" s="204"/>
      <c r="W268" s="204"/>
      <c r="X268" s="1469"/>
      <c r="Y268" s="254"/>
      <c r="Z268" s="254"/>
      <c r="AA268" s="254"/>
      <c r="AB268" s="254"/>
      <c r="AC268" s="254"/>
      <c r="AD268" s="254"/>
      <c r="AE268" s="254"/>
      <c r="AF268" s="254"/>
      <c r="AG268" s="254"/>
      <c r="AH268" s="254"/>
      <c r="AI268" s="473"/>
      <c r="AJ268" s="254"/>
      <c r="AK268" s="254"/>
      <c r="AL268" s="254"/>
      <c r="AM268" s="254"/>
      <c r="AN268" s="254"/>
      <c r="AO268" s="254"/>
      <c r="AP268" s="204"/>
      <c r="AQ268" s="204"/>
      <c r="AR268" s="204"/>
      <c r="AS268" s="204"/>
      <c r="AT268" s="254"/>
      <c r="AU268" s="204"/>
      <c r="AV268" s="204"/>
      <c r="AW268" s="204"/>
      <c r="AX268" s="204"/>
      <c r="AY268" s="204"/>
      <c r="AZ268" s="204"/>
      <c r="BA268" s="204"/>
      <c r="BB268" s="204"/>
      <c r="BC268" s="204"/>
      <c r="BD268" s="204"/>
      <c r="BE268" s="204"/>
      <c r="BF268" s="204"/>
      <c r="BG268" s="204"/>
      <c r="BH268" s="204"/>
      <c r="BI268" s="204"/>
      <c r="BJ268" s="204"/>
      <c r="BK268" s="204"/>
      <c r="BL268" s="204"/>
      <c r="BM268" s="204"/>
      <c r="BN268" s="204"/>
      <c r="BO268" s="204"/>
      <c r="BP268" s="204"/>
      <c r="BQ268" s="204"/>
      <c r="BR268" s="204"/>
      <c r="BS268" s="204"/>
      <c r="BT268" s="204"/>
      <c r="BU268" s="204"/>
      <c r="BV268" s="204"/>
      <c r="BW268" s="204"/>
      <c r="BX268" s="204"/>
      <c r="BY268" s="204"/>
      <c r="BZ268" s="204"/>
      <c r="CA268" s="204"/>
      <c r="CB268" s="204"/>
      <c r="CC268" s="204"/>
      <c r="CD268" s="204"/>
      <c r="CE268" s="204"/>
      <c r="CF268" s="204"/>
      <c r="CG268" s="204"/>
      <c r="CH268" s="204"/>
      <c r="CI268" s="204"/>
      <c r="CJ268" s="204"/>
      <c r="CK268" s="204"/>
      <c r="CL268" s="204"/>
      <c r="CM268" s="204"/>
      <c r="CN268" s="204"/>
      <c r="CO268" s="204"/>
      <c r="CP268" s="204"/>
      <c r="CQ268" s="204"/>
      <c r="CR268" s="204"/>
      <c r="CS268" s="204"/>
      <c r="CT268" s="204"/>
      <c r="CU268" s="204"/>
      <c r="CV268" s="204"/>
      <c r="CW268" s="204"/>
      <c r="CX268" s="204"/>
      <c r="CY268" s="204"/>
    </row>
    <row r="269" spans="1:103" ht="15.75" customHeight="1" x14ac:dyDescent="0.2">
      <c r="A269" s="204"/>
      <c r="B269" s="204"/>
      <c r="C269" s="204"/>
      <c r="D269" s="204"/>
      <c r="E269" s="204"/>
      <c r="F269" s="204"/>
      <c r="G269" s="204"/>
      <c r="H269" s="204"/>
      <c r="I269" s="204"/>
      <c r="J269" s="204"/>
      <c r="K269" s="204"/>
      <c r="L269" s="204"/>
      <c r="M269" s="204"/>
      <c r="N269" s="204"/>
      <c r="O269" s="204"/>
      <c r="P269" s="204"/>
      <c r="Q269" s="204"/>
      <c r="R269" s="204"/>
      <c r="S269" s="204"/>
      <c r="T269" s="204"/>
      <c r="U269" s="204"/>
      <c r="V269" s="204"/>
      <c r="W269" s="204"/>
      <c r="X269" s="1469"/>
      <c r="Y269" s="254"/>
      <c r="Z269" s="254"/>
      <c r="AA269" s="254"/>
      <c r="AB269" s="254"/>
      <c r="AC269" s="254"/>
      <c r="AD269" s="254"/>
      <c r="AE269" s="254"/>
      <c r="AF269" s="254"/>
      <c r="AG269" s="254"/>
      <c r="AH269" s="254"/>
      <c r="AI269" s="473"/>
      <c r="AJ269" s="254"/>
      <c r="AK269" s="254"/>
      <c r="AL269" s="254"/>
      <c r="AM269" s="254"/>
      <c r="AN269" s="254"/>
      <c r="AO269" s="254"/>
      <c r="AP269" s="204"/>
      <c r="AQ269" s="204"/>
      <c r="AR269" s="204"/>
      <c r="AS269" s="204"/>
      <c r="AT269" s="254"/>
      <c r="AU269" s="204"/>
      <c r="AV269" s="204"/>
      <c r="AW269" s="204"/>
      <c r="AX269" s="204"/>
      <c r="AY269" s="204"/>
      <c r="AZ269" s="204"/>
      <c r="BA269" s="204"/>
      <c r="BB269" s="204"/>
      <c r="BC269" s="204"/>
      <c r="BD269" s="204"/>
      <c r="BE269" s="204"/>
      <c r="BF269" s="204"/>
      <c r="BG269" s="204"/>
      <c r="BH269" s="204"/>
      <c r="BI269" s="204"/>
      <c r="BJ269" s="204"/>
      <c r="BK269" s="204"/>
      <c r="BL269" s="204"/>
      <c r="BM269" s="204"/>
      <c r="BN269" s="204"/>
      <c r="BO269" s="204"/>
      <c r="BP269" s="204"/>
      <c r="BQ269" s="204"/>
      <c r="BR269" s="204"/>
      <c r="BS269" s="204"/>
      <c r="BT269" s="204"/>
      <c r="BU269" s="204"/>
      <c r="BV269" s="204"/>
      <c r="BW269" s="204"/>
      <c r="BX269" s="204"/>
      <c r="BY269" s="204"/>
      <c r="BZ269" s="204"/>
      <c r="CA269" s="204"/>
      <c r="CB269" s="204"/>
      <c r="CC269" s="204"/>
      <c r="CD269" s="204"/>
      <c r="CE269" s="204"/>
      <c r="CF269" s="204"/>
      <c r="CG269" s="204"/>
      <c r="CH269" s="204"/>
      <c r="CI269" s="204"/>
      <c r="CJ269" s="204"/>
      <c r="CK269" s="204"/>
      <c r="CL269" s="204"/>
      <c r="CM269" s="204"/>
      <c r="CN269" s="204"/>
      <c r="CO269" s="204"/>
      <c r="CP269" s="204"/>
      <c r="CQ269" s="204"/>
      <c r="CR269" s="204"/>
      <c r="CS269" s="204"/>
      <c r="CT269" s="204"/>
      <c r="CU269" s="204"/>
      <c r="CV269" s="204"/>
      <c r="CW269" s="204"/>
      <c r="CX269" s="204"/>
      <c r="CY269" s="204"/>
    </row>
    <row r="270" spans="1:103" ht="15.75" customHeight="1" x14ac:dyDescent="0.2">
      <c r="A270" s="204"/>
      <c r="B270" s="204"/>
      <c r="C270" s="204"/>
      <c r="D270" s="204"/>
      <c r="E270" s="204"/>
      <c r="F270" s="204"/>
      <c r="G270" s="204"/>
      <c r="H270" s="204"/>
      <c r="I270" s="204"/>
      <c r="J270" s="204"/>
      <c r="K270" s="204"/>
      <c r="L270" s="204"/>
      <c r="M270" s="204"/>
      <c r="N270" s="204"/>
      <c r="O270" s="204"/>
      <c r="P270" s="204"/>
      <c r="Q270" s="204"/>
      <c r="R270" s="204"/>
      <c r="S270" s="204"/>
      <c r="T270" s="204"/>
      <c r="U270" s="204"/>
      <c r="V270" s="204"/>
      <c r="W270" s="204"/>
      <c r="X270" s="1469"/>
      <c r="Y270" s="254"/>
      <c r="Z270" s="254"/>
      <c r="AA270" s="254"/>
      <c r="AB270" s="254"/>
      <c r="AC270" s="254"/>
      <c r="AD270" s="254"/>
      <c r="AE270" s="254"/>
      <c r="AF270" s="254"/>
      <c r="AG270" s="254"/>
      <c r="AH270" s="254"/>
      <c r="AI270" s="473"/>
      <c r="AJ270" s="254"/>
      <c r="AK270" s="254"/>
      <c r="AL270" s="254"/>
      <c r="AM270" s="254"/>
      <c r="AN270" s="254"/>
      <c r="AO270" s="254"/>
      <c r="AP270" s="204"/>
      <c r="AQ270" s="204"/>
      <c r="AR270" s="204"/>
      <c r="AS270" s="204"/>
      <c r="AT270" s="254"/>
      <c r="AU270" s="204"/>
      <c r="AV270" s="204"/>
      <c r="AW270" s="204"/>
      <c r="AX270" s="204"/>
      <c r="AY270" s="204"/>
      <c r="AZ270" s="204"/>
      <c r="BA270" s="204"/>
      <c r="BB270" s="204"/>
      <c r="BC270" s="204"/>
      <c r="BD270" s="204"/>
      <c r="BE270" s="204"/>
      <c r="BF270" s="204"/>
      <c r="BG270" s="204"/>
      <c r="BH270" s="204"/>
      <c r="BI270" s="204"/>
      <c r="BJ270" s="204"/>
      <c r="BK270" s="204"/>
      <c r="BL270" s="204"/>
      <c r="BM270" s="204"/>
      <c r="BN270" s="204"/>
      <c r="BO270" s="204"/>
      <c r="BP270" s="204"/>
      <c r="BQ270" s="204"/>
      <c r="BR270" s="204"/>
      <c r="BS270" s="204"/>
      <c r="BT270" s="204"/>
      <c r="BU270" s="204"/>
      <c r="BV270" s="204"/>
      <c r="BW270" s="204"/>
      <c r="BX270" s="204"/>
      <c r="BY270" s="204"/>
      <c r="BZ270" s="204"/>
      <c r="CA270" s="204"/>
      <c r="CB270" s="204"/>
      <c r="CC270" s="204"/>
      <c r="CD270" s="204"/>
      <c r="CE270" s="204"/>
      <c r="CF270" s="204"/>
      <c r="CG270" s="204"/>
      <c r="CH270" s="204"/>
      <c r="CI270" s="204"/>
      <c r="CJ270" s="204"/>
      <c r="CK270" s="204"/>
      <c r="CL270" s="204"/>
      <c r="CM270" s="204"/>
      <c r="CN270" s="204"/>
      <c r="CO270" s="204"/>
      <c r="CP270" s="204"/>
      <c r="CQ270" s="204"/>
      <c r="CR270" s="204"/>
      <c r="CS270" s="204"/>
      <c r="CT270" s="204"/>
      <c r="CU270" s="204"/>
      <c r="CV270" s="204"/>
      <c r="CW270" s="204"/>
      <c r="CX270" s="204"/>
      <c r="CY270" s="204"/>
    </row>
    <row r="271" spans="1:103" ht="15.75" customHeight="1" x14ac:dyDescent="0.2">
      <c r="A271" s="204"/>
      <c r="B271" s="204"/>
      <c r="C271" s="204"/>
      <c r="D271" s="204"/>
      <c r="E271" s="204"/>
      <c r="F271" s="204"/>
      <c r="G271" s="204"/>
      <c r="H271" s="204"/>
      <c r="I271" s="204"/>
      <c r="J271" s="204"/>
      <c r="K271" s="204"/>
      <c r="L271" s="204"/>
      <c r="M271" s="204"/>
      <c r="N271" s="204"/>
      <c r="O271" s="204"/>
      <c r="P271" s="204"/>
      <c r="Q271" s="204"/>
      <c r="R271" s="204"/>
      <c r="S271" s="204"/>
      <c r="T271" s="204"/>
      <c r="U271" s="204"/>
      <c r="V271" s="204"/>
      <c r="W271" s="204"/>
      <c r="X271" s="1469"/>
      <c r="Y271" s="254"/>
      <c r="Z271" s="254"/>
      <c r="AA271" s="254"/>
      <c r="AB271" s="254"/>
      <c r="AC271" s="254"/>
      <c r="AD271" s="254"/>
      <c r="AE271" s="254"/>
      <c r="AF271" s="254"/>
      <c r="AG271" s="254"/>
      <c r="AH271" s="254"/>
      <c r="AI271" s="473"/>
      <c r="AJ271" s="254"/>
      <c r="AK271" s="254"/>
      <c r="AL271" s="254"/>
      <c r="AM271" s="254"/>
      <c r="AN271" s="254"/>
      <c r="AO271" s="254"/>
      <c r="AP271" s="204"/>
      <c r="AQ271" s="204"/>
      <c r="AR271" s="204"/>
      <c r="AS271" s="204"/>
      <c r="AT271" s="254"/>
      <c r="AU271" s="204"/>
      <c r="AV271" s="204"/>
      <c r="AW271" s="204"/>
      <c r="AX271" s="204"/>
      <c r="AY271" s="204"/>
      <c r="AZ271" s="204"/>
      <c r="BA271" s="204"/>
      <c r="BB271" s="204"/>
      <c r="BC271" s="204"/>
      <c r="BD271" s="204"/>
      <c r="BE271" s="204"/>
      <c r="BF271" s="204"/>
      <c r="BG271" s="204"/>
      <c r="BH271" s="204"/>
      <c r="BI271" s="204"/>
      <c r="BJ271" s="204"/>
      <c r="BK271" s="204"/>
      <c r="BL271" s="204"/>
      <c r="BM271" s="204"/>
      <c r="BN271" s="204"/>
      <c r="BO271" s="204"/>
      <c r="BP271" s="204"/>
      <c r="BQ271" s="204"/>
      <c r="BR271" s="204"/>
      <c r="BS271" s="204"/>
      <c r="BT271" s="204"/>
      <c r="BU271" s="204"/>
      <c r="BV271" s="204"/>
      <c r="BW271" s="204"/>
      <c r="BX271" s="204"/>
      <c r="BY271" s="204"/>
      <c r="BZ271" s="204"/>
      <c r="CA271" s="204"/>
      <c r="CB271" s="204"/>
      <c r="CC271" s="204"/>
      <c r="CD271" s="204"/>
      <c r="CE271" s="204"/>
      <c r="CF271" s="204"/>
      <c r="CG271" s="204"/>
      <c r="CH271" s="204"/>
      <c r="CI271" s="204"/>
      <c r="CJ271" s="204"/>
      <c r="CK271" s="204"/>
      <c r="CL271" s="204"/>
      <c r="CM271" s="204"/>
      <c r="CN271" s="204"/>
      <c r="CO271" s="204"/>
      <c r="CP271" s="204"/>
      <c r="CQ271" s="204"/>
      <c r="CR271" s="204"/>
      <c r="CS271" s="204"/>
      <c r="CT271" s="204"/>
      <c r="CU271" s="204"/>
      <c r="CV271" s="204"/>
      <c r="CW271" s="204"/>
      <c r="CX271" s="204"/>
      <c r="CY271" s="204"/>
    </row>
    <row r="272" spans="1:103" ht="15.75" customHeight="1" x14ac:dyDescent="0.2">
      <c r="A272" s="204"/>
      <c r="B272" s="204"/>
      <c r="C272" s="204"/>
      <c r="D272" s="204"/>
      <c r="E272" s="204"/>
      <c r="F272" s="204"/>
      <c r="G272" s="204"/>
      <c r="H272" s="204"/>
      <c r="I272" s="204"/>
      <c r="J272" s="204"/>
      <c r="K272" s="204"/>
      <c r="L272" s="204"/>
      <c r="M272" s="204"/>
      <c r="N272" s="204"/>
      <c r="O272" s="204"/>
      <c r="P272" s="204"/>
      <c r="Q272" s="204"/>
      <c r="R272" s="204"/>
      <c r="S272" s="204"/>
      <c r="T272" s="204"/>
      <c r="U272" s="204"/>
      <c r="V272" s="204"/>
      <c r="W272" s="204"/>
      <c r="X272" s="1469"/>
      <c r="Y272" s="254"/>
      <c r="Z272" s="254"/>
      <c r="AA272" s="254"/>
      <c r="AB272" s="254"/>
      <c r="AC272" s="254"/>
      <c r="AD272" s="254"/>
      <c r="AE272" s="254"/>
      <c r="AF272" s="254"/>
      <c r="AG272" s="254"/>
      <c r="AH272" s="254"/>
      <c r="AI272" s="473"/>
      <c r="AJ272" s="254"/>
      <c r="AK272" s="254"/>
      <c r="AL272" s="254"/>
      <c r="AM272" s="254"/>
      <c r="AN272" s="254"/>
      <c r="AO272" s="254"/>
      <c r="AP272" s="204"/>
      <c r="AQ272" s="204"/>
      <c r="AR272" s="204"/>
      <c r="AS272" s="204"/>
      <c r="AT272" s="254"/>
      <c r="AU272" s="204"/>
      <c r="AV272" s="204"/>
      <c r="AW272" s="204"/>
      <c r="AX272" s="204"/>
      <c r="AY272" s="204"/>
      <c r="AZ272" s="204"/>
      <c r="BA272" s="204"/>
      <c r="BB272" s="204"/>
      <c r="BC272" s="204"/>
      <c r="BD272" s="204"/>
      <c r="BE272" s="204"/>
      <c r="BF272" s="204"/>
      <c r="BG272" s="204"/>
      <c r="BH272" s="204"/>
      <c r="BI272" s="204"/>
      <c r="BJ272" s="204"/>
      <c r="BK272" s="204"/>
      <c r="BL272" s="204"/>
      <c r="BM272" s="204"/>
      <c r="BN272" s="204"/>
      <c r="BO272" s="204"/>
      <c r="BP272" s="204"/>
      <c r="BQ272" s="204"/>
      <c r="BR272" s="204"/>
      <c r="BS272" s="204"/>
      <c r="BT272" s="204"/>
      <c r="BU272" s="204"/>
      <c r="BV272" s="204"/>
      <c r="BW272" s="204"/>
      <c r="BX272" s="204"/>
      <c r="BY272" s="204"/>
      <c r="BZ272" s="204"/>
      <c r="CA272" s="204"/>
      <c r="CB272" s="204"/>
      <c r="CC272" s="204"/>
      <c r="CD272" s="204"/>
      <c r="CE272" s="204"/>
      <c r="CF272" s="204"/>
      <c r="CG272" s="204"/>
      <c r="CH272" s="204"/>
      <c r="CI272" s="204"/>
      <c r="CJ272" s="204"/>
      <c r="CK272" s="204"/>
      <c r="CL272" s="204"/>
      <c r="CM272" s="204"/>
      <c r="CN272" s="204"/>
      <c r="CO272" s="204"/>
      <c r="CP272" s="204"/>
      <c r="CQ272" s="204"/>
      <c r="CR272" s="204"/>
      <c r="CS272" s="204"/>
      <c r="CT272" s="204"/>
      <c r="CU272" s="204"/>
      <c r="CV272" s="204"/>
      <c r="CW272" s="204"/>
      <c r="CX272" s="204"/>
      <c r="CY272" s="204"/>
    </row>
    <row r="273" spans="1:103" ht="15.75" customHeight="1" x14ac:dyDescent="0.2">
      <c r="A273" s="204"/>
      <c r="B273" s="204"/>
      <c r="C273" s="204"/>
      <c r="D273" s="204"/>
      <c r="E273" s="204"/>
      <c r="F273" s="204"/>
      <c r="G273" s="204"/>
      <c r="H273" s="204"/>
      <c r="I273" s="204"/>
      <c r="J273" s="204"/>
      <c r="K273" s="204"/>
      <c r="L273" s="204"/>
      <c r="M273" s="204"/>
      <c r="N273" s="204"/>
      <c r="O273" s="204"/>
      <c r="P273" s="204"/>
      <c r="Q273" s="204"/>
      <c r="R273" s="204"/>
      <c r="S273" s="204"/>
      <c r="T273" s="204"/>
      <c r="U273" s="204"/>
      <c r="V273" s="204"/>
      <c r="W273" s="204"/>
      <c r="X273" s="1469"/>
      <c r="Y273" s="254"/>
      <c r="Z273" s="254"/>
      <c r="AA273" s="254"/>
      <c r="AB273" s="254"/>
      <c r="AC273" s="254"/>
      <c r="AD273" s="254"/>
      <c r="AE273" s="254"/>
      <c r="AF273" s="254"/>
      <c r="AG273" s="254"/>
      <c r="AH273" s="254"/>
      <c r="AI273" s="473"/>
      <c r="AJ273" s="254"/>
      <c r="AK273" s="254"/>
      <c r="AL273" s="254"/>
      <c r="AM273" s="254"/>
      <c r="AN273" s="254"/>
      <c r="AO273" s="254"/>
      <c r="AP273" s="204"/>
      <c r="AQ273" s="204"/>
      <c r="AR273" s="204"/>
      <c r="AS273" s="204"/>
      <c r="AT273" s="254"/>
      <c r="AU273" s="204"/>
      <c r="AV273" s="204"/>
      <c r="AW273" s="204"/>
      <c r="AX273" s="204"/>
      <c r="AY273" s="204"/>
      <c r="AZ273" s="204"/>
      <c r="BA273" s="204"/>
      <c r="BB273" s="204"/>
      <c r="BC273" s="204"/>
      <c r="BD273" s="204"/>
      <c r="BE273" s="204"/>
      <c r="BF273" s="204"/>
      <c r="BG273" s="204"/>
      <c r="BH273" s="204"/>
      <c r="BI273" s="204"/>
      <c r="BJ273" s="204"/>
      <c r="BK273" s="204"/>
      <c r="BL273" s="204"/>
      <c r="BM273" s="204"/>
      <c r="BN273" s="204"/>
      <c r="BO273" s="204"/>
      <c r="BP273" s="204"/>
      <c r="BQ273" s="204"/>
      <c r="BR273" s="204"/>
      <c r="BS273" s="204"/>
      <c r="BT273" s="204"/>
      <c r="BU273" s="204"/>
      <c r="BV273" s="204"/>
      <c r="BW273" s="204"/>
      <c r="BX273" s="204"/>
      <c r="BY273" s="204"/>
      <c r="BZ273" s="204"/>
      <c r="CA273" s="204"/>
      <c r="CB273" s="204"/>
      <c r="CC273" s="204"/>
      <c r="CD273" s="204"/>
      <c r="CE273" s="204"/>
      <c r="CF273" s="204"/>
      <c r="CG273" s="204"/>
      <c r="CH273" s="204"/>
      <c r="CI273" s="204"/>
      <c r="CJ273" s="204"/>
      <c r="CK273" s="204"/>
      <c r="CL273" s="204"/>
      <c r="CM273" s="204"/>
      <c r="CN273" s="204"/>
      <c r="CO273" s="204"/>
      <c r="CP273" s="204"/>
      <c r="CQ273" s="204"/>
      <c r="CR273" s="204"/>
      <c r="CS273" s="204"/>
      <c r="CT273" s="204"/>
      <c r="CU273" s="204"/>
      <c r="CV273" s="204"/>
      <c r="CW273" s="204"/>
      <c r="CX273" s="204"/>
      <c r="CY273" s="204"/>
    </row>
    <row r="274" spans="1:103" ht="15.75" customHeight="1" x14ac:dyDescent="0.2">
      <c r="A274" s="204"/>
      <c r="B274" s="204"/>
      <c r="C274" s="204"/>
      <c r="D274" s="204"/>
      <c r="E274" s="204"/>
      <c r="F274" s="204"/>
      <c r="G274" s="204"/>
      <c r="H274" s="204"/>
      <c r="I274" s="204"/>
      <c r="J274" s="204"/>
      <c r="K274" s="204"/>
      <c r="L274" s="204"/>
      <c r="M274" s="204"/>
      <c r="N274" s="204"/>
      <c r="O274" s="204"/>
      <c r="P274" s="204"/>
      <c r="Q274" s="204"/>
      <c r="R274" s="204"/>
      <c r="S274" s="204"/>
      <c r="T274" s="204"/>
      <c r="U274" s="204"/>
      <c r="V274" s="204"/>
      <c r="W274" s="204"/>
      <c r="X274" s="1469"/>
      <c r="Y274" s="254"/>
      <c r="Z274" s="254"/>
      <c r="AA274" s="254"/>
      <c r="AB274" s="254"/>
      <c r="AC274" s="254"/>
      <c r="AD274" s="254"/>
      <c r="AE274" s="254"/>
      <c r="AF274" s="254"/>
      <c r="AG274" s="254"/>
      <c r="AH274" s="254"/>
      <c r="AI274" s="473"/>
      <c r="AJ274" s="254"/>
      <c r="AK274" s="254"/>
      <c r="AL274" s="254"/>
      <c r="AM274" s="254"/>
      <c r="AN274" s="254"/>
      <c r="AO274" s="254"/>
      <c r="AP274" s="204"/>
      <c r="AQ274" s="204"/>
      <c r="AR274" s="204"/>
      <c r="AS274" s="204"/>
      <c r="AT274" s="254"/>
      <c r="AU274" s="204"/>
      <c r="AV274" s="204"/>
      <c r="AW274" s="204"/>
      <c r="AX274" s="204"/>
      <c r="AY274" s="204"/>
      <c r="AZ274" s="204"/>
      <c r="BA274" s="204"/>
      <c r="BB274" s="204"/>
      <c r="BC274" s="204"/>
      <c r="BD274" s="204"/>
      <c r="BE274" s="204"/>
      <c r="BF274" s="204"/>
      <c r="BG274" s="204"/>
      <c r="BH274" s="204"/>
      <c r="BI274" s="204"/>
      <c r="BJ274" s="204"/>
      <c r="BK274" s="204"/>
      <c r="BL274" s="204"/>
      <c r="BM274" s="204"/>
      <c r="BN274" s="204"/>
      <c r="BO274" s="204"/>
      <c r="BP274" s="204"/>
      <c r="BQ274" s="204"/>
      <c r="BR274" s="204"/>
      <c r="BS274" s="204"/>
      <c r="BT274" s="204"/>
      <c r="BU274" s="204"/>
      <c r="BV274" s="204"/>
      <c r="BW274" s="204"/>
      <c r="BX274" s="204"/>
      <c r="BY274" s="204"/>
      <c r="BZ274" s="204"/>
      <c r="CA274" s="204"/>
      <c r="CB274" s="204"/>
      <c r="CC274" s="204"/>
      <c r="CD274" s="204"/>
      <c r="CE274" s="204"/>
      <c r="CF274" s="204"/>
      <c r="CG274" s="204"/>
      <c r="CH274" s="204"/>
      <c r="CI274" s="204"/>
      <c r="CJ274" s="204"/>
      <c r="CK274" s="204"/>
      <c r="CL274" s="204"/>
      <c r="CM274" s="204"/>
      <c r="CN274" s="204"/>
      <c r="CO274" s="204"/>
      <c r="CP274" s="204"/>
      <c r="CQ274" s="204"/>
      <c r="CR274" s="204"/>
      <c r="CS274" s="204"/>
      <c r="CT274" s="204"/>
      <c r="CU274" s="204"/>
      <c r="CV274" s="204"/>
      <c r="CW274" s="204"/>
      <c r="CX274" s="204"/>
      <c r="CY274" s="204"/>
    </row>
    <row r="275" spans="1:103" ht="15.75" customHeight="1" x14ac:dyDescent="0.2">
      <c r="A275" s="204"/>
      <c r="B275" s="204"/>
      <c r="C275" s="204"/>
      <c r="D275" s="204"/>
      <c r="E275" s="204"/>
      <c r="F275" s="204"/>
      <c r="G275" s="204"/>
      <c r="H275" s="204"/>
      <c r="I275" s="204"/>
      <c r="J275" s="204"/>
      <c r="K275" s="204"/>
      <c r="L275" s="204"/>
      <c r="M275" s="204"/>
      <c r="N275" s="204"/>
      <c r="O275" s="204"/>
      <c r="P275" s="204"/>
      <c r="Q275" s="204"/>
      <c r="R275" s="204"/>
      <c r="S275" s="204"/>
      <c r="T275" s="204"/>
      <c r="U275" s="204"/>
      <c r="V275" s="204"/>
      <c r="W275" s="204"/>
      <c r="X275" s="1469"/>
      <c r="Y275" s="254"/>
      <c r="Z275" s="254"/>
      <c r="AA275" s="254"/>
      <c r="AB275" s="254"/>
      <c r="AC275" s="254"/>
      <c r="AD275" s="254"/>
      <c r="AE275" s="254"/>
      <c r="AF275" s="254"/>
      <c r="AG275" s="254"/>
      <c r="AH275" s="254"/>
      <c r="AI275" s="473"/>
      <c r="AJ275" s="254"/>
      <c r="AK275" s="254"/>
      <c r="AL275" s="254"/>
      <c r="AM275" s="254"/>
      <c r="AN275" s="254"/>
      <c r="AO275" s="254"/>
      <c r="AP275" s="204"/>
      <c r="AQ275" s="204"/>
      <c r="AR275" s="204"/>
      <c r="AS275" s="204"/>
      <c r="AT275" s="254"/>
      <c r="AU275" s="204"/>
      <c r="AV275" s="204"/>
      <c r="AW275" s="204"/>
      <c r="AX275" s="204"/>
      <c r="AY275" s="204"/>
      <c r="AZ275" s="204"/>
      <c r="BA275" s="204"/>
      <c r="BB275" s="204"/>
      <c r="BC275" s="204"/>
      <c r="BD275" s="204"/>
      <c r="BE275" s="204"/>
      <c r="BF275" s="204"/>
      <c r="BG275" s="204"/>
      <c r="BH275" s="204"/>
      <c r="BI275" s="204"/>
      <c r="BJ275" s="204"/>
      <c r="BK275" s="204"/>
      <c r="BL275" s="204"/>
      <c r="BM275" s="204"/>
      <c r="BN275" s="204"/>
      <c r="BO275" s="204"/>
      <c r="BP275" s="204"/>
      <c r="BQ275" s="204"/>
      <c r="BR275" s="204"/>
      <c r="BS275" s="204"/>
      <c r="BT275" s="204"/>
      <c r="BU275" s="204"/>
      <c r="BV275" s="204"/>
      <c r="BW275" s="204"/>
      <c r="BX275" s="204"/>
      <c r="BY275" s="204"/>
      <c r="BZ275" s="204"/>
      <c r="CA275" s="204"/>
      <c r="CB275" s="204"/>
      <c r="CC275" s="204"/>
      <c r="CD275" s="204"/>
      <c r="CE275" s="204"/>
      <c r="CF275" s="204"/>
      <c r="CG275" s="204"/>
      <c r="CH275" s="204"/>
      <c r="CI275" s="204"/>
      <c r="CJ275" s="204"/>
      <c r="CK275" s="204"/>
      <c r="CL275" s="204"/>
      <c r="CM275" s="204"/>
      <c r="CN275" s="204"/>
      <c r="CO275" s="204"/>
      <c r="CP275" s="204"/>
      <c r="CQ275" s="204"/>
      <c r="CR275" s="204"/>
      <c r="CS275" s="204"/>
      <c r="CT275" s="204"/>
      <c r="CU275" s="204"/>
      <c r="CV275" s="204"/>
      <c r="CW275" s="204"/>
      <c r="CX275" s="204"/>
      <c r="CY275" s="204"/>
    </row>
    <row r="276" spans="1:103" ht="15.75" customHeight="1" x14ac:dyDescent="0.2">
      <c r="A276" s="204"/>
      <c r="B276" s="204"/>
      <c r="C276" s="204"/>
      <c r="D276" s="204"/>
      <c r="E276" s="204"/>
      <c r="F276" s="204"/>
      <c r="G276" s="204"/>
      <c r="H276" s="204"/>
      <c r="I276" s="204"/>
      <c r="J276" s="204"/>
      <c r="K276" s="204"/>
      <c r="L276" s="204"/>
      <c r="M276" s="204"/>
      <c r="N276" s="204"/>
      <c r="O276" s="204"/>
      <c r="P276" s="204"/>
      <c r="Q276" s="204"/>
      <c r="R276" s="204"/>
      <c r="S276" s="204"/>
      <c r="T276" s="204"/>
      <c r="U276" s="204"/>
      <c r="V276" s="204"/>
      <c r="W276" s="204"/>
      <c r="X276" s="1469"/>
      <c r="Y276" s="254"/>
      <c r="Z276" s="254"/>
      <c r="AA276" s="254"/>
      <c r="AB276" s="254"/>
      <c r="AC276" s="254"/>
      <c r="AD276" s="254"/>
      <c r="AE276" s="254"/>
      <c r="AF276" s="254"/>
      <c r="AG276" s="254"/>
      <c r="AH276" s="254"/>
      <c r="AI276" s="473"/>
      <c r="AJ276" s="254"/>
      <c r="AK276" s="254"/>
      <c r="AL276" s="254"/>
      <c r="AM276" s="254"/>
      <c r="AN276" s="254"/>
      <c r="AO276" s="254"/>
      <c r="AP276" s="204"/>
      <c r="AQ276" s="204"/>
      <c r="AR276" s="204"/>
      <c r="AS276" s="204"/>
      <c r="AT276" s="254"/>
      <c r="AU276" s="204"/>
      <c r="AV276" s="204"/>
      <c r="AW276" s="204"/>
      <c r="AX276" s="204"/>
      <c r="AY276" s="204"/>
      <c r="AZ276" s="204"/>
      <c r="BA276" s="204"/>
      <c r="BB276" s="204"/>
      <c r="BC276" s="204"/>
      <c r="BD276" s="204"/>
      <c r="BE276" s="204"/>
      <c r="BF276" s="204"/>
      <c r="BG276" s="204"/>
      <c r="BH276" s="204"/>
      <c r="BI276" s="204"/>
      <c r="BJ276" s="204"/>
      <c r="BK276" s="204"/>
      <c r="BL276" s="204"/>
      <c r="BM276" s="204"/>
      <c r="BN276" s="204"/>
      <c r="BO276" s="204"/>
      <c r="BP276" s="204"/>
      <c r="BQ276" s="204"/>
      <c r="BR276" s="204"/>
      <c r="BS276" s="204"/>
      <c r="BT276" s="204"/>
      <c r="BU276" s="204"/>
      <c r="BV276" s="204"/>
      <c r="BW276" s="204"/>
      <c r="BX276" s="204"/>
      <c r="BY276" s="204"/>
      <c r="BZ276" s="204"/>
      <c r="CA276" s="204"/>
      <c r="CB276" s="204"/>
      <c r="CC276" s="204"/>
      <c r="CD276" s="204"/>
      <c r="CE276" s="204"/>
      <c r="CF276" s="204"/>
      <c r="CG276" s="204"/>
      <c r="CH276" s="204"/>
      <c r="CI276" s="204"/>
      <c r="CJ276" s="204"/>
      <c r="CK276" s="204"/>
      <c r="CL276" s="204"/>
      <c r="CM276" s="204"/>
      <c r="CN276" s="204"/>
      <c r="CO276" s="204"/>
      <c r="CP276" s="204"/>
      <c r="CQ276" s="204"/>
      <c r="CR276" s="204"/>
      <c r="CS276" s="204"/>
      <c r="CT276" s="204"/>
      <c r="CU276" s="204"/>
      <c r="CV276" s="204"/>
      <c r="CW276" s="204"/>
      <c r="CX276" s="204"/>
      <c r="CY276" s="204"/>
    </row>
    <row r="277" spans="1:103" ht="15.75" customHeight="1" x14ac:dyDescent="0.2">
      <c r="A277" s="204"/>
      <c r="B277" s="204"/>
      <c r="C277" s="204"/>
      <c r="D277" s="204"/>
      <c r="E277" s="204"/>
      <c r="F277" s="204"/>
      <c r="G277" s="204"/>
      <c r="H277" s="204"/>
      <c r="I277" s="204"/>
      <c r="J277" s="204"/>
      <c r="K277" s="204"/>
      <c r="L277" s="204"/>
      <c r="M277" s="204"/>
      <c r="N277" s="204"/>
      <c r="O277" s="204"/>
      <c r="P277" s="204"/>
      <c r="Q277" s="204"/>
      <c r="R277" s="204"/>
      <c r="S277" s="204"/>
      <c r="T277" s="204"/>
      <c r="U277" s="204"/>
      <c r="V277" s="204"/>
      <c r="W277" s="204"/>
      <c r="X277" s="1469"/>
      <c r="Y277" s="254"/>
      <c r="Z277" s="254"/>
      <c r="AA277" s="254"/>
      <c r="AB277" s="254"/>
      <c r="AC277" s="254"/>
      <c r="AD277" s="254"/>
      <c r="AE277" s="254"/>
      <c r="AF277" s="254"/>
      <c r="AG277" s="254"/>
      <c r="AH277" s="254"/>
      <c r="AI277" s="473"/>
      <c r="AJ277" s="254"/>
      <c r="AK277" s="254"/>
      <c r="AL277" s="254"/>
      <c r="AM277" s="254"/>
      <c r="AN277" s="254"/>
      <c r="AO277" s="254"/>
      <c r="AP277" s="204"/>
      <c r="AQ277" s="204"/>
      <c r="AR277" s="204"/>
      <c r="AS277" s="204"/>
      <c r="AT277" s="254"/>
      <c r="AU277" s="204"/>
      <c r="AV277" s="204"/>
      <c r="AW277" s="204"/>
      <c r="AX277" s="204"/>
      <c r="AY277" s="204"/>
      <c r="AZ277" s="204"/>
      <c r="BA277" s="204"/>
      <c r="BB277" s="204"/>
      <c r="BC277" s="204"/>
      <c r="BD277" s="204"/>
      <c r="BE277" s="204"/>
      <c r="BF277" s="204"/>
      <c r="BG277" s="204"/>
      <c r="BH277" s="204"/>
      <c r="BI277" s="204"/>
      <c r="BJ277" s="204"/>
      <c r="BK277" s="204"/>
      <c r="BL277" s="204"/>
      <c r="BM277" s="204"/>
      <c r="BN277" s="204"/>
      <c r="BO277" s="204"/>
      <c r="BP277" s="204"/>
      <c r="BQ277" s="204"/>
      <c r="BR277" s="204"/>
      <c r="BS277" s="204"/>
      <c r="BT277" s="204"/>
      <c r="BU277" s="204"/>
      <c r="BV277" s="204"/>
      <c r="BW277" s="204"/>
      <c r="BX277" s="204"/>
      <c r="BY277" s="204"/>
      <c r="BZ277" s="204"/>
      <c r="CA277" s="204"/>
      <c r="CB277" s="204"/>
      <c r="CC277" s="204"/>
      <c r="CD277" s="204"/>
      <c r="CE277" s="204"/>
      <c r="CF277" s="204"/>
      <c r="CG277" s="204"/>
      <c r="CH277" s="204"/>
      <c r="CI277" s="204"/>
      <c r="CJ277" s="204"/>
      <c r="CK277" s="204"/>
      <c r="CL277" s="204"/>
      <c r="CM277" s="204"/>
      <c r="CN277" s="204"/>
      <c r="CO277" s="204"/>
      <c r="CP277" s="204"/>
      <c r="CQ277" s="204"/>
      <c r="CR277" s="204"/>
      <c r="CS277" s="204"/>
      <c r="CT277" s="204"/>
      <c r="CU277" s="204"/>
      <c r="CV277" s="204"/>
      <c r="CW277" s="204"/>
      <c r="CX277" s="204"/>
      <c r="CY277" s="204"/>
    </row>
    <row r="278" spans="1:103" ht="15.75" customHeight="1" x14ac:dyDescent="0.2">
      <c r="A278" s="204"/>
      <c r="B278" s="204"/>
      <c r="C278" s="204"/>
      <c r="D278" s="204"/>
      <c r="E278" s="204"/>
      <c r="F278" s="204"/>
      <c r="G278" s="204"/>
      <c r="H278" s="204"/>
      <c r="I278" s="204"/>
      <c r="J278" s="204"/>
      <c r="K278" s="204"/>
      <c r="L278" s="204"/>
      <c r="M278" s="204"/>
      <c r="N278" s="204"/>
      <c r="O278" s="204"/>
      <c r="P278" s="204"/>
      <c r="Q278" s="204"/>
      <c r="R278" s="204"/>
      <c r="S278" s="204"/>
      <c r="T278" s="204"/>
      <c r="U278" s="204"/>
      <c r="V278" s="204"/>
      <c r="W278" s="204"/>
      <c r="X278" s="1469"/>
      <c r="Y278" s="254"/>
      <c r="Z278" s="254"/>
      <c r="AA278" s="254"/>
      <c r="AB278" s="254"/>
      <c r="AC278" s="254"/>
      <c r="AD278" s="254"/>
      <c r="AE278" s="254"/>
      <c r="AF278" s="254"/>
      <c r="AG278" s="254"/>
      <c r="AH278" s="254"/>
      <c r="AI278" s="473"/>
      <c r="AJ278" s="254"/>
      <c r="AK278" s="254"/>
      <c r="AL278" s="254"/>
      <c r="AM278" s="254"/>
      <c r="AN278" s="254"/>
      <c r="AO278" s="254"/>
      <c r="AP278" s="204"/>
      <c r="AQ278" s="204"/>
      <c r="AR278" s="204"/>
      <c r="AS278" s="204"/>
      <c r="AT278" s="254"/>
      <c r="AU278" s="204"/>
      <c r="AV278" s="204"/>
      <c r="AW278" s="204"/>
      <c r="AX278" s="204"/>
      <c r="AY278" s="204"/>
      <c r="AZ278" s="204"/>
      <c r="BA278" s="204"/>
      <c r="BB278" s="204"/>
      <c r="BC278" s="204"/>
      <c r="BD278" s="204"/>
      <c r="BE278" s="204"/>
      <c r="BF278" s="204"/>
      <c r="BG278" s="204"/>
      <c r="BH278" s="204"/>
      <c r="BI278" s="204"/>
      <c r="BJ278" s="204"/>
      <c r="BK278" s="204"/>
      <c r="BL278" s="204"/>
      <c r="BM278" s="204"/>
      <c r="BN278" s="204"/>
      <c r="BO278" s="204"/>
      <c r="BP278" s="204"/>
      <c r="BQ278" s="204"/>
      <c r="BR278" s="204"/>
      <c r="BS278" s="204"/>
      <c r="BT278" s="204"/>
      <c r="BU278" s="204"/>
      <c r="BV278" s="204"/>
      <c r="BW278" s="204"/>
      <c r="BX278" s="204"/>
      <c r="BY278" s="204"/>
      <c r="BZ278" s="204"/>
      <c r="CA278" s="204"/>
      <c r="CB278" s="204"/>
      <c r="CC278" s="204"/>
      <c r="CD278" s="204"/>
      <c r="CE278" s="204"/>
      <c r="CF278" s="204"/>
      <c r="CG278" s="204"/>
      <c r="CH278" s="204"/>
      <c r="CI278" s="204"/>
      <c r="CJ278" s="204"/>
      <c r="CK278" s="204"/>
      <c r="CL278" s="204"/>
      <c r="CM278" s="204"/>
      <c r="CN278" s="204"/>
      <c r="CO278" s="204"/>
      <c r="CP278" s="204"/>
      <c r="CQ278" s="204"/>
      <c r="CR278" s="204"/>
      <c r="CS278" s="204"/>
      <c r="CT278" s="204"/>
      <c r="CU278" s="204"/>
      <c r="CV278" s="204"/>
      <c r="CW278" s="204"/>
      <c r="CX278" s="204"/>
      <c r="CY278" s="204"/>
    </row>
    <row r="279" spans="1:103" ht="15.75" customHeight="1" x14ac:dyDescent="0.2">
      <c r="A279" s="204"/>
      <c r="B279" s="204"/>
      <c r="C279" s="204"/>
      <c r="D279" s="204"/>
      <c r="E279" s="204"/>
      <c r="F279" s="204"/>
      <c r="G279" s="204"/>
      <c r="H279" s="204"/>
      <c r="I279" s="204"/>
      <c r="J279" s="204"/>
      <c r="K279" s="204"/>
      <c r="L279" s="204"/>
      <c r="M279" s="204"/>
      <c r="N279" s="204"/>
      <c r="O279" s="204"/>
      <c r="P279" s="204"/>
      <c r="Q279" s="204"/>
      <c r="R279" s="204"/>
      <c r="S279" s="204"/>
      <c r="T279" s="204"/>
      <c r="U279" s="204"/>
      <c r="V279" s="204"/>
      <c r="W279" s="204"/>
      <c r="X279" s="1469"/>
      <c r="Y279" s="254"/>
      <c r="Z279" s="254"/>
      <c r="AA279" s="254"/>
      <c r="AB279" s="254"/>
      <c r="AC279" s="254"/>
      <c r="AD279" s="254"/>
      <c r="AE279" s="254"/>
      <c r="AF279" s="254"/>
      <c r="AG279" s="254"/>
      <c r="AH279" s="254"/>
      <c r="AI279" s="473"/>
      <c r="AJ279" s="254"/>
      <c r="AK279" s="254"/>
      <c r="AL279" s="254"/>
      <c r="AM279" s="254"/>
      <c r="AN279" s="254"/>
      <c r="AO279" s="254"/>
      <c r="AP279" s="204"/>
      <c r="AQ279" s="204"/>
      <c r="AR279" s="204"/>
      <c r="AS279" s="204"/>
      <c r="AT279" s="254"/>
      <c r="AU279" s="204"/>
      <c r="AV279" s="204"/>
      <c r="AW279" s="204"/>
      <c r="AX279" s="204"/>
      <c r="AY279" s="204"/>
      <c r="AZ279" s="204"/>
      <c r="BA279" s="204"/>
      <c r="BB279" s="204"/>
      <c r="BC279" s="204"/>
      <c r="BD279" s="204"/>
      <c r="BE279" s="204"/>
      <c r="BF279" s="204"/>
      <c r="BG279" s="204"/>
      <c r="BH279" s="204"/>
      <c r="BI279" s="204"/>
      <c r="BJ279" s="204"/>
      <c r="BK279" s="204"/>
      <c r="BL279" s="204"/>
      <c r="BM279" s="204"/>
      <c r="BN279" s="204"/>
      <c r="BO279" s="204"/>
      <c r="BP279" s="204"/>
      <c r="BQ279" s="204"/>
      <c r="BR279" s="204"/>
      <c r="BS279" s="204"/>
      <c r="BT279" s="204"/>
      <c r="BU279" s="204"/>
      <c r="BV279" s="204"/>
      <c r="BW279" s="204"/>
      <c r="BX279" s="204"/>
      <c r="BY279" s="204"/>
      <c r="BZ279" s="204"/>
      <c r="CA279" s="204"/>
      <c r="CB279" s="204"/>
      <c r="CC279" s="204"/>
      <c r="CD279" s="204"/>
      <c r="CE279" s="204"/>
      <c r="CF279" s="204"/>
      <c r="CG279" s="204"/>
      <c r="CH279" s="204"/>
      <c r="CI279" s="204"/>
      <c r="CJ279" s="204"/>
      <c r="CK279" s="204"/>
      <c r="CL279" s="204"/>
      <c r="CM279" s="204"/>
      <c r="CN279" s="204"/>
      <c r="CO279" s="204"/>
      <c r="CP279" s="204"/>
      <c r="CQ279" s="204"/>
      <c r="CR279" s="204"/>
      <c r="CS279" s="204"/>
      <c r="CT279" s="204"/>
      <c r="CU279" s="204"/>
      <c r="CV279" s="204"/>
      <c r="CW279" s="204"/>
      <c r="CX279" s="204"/>
      <c r="CY279" s="204"/>
    </row>
    <row r="280" spans="1:103" ht="15.75" customHeight="1" x14ac:dyDescent="0.2">
      <c r="A280" s="204"/>
      <c r="B280" s="204"/>
      <c r="C280" s="204"/>
      <c r="D280" s="204"/>
      <c r="E280" s="204"/>
      <c r="F280" s="204"/>
      <c r="G280" s="204"/>
      <c r="H280" s="204"/>
      <c r="I280" s="204"/>
      <c r="J280" s="204"/>
      <c r="K280" s="204"/>
      <c r="L280" s="204"/>
      <c r="M280" s="204"/>
      <c r="N280" s="204"/>
      <c r="O280" s="204"/>
      <c r="P280" s="204"/>
      <c r="Q280" s="204"/>
      <c r="R280" s="204"/>
      <c r="S280" s="204"/>
      <c r="T280" s="204"/>
      <c r="U280" s="204"/>
      <c r="V280" s="204"/>
      <c r="W280" s="204"/>
      <c r="X280" s="1469"/>
      <c r="Y280" s="254"/>
      <c r="Z280" s="254"/>
      <c r="AA280" s="254"/>
      <c r="AB280" s="254"/>
      <c r="AC280" s="254"/>
      <c r="AD280" s="254"/>
      <c r="AE280" s="254"/>
      <c r="AF280" s="254"/>
      <c r="AG280" s="254"/>
      <c r="AH280" s="254"/>
      <c r="AI280" s="473"/>
      <c r="AJ280" s="254"/>
      <c r="AK280" s="254"/>
      <c r="AL280" s="254"/>
      <c r="AM280" s="254"/>
      <c r="AN280" s="254"/>
      <c r="AO280" s="254"/>
      <c r="AP280" s="204"/>
      <c r="AQ280" s="204"/>
      <c r="AR280" s="204"/>
      <c r="AS280" s="204"/>
      <c r="AT280" s="254"/>
      <c r="AU280" s="204"/>
      <c r="AV280" s="204"/>
      <c r="AW280" s="204"/>
      <c r="AX280" s="204"/>
      <c r="AY280" s="204"/>
      <c r="AZ280" s="204"/>
      <c r="BA280" s="204"/>
      <c r="BB280" s="204"/>
      <c r="BC280" s="204"/>
      <c r="BD280" s="204"/>
      <c r="BE280" s="204"/>
      <c r="BF280" s="204"/>
      <c r="BG280" s="204"/>
      <c r="BH280" s="204"/>
      <c r="BI280" s="204"/>
      <c r="BJ280" s="204"/>
      <c r="BK280" s="204"/>
      <c r="BL280" s="204"/>
      <c r="BM280" s="204"/>
      <c r="BN280" s="204"/>
      <c r="BO280" s="204"/>
      <c r="BP280" s="204"/>
      <c r="BQ280" s="204"/>
      <c r="BR280" s="204"/>
      <c r="BS280" s="204"/>
      <c r="BT280" s="204"/>
      <c r="BU280" s="204"/>
      <c r="BV280" s="204"/>
      <c r="BW280" s="204"/>
      <c r="BX280" s="204"/>
      <c r="BY280" s="204"/>
      <c r="BZ280" s="204"/>
      <c r="CA280" s="204"/>
      <c r="CB280" s="204"/>
      <c r="CC280" s="204"/>
      <c r="CD280" s="204"/>
      <c r="CE280" s="204"/>
      <c r="CF280" s="204"/>
      <c r="CG280" s="204"/>
      <c r="CH280" s="204"/>
      <c r="CI280" s="204"/>
      <c r="CJ280" s="204"/>
      <c r="CK280" s="204"/>
      <c r="CL280" s="204"/>
      <c r="CM280" s="204"/>
      <c r="CN280" s="204"/>
      <c r="CO280" s="204"/>
      <c r="CP280" s="204"/>
      <c r="CQ280" s="204"/>
      <c r="CR280" s="204"/>
      <c r="CS280" s="204"/>
      <c r="CT280" s="204"/>
      <c r="CU280" s="204"/>
      <c r="CV280" s="204"/>
      <c r="CW280" s="204"/>
      <c r="CX280" s="204"/>
      <c r="CY280" s="204"/>
    </row>
    <row r="281" spans="1:103" ht="15.75" customHeight="1" x14ac:dyDescent="0.2">
      <c r="A281" s="204"/>
      <c r="B281" s="204"/>
      <c r="C281" s="204"/>
      <c r="D281" s="204"/>
      <c r="E281" s="204"/>
      <c r="F281" s="204"/>
      <c r="G281" s="204"/>
      <c r="H281" s="204"/>
      <c r="I281" s="204"/>
      <c r="J281" s="204"/>
      <c r="K281" s="204"/>
      <c r="L281" s="204"/>
      <c r="M281" s="204"/>
      <c r="N281" s="204"/>
      <c r="O281" s="204"/>
      <c r="P281" s="204"/>
      <c r="Q281" s="204"/>
      <c r="R281" s="204"/>
      <c r="S281" s="204"/>
      <c r="T281" s="204"/>
      <c r="U281" s="204"/>
      <c r="V281" s="204"/>
      <c r="W281" s="204"/>
      <c r="X281" s="1469"/>
      <c r="Y281" s="254"/>
      <c r="Z281" s="254"/>
      <c r="AA281" s="254"/>
      <c r="AB281" s="254"/>
      <c r="AC281" s="254"/>
      <c r="AD281" s="254"/>
      <c r="AE281" s="254"/>
      <c r="AF281" s="254"/>
      <c r="AG281" s="254"/>
      <c r="AH281" s="254"/>
      <c r="AI281" s="473"/>
      <c r="AJ281" s="254"/>
      <c r="AK281" s="254"/>
      <c r="AL281" s="254"/>
      <c r="AM281" s="254"/>
      <c r="AN281" s="254"/>
      <c r="AO281" s="254"/>
      <c r="AP281" s="204"/>
      <c r="AQ281" s="204"/>
      <c r="AR281" s="204"/>
      <c r="AS281" s="204"/>
      <c r="AT281" s="254"/>
      <c r="AU281" s="204"/>
      <c r="AV281" s="204"/>
      <c r="AW281" s="204"/>
      <c r="AX281" s="204"/>
      <c r="AY281" s="204"/>
      <c r="AZ281" s="204"/>
      <c r="BA281" s="204"/>
      <c r="BB281" s="204"/>
      <c r="BC281" s="204"/>
      <c r="BD281" s="204"/>
      <c r="BE281" s="204"/>
      <c r="BF281" s="204"/>
      <c r="BG281" s="204"/>
      <c r="BH281" s="204"/>
      <c r="BI281" s="204"/>
      <c r="BJ281" s="204"/>
      <c r="BK281" s="204"/>
      <c r="BL281" s="204"/>
      <c r="BM281" s="204"/>
      <c r="BN281" s="204"/>
      <c r="BO281" s="204"/>
      <c r="BP281" s="204"/>
      <c r="BQ281" s="204"/>
      <c r="BR281" s="204"/>
      <c r="BS281" s="204"/>
      <c r="BT281" s="204"/>
      <c r="BU281" s="204"/>
      <c r="BV281" s="204"/>
      <c r="BW281" s="204"/>
      <c r="BX281" s="204"/>
      <c r="BY281" s="204"/>
      <c r="BZ281" s="204"/>
      <c r="CA281" s="204"/>
      <c r="CB281" s="204"/>
      <c r="CC281" s="204"/>
      <c r="CD281" s="204"/>
      <c r="CE281" s="204"/>
      <c r="CF281" s="204"/>
      <c r="CG281" s="204"/>
      <c r="CH281" s="204"/>
      <c r="CI281" s="204"/>
      <c r="CJ281" s="204"/>
      <c r="CK281" s="204"/>
      <c r="CL281" s="204"/>
      <c r="CM281" s="204"/>
      <c r="CN281" s="204"/>
      <c r="CO281" s="204"/>
      <c r="CP281" s="204"/>
      <c r="CQ281" s="204"/>
      <c r="CR281" s="204"/>
      <c r="CS281" s="204"/>
      <c r="CT281" s="204"/>
      <c r="CU281" s="204"/>
      <c r="CV281" s="204"/>
      <c r="CW281" s="204"/>
      <c r="CX281" s="204"/>
      <c r="CY281" s="204"/>
    </row>
    <row r="282" spans="1:103" ht="15.75" customHeight="1" x14ac:dyDescent="0.2">
      <c r="A282" s="204"/>
      <c r="B282" s="204"/>
      <c r="C282" s="204"/>
      <c r="D282" s="204"/>
      <c r="E282" s="204"/>
      <c r="F282" s="204"/>
      <c r="G282" s="204"/>
      <c r="H282" s="204"/>
      <c r="I282" s="204"/>
      <c r="J282" s="204"/>
      <c r="K282" s="204"/>
      <c r="L282" s="204"/>
      <c r="M282" s="204"/>
      <c r="N282" s="204"/>
      <c r="O282" s="204"/>
      <c r="P282" s="204"/>
      <c r="Q282" s="204"/>
      <c r="R282" s="204"/>
      <c r="S282" s="204"/>
      <c r="T282" s="204"/>
      <c r="U282" s="204"/>
      <c r="V282" s="204"/>
      <c r="W282" s="204"/>
      <c r="X282" s="1469"/>
      <c r="Y282" s="254"/>
      <c r="Z282" s="254"/>
      <c r="AA282" s="254"/>
      <c r="AB282" s="254"/>
      <c r="AC282" s="254"/>
      <c r="AD282" s="254"/>
      <c r="AE282" s="254"/>
      <c r="AF282" s="254"/>
      <c r="AG282" s="254"/>
      <c r="AH282" s="254"/>
      <c r="AI282" s="473"/>
      <c r="AJ282" s="254"/>
      <c r="AK282" s="254"/>
      <c r="AL282" s="254"/>
      <c r="AM282" s="254"/>
      <c r="AN282" s="254"/>
      <c r="AO282" s="254"/>
      <c r="AP282" s="204"/>
      <c r="AQ282" s="204"/>
      <c r="AR282" s="204"/>
      <c r="AS282" s="204"/>
      <c r="AT282" s="254"/>
      <c r="AU282" s="204"/>
      <c r="AV282" s="204"/>
      <c r="AW282" s="204"/>
      <c r="AX282" s="204"/>
      <c r="AY282" s="204"/>
      <c r="AZ282" s="204"/>
      <c r="BA282" s="204"/>
      <c r="BB282" s="204"/>
      <c r="BC282" s="204"/>
      <c r="BD282" s="204"/>
      <c r="BE282" s="204"/>
      <c r="BF282" s="204"/>
      <c r="BG282" s="204"/>
      <c r="BH282" s="204"/>
      <c r="BI282" s="204"/>
      <c r="BJ282" s="204"/>
      <c r="BK282" s="204"/>
      <c r="BL282" s="204"/>
      <c r="BM282" s="204"/>
      <c r="BN282" s="204"/>
      <c r="BO282" s="204"/>
      <c r="BP282" s="204"/>
      <c r="BQ282" s="204"/>
      <c r="BR282" s="204"/>
      <c r="BS282" s="204"/>
      <c r="BT282" s="204"/>
      <c r="BU282" s="204"/>
      <c r="BV282" s="204"/>
      <c r="BW282" s="204"/>
      <c r="BX282" s="204"/>
      <c r="BY282" s="204"/>
      <c r="BZ282" s="204"/>
      <c r="CA282" s="204"/>
      <c r="CB282" s="204"/>
      <c r="CC282" s="204"/>
      <c r="CD282" s="204"/>
      <c r="CE282" s="204"/>
      <c r="CF282" s="204"/>
      <c r="CG282" s="204"/>
      <c r="CH282" s="204"/>
      <c r="CI282" s="204"/>
      <c r="CJ282" s="204"/>
      <c r="CK282" s="204"/>
      <c r="CL282" s="204"/>
      <c r="CM282" s="204"/>
      <c r="CN282" s="204"/>
      <c r="CO282" s="204"/>
      <c r="CP282" s="204"/>
      <c r="CQ282" s="204"/>
      <c r="CR282" s="204"/>
      <c r="CS282" s="204"/>
      <c r="CT282" s="204"/>
      <c r="CU282" s="204"/>
      <c r="CV282" s="204"/>
      <c r="CW282" s="204"/>
      <c r="CX282" s="204"/>
      <c r="CY282" s="204"/>
    </row>
    <row r="283" spans="1:103" ht="15.75" customHeight="1" x14ac:dyDescent="0.2">
      <c r="A283" s="204"/>
      <c r="B283" s="204"/>
      <c r="C283" s="204"/>
      <c r="D283" s="204"/>
      <c r="E283" s="204"/>
      <c r="F283" s="204"/>
      <c r="G283" s="204"/>
      <c r="H283" s="204"/>
      <c r="I283" s="204"/>
      <c r="J283" s="204"/>
      <c r="K283" s="204"/>
      <c r="L283" s="204"/>
      <c r="M283" s="204"/>
      <c r="N283" s="204"/>
      <c r="O283" s="204"/>
      <c r="P283" s="204"/>
      <c r="Q283" s="204"/>
      <c r="R283" s="204"/>
      <c r="S283" s="204"/>
      <c r="T283" s="204"/>
      <c r="U283" s="204"/>
      <c r="V283" s="204"/>
      <c r="W283" s="204"/>
      <c r="X283" s="1469"/>
      <c r="Y283" s="254"/>
      <c r="Z283" s="254"/>
      <c r="AA283" s="254"/>
      <c r="AB283" s="254"/>
      <c r="AC283" s="254"/>
      <c r="AD283" s="254"/>
      <c r="AE283" s="254"/>
      <c r="AF283" s="254"/>
      <c r="AG283" s="254"/>
      <c r="AH283" s="254"/>
      <c r="AI283" s="473"/>
      <c r="AJ283" s="254"/>
      <c r="AK283" s="254"/>
      <c r="AL283" s="254"/>
      <c r="AM283" s="254"/>
      <c r="AN283" s="254"/>
      <c r="AO283" s="254"/>
      <c r="AP283" s="204"/>
      <c r="AQ283" s="204"/>
      <c r="AR283" s="204"/>
      <c r="AS283" s="204"/>
      <c r="AT283" s="254"/>
      <c r="AU283" s="204"/>
      <c r="AV283" s="204"/>
      <c r="AW283" s="204"/>
      <c r="AX283" s="204"/>
      <c r="AY283" s="204"/>
      <c r="AZ283" s="204"/>
      <c r="BA283" s="204"/>
      <c r="BB283" s="204"/>
      <c r="BC283" s="204"/>
      <c r="BD283" s="204"/>
      <c r="BE283" s="204"/>
      <c r="BF283" s="204"/>
      <c r="BG283" s="204"/>
      <c r="BH283" s="204"/>
      <c r="BI283" s="204"/>
      <c r="BJ283" s="204"/>
      <c r="BK283" s="204"/>
      <c r="BL283" s="204"/>
      <c r="BM283" s="204"/>
      <c r="BN283" s="204"/>
      <c r="BO283" s="204"/>
      <c r="BP283" s="204"/>
      <c r="BQ283" s="204"/>
      <c r="BR283" s="204"/>
      <c r="BS283" s="204"/>
      <c r="BT283" s="204"/>
      <c r="BU283" s="204"/>
      <c r="BV283" s="204"/>
      <c r="BW283" s="204"/>
      <c r="BX283" s="204"/>
      <c r="BY283" s="204"/>
      <c r="BZ283" s="204"/>
      <c r="CA283" s="204"/>
      <c r="CB283" s="204"/>
      <c r="CC283" s="204"/>
      <c r="CD283" s="204"/>
      <c r="CE283" s="204"/>
      <c r="CF283" s="204"/>
      <c r="CG283" s="204"/>
      <c r="CH283" s="204"/>
      <c r="CI283" s="204"/>
      <c r="CJ283" s="204"/>
      <c r="CK283" s="204"/>
      <c r="CL283" s="204"/>
      <c r="CM283" s="204"/>
      <c r="CN283" s="204"/>
      <c r="CO283" s="204"/>
      <c r="CP283" s="204"/>
      <c r="CQ283" s="204"/>
      <c r="CR283" s="204"/>
      <c r="CS283" s="204"/>
      <c r="CT283" s="204"/>
      <c r="CU283" s="204"/>
      <c r="CV283" s="204"/>
      <c r="CW283" s="204"/>
      <c r="CX283" s="204"/>
      <c r="CY283" s="204"/>
    </row>
    <row r="284" spans="1:103" ht="15.75" customHeight="1" x14ac:dyDescent="0.2">
      <c r="A284" s="204"/>
      <c r="B284" s="204"/>
      <c r="C284" s="204"/>
      <c r="D284" s="204"/>
      <c r="E284" s="204"/>
      <c r="F284" s="204"/>
      <c r="G284" s="204"/>
      <c r="H284" s="204"/>
      <c r="I284" s="204"/>
      <c r="J284" s="204"/>
      <c r="K284" s="204"/>
      <c r="L284" s="204"/>
      <c r="M284" s="204"/>
      <c r="N284" s="204"/>
      <c r="O284" s="204"/>
      <c r="P284" s="204"/>
      <c r="Q284" s="204"/>
      <c r="R284" s="204"/>
      <c r="S284" s="204"/>
      <c r="T284" s="204"/>
      <c r="U284" s="204"/>
      <c r="V284" s="204"/>
      <c r="W284" s="204"/>
      <c r="X284" s="1469"/>
      <c r="Y284" s="254"/>
      <c r="Z284" s="254"/>
      <c r="AA284" s="254"/>
      <c r="AB284" s="254"/>
      <c r="AC284" s="254"/>
      <c r="AD284" s="254"/>
      <c r="AE284" s="254"/>
      <c r="AF284" s="254"/>
      <c r="AG284" s="254"/>
      <c r="AH284" s="254"/>
      <c r="AI284" s="473"/>
      <c r="AJ284" s="254"/>
      <c r="AK284" s="254"/>
      <c r="AL284" s="254"/>
      <c r="AM284" s="254"/>
      <c r="AN284" s="254"/>
      <c r="AO284" s="254"/>
      <c r="AP284" s="204"/>
      <c r="AQ284" s="204"/>
      <c r="AR284" s="204"/>
      <c r="AS284" s="204"/>
      <c r="AT284" s="254"/>
      <c r="AU284" s="204"/>
      <c r="AV284" s="204"/>
      <c r="AW284" s="204"/>
      <c r="AX284" s="204"/>
      <c r="AY284" s="204"/>
      <c r="AZ284" s="204"/>
      <c r="BA284" s="204"/>
      <c r="BB284" s="204"/>
      <c r="BC284" s="204"/>
      <c r="BD284" s="204"/>
      <c r="BE284" s="204"/>
      <c r="BF284" s="204"/>
      <c r="BG284" s="204"/>
      <c r="BH284" s="204"/>
      <c r="BI284" s="204"/>
      <c r="BJ284" s="204"/>
      <c r="BK284" s="204"/>
      <c r="BL284" s="204"/>
      <c r="BM284" s="204"/>
      <c r="BN284" s="204"/>
      <c r="BO284" s="204"/>
      <c r="BP284" s="204"/>
      <c r="BQ284" s="204"/>
      <c r="BR284" s="204"/>
      <c r="BS284" s="204"/>
      <c r="BT284" s="204"/>
      <c r="BU284" s="204"/>
      <c r="BV284" s="204"/>
      <c r="BW284" s="204"/>
      <c r="BX284" s="204"/>
      <c r="BY284" s="204"/>
      <c r="BZ284" s="204"/>
      <c r="CA284" s="204"/>
      <c r="CB284" s="204"/>
      <c r="CC284" s="204"/>
      <c r="CD284" s="204"/>
      <c r="CE284" s="204"/>
      <c r="CF284" s="204"/>
      <c r="CG284" s="204"/>
      <c r="CH284" s="204"/>
      <c r="CI284" s="204"/>
      <c r="CJ284" s="204"/>
      <c r="CK284" s="204"/>
      <c r="CL284" s="204"/>
      <c r="CM284" s="204"/>
      <c r="CN284" s="204"/>
      <c r="CO284" s="204"/>
      <c r="CP284" s="204"/>
      <c r="CQ284" s="204"/>
      <c r="CR284" s="204"/>
      <c r="CS284" s="204"/>
      <c r="CT284" s="204"/>
      <c r="CU284" s="204"/>
      <c r="CV284" s="204"/>
      <c r="CW284" s="204"/>
      <c r="CX284" s="204"/>
      <c r="CY284" s="204"/>
    </row>
    <row r="285" spans="1:103" ht="15.75" customHeight="1" x14ac:dyDescent="0.2">
      <c r="A285" s="204"/>
      <c r="B285" s="204"/>
      <c r="C285" s="204"/>
      <c r="D285" s="204"/>
      <c r="E285" s="204"/>
      <c r="F285" s="204"/>
      <c r="G285" s="204"/>
      <c r="H285" s="204"/>
      <c r="I285" s="204"/>
      <c r="J285" s="204"/>
      <c r="K285" s="204"/>
      <c r="L285" s="204"/>
      <c r="M285" s="204"/>
      <c r="N285" s="204"/>
      <c r="O285" s="204"/>
      <c r="P285" s="204"/>
      <c r="Q285" s="204"/>
      <c r="R285" s="204"/>
      <c r="S285" s="204"/>
      <c r="T285" s="204"/>
      <c r="U285" s="204"/>
      <c r="V285" s="204"/>
      <c r="W285" s="204"/>
      <c r="X285" s="1469"/>
      <c r="Y285" s="254"/>
      <c r="Z285" s="254"/>
      <c r="AA285" s="254"/>
      <c r="AB285" s="254"/>
      <c r="AC285" s="254"/>
      <c r="AD285" s="254"/>
      <c r="AE285" s="254"/>
      <c r="AF285" s="254"/>
      <c r="AG285" s="254"/>
      <c r="AH285" s="254"/>
      <c r="AI285" s="473"/>
      <c r="AJ285" s="254"/>
      <c r="AK285" s="254"/>
      <c r="AL285" s="254"/>
      <c r="AM285" s="254"/>
      <c r="AN285" s="254"/>
      <c r="AO285" s="254"/>
      <c r="AP285" s="204"/>
      <c r="AQ285" s="204"/>
      <c r="AR285" s="204"/>
      <c r="AS285" s="204"/>
      <c r="AT285" s="254"/>
      <c r="AU285" s="204"/>
      <c r="AV285" s="204"/>
      <c r="AW285" s="204"/>
      <c r="AX285" s="204"/>
      <c r="AY285" s="204"/>
      <c r="AZ285" s="204"/>
      <c r="BA285" s="204"/>
      <c r="BB285" s="204"/>
      <c r="BC285" s="204"/>
      <c r="BD285" s="204"/>
      <c r="BE285" s="204"/>
      <c r="BF285" s="204"/>
      <c r="BG285" s="204"/>
      <c r="BH285" s="204"/>
      <c r="BI285" s="204"/>
      <c r="BJ285" s="204"/>
      <c r="BK285" s="204"/>
      <c r="BL285" s="204"/>
      <c r="BM285" s="204"/>
      <c r="BN285" s="204"/>
      <c r="BO285" s="204"/>
      <c r="BP285" s="204"/>
      <c r="BQ285" s="204"/>
      <c r="BR285" s="204"/>
      <c r="BS285" s="204"/>
      <c r="BT285" s="204"/>
      <c r="BU285" s="204"/>
      <c r="BV285" s="204"/>
      <c r="BW285" s="204"/>
      <c r="BX285" s="204"/>
      <c r="BY285" s="204"/>
      <c r="BZ285" s="204"/>
      <c r="CA285" s="204"/>
      <c r="CB285" s="204"/>
      <c r="CC285" s="204"/>
      <c r="CD285" s="204"/>
      <c r="CE285" s="204"/>
      <c r="CF285" s="204"/>
      <c r="CG285" s="204"/>
      <c r="CH285" s="204"/>
      <c r="CI285" s="204"/>
      <c r="CJ285" s="204"/>
      <c r="CK285" s="204"/>
      <c r="CL285" s="204"/>
      <c r="CM285" s="204"/>
      <c r="CN285" s="204"/>
      <c r="CO285" s="204"/>
      <c r="CP285" s="204"/>
      <c r="CQ285" s="204"/>
      <c r="CR285" s="204"/>
      <c r="CS285" s="204"/>
      <c r="CT285" s="204"/>
      <c r="CU285" s="204"/>
      <c r="CV285" s="204"/>
      <c r="CW285" s="204"/>
      <c r="CX285" s="204"/>
      <c r="CY285" s="204"/>
    </row>
    <row r="286" spans="1:103" ht="15.75" customHeight="1" x14ac:dyDescent="0.2">
      <c r="A286" s="204"/>
      <c r="B286" s="204"/>
      <c r="C286" s="204"/>
      <c r="D286" s="204"/>
      <c r="E286" s="204"/>
      <c r="F286" s="204"/>
      <c r="G286" s="204"/>
      <c r="H286" s="204"/>
      <c r="I286" s="204"/>
      <c r="J286" s="204"/>
      <c r="K286" s="204"/>
      <c r="L286" s="204"/>
      <c r="M286" s="204"/>
      <c r="N286" s="204"/>
      <c r="O286" s="204"/>
      <c r="P286" s="204"/>
      <c r="Q286" s="204"/>
      <c r="R286" s="204"/>
      <c r="S286" s="204"/>
      <c r="T286" s="204"/>
      <c r="U286" s="204"/>
      <c r="V286" s="204"/>
      <c r="W286" s="204"/>
      <c r="X286" s="1469"/>
      <c r="Y286" s="254"/>
      <c r="Z286" s="254"/>
      <c r="AA286" s="254"/>
      <c r="AB286" s="254"/>
      <c r="AC286" s="254"/>
      <c r="AD286" s="254"/>
      <c r="AE286" s="254"/>
      <c r="AF286" s="254"/>
      <c r="AG286" s="254"/>
      <c r="AH286" s="254"/>
      <c r="AI286" s="473"/>
      <c r="AJ286" s="254"/>
      <c r="AK286" s="254"/>
      <c r="AL286" s="254"/>
      <c r="AM286" s="254"/>
      <c r="AN286" s="254"/>
      <c r="AO286" s="254"/>
      <c r="AP286" s="204"/>
      <c r="AQ286" s="204"/>
      <c r="AR286" s="204"/>
      <c r="AS286" s="204"/>
      <c r="AT286" s="254"/>
      <c r="AU286" s="204"/>
      <c r="AV286" s="204"/>
      <c r="AW286" s="204"/>
      <c r="AX286" s="204"/>
      <c r="AY286" s="204"/>
      <c r="AZ286" s="204"/>
      <c r="BA286" s="204"/>
      <c r="BB286" s="204"/>
      <c r="BC286" s="204"/>
      <c r="BD286" s="204"/>
      <c r="BE286" s="204"/>
      <c r="BF286" s="204"/>
      <c r="BG286" s="204"/>
      <c r="BH286" s="204"/>
      <c r="BI286" s="204"/>
      <c r="BJ286" s="204"/>
      <c r="BK286" s="204"/>
      <c r="BL286" s="204"/>
      <c r="BM286" s="204"/>
      <c r="BN286" s="204"/>
      <c r="BO286" s="204"/>
      <c r="BP286" s="204"/>
      <c r="BQ286" s="204"/>
      <c r="BR286" s="204"/>
      <c r="BS286" s="204"/>
      <c r="BT286" s="204"/>
      <c r="BU286" s="204"/>
      <c r="BV286" s="204"/>
      <c r="BW286" s="204"/>
      <c r="BX286" s="204"/>
      <c r="BY286" s="204"/>
      <c r="BZ286" s="204"/>
      <c r="CA286" s="204"/>
      <c r="CB286" s="204"/>
      <c r="CC286" s="204"/>
      <c r="CD286" s="204"/>
      <c r="CE286" s="204"/>
      <c r="CF286" s="204"/>
      <c r="CG286" s="204"/>
      <c r="CH286" s="204"/>
      <c r="CI286" s="204"/>
      <c r="CJ286" s="204"/>
      <c r="CK286" s="204"/>
      <c r="CL286" s="204"/>
      <c r="CM286" s="204"/>
      <c r="CN286" s="204"/>
      <c r="CO286" s="204"/>
      <c r="CP286" s="204"/>
      <c r="CQ286" s="204"/>
      <c r="CR286" s="204"/>
      <c r="CS286" s="204"/>
      <c r="CT286" s="204"/>
      <c r="CU286" s="204"/>
      <c r="CV286" s="204"/>
      <c r="CW286" s="204"/>
      <c r="CX286" s="204"/>
      <c r="CY286" s="204"/>
    </row>
    <row r="287" spans="1:103" ht="15.75" customHeight="1" x14ac:dyDescent="0.2">
      <c r="A287" s="204"/>
      <c r="B287" s="204"/>
      <c r="C287" s="204"/>
      <c r="D287" s="204"/>
      <c r="E287" s="204"/>
      <c r="F287" s="204"/>
      <c r="G287" s="204"/>
      <c r="H287" s="204"/>
      <c r="I287" s="204"/>
      <c r="J287" s="204"/>
      <c r="K287" s="204"/>
      <c r="L287" s="204"/>
      <c r="M287" s="204"/>
      <c r="N287" s="204"/>
      <c r="O287" s="204"/>
      <c r="P287" s="204"/>
      <c r="Q287" s="204"/>
      <c r="R287" s="204"/>
      <c r="S287" s="204"/>
      <c r="T287" s="204"/>
      <c r="U287" s="204"/>
      <c r="V287" s="204"/>
      <c r="W287" s="204"/>
      <c r="X287" s="1469"/>
      <c r="Y287" s="254"/>
      <c r="Z287" s="254"/>
      <c r="AA287" s="254"/>
      <c r="AB287" s="254"/>
      <c r="AC287" s="254"/>
      <c r="AD287" s="254"/>
      <c r="AE287" s="254"/>
      <c r="AF287" s="254"/>
      <c r="AG287" s="254"/>
      <c r="AH287" s="254"/>
      <c r="AI287" s="473"/>
      <c r="AJ287" s="254"/>
      <c r="AK287" s="254"/>
      <c r="AL287" s="254"/>
      <c r="AM287" s="254"/>
      <c r="AN287" s="254"/>
      <c r="AO287" s="254"/>
      <c r="AP287" s="204"/>
      <c r="AQ287" s="204"/>
      <c r="AR287" s="204"/>
      <c r="AS287" s="204"/>
      <c r="AT287" s="254"/>
      <c r="AU287" s="204"/>
      <c r="AV287" s="204"/>
      <c r="AW287" s="204"/>
      <c r="AX287" s="204"/>
      <c r="AY287" s="204"/>
      <c r="AZ287" s="204"/>
      <c r="BA287" s="204"/>
      <c r="BB287" s="204"/>
      <c r="BC287" s="204"/>
      <c r="BD287" s="204"/>
      <c r="BE287" s="204"/>
      <c r="BF287" s="204"/>
      <c r="BG287" s="204"/>
      <c r="BH287" s="204"/>
      <c r="BI287" s="204"/>
      <c r="BJ287" s="204"/>
      <c r="BK287" s="204"/>
      <c r="BL287" s="204"/>
      <c r="BM287" s="204"/>
      <c r="BN287" s="204"/>
      <c r="BO287" s="204"/>
      <c r="BP287" s="204"/>
      <c r="BQ287" s="204"/>
      <c r="BR287" s="204"/>
      <c r="BS287" s="204"/>
      <c r="BT287" s="204"/>
      <c r="BU287" s="204"/>
      <c r="BV287" s="204"/>
      <c r="BW287" s="204"/>
      <c r="BX287" s="204"/>
      <c r="BY287" s="204"/>
      <c r="BZ287" s="204"/>
      <c r="CA287" s="204"/>
      <c r="CB287" s="204"/>
      <c r="CC287" s="204"/>
      <c r="CD287" s="204"/>
      <c r="CE287" s="204"/>
      <c r="CF287" s="204"/>
      <c r="CG287" s="204"/>
      <c r="CH287" s="204"/>
      <c r="CI287" s="204"/>
      <c r="CJ287" s="204"/>
      <c r="CK287" s="204"/>
      <c r="CL287" s="204"/>
      <c r="CM287" s="204"/>
      <c r="CN287" s="204"/>
      <c r="CO287" s="204"/>
      <c r="CP287" s="204"/>
      <c r="CQ287" s="204"/>
      <c r="CR287" s="204"/>
      <c r="CS287" s="204"/>
      <c r="CT287" s="204"/>
      <c r="CU287" s="204"/>
      <c r="CV287" s="204"/>
      <c r="CW287" s="204"/>
      <c r="CX287" s="204"/>
      <c r="CY287" s="204"/>
    </row>
    <row r="288" spans="1:103" ht="15.75" customHeight="1" x14ac:dyDescent="0.2">
      <c r="A288" s="204"/>
      <c r="B288" s="204"/>
      <c r="C288" s="204"/>
      <c r="D288" s="204"/>
      <c r="E288" s="204"/>
      <c r="F288" s="204"/>
      <c r="G288" s="204"/>
      <c r="H288" s="204"/>
      <c r="I288" s="204"/>
      <c r="J288" s="204"/>
      <c r="K288" s="204"/>
      <c r="L288" s="204"/>
      <c r="M288" s="204"/>
      <c r="N288" s="204"/>
      <c r="O288" s="204"/>
      <c r="P288" s="204"/>
      <c r="Q288" s="204"/>
      <c r="R288" s="204"/>
      <c r="S288" s="204"/>
      <c r="T288" s="204"/>
      <c r="U288" s="204"/>
      <c r="V288" s="204"/>
      <c r="W288" s="204"/>
      <c r="X288" s="1469"/>
      <c r="Y288" s="254"/>
      <c r="Z288" s="254"/>
      <c r="AA288" s="254"/>
      <c r="AB288" s="254"/>
      <c r="AC288" s="254"/>
      <c r="AD288" s="254"/>
      <c r="AE288" s="254"/>
      <c r="AF288" s="254"/>
      <c r="AG288" s="254"/>
      <c r="AH288" s="254"/>
      <c r="AI288" s="473"/>
      <c r="AJ288" s="254"/>
      <c r="AK288" s="254"/>
      <c r="AL288" s="254"/>
      <c r="AM288" s="254"/>
      <c r="AN288" s="254"/>
      <c r="AO288" s="254"/>
      <c r="AP288" s="204"/>
      <c r="AQ288" s="204"/>
      <c r="AR288" s="204"/>
      <c r="AS288" s="204"/>
      <c r="AT288" s="254"/>
      <c r="AU288" s="204"/>
      <c r="AV288" s="204"/>
      <c r="AW288" s="204"/>
      <c r="AX288" s="204"/>
      <c r="AY288" s="204"/>
      <c r="AZ288" s="204"/>
      <c r="BA288" s="204"/>
      <c r="BB288" s="204"/>
      <c r="BC288" s="204"/>
      <c r="BD288" s="204"/>
      <c r="BE288" s="204"/>
      <c r="BF288" s="204"/>
      <c r="BG288" s="204"/>
      <c r="BH288" s="204"/>
      <c r="BI288" s="204"/>
      <c r="BJ288" s="204"/>
      <c r="BK288" s="204"/>
      <c r="BL288" s="204"/>
      <c r="BM288" s="204"/>
      <c r="BN288" s="204"/>
      <c r="BO288" s="204"/>
      <c r="BP288" s="204"/>
      <c r="BQ288" s="204"/>
      <c r="BR288" s="204"/>
      <c r="BS288" s="204"/>
      <c r="BT288" s="204"/>
      <c r="BU288" s="204"/>
      <c r="BV288" s="204"/>
      <c r="BW288" s="204"/>
      <c r="BX288" s="204"/>
      <c r="BY288" s="204"/>
      <c r="BZ288" s="204"/>
      <c r="CA288" s="204"/>
      <c r="CB288" s="204"/>
      <c r="CC288" s="204"/>
      <c r="CD288" s="204"/>
      <c r="CE288" s="204"/>
      <c r="CF288" s="204"/>
      <c r="CG288" s="204"/>
      <c r="CH288" s="204"/>
      <c r="CI288" s="204"/>
      <c r="CJ288" s="204"/>
      <c r="CK288" s="204"/>
      <c r="CL288" s="204"/>
      <c r="CM288" s="204"/>
      <c r="CN288" s="204"/>
      <c r="CO288" s="204"/>
      <c r="CP288" s="204"/>
      <c r="CQ288" s="204"/>
      <c r="CR288" s="204"/>
      <c r="CS288" s="204"/>
      <c r="CT288" s="204"/>
      <c r="CU288" s="204"/>
      <c r="CV288" s="204"/>
      <c r="CW288" s="204"/>
      <c r="CX288" s="204"/>
      <c r="CY288" s="204"/>
    </row>
    <row r="289" spans="1:103" ht="15.75" customHeight="1" x14ac:dyDescent="0.2">
      <c r="A289" s="204"/>
      <c r="B289" s="204"/>
      <c r="C289" s="204"/>
      <c r="D289" s="204"/>
      <c r="E289" s="204"/>
      <c r="F289" s="204"/>
      <c r="G289" s="204"/>
      <c r="H289" s="204"/>
      <c r="I289" s="204"/>
      <c r="J289" s="204"/>
      <c r="K289" s="204"/>
      <c r="L289" s="204"/>
      <c r="M289" s="204"/>
      <c r="N289" s="204"/>
      <c r="O289" s="204"/>
      <c r="P289" s="204"/>
      <c r="Q289" s="204"/>
      <c r="R289" s="204"/>
      <c r="S289" s="204"/>
      <c r="T289" s="204"/>
      <c r="U289" s="204"/>
      <c r="V289" s="204"/>
      <c r="W289" s="204"/>
      <c r="X289" s="1469"/>
      <c r="Y289" s="254"/>
      <c r="Z289" s="254"/>
      <c r="AA289" s="254"/>
      <c r="AB289" s="254"/>
      <c r="AC289" s="254"/>
      <c r="AD289" s="254"/>
      <c r="AE289" s="254"/>
      <c r="AF289" s="254"/>
      <c r="AG289" s="254"/>
      <c r="AH289" s="254"/>
      <c r="AI289" s="473"/>
      <c r="AJ289" s="254"/>
      <c r="AK289" s="254"/>
      <c r="AL289" s="254"/>
      <c r="AM289" s="254"/>
      <c r="AN289" s="254"/>
      <c r="AO289" s="254"/>
      <c r="AP289" s="204"/>
      <c r="AQ289" s="204"/>
      <c r="AR289" s="204"/>
      <c r="AS289" s="204"/>
      <c r="AT289" s="254"/>
      <c r="AU289" s="204"/>
      <c r="AV289" s="204"/>
      <c r="AW289" s="204"/>
      <c r="AX289" s="204"/>
      <c r="AY289" s="204"/>
      <c r="AZ289" s="204"/>
      <c r="BA289" s="204"/>
      <c r="BB289" s="204"/>
      <c r="BC289" s="204"/>
      <c r="BD289" s="204"/>
      <c r="BE289" s="204"/>
      <c r="BF289" s="204"/>
      <c r="BG289" s="204"/>
      <c r="BH289" s="204"/>
      <c r="BI289" s="204"/>
      <c r="BJ289" s="204"/>
      <c r="BK289" s="204"/>
      <c r="BL289" s="204"/>
      <c r="BM289" s="204"/>
      <c r="BN289" s="204"/>
      <c r="BO289" s="204"/>
      <c r="BP289" s="204"/>
      <c r="BQ289" s="204"/>
      <c r="BR289" s="204"/>
      <c r="BS289" s="204"/>
      <c r="BT289" s="204"/>
      <c r="BU289" s="204"/>
      <c r="BV289" s="204"/>
      <c r="BW289" s="204"/>
      <c r="BX289" s="204"/>
      <c r="BY289" s="204"/>
      <c r="BZ289" s="204"/>
      <c r="CA289" s="204"/>
      <c r="CB289" s="204"/>
      <c r="CC289" s="204"/>
      <c r="CD289" s="204"/>
      <c r="CE289" s="204"/>
      <c r="CF289" s="204"/>
      <c r="CG289" s="204"/>
      <c r="CH289" s="204"/>
      <c r="CI289" s="204"/>
      <c r="CJ289" s="204"/>
      <c r="CK289" s="204"/>
      <c r="CL289" s="204"/>
      <c r="CM289" s="204"/>
      <c r="CN289" s="204"/>
      <c r="CO289" s="204"/>
      <c r="CP289" s="204"/>
      <c r="CQ289" s="204"/>
      <c r="CR289" s="204"/>
      <c r="CS289" s="204"/>
      <c r="CT289" s="204"/>
      <c r="CU289" s="204"/>
      <c r="CV289" s="204"/>
      <c r="CW289" s="204"/>
      <c r="CX289" s="204"/>
      <c r="CY289" s="204"/>
    </row>
    <row r="290" spans="1:103" ht="15.75" customHeight="1" x14ac:dyDescent="0.2">
      <c r="A290" s="204"/>
      <c r="B290" s="204"/>
      <c r="C290" s="204"/>
      <c r="D290" s="204"/>
      <c r="E290" s="204"/>
      <c r="F290" s="204"/>
      <c r="G290" s="204"/>
      <c r="H290" s="204"/>
      <c r="I290" s="204"/>
      <c r="J290" s="204"/>
      <c r="K290" s="204"/>
      <c r="L290" s="204"/>
      <c r="M290" s="204"/>
      <c r="N290" s="204"/>
      <c r="O290" s="204"/>
      <c r="P290" s="204"/>
      <c r="Q290" s="204"/>
      <c r="R290" s="204"/>
      <c r="S290" s="204"/>
      <c r="T290" s="204"/>
      <c r="U290" s="204"/>
      <c r="V290" s="204"/>
      <c r="W290" s="204"/>
      <c r="X290" s="1469"/>
      <c r="Y290" s="254"/>
      <c r="Z290" s="254"/>
      <c r="AA290" s="254"/>
      <c r="AB290" s="254"/>
      <c r="AC290" s="254"/>
      <c r="AD290" s="254"/>
      <c r="AE290" s="254"/>
      <c r="AF290" s="254"/>
      <c r="AG290" s="254"/>
      <c r="AH290" s="254"/>
      <c r="AI290" s="473"/>
      <c r="AJ290" s="254"/>
      <c r="AK290" s="254"/>
      <c r="AL290" s="254"/>
      <c r="AM290" s="254"/>
      <c r="AN290" s="254"/>
      <c r="AO290" s="254"/>
      <c r="AP290" s="204"/>
      <c r="AQ290" s="204"/>
      <c r="AR290" s="204"/>
      <c r="AS290" s="204"/>
      <c r="AT290" s="254"/>
      <c r="AU290" s="204"/>
      <c r="AV290" s="204"/>
      <c r="AW290" s="204"/>
      <c r="AX290" s="204"/>
      <c r="AY290" s="204"/>
      <c r="AZ290" s="204"/>
      <c r="BA290" s="204"/>
      <c r="BB290" s="204"/>
      <c r="BC290" s="204"/>
      <c r="BD290" s="204"/>
      <c r="BE290" s="204"/>
      <c r="BF290" s="204"/>
      <c r="BG290" s="204"/>
      <c r="BH290" s="204"/>
      <c r="BI290" s="204"/>
      <c r="BJ290" s="204"/>
      <c r="BK290" s="204"/>
      <c r="BL290" s="204"/>
      <c r="BM290" s="204"/>
      <c r="BN290" s="204"/>
      <c r="BO290" s="204"/>
      <c r="BP290" s="204"/>
      <c r="BQ290" s="204"/>
      <c r="BR290" s="204"/>
      <c r="BS290" s="204"/>
      <c r="BT290" s="204"/>
      <c r="BU290" s="204"/>
      <c r="BV290" s="204"/>
      <c r="BW290" s="204"/>
      <c r="BX290" s="204"/>
      <c r="BY290" s="204"/>
      <c r="BZ290" s="204"/>
      <c r="CA290" s="204"/>
      <c r="CB290" s="204"/>
      <c r="CC290" s="204"/>
      <c r="CD290" s="204"/>
      <c r="CE290" s="204"/>
      <c r="CF290" s="204"/>
      <c r="CG290" s="204"/>
      <c r="CH290" s="204"/>
      <c r="CI290" s="204"/>
      <c r="CJ290" s="204"/>
      <c r="CK290" s="204"/>
      <c r="CL290" s="204"/>
      <c r="CM290" s="204"/>
      <c r="CN290" s="204"/>
      <c r="CO290" s="204"/>
      <c r="CP290" s="204"/>
      <c r="CQ290" s="204"/>
      <c r="CR290" s="204"/>
      <c r="CS290" s="204"/>
      <c r="CT290" s="204"/>
      <c r="CU290" s="204"/>
      <c r="CV290" s="204"/>
      <c r="CW290" s="204"/>
      <c r="CX290" s="204"/>
      <c r="CY290" s="204"/>
    </row>
    <row r="291" spans="1:103" ht="15.75" customHeight="1" x14ac:dyDescent="0.2">
      <c r="A291" s="204"/>
      <c r="B291" s="204"/>
      <c r="C291" s="204"/>
      <c r="D291" s="204"/>
      <c r="E291" s="204"/>
      <c r="F291" s="204"/>
      <c r="G291" s="204"/>
      <c r="H291" s="204"/>
      <c r="I291" s="204"/>
      <c r="J291" s="204"/>
      <c r="K291" s="204"/>
      <c r="L291" s="204"/>
      <c r="M291" s="204"/>
      <c r="N291" s="204"/>
      <c r="O291" s="204"/>
      <c r="P291" s="204"/>
      <c r="Q291" s="204"/>
      <c r="R291" s="204"/>
      <c r="S291" s="204"/>
      <c r="T291" s="204"/>
      <c r="U291" s="204"/>
      <c r="V291" s="204"/>
      <c r="W291" s="204"/>
      <c r="X291" s="1469"/>
      <c r="Y291" s="254"/>
      <c r="Z291" s="254"/>
      <c r="AA291" s="254"/>
      <c r="AB291" s="254"/>
      <c r="AC291" s="254"/>
      <c r="AD291" s="254"/>
      <c r="AE291" s="254"/>
      <c r="AF291" s="254"/>
      <c r="AG291" s="254"/>
      <c r="AH291" s="254"/>
      <c r="AI291" s="473"/>
      <c r="AJ291" s="254"/>
      <c r="AK291" s="254"/>
      <c r="AL291" s="254"/>
      <c r="AM291" s="254"/>
      <c r="AN291" s="254"/>
      <c r="AO291" s="254"/>
      <c r="AP291" s="204"/>
      <c r="AQ291" s="204"/>
      <c r="AR291" s="204"/>
      <c r="AS291" s="204"/>
      <c r="AT291" s="254"/>
      <c r="AU291" s="204"/>
      <c r="AV291" s="204"/>
      <c r="AW291" s="204"/>
      <c r="AX291" s="204"/>
      <c r="AY291" s="204"/>
      <c r="AZ291" s="204"/>
      <c r="BA291" s="204"/>
      <c r="BB291" s="204"/>
      <c r="BC291" s="204"/>
      <c r="BD291" s="204"/>
      <c r="BE291" s="204"/>
      <c r="BF291" s="204"/>
      <c r="BG291" s="204"/>
      <c r="BH291" s="204"/>
      <c r="BI291" s="204"/>
      <c r="BJ291" s="204"/>
      <c r="BK291" s="204"/>
      <c r="BL291" s="204"/>
      <c r="BM291" s="204"/>
      <c r="BN291" s="204"/>
      <c r="BO291" s="204"/>
      <c r="BP291" s="204"/>
      <c r="BQ291" s="204"/>
      <c r="BR291" s="204"/>
      <c r="BS291" s="204"/>
      <c r="BT291" s="204"/>
      <c r="BU291" s="204"/>
      <c r="BV291" s="204"/>
      <c r="BW291" s="204"/>
      <c r="BX291" s="204"/>
      <c r="BY291" s="204"/>
      <c r="BZ291" s="204"/>
      <c r="CA291" s="204"/>
      <c r="CB291" s="204"/>
      <c r="CC291" s="204"/>
      <c r="CD291" s="204"/>
      <c r="CE291" s="204"/>
      <c r="CF291" s="204"/>
      <c r="CG291" s="204"/>
      <c r="CH291" s="204"/>
      <c r="CI291" s="204"/>
      <c r="CJ291" s="204"/>
      <c r="CK291" s="204"/>
      <c r="CL291" s="204"/>
      <c r="CM291" s="204"/>
      <c r="CN291" s="204"/>
      <c r="CO291" s="204"/>
      <c r="CP291" s="204"/>
      <c r="CQ291" s="204"/>
      <c r="CR291" s="204"/>
      <c r="CS291" s="204"/>
      <c r="CT291" s="204"/>
      <c r="CU291" s="204"/>
      <c r="CV291" s="204"/>
      <c r="CW291" s="204"/>
      <c r="CX291" s="204"/>
      <c r="CY291" s="204"/>
    </row>
    <row r="292" spans="1:103" ht="15.75" customHeight="1" x14ac:dyDescent="0.2">
      <c r="A292" s="204"/>
      <c r="B292" s="204"/>
      <c r="C292" s="204"/>
      <c r="D292" s="204"/>
      <c r="E292" s="204"/>
      <c r="F292" s="204"/>
      <c r="G292" s="204"/>
      <c r="H292" s="204"/>
      <c r="I292" s="204"/>
      <c r="J292" s="204"/>
      <c r="K292" s="204"/>
      <c r="L292" s="204"/>
      <c r="M292" s="204"/>
      <c r="N292" s="204"/>
      <c r="O292" s="204"/>
      <c r="P292" s="204"/>
      <c r="Q292" s="204"/>
      <c r="R292" s="204"/>
      <c r="S292" s="204"/>
      <c r="T292" s="204"/>
      <c r="U292" s="204"/>
      <c r="V292" s="204"/>
      <c r="W292" s="204"/>
      <c r="X292" s="1469"/>
      <c r="Y292" s="254"/>
      <c r="Z292" s="254"/>
      <c r="AA292" s="254"/>
      <c r="AB292" s="254"/>
      <c r="AC292" s="254"/>
      <c r="AD292" s="254"/>
      <c r="AE292" s="254"/>
      <c r="AF292" s="254"/>
      <c r="AG292" s="254"/>
      <c r="AH292" s="254"/>
      <c r="AI292" s="473"/>
      <c r="AJ292" s="254"/>
      <c r="AK292" s="254"/>
      <c r="AL292" s="254"/>
      <c r="AM292" s="254"/>
      <c r="AN292" s="254"/>
      <c r="AO292" s="254"/>
      <c r="AP292" s="204"/>
      <c r="AQ292" s="204"/>
      <c r="AR292" s="204"/>
      <c r="AS292" s="204"/>
      <c r="AT292" s="254"/>
      <c r="AU292" s="204"/>
      <c r="AV292" s="204"/>
      <c r="AW292" s="204"/>
      <c r="AX292" s="204"/>
      <c r="AY292" s="204"/>
      <c r="AZ292" s="204"/>
      <c r="BA292" s="204"/>
      <c r="BB292" s="204"/>
      <c r="BC292" s="204"/>
      <c r="BD292" s="204"/>
      <c r="BE292" s="204"/>
      <c r="BF292" s="204"/>
      <c r="BG292" s="204"/>
      <c r="BH292" s="204"/>
      <c r="BI292" s="204"/>
      <c r="BJ292" s="204"/>
      <c r="BK292" s="204"/>
      <c r="BL292" s="204"/>
      <c r="BM292" s="204"/>
      <c r="BN292" s="204"/>
      <c r="BO292" s="204"/>
      <c r="BP292" s="204"/>
      <c r="BQ292" s="204"/>
      <c r="BR292" s="204"/>
      <c r="BS292" s="204"/>
      <c r="BT292" s="204"/>
      <c r="BU292" s="204"/>
      <c r="BV292" s="204"/>
      <c r="BW292" s="204"/>
      <c r="BX292" s="204"/>
      <c r="BY292" s="204"/>
      <c r="BZ292" s="204"/>
      <c r="CA292" s="204"/>
      <c r="CB292" s="204"/>
      <c r="CC292" s="204"/>
      <c r="CD292" s="204"/>
      <c r="CE292" s="204"/>
      <c r="CF292" s="204"/>
      <c r="CG292" s="204"/>
      <c r="CH292" s="204"/>
      <c r="CI292" s="204"/>
      <c r="CJ292" s="204"/>
      <c r="CK292" s="204"/>
      <c r="CL292" s="204"/>
      <c r="CM292" s="204"/>
      <c r="CN292" s="204"/>
      <c r="CO292" s="204"/>
      <c r="CP292" s="204"/>
      <c r="CQ292" s="204"/>
      <c r="CR292" s="204"/>
      <c r="CS292" s="204"/>
      <c r="CT292" s="204"/>
      <c r="CU292" s="204"/>
      <c r="CV292" s="204"/>
      <c r="CW292" s="204"/>
      <c r="CX292" s="204"/>
      <c r="CY292" s="204"/>
    </row>
    <row r="293" spans="1:103" ht="15.75" customHeight="1" x14ac:dyDescent="0.2">
      <c r="A293" s="204"/>
      <c r="B293" s="204"/>
      <c r="C293" s="204"/>
      <c r="D293" s="204"/>
      <c r="E293" s="204"/>
      <c r="F293" s="204"/>
      <c r="G293" s="204"/>
      <c r="H293" s="204"/>
      <c r="I293" s="204"/>
      <c r="J293" s="204"/>
      <c r="K293" s="204"/>
      <c r="L293" s="204"/>
      <c r="M293" s="204"/>
      <c r="N293" s="204"/>
      <c r="O293" s="204"/>
      <c r="P293" s="204"/>
      <c r="Q293" s="204"/>
      <c r="R293" s="204"/>
      <c r="S293" s="204"/>
      <c r="T293" s="204"/>
      <c r="U293" s="204"/>
      <c r="V293" s="204"/>
      <c r="W293" s="204"/>
      <c r="X293" s="1469"/>
      <c r="Y293" s="254"/>
      <c r="Z293" s="254"/>
      <c r="AA293" s="254"/>
      <c r="AB293" s="254"/>
      <c r="AC293" s="254"/>
      <c r="AD293" s="254"/>
      <c r="AE293" s="254"/>
      <c r="AF293" s="254"/>
      <c r="AG293" s="254"/>
      <c r="AH293" s="254"/>
      <c r="AI293" s="473"/>
      <c r="AJ293" s="254"/>
      <c r="AK293" s="254"/>
      <c r="AL293" s="254"/>
      <c r="AM293" s="254"/>
      <c r="AN293" s="254"/>
      <c r="AO293" s="254"/>
      <c r="AP293" s="204"/>
      <c r="AQ293" s="204"/>
      <c r="AR293" s="204"/>
      <c r="AS293" s="204"/>
      <c r="AT293" s="254"/>
      <c r="AU293" s="204"/>
      <c r="AV293" s="204"/>
      <c r="AW293" s="204"/>
      <c r="AX293" s="204"/>
      <c r="AY293" s="204"/>
      <c r="AZ293" s="204"/>
      <c r="BA293" s="204"/>
      <c r="BB293" s="204"/>
      <c r="BC293" s="204"/>
      <c r="BD293" s="204"/>
      <c r="BE293" s="204"/>
      <c r="BF293" s="204"/>
      <c r="BG293" s="204"/>
      <c r="BH293" s="204"/>
      <c r="BI293" s="204"/>
      <c r="BJ293" s="204"/>
      <c r="BK293" s="204"/>
      <c r="BL293" s="204"/>
      <c r="BM293" s="204"/>
      <c r="BN293" s="204"/>
      <c r="BO293" s="204"/>
      <c r="BP293" s="204"/>
      <c r="BQ293" s="204"/>
      <c r="BR293" s="204"/>
      <c r="BS293" s="204"/>
      <c r="BT293" s="204"/>
      <c r="BU293" s="204"/>
      <c r="BV293" s="204"/>
      <c r="BW293" s="204"/>
      <c r="BX293" s="204"/>
      <c r="BY293" s="204"/>
      <c r="BZ293" s="204"/>
      <c r="CA293" s="204"/>
      <c r="CB293" s="204"/>
      <c r="CC293" s="204"/>
      <c r="CD293" s="204"/>
      <c r="CE293" s="204"/>
      <c r="CF293" s="204"/>
      <c r="CG293" s="204"/>
      <c r="CH293" s="204"/>
      <c r="CI293" s="204"/>
      <c r="CJ293" s="204"/>
      <c r="CK293" s="204"/>
      <c r="CL293" s="204"/>
      <c r="CM293" s="204"/>
      <c r="CN293" s="204"/>
      <c r="CO293" s="204"/>
      <c r="CP293" s="204"/>
      <c r="CQ293" s="204"/>
      <c r="CR293" s="204"/>
      <c r="CS293" s="204"/>
      <c r="CT293" s="204"/>
      <c r="CU293" s="204"/>
      <c r="CV293" s="204"/>
      <c r="CW293" s="204"/>
      <c r="CX293" s="204"/>
      <c r="CY293" s="204"/>
    </row>
    <row r="294" spans="1:103" ht="15.75" customHeight="1" x14ac:dyDescent="0.2">
      <c r="A294" s="204"/>
      <c r="B294" s="204"/>
      <c r="C294" s="204"/>
      <c r="D294" s="204"/>
      <c r="E294" s="204"/>
      <c r="F294" s="204"/>
      <c r="G294" s="204"/>
      <c r="H294" s="204"/>
      <c r="I294" s="204"/>
      <c r="J294" s="204"/>
      <c r="K294" s="204"/>
      <c r="L294" s="204"/>
      <c r="M294" s="204"/>
      <c r="N294" s="204"/>
      <c r="O294" s="204"/>
      <c r="P294" s="204"/>
      <c r="Q294" s="204"/>
      <c r="R294" s="204"/>
      <c r="S294" s="204"/>
      <c r="T294" s="204"/>
      <c r="U294" s="204"/>
      <c r="V294" s="204"/>
      <c r="W294" s="204"/>
      <c r="X294" s="1469"/>
      <c r="Y294" s="254"/>
      <c r="Z294" s="254"/>
      <c r="AA294" s="254"/>
      <c r="AB294" s="254"/>
      <c r="AC294" s="254"/>
      <c r="AD294" s="254"/>
      <c r="AE294" s="254"/>
      <c r="AF294" s="254"/>
      <c r="AG294" s="254"/>
      <c r="AH294" s="254"/>
      <c r="AI294" s="473"/>
      <c r="AJ294" s="254"/>
      <c r="AK294" s="254"/>
      <c r="AL294" s="254"/>
      <c r="AM294" s="254"/>
      <c r="AN294" s="254"/>
      <c r="AO294" s="254"/>
      <c r="AP294" s="204"/>
      <c r="AQ294" s="204"/>
      <c r="AR294" s="204"/>
      <c r="AS294" s="204"/>
      <c r="AT294" s="254"/>
      <c r="AU294" s="204"/>
      <c r="AV294" s="204"/>
      <c r="AW294" s="204"/>
      <c r="AX294" s="204"/>
      <c r="AY294" s="204"/>
      <c r="AZ294" s="204"/>
      <c r="BA294" s="204"/>
      <c r="BB294" s="204"/>
      <c r="BC294" s="204"/>
      <c r="BD294" s="204"/>
      <c r="BE294" s="204"/>
      <c r="BF294" s="204"/>
      <c r="BG294" s="204"/>
      <c r="BH294" s="204"/>
      <c r="BI294" s="204"/>
      <c r="BJ294" s="204"/>
      <c r="BK294" s="204"/>
      <c r="BL294" s="204"/>
      <c r="BM294" s="204"/>
      <c r="BN294" s="204"/>
      <c r="BO294" s="204"/>
      <c r="BP294" s="204"/>
      <c r="BQ294" s="204"/>
      <c r="BR294" s="204"/>
      <c r="BS294" s="204"/>
      <c r="BT294" s="204"/>
      <c r="BU294" s="204"/>
      <c r="BV294" s="204"/>
      <c r="BW294" s="204"/>
      <c r="BX294" s="204"/>
      <c r="BY294" s="204"/>
      <c r="BZ294" s="204"/>
      <c r="CA294" s="204"/>
      <c r="CB294" s="204"/>
      <c r="CC294" s="204"/>
      <c r="CD294" s="204"/>
      <c r="CE294" s="204"/>
      <c r="CF294" s="204"/>
      <c r="CG294" s="204"/>
      <c r="CH294" s="204"/>
      <c r="CI294" s="204"/>
      <c r="CJ294" s="204"/>
      <c r="CK294" s="204"/>
      <c r="CL294" s="204"/>
      <c r="CM294" s="204"/>
      <c r="CN294" s="204"/>
      <c r="CO294" s="204"/>
      <c r="CP294" s="204"/>
      <c r="CQ294" s="204"/>
      <c r="CR294" s="204"/>
      <c r="CS294" s="204"/>
      <c r="CT294" s="204"/>
      <c r="CU294" s="204"/>
      <c r="CV294" s="204"/>
      <c r="CW294" s="204"/>
      <c r="CX294" s="204"/>
      <c r="CY294" s="204"/>
    </row>
    <row r="295" spans="1:103" ht="15.75" customHeight="1" x14ac:dyDescent="0.2">
      <c r="A295" s="204"/>
      <c r="B295" s="204"/>
      <c r="C295" s="204"/>
      <c r="D295" s="204"/>
      <c r="E295" s="204"/>
      <c r="F295" s="204"/>
      <c r="G295" s="204"/>
      <c r="H295" s="204"/>
      <c r="I295" s="204"/>
      <c r="J295" s="204"/>
      <c r="K295" s="204"/>
      <c r="L295" s="204"/>
      <c r="M295" s="204"/>
      <c r="N295" s="204"/>
      <c r="O295" s="204"/>
      <c r="P295" s="204"/>
      <c r="Q295" s="204"/>
      <c r="R295" s="204"/>
      <c r="S295" s="204"/>
      <c r="T295" s="204"/>
      <c r="U295" s="204"/>
      <c r="V295" s="204"/>
      <c r="W295" s="204"/>
      <c r="X295" s="1469"/>
      <c r="Y295" s="254"/>
      <c r="Z295" s="254"/>
      <c r="AA295" s="254"/>
      <c r="AB295" s="254"/>
      <c r="AC295" s="254"/>
      <c r="AD295" s="254"/>
      <c r="AE295" s="254"/>
      <c r="AF295" s="254"/>
      <c r="AG295" s="254"/>
      <c r="AH295" s="254"/>
      <c r="AI295" s="473"/>
      <c r="AJ295" s="254"/>
      <c r="AK295" s="254"/>
      <c r="AL295" s="254"/>
      <c r="AM295" s="254"/>
      <c r="AN295" s="254"/>
      <c r="AO295" s="254"/>
      <c r="AP295" s="204"/>
      <c r="AQ295" s="204"/>
      <c r="AR295" s="204"/>
      <c r="AS295" s="204"/>
      <c r="AT295" s="254"/>
      <c r="AU295" s="204"/>
      <c r="AV295" s="204"/>
      <c r="AW295" s="204"/>
      <c r="AX295" s="204"/>
      <c r="AY295" s="204"/>
      <c r="AZ295" s="204"/>
      <c r="BA295" s="204"/>
      <c r="BB295" s="204"/>
      <c r="BC295" s="204"/>
      <c r="BD295" s="204"/>
      <c r="BE295" s="204"/>
      <c r="BF295" s="204"/>
      <c r="BG295" s="204"/>
      <c r="BH295" s="204"/>
      <c r="BI295" s="204"/>
      <c r="BJ295" s="204"/>
      <c r="BK295" s="204"/>
      <c r="BL295" s="204"/>
      <c r="BM295" s="204"/>
      <c r="BN295" s="204"/>
      <c r="BO295" s="204"/>
      <c r="BP295" s="204"/>
      <c r="BQ295" s="204"/>
      <c r="BR295" s="204"/>
      <c r="BS295" s="204"/>
      <c r="BT295" s="204"/>
      <c r="BU295" s="204"/>
      <c r="BV295" s="204"/>
      <c r="BW295" s="204"/>
      <c r="BX295" s="204"/>
      <c r="BY295" s="204"/>
      <c r="BZ295" s="204"/>
      <c r="CA295" s="204"/>
      <c r="CB295" s="204"/>
      <c r="CC295" s="204"/>
      <c r="CD295" s="204"/>
      <c r="CE295" s="204"/>
      <c r="CF295" s="204"/>
      <c r="CG295" s="204"/>
      <c r="CH295" s="204"/>
      <c r="CI295" s="204"/>
      <c r="CJ295" s="204"/>
      <c r="CK295" s="204"/>
      <c r="CL295" s="204"/>
      <c r="CM295" s="204"/>
      <c r="CN295" s="204"/>
      <c r="CO295" s="204"/>
      <c r="CP295" s="204"/>
      <c r="CQ295" s="204"/>
      <c r="CR295" s="204"/>
      <c r="CS295" s="204"/>
      <c r="CT295" s="204"/>
      <c r="CU295" s="204"/>
      <c r="CV295" s="204"/>
      <c r="CW295" s="204"/>
      <c r="CX295" s="204"/>
      <c r="CY295" s="204"/>
    </row>
    <row r="296" spans="1:103" ht="15.75" customHeight="1" x14ac:dyDescent="0.2">
      <c r="A296" s="204"/>
      <c r="B296" s="204"/>
      <c r="C296" s="204"/>
      <c r="D296" s="204"/>
      <c r="E296" s="204"/>
      <c r="F296" s="204"/>
      <c r="G296" s="204"/>
      <c r="H296" s="204"/>
      <c r="I296" s="204"/>
      <c r="J296" s="204"/>
      <c r="K296" s="204"/>
      <c r="L296" s="204"/>
      <c r="M296" s="204"/>
      <c r="N296" s="204"/>
      <c r="O296" s="204"/>
      <c r="P296" s="204"/>
      <c r="Q296" s="204"/>
      <c r="R296" s="204"/>
      <c r="S296" s="204"/>
      <c r="T296" s="204"/>
      <c r="U296" s="204"/>
      <c r="V296" s="204"/>
      <c r="W296" s="204"/>
      <c r="X296" s="1469"/>
      <c r="Y296" s="254"/>
      <c r="Z296" s="254"/>
      <c r="AA296" s="254"/>
      <c r="AB296" s="254"/>
      <c r="AC296" s="254"/>
      <c r="AD296" s="254"/>
      <c r="AE296" s="254"/>
      <c r="AF296" s="254"/>
      <c r="AG296" s="254"/>
      <c r="AH296" s="254"/>
      <c r="AI296" s="473"/>
      <c r="AJ296" s="254"/>
      <c r="AK296" s="254"/>
      <c r="AL296" s="254"/>
      <c r="AM296" s="254"/>
      <c r="AN296" s="254"/>
      <c r="AO296" s="254"/>
      <c r="AP296" s="204"/>
      <c r="AQ296" s="204"/>
      <c r="AR296" s="204"/>
      <c r="AS296" s="204"/>
      <c r="AT296" s="254"/>
      <c r="AU296" s="204"/>
      <c r="AV296" s="204"/>
      <c r="AW296" s="204"/>
      <c r="AX296" s="204"/>
      <c r="AY296" s="204"/>
      <c r="AZ296" s="204"/>
      <c r="BA296" s="204"/>
      <c r="BB296" s="204"/>
      <c r="BC296" s="204"/>
      <c r="BD296" s="204"/>
      <c r="BE296" s="204"/>
      <c r="BF296" s="204"/>
      <c r="BG296" s="204"/>
      <c r="BH296" s="204"/>
      <c r="BI296" s="204"/>
      <c r="BJ296" s="204"/>
      <c r="BK296" s="204"/>
      <c r="BL296" s="204"/>
      <c r="BM296" s="204"/>
      <c r="BN296" s="204"/>
      <c r="BO296" s="204"/>
      <c r="BP296" s="204"/>
      <c r="BQ296" s="204"/>
      <c r="BR296" s="204"/>
      <c r="BS296" s="204"/>
      <c r="BT296" s="204"/>
      <c r="BU296" s="204"/>
      <c r="BV296" s="204"/>
      <c r="BW296" s="204"/>
      <c r="BX296" s="204"/>
      <c r="BY296" s="204"/>
      <c r="BZ296" s="204"/>
      <c r="CA296" s="204"/>
      <c r="CB296" s="204"/>
      <c r="CC296" s="204"/>
      <c r="CD296" s="204"/>
      <c r="CE296" s="204"/>
      <c r="CF296" s="204"/>
      <c r="CG296" s="204"/>
      <c r="CH296" s="204"/>
      <c r="CI296" s="204"/>
      <c r="CJ296" s="204"/>
      <c r="CK296" s="204"/>
      <c r="CL296" s="204"/>
      <c r="CM296" s="204"/>
      <c r="CN296" s="204"/>
      <c r="CO296" s="204"/>
      <c r="CP296" s="204"/>
      <c r="CQ296" s="204"/>
      <c r="CR296" s="204"/>
      <c r="CS296" s="204"/>
      <c r="CT296" s="204"/>
      <c r="CU296" s="204"/>
      <c r="CV296" s="204"/>
      <c r="CW296" s="204"/>
      <c r="CX296" s="204"/>
      <c r="CY296" s="204"/>
    </row>
    <row r="297" spans="1:103" ht="15.75" customHeight="1" x14ac:dyDescent="0.2">
      <c r="A297" s="204"/>
      <c r="B297" s="204"/>
      <c r="C297" s="204"/>
      <c r="D297" s="204"/>
      <c r="E297" s="204"/>
      <c r="F297" s="204"/>
      <c r="G297" s="204"/>
      <c r="H297" s="204"/>
      <c r="I297" s="204"/>
      <c r="J297" s="204"/>
      <c r="K297" s="204"/>
      <c r="L297" s="204"/>
      <c r="M297" s="204"/>
      <c r="N297" s="204"/>
      <c r="O297" s="204"/>
      <c r="P297" s="204"/>
      <c r="Q297" s="204"/>
      <c r="R297" s="204"/>
      <c r="S297" s="204"/>
      <c r="T297" s="204"/>
      <c r="U297" s="204"/>
      <c r="V297" s="204"/>
      <c r="W297" s="204"/>
      <c r="X297" s="1469"/>
      <c r="Y297" s="254"/>
      <c r="Z297" s="254"/>
      <c r="AA297" s="254"/>
      <c r="AB297" s="254"/>
      <c r="AC297" s="254"/>
      <c r="AD297" s="254"/>
      <c r="AE297" s="254"/>
      <c r="AF297" s="254"/>
      <c r="AG297" s="254"/>
      <c r="AH297" s="254"/>
      <c r="AI297" s="473"/>
      <c r="AJ297" s="254"/>
      <c r="AK297" s="254"/>
      <c r="AL297" s="254"/>
      <c r="AM297" s="254"/>
      <c r="AN297" s="254"/>
      <c r="AO297" s="254"/>
      <c r="AP297" s="204"/>
      <c r="AQ297" s="204"/>
      <c r="AR297" s="204"/>
      <c r="AS297" s="204"/>
      <c r="AT297" s="254"/>
      <c r="AU297" s="204"/>
      <c r="AV297" s="204"/>
      <c r="AW297" s="204"/>
      <c r="AX297" s="204"/>
      <c r="AY297" s="204"/>
      <c r="AZ297" s="204"/>
      <c r="BA297" s="204"/>
      <c r="BB297" s="204"/>
      <c r="BC297" s="204"/>
      <c r="BD297" s="204"/>
      <c r="BE297" s="204"/>
      <c r="BF297" s="204"/>
      <c r="BG297" s="204"/>
      <c r="BH297" s="204"/>
      <c r="BI297" s="204"/>
      <c r="BJ297" s="204"/>
      <c r="BK297" s="204"/>
      <c r="BL297" s="204"/>
      <c r="BM297" s="204"/>
      <c r="BN297" s="204"/>
      <c r="BO297" s="204"/>
      <c r="BP297" s="204"/>
      <c r="BQ297" s="204"/>
      <c r="BR297" s="204"/>
      <c r="BS297" s="204"/>
      <c r="BT297" s="204"/>
      <c r="BU297" s="204"/>
      <c r="BV297" s="204"/>
      <c r="BW297" s="204"/>
      <c r="BX297" s="204"/>
      <c r="BY297" s="204"/>
      <c r="BZ297" s="204"/>
      <c r="CA297" s="204"/>
      <c r="CB297" s="204"/>
      <c r="CC297" s="204"/>
      <c r="CD297" s="204"/>
      <c r="CE297" s="204"/>
      <c r="CF297" s="204"/>
      <c r="CG297" s="204"/>
      <c r="CH297" s="204"/>
      <c r="CI297" s="204"/>
      <c r="CJ297" s="204"/>
      <c r="CK297" s="204"/>
      <c r="CL297" s="204"/>
      <c r="CM297" s="204"/>
      <c r="CN297" s="204"/>
      <c r="CO297" s="204"/>
      <c r="CP297" s="204"/>
      <c r="CQ297" s="204"/>
      <c r="CR297" s="204"/>
      <c r="CS297" s="204"/>
      <c r="CT297" s="204"/>
      <c r="CU297" s="204"/>
      <c r="CV297" s="204"/>
      <c r="CW297" s="204"/>
      <c r="CX297" s="204"/>
      <c r="CY297" s="204"/>
    </row>
    <row r="298" spans="1:103" ht="15.75" customHeight="1" x14ac:dyDescent="0.2">
      <c r="A298" s="204"/>
      <c r="B298" s="204"/>
      <c r="C298" s="204"/>
      <c r="D298" s="204"/>
      <c r="E298" s="204"/>
      <c r="F298" s="204"/>
      <c r="G298" s="204"/>
      <c r="H298" s="204"/>
      <c r="I298" s="204"/>
      <c r="J298" s="204"/>
      <c r="K298" s="204"/>
      <c r="L298" s="204"/>
      <c r="M298" s="204"/>
      <c r="N298" s="204"/>
      <c r="O298" s="204"/>
      <c r="P298" s="204"/>
      <c r="Q298" s="204"/>
      <c r="R298" s="204"/>
      <c r="S298" s="204"/>
      <c r="T298" s="204"/>
      <c r="U298" s="204"/>
      <c r="V298" s="204"/>
      <c r="W298" s="204"/>
      <c r="X298" s="1469"/>
      <c r="Y298" s="254"/>
      <c r="Z298" s="254"/>
      <c r="AA298" s="254"/>
      <c r="AB298" s="254"/>
      <c r="AC298" s="254"/>
      <c r="AD298" s="254"/>
      <c r="AE298" s="254"/>
      <c r="AF298" s="254"/>
      <c r="AG298" s="254"/>
      <c r="AH298" s="254"/>
      <c r="AI298" s="473"/>
      <c r="AJ298" s="254"/>
      <c r="AK298" s="254"/>
      <c r="AL298" s="254"/>
      <c r="AM298" s="254"/>
      <c r="AN298" s="254"/>
      <c r="AO298" s="254"/>
      <c r="AP298" s="204"/>
      <c r="AQ298" s="204"/>
      <c r="AR298" s="204"/>
      <c r="AS298" s="204"/>
      <c r="AT298" s="254"/>
      <c r="AU298" s="204"/>
      <c r="AV298" s="204"/>
      <c r="AW298" s="204"/>
      <c r="AX298" s="204"/>
      <c r="AY298" s="204"/>
      <c r="AZ298" s="204"/>
      <c r="BA298" s="204"/>
      <c r="BB298" s="204"/>
      <c r="BC298" s="204"/>
      <c r="BD298" s="204"/>
      <c r="BE298" s="204"/>
      <c r="BF298" s="204"/>
      <c r="BG298" s="204"/>
      <c r="BH298" s="204"/>
      <c r="BI298" s="204"/>
      <c r="BJ298" s="204"/>
      <c r="BK298" s="204"/>
      <c r="BL298" s="204"/>
      <c r="BM298" s="204"/>
      <c r="BN298" s="204"/>
      <c r="BO298" s="204"/>
      <c r="BP298" s="204"/>
      <c r="BQ298" s="204"/>
      <c r="BR298" s="204"/>
      <c r="BS298" s="204"/>
      <c r="BT298" s="204"/>
      <c r="BU298" s="204"/>
      <c r="BV298" s="204"/>
      <c r="BW298" s="204"/>
      <c r="BX298" s="204"/>
      <c r="BY298" s="204"/>
      <c r="BZ298" s="204"/>
      <c r="CA298" s="204"/>
      <c r="CB298" s="204"/>
      <c r="CC298" s="204"/>
      <c r="CD298" s="204"/>
      <c r="CE298" s="204"/>
      <c r="CF298" s="204"/>
      <c r="CG298" s="204"/>
      <c r="CH298" s="204"/>
      <c r="CI298" s="204"/>
      <c r="CJ298" s="204"/>
      <c r="CK298" s="204"/>
      <c r="CL298" s="204"/>
      <c r="CM298" s="204"/>
      <c r="CN298" s="204"/>
      <c r="CO298" s="204"/>
      <c r="CP298" s="204"/>
      <c r="CQ298" s="204"/>
      <c r="CR298" s="204"/>
      <c r="CS298" s="204"/>
      <c r="CT298" s="204"/>
      <c r="CU298" s="204"/>
      <c r="CV298" s="204"/>
      <c r="CW298" s="204"/>
      <c r="CX298" s="204"/>
      <c r="CY298" s="204"/>
    </row>
    <row r="299" spans="1:103" ht="15.75" customHeight="1" x14ac:dyDescent="0.2">
      <c r="A299" s="204"/>
      <c r="B299" s="204"/>
      <c r="C299" s="204"/>
      <c r="D299" s="204"/>
      <c r="E299" s="204"/>
      <c r="F299" s="204"/>
      <c r="G299" s="204"/>
      <c r="H299" s="204"/>
      <c r="I299" s="204"/>
      <c r="J299" s="204"/>
      <c r="K299" s="204"/>
      <c r="L299" s="204"/>
      <c r="M299" s="204"/>
      <c r="N299" s="204"/>
      <c r="O299" s="204"/>
      <c r="P299" s="204"/>
      <c r="Q299" s="204"/>
      <c r="R299" s="204"/>
      <c r="S299" s="204"/>
      <c r="T299" s="204"/>
      <c r="U299" s="204"/>
      <c r="V299" s="204"/>
      <c r="W299" s="204"/>
      <c r="X299" s="1469"/>
      <c r="Y299" s="254"/>
      <c r="Z299" s="254"/>
      <c r="AA299" s="254"/>
      <c r="AB299" s="254"/>
      <c r="AC299" s="254"/>
      <c r="AD299" s="254"/>
      <c r="AE299" s="254"/>
      <c r="AF299" s="254"/>
      <c r="AG299" s="254"/>
      <c r="AH299" s="254"/>
      <c r="AI299" s="473"/>
      <c r="AJ299" s="254"/>
      <c r="AK299" s="254"/>
      <c r="AL299" s="254"/>
      <c r="AM299" s="254"/>
      <c r="AN299" s="254"/>
      <c r="AO299" s="254"/>
      <c r="AP299" s="204"/>
      <c r="AQ299" s="204"/>
      <c r="AR299" s="204"/>
      <c r="AS299" s="204"/>
      <c r="AT299" s="254"/>
      <c r="AU299" s="204"/>
      <c r="AV299" s="204"/>
      <c r="AW299" s="204"/>
      <c r="AX299" s="204"/>
      <c r="AY299" s="204"/>
      <c r="AZ299" s="204"/>
      <c r="BA299" s="204"/>
      <c r="BB299" s="204"/>
      <c r="BC299" s="204"/>
      <c r="BD299" s="204"/>
      <c r="BE299" s="204"/>
      <c r="BF299" s="204"/>
      <c r="BG299" s="204"/>
      <c r="BH299" s="204"/>
      <c r="BI299" s="204"/>
      <c r="BJ299" s="204"/>
      <c r="BK299" s="204"/>
      <c r="BL299" s="204"/>
      <c r="BM299" s="204"/>
      <c r="BN299" s="204"/>
      <c r="BO299" s="204"/>
      <c r="BP299" s="204"/>
      <c r="BQ299" s="204"/>
      <c r="BR299" s="204"/>
      <c r="BS299" s="204"/>
      <c r="BT299" s="204"/>
      <c r="BU299" s="204"/>
      <c r="BV299" s="204"/>
      <c r="BW299" s="204"/>
      <c r="BX299" s="204"/>
      <c r="BY299" s="204"/>
      <c r="BZ299" s="204"/>
      <c r="CA299" s="204"/>
      <c r="CB299" s="204"/>
      <c r="CC299" s="204"/>
      <c r="CD299" s="204"/>
      <c r="CE299" s="204"/>
      <c r="CF299" s="204"/>
      <c r="CG299" s="204"/>
      <c r="CH299" s="204"/>
      <c r="CI299" s="204"/>
      <c r="CJ299" s="204"/>
      <c r="CK299" s="204"/>
      <c r="CL299" s="204"/>
      <c r="CM299" s="204"/>
      <c r="CN299" s="204"/>
      <c r="CO299" s="204"/>
      <c r="CP299" s="204"/>
      <c r="CQ299" s="204"/>
      <c r="CR299" s="204"/>
      <c r="CS299" s="204"/>
      <c r="CT299" s="204"/>
      <c r="CU299" s="204"/>
      <c r="CV299" s="204"/>
      <c r="CW299" s="204"/>
      <c r="CX299" s="204"/>
      <c r="CY299" s="204"/>
    </row>
    <row r="300" spans="1:103" ht="15.75" customHeight="1" x14ac:dyDescent="0.2">
      <c r="A300" s="204"/>
      <c r="B300" s="204"/>
      <c r="C300" s="204"/>
      <c r="D300" s="204"/>
      <c r="E300" s="204"/>
      <c r="F300" s="204"/>
      <c r="G300" s="204"/>
      <c r="H300" s="204"/>
      <c r="I300" s="204"/>
      <c r="J300" s="204"/>
      <c r="K300" s="204"/>
      <c r="L300" s="204"/>
      <c r="M300" s="204"/>
      <c r="N300" s="204"/>
      <c r="O300" s="204"/>
      <c r="P300" s="204"/>
      <c r="Q300" s="204"/>
      <c r="R300" s="204"/>
      <c r="S300" s="204"/>
      <c r="T300" s="204"/>
      <c r="U300" s="204"/>
      <c r="V300" s="204"/>
      <c r="W300" s="204"/>
      <c r="X300" s="1469"/>
      <c r="Y300" s="254"/>
      <c r="Z300" s="254"/>
      <c r="AA300" s="254"/>
      <c r="AB300" s="254"/>
      <c r="AC300" s="254"/>
      <c r="AD300" s="254"/>
      <c r="AE300" s="254"/>
      <c r="AF300" s="254"/>
      <c r="AG300" s="254"/>
      <c r="AH300" s="254"/>
      <c r="AI300" s="473"/>
      <c r="AJ300" s="254"/>
      <c r="AK300" s="254"/>
      <c r="AL300" s="254"/>
      <c r="AM300" s="254"/>
      <c r="AN300" s="254"/>
      <c r="AO300" s="254"/>
      <c r="AP300" s="204"/>
      <c r="AQ300" s="204"/>
      <c r="AR300" s="204"/>
      <c r="AS300" s="204"/>
      <c r="AT300" s="254"/>
      <c r="AU300" s="204"/>
      <c r="AV300" s="204"/>
      <c r="AW300" s="204"/>
      <c r="AX300" s="204"/>
      <c r="AY300" s="204"/>
      <c r="AZ300" s="204"/>
      <c r="BA300" s="204"/>
      <c r="BB300" s="204"/>
      <c r="BC300" s="204"/>
      <c r="BD300" s="204"/>
      <c r="BE300" s="204"/>
      <c r="BF300" s="204"/>
      <c r="BG300" s="204"/>
      <c r="BH300" s="204"/>
      <c r="BI300" s="204"/>
      <c r="BJ300" s="204"/>
      <c r="BK300" s="204"/>
      <c r="BL300" s="204"/>
      <c r="BM300" s="204"/>
      <c r="BN300" s="204"/>
      <c r="BO300" s="204"/>
      <c r="BP300" s="204"/>
      <c r="BQ300" s="204"/>
      <c r="BR300" s="204"/>
      <c r="BS300" s="204"/>
      <c r="BT300" s="204"/>
      <c r="BU300" s="204"/>
      <c r="BV300" s="204"/>
      <c r="BW300" s="204"/>
      <c r="BX300" s="204"/>
      <c r="BY300" s="204"/>
      <c r="BZ300" s="204"/>
      <c r="CA300" s="204"/>
      <c r="CB300" s="204"/>
      <c r="CC300" s="204"/>
      <c r="CD300" s="204"/>
      <c r="CE300" s="204"/>
      <c r="CF300" s="204"/>
      <c r="CG300" s="204"/>
      <c r="CH300" s="204"/>
      <c r="CI300" s="204"/>
      <c r="CJ300" s="204"/>
      <c r="CK300" s="204"/>
      <c r="CL300" s="204"/>
      <c r="CM300" s="204"/>
      <c r="CN300" s="204"/>
      <c r="CO300" s="204"/>
      <c r="CP300" s="204"/>
      <c r="CQ300" s="204"/>
      <c r="CR300" s="204"/>
      <c r="CS300" s="204"/>
      <c r="CT300" s="204"/>
      <c r="CU300" s="204"/>
      <c r="CV300" s="204"/>
      <c r="CW300" s="204"/>
      <c r="CX300" s="204"/>
      <c r="CY300" s="204"/>
    </row>
    <row r="301" spans="1:103" ht="15.75" customHeight="1" x14ac:dyDescent="0.2">
      <c r="A301" s="204"/>
      <c r="B301" s="204"/>
      <c r="C301" s="204"/>
      <c r="D301" s="204"/>
      <c r="E301" s="204"/>
      <c r="F301" s="204"/>
      <c r="G301" s="204"/>
      <c r="H301" s="204"/>
      <c r="I301" s="204"/>
      <c r="J301" s="204"/>
      <c r="K301" s="204"/>
      <c r="L301" s="204"/>
      <c r="M301" s="204"/>
      <c r="N301" s="204"/>
      <c r="O301" s="204"/>
      <c r="P301" s="204"/>
      <c r="Q301" s="204"/>
      <c r="R301" s="204"/>
      <c r="S301" s="204"/>
      <c r="T301" s="204"/>
      <c r="U301" s="204"/>
      <c r="V301" s="204"/>
      <c r="W301" s="204"/>
      <c r="X301" s="1469"/>
      <c r="Y301" s="254"/>
      <c r="Z301" s="254"/>
      <c r="AA301" s="254"/>
      <c r="AB301" s="254"/>
      <c r="AC301" s="254"/>
      <c r="AD301" s="254"/>
      <c r="AE301" s="254"/>
      <c r="AF301" s="254"/>
      <c r="AG301" s="254"/>
      <c r="AH301" s="254"/>
      <c r="AI301" s="473"/>
      <c r="AJ301" s="254"/>
      <c r="AK301" s="254"/>
      <c r="AL301" s="254"/>
      <c r="AM301" s="254"/>
      <c r="AN301" s="254"/>
      <c r="AO301" s="254"/>
      <c r="AP301" s="204"/>
      <c r="AQ301" s="204"/>
      <c r="AR301" s="204"/>
      <c r="AS301" s="204"/>
      <c r="AT301" s="254"/>
      <c r="AU301" s="204"/>
      <c r="AV301" s="204"/>
      <c r="AW301" s="204"/>
      <c r="AX301" s="204"/>
      <c r="AY301" s="204"/>
      <c r="AZ301" s="204"/>
      <c r="BA301" s="204"/>
      <c r="BB301" s="204"/>
      <c r="BC301" s="204"/>
      <c r="BD301" s="204"/>
      <c r="BE301" s="204"/>
      <c r="BF301" s="204"/>
      <c r="BG301" s="204"/>
      <c r="BH301" s="204"/>
      <c r="BI301" s="204"/>
      <c r="BJ301" s="204"/>
      <c r="BK301" s="204"/>
      <c r="BL301" s="204"/>
      <c r="BM301" s="204"/>
      <c r="BN301" s="204"/>
      <c r="BO301" s="204"/>
      <c r="BP301" s="204"/>
      <c r="BQ301" s="204"/>
      <c r="BR301" s="204"/>
      <c r="BS301" s="204"/>
      <c r="BT301" s="204"/>
      <c r="BU301" s="204"/>
      <c r="BV301" s="204"/>
      <c r="BW301" s="204"/>
      <c r="BX301" s="204"/>
      <c r="BY301" s="204"/>
      <c r="BZ301" s="204"/>
      <c r="CA301" s="204"/>
      <c r="CB301" s="204"/>
      <c r="CC301" s="204"/>
      <c r="CD301" s="204"/>
      <c r="CE301" s="204"/>
      <c r="CF301" s="204"/>
      <c r="CG301" s="204"/>
      <c r="CH301" s="204"/>
      <c r="CI301" s="204"/>
      <c r="CJ301" s="204"/>
      <c r="CK301" s="204"/>
      <c r="CL301" s="204"/>
      <c r="CM301" s="204"/>
      <c r="CN301" s="204"/>
      <c r="CO301" s="204"/>
      <c r="CP301" s="204"/>
      <c r="CQ301" s="204"/>
      <c r="CR301" s="204"/>
      <c r="CS301" s="204"/>
      <c r="CT301" s="204"/>
      <c r="CU301" s="204"/>
      <c r="CV301" s="204"/>
      <c r="CW301" s="204"/>
      <c r="CX301" s="204"/>
      <c r="CY301" s="204"/>
    </row>
    <row r="302" spans="1:103" ht="15.75" customHeight="1" x14ac:dyDescent="0.2">
      <c r="A302" s="204"/>
      <c r="B302" s="204"/>
      <c r="C302" s="204"/>
      <c r="D302" s="204"/>
      <c r="E302" s="204"/>
      <c r="F302" s="204"/>
      <c r="G302" s="204"/>
      <c r="H302" s="204"/>
      <c r="I302" s="204"/>
      <c r="J302" s="204"/>
      <c r="K302" s="204"/>
      <c r="L302" s="204"/>
      <c r="M302" s="204"/>
      <c r="N302" s="204"/>
      <c r="O302" s="204"/>
      <c r="P302" s="204"/>
      <c r="Q302" s="204"/>
      <c r="R302" s="204"/>
      <c r="S302" s="204"/>
      <c r="T302" s="204"/>
      <c r="U302" s="204"/>
      <c r="V302" s="204"/>
      <c r="W302" s="204"/>
      <c r="X302" s="1469"/>
      <c r="Y302" s="254"/>
      <c r="Z302" s="254"/>
      <c r="AA302" s="254"/>
      <c r="AB302" s="254"/>
      <c r="AC302" s="254"/>
      <c r="AD302" s="254"/>
      <c r="AE302" s="254"/>
      <c r="AF302" s="254"/>
      <c r="AG302" s="254"/>
      <c r="AH302" s="254"/>
      <c r="AI302" s="473"/>
      <c r="AJ302" s="254"/>
      <c r="AK302" s="254"/>
      <c r="AL302" s="254"/>
      <c r="AM302" s="254"/>
      <c r="AN302" s="254"/>
      <c r="AO302" s="254"/>
      <c r="AP302" s="204"/>
      <c r="AQ302" s="204"/>
      <c r="AR302" s="204"/>
      <c r="AS302" s="204"/>
      <c r="AT302" s="254"/>
      <c r="AU302" s="204"/>
      <c r="AV302" s="204"/>
      <c r="AW302" s="204"/>
      <c r="AX302" s="204"/>
      <c r="AY302" s="204"/>
      <c r="AZ302" s="204"/>
      <c r="BA302" s="204"/>
      <c r="BB302" s="204"/>
      <c r="BC302" s="204"/>
      <c r="BD302" s="204"/>
      <c r="BE302" s="204"/>
      <c r="BF302" s="204"/>
      <c r="BG302" s="204"/>
      <c r="BH302" s="204"/>
      <c r="BI302" s="204"/>
      <c r="BJ302" s="204"/>
      <c r="BK302" s="204"/>
      <c r="BL302" s="204"/>
      <c r="BM302" s="204"/>
      <c r="BN302" s="204"/>
      <c r="BO302" s="204"/>
      <c r="BP302" s="204"/>
      <c r="BQ302" s="204"/>
      <c r="BR302" s="204"/>
      <c r="BS302" s="204"/>
      <c r="BT302" s="204"/>
      <c r="BU302" s="204"/>
      <c r="BV302" s="204"/>
      <c r="BW302" s="204"/>
      <c r="BX302" s="204"/>
      <c r="BY302" s="204"/>
      <c r="BZ302" s="204"/>
      <c r="CA302" s="204"/>
      <c r="CB302" s="204"/>
      <c r="CC302" s="204"/>
      <c r="CD302" s="204"/>
      <c r="CE302" s="204"/>
      <c r="CF302" s="204"/>
      <c r="CG302" s="204"/>
      <c r="CH302" s="204"/>
      <c r="CI302" s="204"/>
      <c r="CJ302" s="204"/>
      <c r="CK302" s="204"/>
      <c r="CL302" s="204"/>
      <c r="CM302" s="204"/>
      <c r="CN302" s="204"/>
      <c r="CO302" s="204"/>
      <c r="CP302" s="204"/>
      <c r="CQ302" s="204"/>
      <c r="CR302" s="204"/>
      <c r="CS302" s="204"/>
      <c r="CT302" s="204"/>
      <c r="CU302" s="204"/>
      <c r="CV302" s="204"/>
      <c r="CW302" s="204"/>
      <c r="CX302" s="204"/>
      <c r="CY302" s="204"/>
    </row>
    <row r="303" spans="1:103" ht="15.75" customHeight="1" x14ac:dyDescent="0.2">
      <c r="A303" s="204"/>
      <c r="B303" s="204"/>
      <c r="C303" s="204"/>
      <c r="D303" s="204"/>
      <c r="E303" s="204"/>
      <c r="F303" s="204"/>
      <c r="G303" s="204"/>
      <c r="H303" s="204"/>
      <c r="I303" s="204"/>
      <c r="J303" s="204"/>
      <c r="K303" s="204"/>
      <c r="L303" s="204"/>
      <c r="M303" s="204"/>
      <c r="N303" s="204"/>
      <c r="O303" s="204"/>
      <c r="P303" s="204"/>
      <c r="Q303" s="204"/>
      <c r="R303" s="204"/>
      <c r="S303" s="204"/>
      <c r="T303" s="204"/>
      <c r="U303" s="204"/>
      <c r="V303" s="204"/>
      <c r="W303" s="204"/>
      <c r="X303" s="1469"/>
      <c r="Y303" s="254"/>
      <c r="Z303" s="254"/>
      <c r="AA303" s="254"/>
      <c r="AB303" s="254"/>
      <c r="AC303" s="254"/>
      <c r="AD303" s="254"/>
      <c r="AE303" s="254"/>
      <c r="AF303" s="254"/>
      <c r="AG303" s="254"/>
      <c r="AH303" s="254"/>
      <c r="AI303" s="473"/>
      <c r="AJ303" s="254"/>
      <c r="AK303" s="254"/>
      <c r="AL303" s="254"/>
      <c r="AM303" s="254"/>
      <c r="AN303" s="254"/>
      <c r="AO303" s="254"/>
      <c r="AP303" s="204"/>
      <c r="AQ303" s="204"/>
      <c r="AR303" s="204"/>
      <c r="AS303" s="204"/>
      <c r="AT303" s="254"/>
      <c r="AU303" s="204"/>
      <c r="AV303" s="204"/>
      <c r="AW303" s="204"/>
      <c r="AX303" s="204"/>
      <c r="AY303" s="204"/>
      <c r="AZ303" s="204"/>
      <c r="BA303" s="204"/>
      <c r="BB303" s="204"/>
      <c r="BC303" s="204"/>
      <c r="BD303" s="204"/>
      <c r="BE303" s="204"/>
      <c r="BF303" s="204"/>
      <c r="BG303" s="204"/>
      <c r="BH303" s="204"/>
      <c r="BI303" s="204"/>
      <c r="BJ303" s="204"/>
      <c r="BK303" s="204"/>
      <c r="BL303" s="204"/>
      <c r="BM303" s="204"/>
      <c r="BN303" s="204"/>
      <c r="BO303" s="204"/>
      <c r="BP303" s="204"/>
      <c r="BQ303" s="204"/>
      <c r="BR303" s="204"/>
      <c r="BS303" s="204"/>
      <c r="BT303" s="204"/>
      <c r="BU303" s="204"/>
      <c r="BV303" s="204"/>
      <c r="BW303" s="204"/>
      <c r="BX303" s="204"/>
      <c r="BY303" s="204"/>
      <c r="BZ303" s="204"/>
      <c r="CA303" s="204"/>
      <c r="CB303" s="204"/>
      <c r="CC303" s="204"/>
      <c r="CD303" s="204"/>
      <c r="CE303" s="204"/>
      <c r="CF303" s="204"/>
      <c r="CG303" s="204"/>
      <c r="CH303" s="204"/>
      <c r="CI303" s="204"/>
      <c r="CJ303" s="204"/>
      <c r="CK303" s="204"/>
      <c r="CL303" s="204"/>
      <c r="CM303" s="204"/>
      <c r="CN303" s="204"/>
      <c r="CO303" s="204"/>
      <c r="CP303" s="204"/>
      <c r="CQ303" s="204"/>
      <c r="CR303" s="204"/>
      <c r="CS303" s="204"/>
      <c r="CT303" s="204"/>
      <c r="CU303" s="204"/>
      <c r="CV303" s="204"/>
      <c r="CW303" s="204"/>
      <c r="CX303" s="204"/>
      <c r="CY303" s="204"/>
    </row>
    <row r="304" spans="1:103" ht="15.75" customHeight="1" x14ac:dyDescent="0.2">
      <c r="A304" s="204"/>
      <c r="B304" s="204"/>
      <c r="C304" s="204"/>
      <c r="D304" s="204"/>
      <c r="E304" s="204"/>
      <c r="F304" s="204"/>
      <c r="G304" s="204"/>
      <c r="H304" s="204"/>
      <c r="I304" s="204"/>
      <c r="J304" s="204"/>
      <c r="K304" s="204"/>
      <c r="L304" s="204"/>
      <c r="M304" s="204"/>
      <c r="N304" s="204"/>
      <c r="O304" s="204"/>
      <c r="P304" s="204"/>
      <c r="Q304" s="204"/>
      <c r="R304" s="204"/>
      <c r="S304" s="204"/>
      <c r="T304" s="204"/>
      <c r="U304" s="204"/>
      <c r="V304" s="204"/>
      <c r="W304" s="204"/>
      <c r="X304" s="1469"/>
      <c r="Y304" s="254"/>
      <c r="Z304" s="254"/>
      <c r="AA304" s="254"/>
      <c r="AB304" s="254"/>
      <c r="AC304" s="254"/>
      <c r="AD304" s="254"/>
      <c r="AE304" s="254"/>
      <c r="AF304" s="254"/>
      <c r="AG304" s="254"/>
      <c r="AH304" s="254"/>
      <c r="AI304" s="473"/>
      <c r="AJ304" s="254"/>
      <c r="AK304" s="254"/>
      <c r="AL304" s="254"/>
      <c r="AM304" s="254"/>
      <c r="AN304" s="254"/>
      <c r="AO304" s="254"/>
      <c r="AP304" s="204"/>
      <c r="AQ304" s="204"/>
      <c r="AR304" s="204"/>
      <c r="AS304" s="204"/>
      <c r="AT304" s="254"/>
      <c r="AU304" s="204"/>
      <c r="AV304" s="204"/>
      <c r="AW304" s="204"/>
      <c r="AX304" s="204"/>
      <c r="AY304" s="204"/>
      <c r="AZ304" s="204"/>
      <c r="BA304" s="204"/>
      <c r="BB304" s="204"/>
      <c r="BC304" s="204"/>
      <c r="BD304" s="204"/>
      <c r="BE304" s="204"/>
      <c r="BF304" s="204"/>
      <c r="BG304" s="204"/>
      <c r="BH304" s="204"/>
      <c r="BI304" s="204"/>
      <c r="BJ304" s="204"/>
      <c r="BK304" s="204"/>
      <c r="BL304" s="204"/>
      <c r="BM304" s="204"/>
      <c r="BN304" s="204"/>
      <c r="BO304" s="204"/>
      <c r="BP304" s="204"/>
      <c r="BQ304" s="204"/>
      <c r="BR304" s="204"/>
      <c r="BS304" s="204"/>
      <c r="BT304" s="204"/>
      <c r="BU304" s="204"/>
      <c r="BV304" s="204"/>
      <c r="BW304" s="204"/>
      <c r="BX304" s="204"/>
      <c r="BY304" s="204"/>
      <c r="BZ304" s="204"/>
      <c r="CA304" s="204"/>
      <c r="CB304" s="204"/>
      <c r="CC304" s="204"/>
      <c r="CD304" s="204"/>
      <c r="CE304" s="204"/>
      <c r="CF304" s="204"/>
      <c r="CG304" s="204"/>
      <c r="CH304" s="204"/>
      <c r="CI304" s="204"/>
      <c r="CJ304" s="204"/>
      <c r="CK304" s="204"/>
      <c r="CL304" s="204"/>
      <c r="CM304" s="204"/>
      <c r="CN304" s="204"/>
      <c r="CO304" s="204"/>
      <c r="CP304" s="204"/>
      <c r="CQ304" s="204"/>
      <c r="CR304" s="204"/>
      <c r="CS304" s="204"/>
      <c r="CT304" s="204"/>
      <c r="CU304" s="204"/>
      <c r="CV304" s="204"/>
      <c r="CW304" s="204"/>
      <c r="CX304" s="204"/>
      <c r="CY304" s="204"/>
    </row>
    <row r="305" spans="1:103" ht="15.75" customHeight="1" x14ac:dyDescent="0.2">
      <c r="A305" s="204"/>
      <c r="B305" s="204"/>
      <c r="C305" s="204"/>
      <c r="D305" s="204"/>
      <c r="E305" s="204"/>
      <c r="F305" s="204"/>
      <c r="G305" s="204"/>
      <c r="H305" s="204"/>
      <c r="I305" s="204"/>
      <c r="J305" s="204"/>
      <c r="K305" s="204"/>
      <c r="L305" s="204"/>
      <c r="M305" s="204"/>
      <c r="N305" s="204"/>
      <c r="O305" s="204"/>
      <c r="P305" s="204"/>
      <c r="Q305" s="204"/>
      <c r="R305" s="204"/>
      <c r="S305" s="204"/>
      <c r="T305" s="204"/>
      <c r="U305" s="204"/>
      <c r="V305" s="204"/>
      <c r="W305" s="204"/>
      <c r="X305" s="1469"/>
      <c r="Y305" s="254"/>
      <c r="Z305" s="254"/>
      <c r="AA305" s="254"/>
      <c r="AB305" s="254"/>
      <c r="AC305" s="254"/>
      <c r="AD305" s="254"/>
      <c r="AE305" s="254"/>
      <c r="AF305" s="254"/>
      <c r="AG305" s="254"/>
      <c r="AH305" s="254"/>
      <c r="AI305" s="473"/>
      <c r="AJ305" s="254"/>
      <c r="AK305" s="254"/>
      <c r="AL305" s="254"/>
      <c r="AM305" s="254"/>
      <c r="AN305" s="254"/>
      <c r="AO305" s="254"/>
      <c r="AP305" s="204"/>
      <c r="AQ305" s="204"/>
      <c r="AR305" s="204"/>
      <c r="AS305" s="204"/>
      <c r="AT305" s="254"/>
      <c r="AU305" s="204"/>
      <c r="AV305" s="204"/>
      <c r="AW305" s="204"/>
      <c r="AX305" s="204"/>
      <c r="AY305" s="204"/>
      <c r="AZ305" s="204"/>
      <c r="BA305" s="204"/>
      <c r="BB305" s="204"/>
      <c r="BC305" s="204"/>
      <c r="BD305" s="204"/>
      <c r="BE305" s="204"/>
      <c r="BF305" s="204"/>
      <c r="BG305" s="204"/>
      <c r="BH305" s="204"/>
      <c r="BI305" s="204"/>
      <c r="BJ305" s="204"/>
      <c r="BK305" s="204"/>
      <c r="BL305" s="204"/>
      <c r="BM305" s="204"/>
      <c r="BN305" s="204"/>
      <c r="BO305" s="204"/>
      <c r="BP305" s="204"/>
      <c r="BQ305" s="204"/>
      <c r="BR305" s="204"/>
      <c r="BS305" s="204"/>
      <c r="BT305" s="204"/>
      <c r="BU305" s="204"/>
      <c r="BV305" s="204"/>
      <c r="BW305" s="204"/>
      <c r="BX305" s="204"/>
      <c r="BY305" s="204"/>
      <c r="BZ305" s="204"/>
      <c r="CA305" s="204"/>
      <c r="CB305" s="204"/>
      <c r="CC305" s="204"/>
      <c r="CD305" s="204"/>
      <c r="CE305" s="204"/>
      <c r="CF305" s="204"/>
      <c r="CG305" s="204"/>
      <c r="CH305" s="204"/>
      <c r="CI305" s="204"/>
      <c r="CJ305" s="204"/>
      <c r="CK305" s="204"/>
      <c r="CL305" s="204"/>
      <c r="CM305" s="204"/>
      <c r="CN305" s="204"/>
      <c r="CO305" s="204"/>
      <c r="CP305" s="204"/>
      <c r="CQ305" s="204"/>
      <c r="CR305" s="204"/>
      <c r="CS305" s="204"/>
      <c r="CT305" s="204"/>
      <c r="CU305" s="204"/>
      <c r="CV305" s="204"/>
      <c r="CW305" s="204"/>
      <c r="CX305" s="204"/>
      <c r="CY305" s="204"/>
    </row>
    <row r="306" spans="1:103" ht="15.75" customHeight="1" x14ac:dyDescent="0.2">
      <c r="A306" s="204"/>
      <c r="B306" s="204"/>
      <c r="C306" s="204"/>
      <c r="D306" s="204"/>
      <c r="E306" s="204"/>
      <c r="F306" s="204"/>
      <c r="G306" s="204"/>
      <c r="H306" s="204"/>
      <c r="I306" s="204"/>
      <c r="J306" s="204"/>
      <c r="K306" s="204"/>
      <c r="L306" s="204"/>
      <c r="M306" s="204"/>
      <c r="N306" s="204"/>
      <c r="O306" s="204"/>
      <c r="P306" s="204"/>
      <c r="Q306" s="204"/>
      <c r="R306" s="204"/>
      <c r="S306" s="204"/>
      <c r="T306" s="204"/>
      <c r="U306" s="204"/>
      <c r="V306" s="204"/>
      <c r="W306" s="204"/>
      <c r="X306" s="1469"/>
      <c r="Y306" s="254"/>
      <c r="Z306" s="254"/>
      <c r="AA306" s="254"/>
      <c r="AB306" s="254"/>
      <c r="AC306" s="254"/>
      <c r="AD306" s="254"/>
      <c r="AE306" s="254"/>
      <c r="AF306" s="254"/>
      <c r="AG306" s="254"/>
      <c r="AH306" s="254"/>
      <c r="AI306" s="473"/>
      <c r="AJ306" s="254"/>
      <c r="AK306" s="254"/>
      <c r="AL306" s="254"/>
      <c r="AM306" s="254"/>
      <c r="AN306" s="254"/>
      <c r="AO306" s="254"/>
      <c r="AP306" s="204"/>
      <c r="AQ306" s="204"/>
      <c r="AR306" s="204"/>
      <c r="AS306" s="204"/>
      <c r="AT306" s="254"/>
      <c r="AU306" s="204"/>
      <c r="AV306" s="204"/>
      <c r="AW306" s="204"/>
      <c r="AX306" s="204"/>
      <c r="AY306" s="204"/>
      <c r="AZ306" s="204"/>
      <c r="BA306" s="204"/>
      <c r="BB306" s="204"/>
      <c r="BC306" s="204"/>
      <c r="BD306" s="204"/>
      <c r="BE306" s="204"/>
      <c r="BF306" s="204"/>
      <c r="BG306" s="204"/>
      <c r="BH306" s="204"/>
      <c r="BI306" s="204"/>
      <c r="BJ306" s="204"/>
      <c r="BK306" s="204"/>
      <c r="BL306" s="204"/>
      <c r="BM306" s="204"/>
      <c r="BN306" s="204"/>
      <c r="BO306" s="204"/>
      <c r="BP306" s="204"/>
      <c r="BQ306" s="204"/>
      <c r="BR306" s="204"/>
      <c r="BS306" s="204"/>
      <c r="BT306" s="204"/>
      <c r="BU306" s="204"/>
      <c r="BV306" s="204"/>
      <c r="BW306" s="204"/>
      <c r="BX306" s="204"/>
      <c r="BY306" s="204"/>
      <c r="BZ306" s="204"/>
      <c r="CA306" s="204"/>
      <c r="CB306" s="204"/>
      <c r="CC306" s="204"/>
      <c r="CD306" s="204"/>
      <c r="CE306" s="204"/>
      <c r="CF306" s="204"/>
      <c r="CG306" s="204"/>
      <c r="CH306" s="204"/>
      <c r="CI306" s="204"/>
      <c r="CJ306" s="204"/>
      <c r="CK306" s="204"/>
      <c r="CL306" s="204"/>
      <c r="CM306" s="204"/>
      <c r="CN306" s="204"/>
      <c r="CO306" s="204"/>
      <c r="CP306" s="204"/>
      <c r="CQ306" s="204"/>
      <c r="CR306" s="204"/>
      <c r="CS306" s="204"/>
      <c r="CT306" s="204"/>
      <c r="CU306" s="204"/>
      <c r="CV306" s="204"/>
      <c r="CW306" s="204"/>
      <c r="CX306" s="204"/>
      <c r="CY306" s="204"/>
    </row>
    <row r="307" spans="1:103" ht="15.75" customHeight="1" x14ac:dyDescent="0.2">
      <c r="A307" s="204"/>
      <c r="B307" s="204"/>
      <c r="C307" s="204"/>
      <c r="D307" s="204"/>
      <c r="E307" s="204"/>
      <c r="F307" s="204"/>
      <c r="G307" s="204"/>
      <c r="H307" s="204"/>
      <c r="I307" s="204"/>
      <c r="J307" s="204"/>
      <c r="K307" s="204"/>
      <c r="L307" s="204"/>
      <c r="M307" s="204"/>
      <c r="N307" s="204"/>
      <c r="O307" s="204"/>
      <c r="P307" s="204"/>
      <c r="Q307" s="204"/>
      <c r="R307" s="204"/>
      <c r="S307" s="204"/>
      <c r="T307" s="204"/>
      <c r="U307" s="204"/>
      <c r="V307" s="204"/>
      <c r="W307" s="204"/>
      <c r="X307" s="1469"/>
      <c r="Y307" s="254"/>
      <c r="Z307" s="254"/>
      <c r="AA307" s="254"/>
      <c r="AB307" s="254"/>
      <c r="AC307" s="254"/>
      <c r="AD307" s="254"/>
      <c r="AE307" s="254"/>
      <c r="AF307" s="254"/>
      <c r="AG307" s="254"/>
      <c r="AH307" s="254"/>
      <c r="AI307" s="473"/>
      <c r="AJ307" s="254"/>
      <c r="AK307" s="254"/>
      <c r="AL307" s="254"/>
      <c r="AM307" s="254"/>
      <c r="AN307" s="254"/>
      <c r="AO307" s="254"/>
      <c r="AP307" s="204"/>
      <c r="AQ307" s="204"/>
      <c r="AR307" s="204"/>
      <c r="AS307" s="204"/>
      <c r="AT307" s="254"/>
      <c r="AU307" s="204"/>
      <c r="AV307" s="204"/>
      <c r="AW307" s="204"/>
      <c r="AX307" s="204"/>
      <c r="AY307" s="204"/>
      <c r="AZ307" s="204"/>
      <c r="BA307" s="204"/>
      <c r="BB307" s="204"/>
      <c r="BC307" s="204"/>
      <c r="BD307" s="204"/>
      <c r="BE307" s="204"/>
      <c r="BF307" s="204"/>
      <c r="BG307" s="204"/>
      <c r="BH307" s="204"/>
      <c r="BI307" s="204"/>
      <c r="BJ307" s="204"/>
      <c r="BK307" s="204"/>
      <c r="BL307" s="204"/>
      <c r="BM307" s="204"/>
      <c r="BN307" s="204"/>
      <c r="BO307" s="204"/>
      <c r="BP307" s="204"/>
      <c r="BQ307" s="204"/>
      <c r="BR307" s="204"/>
      <c r="BS307" s="204"/>
      <c r="BT307" s="204"/>
      <c r="BU307" s="204"/>
      <c r="BV307" s="204"/>
      <c r="BW307" s="204"/>
      <c r="BX307" s="204"/>
      <c r="BY307" s="204"/>
      <c r="BZ307" s="204"/>
      <c r="CA307" s="204"/>
      <c r="CB307" s="204"/>
      <c r="CC307" s="204"/>
      <c r="CD307" s="204"/>
      <c r="CE307" s="204"/>
      <c r="CF307" s="204"/>
      <c r="CG307" s="204"/>
      <c r="CH307" s="204"/>
      <c r="CI307" s="204"/>
      <c r="CJ307" s="204"/>
      <c r="CK307" s="204"/>
      <c r="CL307" s="204"/>
      <c r="CM307" s="204"/>
      <c r="CN307" s="204"/>
      <c r="CO307" s="204"/>
      <c r="CP307" s="204"/>
      <c r="CQ307" s="204"/>
      <c r="CR307" s="204"/>
      <c r="CS307" s="204"/>
      <c r="CT307" s="204"/>
      <c r="CU307" s="204"/>
      <c r="CV307" s="204"/>
      <c r="CW307" s="204"/>
      <c r="CX307" s="204"/>
      <c r="CY307" s="204"/>
    </row>
    <row r="308" spans="1:103" ht="15.75" customHeight="1" x14ac:dyDescent="0.2">
      <c r="A308" s="204"/>
      <c r="B308" s="204"/>
      <c r="C308" s="204"/>
      <c r="D308" s="204"/>
      <c r="E308" s="204"/>
      <c r="F308" s="204"/>
      <c r="G308" s="204"/>
      <c r="H308" s="204"/>
      <c r="I308" s="204"/>
      <c r="J308" s="204"/>
      <c r="K308" s="204"/>
      <c r="L308" s="204"/>
      <c r="M308" s="204"/>
      <c r="N308" s="204"/>
      <c r="O308" s="204"/>
      <c r="P308" s="204"/>
      <c r="Q308" s="204"/>
      <c r="R308" s="204"/>
      <c r="S308" s="204"/>
      <c r="T308" s="204"/>
      <c r="U308" s="204"/>
      <c r="V308" s="204"/>
      <c r="W308" s="204"/>
      <c r="X308" s="1469"/>
      <c r="Y308" s="254"/>
      <c r="Z308" s="254"/>
      <c r="AA308" s="254"/>
      <c r="AB308" s="254"/>
      <c r="AC308" s="254"/>
      <c r="AD308" s="254"/>
      <c r="AE308" s="254"/>
      <c r="AF308" s="254"/>
      <c r="AG308" s="254"/>
      <c r="AH308" s="254"/>
      <c r="AI308" s="473"/>
      <c r="AJ308" s="254"/>
      <c r="AK308" s="254"/>
      <c r="AL308" s="254"/>
      <c r="AM308" s="254"/>
      <c r="AN308" s="254"/>
      <c r="AO308" s="254"/>
      <c r="AP308" s="204"/>
      <c r="AQ308" s="204"/>
      <c r="AR308" s="204"/>
      <c r="AS308" s="204"/>
      <c r="AT308" s="254"/>
      <c r="AU308" s="204"/>
      <c r="AV308" s="204"/>
      <c r="AW308" s="204"/>
      <c r="AX308" s="204"/>
      <c r="AY308" s="204"/>
      <c r="AZ308" s="204"/>
      <c r="BA308" s="204"/>
      <c r="BB308" s="204"/>
      <c r="BC308" s="204"/>
      <c r="BD308" s="204"/>
      <c r="BE308" s="204"/>
      <c r="BF308" s="204"/>
      <c r="BG308" s="204"/>
      <c r="BH308" s="204"/>
      <c r="BI308" s="204"/>
      <c r="BJ308" s="204"/>
      <c r="BK308" s="204"/>
      <c r="BL308" s="204"/>
      <c r="BM308" s="204"/>
      <c r="BN308" s="204"/>
      <c r="BO308" s="204"/>
      <c r="BP308" s="204"/>
      <c r="BQ308" s="204"/>
      <c r="BR308" s="204"/>
      <c r="BS308" s="204"/>
      <c r="BT308" s="204"/>
      <c r="BU308" s="204"/>
      <c r="BV308" s="204"/>
      <c r="BW308" s="204"/>
      <c r="BX308" s="204"/>
      <c r="BY308" s="204"/>
      <c r="BZ308" s="204"/>
      <c r="CA308" s="204"/>
      <c r="CB308" s="204"/>
      <c r="CC308" s="204"/>
      <c r="CD308" s="204"/>
      <c r="CE308" s="204"/>
      <c r="CF308" s="204"/>
      <c r="CG308" s="204"/>
      <c r="CH308" s="204"/>
      <c r="CI308" s="204"/>
      <c r="CJ308" s="204"/>
      <c r="CK308" s="204"/>
      <c r="CL308" s="204"/>
      <c r="CM308" s="204"/>
      <c r="CN308" s="204"/>
      <c r="CO308" s="204"/>
      <c r="CP308" s="204"/>
      <c r="CQ308" s="204"/>
      <c r="CR308" s="204"/>
      <c r="CS308" s="204"/>
      <c r="CT308" s="204"/>
      <c r="CU308" s="204"/>
      <c r="CV308" s="204"/>
      <c r="CW308" s="204"/>
      <c r="CX308" s="204"/>
      <c r="CY308" s="204"/>
    </row>
    <row r="309" spans="1:103" ht="15.75" customHeight="1" x14ac:dyDescent="0.2">
      <c r="A309" s="204"/>
      <c r="B309" s="204"/>
      <c r="C309" s="204"/>
      <c r="D309" s="204"/>
      <c r="E309" s="204"/>
      <c r="F309" s="204"/>
      <c r="G309" s="204"/>
      <c r="H309" s="204"/>
      <c r="I309" s="204"/>
      <c r="J309" s="204"/>
      <c r="K309" s="204"/>
      <c r="L309" s="204"/>
      <c r="M309" s="204"/>
      <c r="N309" s="204"/>
      <c r="O309" s="204"/>
      <c r="P309" s="204"/>
      <c r="Q309" s="204"/>
      <c r="R309" s="204"/>
      <c r="S309" s="204"/>
      <c r="T309" s="204"/>
      <c r="U309" s="204"/>
      <c r="V309" s="204"/>
      <c r="W309" s="204"/>
      <c r="X309" s="1469"/>
      <c r="Y309" s="254"/>
      <c r="Z309" s="254"/>
      <c r="AA309" s="254"/>
      <c r="AB309" s="254"/>
      <c r="AC309" s="254"/>
      <c r="AD309" s="254"/>
      <c r="AE309" s="254"/>
      <c r="AF309" s="254"/>
      <c r="AG309" s="254"/>
      <c r="AH309" s="254"/>
      <c r="AI309" s="473"/>
      <c r="AJ309" s="254"/>
      <c r="AK309" s="254"/>
      <c r="AL309" s="254"/>
      <c r="AM309" s="254"/>
      <c r="AN309" s="254"/>
      <c r="AO309" s="254"/>
      <c r="AP309" s="204"/>
      <c r="AQ309" s="204"/>
      <c r="AR309" s="204"/>
      <c r="AS309" s="204"/>
      <c r="AT309" s="254"/>
      <c r="AU309" s="204"/>
      <c r="AV309" s="204"/>
      <c r="AW309" s="204"/>
      <c r="AX309" s="204"/>
      <c r="AY309" s="204"/>
      <c r="AZ309" s="204"/>
      <c r="BA309" s="204"/>
      <c r="BB309" s="204"/>
      <c r="BC309" s="204"/>
      <c r="BD309" s="204"/>
      <c r="BE309" s="204"/>
      <c r="BF309" s="204"/>
      <c r="BG309" s="204"/>
      <c r="BH309" s="204"/>
      <c r="BI309" s="204"/>
      <c r="BJ309" s="204"/>
      <c r="BK309" s="204"/>
      <c r="BL309" s="204"/>
      <c r="BM309" s="204"/>
      <c r="BN309" s="204"/>
      <c r="BO309" s="204"/>
      <c r="BP309" s="204"/>
      <c r="BQ309" s="204"/>
      <c r="BR309" s="204"/>
      <c r="BS309" s="204"/>
      <c r="BT309" s="204"/>
      <c r="BU309" s="204"/>
      <c r="BV309" s="204"/>
      <c r="BW309" s="204"/>
      <c r="BX309" s="204"/>
      <c r="BY309" s="204"/>
      <c r="BZ309" s="204"/>
      <c r="CA309" s="204"/>
      <c r="CB309" s="204"/>
      <c r="CC309" s="204"/>
      <c r="CD309" s="204"/>
      <c r="CE309" s="204"/>
      <c r="CF309" s="204"/>
      <c r="CG309" s="204"/>
      <c r="CH309" s="204"/>
      <c r="CI309" s="204"/>
      <c r="CJ309" s="204"/>
      <c r="CK309" s="204"/>
      <c r="CL309" s="204"/>
      <c r="CM309" s="204"/>
      <c r="CN309" s="204"/>
      <c r="CO309" s="204"/>
      <c r="CP309" s="204"/>
      <c r="CQ309" s="204"/>
      <c r="CR309" s="204"/>
      <c r="CS309" s="204"/>
      <c r="CT309" s="204"/>
      <c r="CU309" s="204"/>
      <c r="CV309" s="204"/>
      <c r="CW309" s="204"/>
      <c r="CX309" s="204"/>
      <c r="CY309" s="204"/>
    </row>
    <row r="310" spans="1:103" ht="15.75" customHeight="1" x14ac:dyDescent="0.2">
      <c r="A310" s="204"/>
      <c r="B310" s="204"/>
      <c r="C310" s="204"/>
      <c r="D310" s="204"/>
      <c r="E310" s="204"/>
      <c r="F310" s="204"/>
      <c r="G310" s="204"/>
      <c r="H310" s="204"/>
      <c r="I310" s="204"/>
      <c r="J310" s="204"/>
      <c r="K310" s="204"/>
      <c r="L310" s="204"/>
      <c r="M310" s="204"/>
      <c r="N310" s="204"/>
      <c r="O310" s="204"/>
      <c r="P310" s="204"/>
      <c r="Q310" s="204"/>
      <c r="R310" s="204"/>
      <c r="S310" s="204"/>
      <c r="T310" s="204"/>
      <c r="U310" s="204"/>
      <c r="V310" s="204"/>
      <c r="W310" s="204"/>
      <c r="X310" s="1469"/>
      <c r="Y310" s="254"/>
      <c r="Z310" s="254"/>
      <c r="AA310" s="254"/>
      <c r="AB310" s="254"/>
      <c r="AC310" s="254"/>
      <c r="AD310" s="254"/>
      <c r="AE310" s="254"/>
      <c r="AF310" s="254"/>
      <c r="AG310" s="254"/>
      <c r="AH310" s="254"/>
      <c r="AI310" s="473"/>
      <c r="AJ310" s="254"/>
      <c r="AK310" s="254"/>
      <c r="AL310" s="254"/>
      <c r="AM310" s="254"/>
      <c r="AN310" s="254"/>
      <c r="AO310" s="254"/>
      <c r="AP310" s="204"/>
      <c r="AQ310" s="204"/>
      <c r="AR310" s="204"/>
      <c r="AS310" s="204"/>
      <c r="AT310" s="254"/>
      <c r="AU310" s="204"/>
      <c r="AV310" s="204"/>
      <c r="AW310" s="204"/>
      <c r="AX310" s="204"/>
      <c r="AY310" s="204"/>
      <c r="AZ310" s="204"/>
      <c r="BA310" s="204"/>
      <c r="BB310" s="204"/>
      <c r="BC310" s="204"/>
      <c r="BD310" s="204"/>
      <c r="BE310" s="204"/>
      <c r="BF310" s="204"/>
      <c r="BG310" s="204"/>
      <c r="BH310" s="204"/>
      <c r="BI310" s="204"/>
      <c r="BJ310" s="204"/>
      <c r="BK310" s="204"/>
      <c r="BL310" s="204"/>
      <c r="BM310" s="204"/>
      <c r="BN310" s="204"/>
      <c r="BO310" s="204"/>
      <c r="BP310" s="204"/>
      <c r="BQ310" s="204"/>
      <c r="BR310" s="204"/>
      <c r="BS310" s="204"/>
      <c r="BT310" s="204"/>
      <c r="BU310" s="204"/>
      <c r="BV310" s="204"/>
      <c r="BW310" s="204"/>
      <c r="BX310" s="204"/>
      <c r="BY310" s="204"/>
      <c r="BZ310" s="204"/>
      <c r="CA310" s="204"/>
      <c r="CB310" s="204"/>
      <c r="CC310" s="204"/>
      <c r="CD310" s="204"/>
      <c r="CE310" s="204"/>
      <c r="CF310" s="204"/>
      <c r="CG310" s="204"/>
      <c r="CH310" s="204"/>
      <c r="CI310" s="204"/>
      <c r="CJ310" s="204"/>
      <c r="CK310" s="204"/>
      <c r="CL310" s="204"/>
      <c r="CM310" s="204"/>
      <c r="CN310" s="204"/>
      <c r="CO310" s="204"/>
      <c r="CP310" s="204"/>
      <c r="CQ310" s="204"/>
      <c r="CR310" s="204"/>
      <c r="CS310" s="204"/>
      <c r="CT310" s="204"/>
      <c r="CU310" s="204"/>
      <c r="CV310" s="204"/>
      <c r="CW310" s="204"/>
      <c r="CX310" s="204"/>
      <c r="CY310" s="204"/>
    </row>
    <row r="311" spans="1:103" ht="15.75" customHeight="1" x14ac:dyDescent="0.2">
      <c r="A311" s="204"/>
      <c r="B311" s="204"/>
      <c r="C311" s="204"/>
      <c r="D311" s="204"/>
      <c r="E311" s="204"/>
      <c r="F311" s="204"/>
      <c r="G311" s="204"/>
      <c r="H311" s="204"/>
      <c r="I311" s="204"/>
      <c r="J311" s="204"/>
      <c r="K311" s="204"/>
      <c r="L311" s="204"/>
      <c r="M311" s="204"/>
      <c r="N311" s="204"/>
      <c r="O311" s="204"/>
      <c r="P311" s="204"/>
      <c r="Q311" s="204"/>
      <c r="R311" s="204"/>
      <c r="S311" s="204"/>
      <c r="T311" s="204"/>
      <c r="U311" s="204"/>
      <c r="V311" s="204"/>
      <c r="W311" s="204"/>
      <c r="X311" s="1469"/>
      <c r="Y311" s="254"/>
      <c r="Z311" s="254"/>
      <c r="AA311" s="254"/>
      <c r="AB311" s="254"/>
      <c r="AC311" s="254"/>
      <c r="AD311" s="254"/>
      <c r="AE311" s="254"/>
      <c r="AF311" s="254"/>
      <c r="AG311" s="254"/>
      <c r="AH311" s="254"/>
      <c r="AI311" s="473"/>
      <c r="AJ311" s="254"/>
      <c r="AK311" s="254"/>
      <c r="AL311" s="254"/>
      <c r="AM311" s="254"/>
      <c r="AN311" s="254"/>
      <c r="AO311" s="254"/>
      <c r="AP311" s="204"/>
      <c r="AQ311" s="204"/>
      <c r="AR311" s="204"/>
      <c r="AS311" s="204"/>
      <c r="AT311" s="254"/>
      <c r="AU311" s="204"/>
      <c r="AV311" s="204"/>
      <c r="AW311" s="204"/>
      <c r="AX311" s="204"/>
      <c r="AY311" s="204"/>
      <c r="AZ311" s="204"/>
      <c r="BA311" s="204"/>
      <c r="BB311" s="204"/>
      <c r="BC311" s="204"/>
      <c r="BD311" s="204"/>
      <c r="BE311" s="204"/>
      <c r="BF311" s="204"/>
      <c r="BG311" s="204"/>
      <c r="BH311" s="204"/>
      <c r="BI311" s="204"/>
      <c r="BJ311" s="204"/>
      <c r="BK311" s="204"/>
      <c r="BL311" s="204"/>
      <c r="BM311" s="204"/>
      <c r="BN311" s="204"/>
      <c r="BO311" s="204"/>
      <c r="BP311" s="204"/>
      <c r="BQ311" s="204"/>
      <c r="BR311" s="204"/>
      <c r="BS311" s="204"/>
      <c r="BT311" s="204"/>
      <c r="BU311" s="204"/>
      <c r="BV311" s="204"/>
      <c r="BW311" s="204"/>
      <c r="BX311" s="204"/>
      <c r="BY311" s="204"/>
      <c r="BZ311" s="204"/>
      <c r="CA311" s="204"/>
      <c r="CB311" s="204"/>
      <c r="CC311" s="204"/>
      <c r="CD311" s="204"/>
      <c r="CE311" s="204"/>
      <c r="CF311" s="204"/>
      <c r="CG311" s="204"/>
      <c r="CH311" s="204"/>
      <c r="CI311" s="204"/>
      <c r="CJ311" s="204"/>
      <c r="CK311" s="204"/>
      <c r="CL311" s="204"/>
      <c r="CM311" s="204"/>
      <c r="CN311" s="204"/>
      <c r="CO311" s="204"/>
      <c r="CP311" s="204"/>
      <c r="CQ311" s="204"/>
      <c r="CR311" s="204"/>
      <c r="CS311" s="204"/>
      <c r="CT311" s="204"/>
      <c r="CU311" s="204"/>
      <c r="CV311" s="204"/>
      <c r="CW311" s="204"/>
      <c r="CX311" s="204"/>
      <c r="CY311" s="204"/>
    </row>
    <row r="312" spans="1:103" ht="15.75" customHeight="1" x14ac:dyDescent="0.2">
      <c r="A312" s="204"/>
      <c r="B312" s="204"/>
      <c r="C312" s="204"/>
      <c r="D312" s="204"/>
      <c r="E312" s="204"/>
      <c r="F312" s="204"/>
      <c r="G312" s="204"/>
      <c r="H312" s="204"/>
      <c r="I312" s="204"/>
      <c r="J312" s="204"/>
      <c r="K312" s="204"/>
      <c r="L312" s="204"/>
      <c r="M312" s="204"/>
      <c r="N312" s="204"/>
      <c r="O312" s="204"/>
      <c r="P312" s="204"/>
      <c r="Q312" s="204"/>
      <c r="R312" s="204"/>
      <c r="S312" s="204"/>
      <c r="T312" s="204"/>
      <c r="U312" s="204"/>
      <c r="V312" s="204"/>
      <c r="W312" s="204"/>
      <c r="X312" s="1469"/>
      <c r="Y312" s="254"/>
      <c r="Z312" s="254"/>
      <c r="AA312" s="254"/>
      <c r="AB312" s="254"/>
      <c r="AC312" s="254"/>
      <c r="AD312" s="254"/>
      <c r="AE312" s="254"/>
      <c r="AF312" s="254"/>
      <c r="AG312" s="254"/>
      <c r="AH312" s="254"/>
      <c r="AI312" s="473"/>
      <c r="AJ312" s="254"/>
      <c r="AK312" s="254"/>
      <c r="AL312" s="254"/>
      <c r="AM312" s="254"/>
      <c r="AN312" s="254"/>
      <c r="AO312" s="254"/>
      <c r="AP312" s="204"/>
      <c r="AQ312" s="204"/>
      <c r="AR312" s="204"/>
      <c r="AS312" s="204"/>
      <c r="AT312" s="254"/>
      <c r="AU312" s="204"/>
      <c r="AV312" s="204"/>
      <c r="AW312" s="204"/>
      <c r="AX312" s="204"/>
      <c r="AY312" s="204"/>
      <c r="AZ312" s="204"/>
      <c r="BA312" s="204"/>
      <c r="BB312" s="204"/>
      <c r="BC312" s="204"/>
      <c r="BD312" s="204"/>
      <c r="BE312" s="204"/>
      <c r="BF312" s="204"/>
      <c r="BG312" s="204"/>
      <c r="BH312" s="204"/>
      <c r="BI312" s="204"/>
      <c r="BJ312" s="204"/>
      <c r="BK312" s="204"/>
      <c r="BL312" s="204"/>
      <c r="BM312" s="204"/>
      <c r="BN312" s="204"/>
      <c r="BO312" s="204"/>
      <c r="BP312" s="204"/>
      <c r="BQ312" s="204"/>
      <c r="BR312" s="204"/>
      <c r="BS312" s="204"/>
      <c r="BT312" s="204"/>
      <c r="BU312" s="204"/>
      <c r="BV312" s="204"/>
      <c r="BW312" s="204"/>
      <c r="BX312" s="204"/>
      <c r="BY312" s="204"/>
      <c r="BZ312" s="204"/>
      <c r="CA312" s="204"/>
      <c r="CB312" s="204"/>
      <c r="CC312" s="204"/>
      <c r="CD312" s="204"/>
      <c r="CE312" s="204"/>
      <c r="CF312" s="204"/>
      <c r="CG312" s="204"/>
      <c r="CH312" s="204"/>
      <c r="CI312" s="204"/>
      <c r="CJ312" s="204"/>
      <c r="CK312" s="204"/>
      <c r="CL312" s="204"/>
      <c r="CM312" s="204"/>
      <c r="CN312" s="204"/>
      <c r="CO312" s="204"/>
      <c r="CP312" s="204"/>
      <c r="CQ312" s="204"/>
      <c r="CR312" s="204"/>
      <c r="CS312" s="204"/>
      <c r="CT312" s="204"/>
      <c r="CU312" s="204"/>
      <c r="CV312" s="204"/>
      <c r="CW312" s="204"/>
      <c r="CX312" s="204"/>
      <c r="CY312" s="204"/>
    </row>
    <row r="313" spans="1:103" ht="15.75" customHeight="1" x14ac:dyDescent="0.2">
      <c r="A313" s="204"/>
      <c r="B313" s="204"/>
      <c r="C313" s="204"/>
      <c r="D313" s="204"/>
      <c r="E313" s="204"/>
      <c r="F313" s="204"/>
      <c r="G313" s="204"/>
      <c r="H313" s="204"/>
      <c r="I313" s="204"/>
      <c r="J313" s="204"/>
      <c r="K313" s="204"/>
      <c r="L313" s="204"/>
      <c r="M313" s="204"/>
      <c r="N313" s="204"/>
      <c r="O313" s="204"/>
      <c r="P313" s="204"/>
      <c r="Q313" s="204"/>
      <c r="R313" s="204"/>
      <c r="S313" s="204"/>
      <c r="T313" s="204"/>
      <c r="U313" s="204"/>
      <c r="V313" s="204"/>
      <c r="W313" s="204"/>
      <c r="X313" s="1469"/>
      <c r="Y313" s="254"/>
      <c r="Z313" s="254"/>
      <c r="AA313" s="254"/>
      <c r="AB313" s="254"/>
      <c r="AC313" s="254"/>
      <c r="AD313" s="254"/>
      <c r="AE313" s="254"/>
      <c r="AF313" s="254"/>
      <c r="AG313" s="254"/>
      <c r="AH313" s="254"/>
      <c r="AI313" s="473"/>
      <c r="AJ313" s="254"/>
      <c r="AK313" s="254"/>
      <c r="AL313" s="254"/>
      <c r="AM313" s="254"/>
      <c r="AN313" s="254"/>
      <c r="AO313" s="254"/>
      <c r="AP313" s="204"/>
      <c r="AQ313" s="204"/>
      <c r="AR313" s="204"/>
      <c r="AS313" s="204"/>
      <c r="AT313" s="254"/>
      <c r="AU313" s="204"/>
      <c r="AV313" s="204"/>
      <c r="AW313" s="204"/>
      <c r="AX313" s="204"/>
      <c r="AY313" s="204"/>
      <c r="AZ313" s="204"/>
      <c r="BA313" s="204"/>
      <c r="BB313" s="204"/>
      <c r="BC313" s="204"/>
      <c r="BD313" s="204"/>
      <c r="BE313" s="204"/>
      <c r="BF313" s="204"/>
      <c r="BG313" s="204"/>
      <c r="BH313" s="204"/>
      <c r="BI313" s="204"/>
      <c r="BJ313" s="204"/>
      <c r="BK313" s="204"/>
      <c r="BL313" s="204"/>
      <c r="BM313" s="204"/>
      <c r="BN313" s="204"/>
      <c r="BO313" s="204"/>
      <c r="BP313" s="204"/>
      <c r="BQ313" s="204"/>
      <c r="BR313" s="204"/>
      <c r="BS313" s="204"/>
      <c r="BT313" s="204"/>
      <c r="BU313" s="204"/>
      <c r="BV313" s="204"/>
      <c r="BW313" s="204"/>
      <c r="BX313" s="204"/>
      <c r="BY313" s="204"/>
      <c r="BZ313" s="204"/>
      <c r="CA313" s="204"/>
      <c r="CB313" s="204"/>
      <c r="CC313" s="204"/>
      <c r="CD313" s="204"/>
      <c r="CE313" s="204"/>
      <c r="CF313" s="204"/>
      <c r="CG313" s="204"/>
      <c r="CH313" s="204"/>
      <c r="CI313" s="204"/>
      <c r="CJ313" s="204"/>
      <c r="CK313" s="204"/>
      <c r="CL313" s="204"/>
      <c r="CM313" s="204"/>
      <c r="CN313" s="204"/>
      <c r="CO313" s="204"/>
      <c r="CP313" s="204"/>
      <c r="CQ313" s="204"/>
      <c r="CR313" s="204"/>
      <c r="CS313" s="204"/>
      <c r="CT313" s="204"/>
      <c r="CU313" s="204"/>
      <c r="CV313" s="204"/>
      <c r="CW313" s="204"/>
      <c r="CX313" s="204"/>
      <c r="CY313" s="204"/>
    </row>
    <row r="314" spans="1:103" ht="15.75" customHeight="1" x14ac:dyDescent="0.2">
      <c r="A314" s="204"/>
      <c r="B314" s="204"/>
      <c r="C314" s="204"/>
      <c r="D314" s="204"/>
      <c r="E314" s="204"/>
      <c r="F314" s="204"/>
      <c r="G314" s="204"/>
      <c r="H314" s="204"/>
      <c r="I314" s="204"/>
      <c r="J314" s="204"/>
      <c r="K314" s="204"/>
      <c r="L314" s="204"/>
      <c r="M314" s="204"/>
      <c r="N314" s="204"/>
      <c r="O314" s="204"/>
      <c r="P314" s="204"/>
      <c r="Q314" s="204"/>
      <c r="R314" s="204"/>
      <c r="S314" s="204"/>
      <c r="T314" s="204"/>
      <c r="U314" s="204"/>
      <c r="V314" s="204"/>
      <c r="W314" s="204"/>
      <c r="X314" s="1469"/>
      <c r="Y314" s="254"/>
      <c r="Z314" s="254"/>
      <c r="AA314" s="254"/>
      <c r="AB314" s="254"/>
      <c r="AC314" s="254"/>
      <c r="AD314" s="254"/>
      <c r="AE314" s="254"/>
      <c r="AF314" s="254"/>
      <c r="AG314" s="254"/>
      <c r="AH314" s="254"/>
      <c r="AI314" s="473"/>
      <c r="AJ314" s="254"/>
      <c r="AK314" s="254"/>
      <c r="AL314" s="254"/>
      <c r="AM314" s="254"/>
      <c r="AN314" s="254"/>
      <c r="AO314" s="254"/>
      <c r="AP314" s="204"/>
      <c r="AQ314" s="204"/>
      <c r="AR314" s="204"/>
      <c r="AS314" s="204"/>
      <c r="AT314" s="254"/>
      <c r="AU314" s="204"/>
      <c r="AV314" s="204"/>
      <c r="AW314" s="204"/>
      <c r="AX314" s="204"/>
      <c r="AY314" s="204"/>
      <c r="AZ314" s="204"/>
      <c r="BA314" s="204"/>
      <c r="BB314" s="204"/>
      <c r="BC314" s="204"/>
      <c r="BD314" s="204"/>
      <c r="BE314" s="204"/>
      <c r="BF314" s="204"/>
      <c r="BG314" s="204"/>
      <c r="BH314" s="204"/>
      <c r="BI314" s="204"/>
      <c r="BJ314" s="204"/>
      <c r="BK314" s="204"/>
      <c r="BL314" s="204"/>
      <c r="BM314" s="204"/>
      <c r="BN314" s="204"/>
      <c r="BO314" s="204"/>
      <c r="BP314" s="204"/>
      <c r="BQ314" s="204"/>
      <c r="BR314" s="204"/>
      <c r="BS314" s="204"/>
      <c r="BT314" s="204"/>
      <c r="BU314" s="204"/>
      <c r="BV314" s="204"/>
      <c r="BW314" s="204"/>
      <c r="BX314" s="204"/>
      <c r="BY314" s="204"/>
      <c r="BZ314" s="204"/>
      <c r="CA314" s="204"/>
      <c r="CB314" s="204"/>
      <c r="CC314" s="204"/>
      <c r="CD314" s="204"/>
      <c r="CE314" s="204"/>
      <c r="CF314" s="204"/>
      <c r="CG314" s="204"/>
      <c r="CH314" s="204"/>
      <c r="CI314" s="204"/>
      <c r="CJ314" s="204"/>
      <c r="CK314" s="204"/>
      <c r="CL314" s="204"/>
      <c r="CM314" s="204"/>
      <c r="CN314" s="204"/>
      <c r="CO314" s="204"/>
      <c r="CP314" s="204"/>
      <c r="CQ314" s="204"/>
      <c r="CR314" s="204"/>
      <c r="CS314" s="204"/>
      <c r="CT314" s="204"/>
      <c r="CU314" s="204"/>
      <c r="CV314" s="204"/>
      <c r="CW314" s="204"/>
      <c r="CX314" s="204"/>
      <c r="CY314" s="204"/>
    </row>
    <row r="315" spans="1:103" ht="15.75" customHeight="1" x14ac:dyDescent="0.2">
      <c r="A315" s="204"/>
      <c r="B315" s="204"/>
      <c r="C315" s="204"/>
      <c r="D315" s="204"/>
      <c r="E315" s="204"/>
      <c r="F315" s="204"/>
      <c r="G315" s="204"/>
      <c r="H315" s="204"/>
      <c r="I315" s="204"/>
      <c r="J315" s="204"/>
      <c r="K315" s="204"/>
      <c r="L315" s="204"/>
      <c r="M315" s="204"/>
      <c r="N315" s="204"/>
      <c r="O315" s="204"/>
      <c r="P315" s="204"/>
      <c r="Q315" s="204"/>
      <c r="R315" s="204"/>
      <c r="S315" s="204"/>
      <c r="T315" s="204"/>
      <c r="U315" s="204"/>
      <c r="V315" s="204"/>
      <c r="W315" s="204"/>
      <c r="X315" s="1469"/>
      <c r="Y315" s="254"/>
      <c r="Z315" s="254"/>
      <c r="AA315" s="254"/>
      <c r="AB315" s="254"/>
      <c r="AC315" s="254"/>
      <c r="AD315" s="254"/>
      <c r="AE315" s="254"/>
      <c r="AF315" s="254"/>
      <c r="AG315" s="254"/>
      <c r="AH315" s="254"/>
      <c r="AI315" s="473"/>
      <c r="AJ315" s="254"/>
      <c r="AK315" s="254"/>
      <c r="AL315" s="254"/>
      <c r="AM315" s="254"/>
      <c r="AN315" s="254"/>
      <c r="AO315" s="254"/>
      <c r="AP315" s="204"/>
      <c r="AQ315" s="204"/>
      <c r="AR315" s="204"/>
      <c r="AS315" s="204"/>
      <c r="AT315" s="254"/>
      <c r="AU315" s="204"/>
      <c r="AV315" s="204"/>
      <c r="AW315" s="204"/>
      <c r="AX315" s="204"/>
      <c r="AY315" s="204"/>
      <c r="AZ315" s="204"/>
      <c r="BA315" s="204"/>
      <c r="BB315" s="204"/>
      <c r="BC315" s="204"/>
      <c r="BD315" s="204"/>
      <c r="BE315" s="204"/>
      <c r="BF315" s="204"/>
      <c r="BG315" s="204"/>
      <c r="BH315" s="204"/>
      <c r="BI315" s="204"/>
      <c r="BJ315" s="204"/>
      <c r="BK315" s="204"/>
      <c r="BL315" s="204"/>
      <c r="BM315" s="204"/>
      <c r="BN315" s="204"/>
      <c r="BO315" s="204"/>
      <c r="BP315" s="204"/>
      <c r="BQ315" s="204"/>
      <c r="BR315" s="204"/>
      <c r="BS315" s="204"/>
      <c r="BT315" s="204"/>
      <c r="BU315" s="204"/>
      <c r="BV315" s="204"/>
      <c r="BW315" s="204"/>
      <c r="BX315" s="204"/>
      <c r="BY315" s="204"/>
      <c r="BZ315" s="204"/>
      <c r="CA315" s="204"/>
      <c r="CB315" s="204"/>
      <c r="CC315" s="204"/>
      <c r="CD315" s="204"/>
      <c r="CE315" s="204"/>
      <c r="CF315" s="204"/>
      <c r="CG315" s="204"/>
      <c r="CH315" s="204"/>
      <c r="CI315" s="204"/>
      <c r="CJ315" s="204"/>
      <c r="CK315" s="204"/>
      <c r="CL315" s="204"/>
      <c r="CM315" s="204"/>
      <c r="CN315" s="204"/>
      <c r="CO315" s="204"/>
      <c r="CP315" s="204"/>
      <c r="CQ315" s="204"/>
      <c r="CR315" s="204"/>
      <c r="CS315" s="204"/>
      <c r="CT315" s="204"/>
      <c r="CU315" s="204"/>
      <c r="CV315" s="204"/>
      <c r="CW315" s="204"/>
      <c r="CX315" s="204"/>
      <c r="CY315" s="204"/>
    </row>
    <row r="316" spans="1:103" ht="15.75" customHeight="1" x14ac:dyDescent="0.2">
      <c r="A316" s="204"/>
      <c r="B316" s="204"/>
      <c r="C316" s="204"/>
      <c r="D316" s="204"/>
      <c r="E316" s="204"/>
      <c r="F316" s="204"/>
      <c r="G316" s="204"/>
      <c r="H316" s="204"/>
      <c r="I316" s="204"/>
      <c r="J316" s="204"/>
      <c r="K316" s="204"/>
      <c r="L316" s="204"/>
      <c r="M316" s="204"/>
      <c r="N316" s="204"/>
      <c r="O316" s="204"/>
      <c r="P316" s="204"/>
      <c r="Q316" s="204"/>
      <c r="R316" s="204"/>
      <c r="S316" s="204"/>
      <c r="T316" s="204"/>
      <c r="U316" s="204"/>
      <c r="V316" s="204"/>
      <c r="W316" s="204"/>
      <c r="X316" s="1469"/>
      <c r="Y316" s="254"/>
      <c r="Z316" s="254"/>
      <c r="AA316" s="254"/>
      <c r="AB316" s="254"/>
      <c r="AC316" s="254"/>
      <c r="AD316" s="254"/>
      <c r="AE316" s="254"/>
      <c r="AF316" s="254"/>
      <c r="AG316" s="254"/>
      <c r="AH316" s="254"/>
      <c r="AI316" s="473"/>
      <c r="AJ316" s="254"/>
      <c r="AK316" s="254"/>
      <c r="AL316" s="254"/>
      <c r="AM316" s="254"/>
      <c r="AN316" s="254"/>
      <c r="AO316" s="254"/>
      <c r="AP316" s="204"/>
      <c r="AQ316" s="204"/>
      <c r="AR316" s="204"/>
      <c r="AS316" s="204"/>
      <c r="AT316" s="254"/>
      <c r="AU316" s="204"/>
      <c r="AV316" s="204"/>
      <c r="AW316" s="204"/>
      <c r="AX316" s="204"/>
      <c r="AY316" s="204"/>
      <c r="AZ316" s="204"/>
      <c r="BA316" s="204"/>
      <c r="BB316" s="204"/>
      <c r="BC316" s="204"/>
      <c r="BD316" s="204"/>
      <c r="BE316" s="204"/>
      <c r="BF316" s="204"/>
      <c r="BG316" s="204"/>
      <c r="BH316" s="204"/>
      <c r="BI316" s="204"/>
      <c r="BJ316" s="204"/>
      <c r="BK316" s="204"/>
      <c r="BL316" s="204"/>
      <c r="BM316" s="204"/>
      <c r="BN316" s="204"/>
      <c r="BO316" s="204"/>
      <c r="BP316" s="204"/>
      <c r="BQ316" s="204"/>
      <c r="BR316" s="204"/>
      <c r="BS316" s="204"/>
      <c r="BT316" s="204"/>
      <c r="BU316" s="204"/>
      <c r="BV316" s="204"/>
      <c r="BW316" s="204"/>
      <c r="BX316" s="204"/>
      <c r="BY316" s="204"/>
      <c r="BZ316" s="204"/>
      <c r="CA316" s="204"/>
      <c r="CB316" s="204"/>
      <c r="CC316" s="204"/>
      <c r="CD316" s="204"/>
      <c r="CE316" s="204"/>
      <c r="CF316" s="204"/>
      <c r="CG316" s="204"/>
      <c r="CH316" s="204"/>
      <c r="CI316" s="204"/>
      <c r="CJ316" s="204"/>
      <c r="CK316" s="204"/>
      <c r="CL316" s="204"/>
      <c r="CM316" s="204"/>
      <c r="CN316" s="204"/>
      <c r="CO316" s="204"/>
      <c r="CP316" s="204"/>
      <c r="CQ316" s="204"/>
      <c r="CR316" s="204"/>
      <c r="CS316" s="204"/>
      <c r="CT316" s="204"/>
      <c r="CU316" s="204"/>
      <c r="CV316" s="204"/>
      <c r="CW316" s="204"/>
      <c r="CX316" s="204"/>
      <c r="CY316" s="204"/>
    </row>
    <row r="317" spans="1:103" ht="15.75" customHeight="1" x14ac:dyDescent="0.2">
      <c r="A317" s="204"/>
      <c r="B317" s="204"/>
      <c r="C317" s="204"/>
      <c r="D317" s="204"/>
      <c r="E317" s="204"/>
      <c r="F317" s="204"/>
      <c r="G317" s="204"/>
      <c r="H317" s="204"/>
      <c r="I317" s="204"/>
      <c r="J317" s="204"/>
      <c r="K317" s="204"/>
      <c r="L317" s="204"/>
      <c r="M317" s="204"/>
      <c r="N317" s="204"/>
      <c r="O317" s="204"/>
      <c r="P317" s="204"/>
      <c r="Q317" s="204"/>
      <c r="R317" s="204"/>
      <c r="S317" s="204"/>
      <c r="T317" s="204"/>
      <c r="U317" s="204"/>
      <c r="V317" s="204"/>
      <c r="W317" s="204"/>
      <c r="X317" s="1469"/>
      <c r="Y317" s="254"/>
      <c r="Z317" s="254"/>
      <c r="AA317" s="254"/>
      <c r="AB317" s="254"/>
      <c r="AC317" s="254"/>
      <c r="AD317" s="254"/>
      <c r="AE317" s="254"/>
      <c r="AF317" s="254"/>
      <c r="AG317" s="254"/>
      <c r="AH317" s="254"/>
      <c r="AI317" s="473"/>
      <c r="AJ317" s="254"/>
      <c r="AK317" s="254"/>
      <c r="AL317" s="254"/>
      <c r="AM317" s="254"/>
      <c r="AN317" s="254"/>
      <c r="AO317" s="254"/>
      <c r="AP317" s="204"/>
      <c r="AQ317" s="204"/>
      <c r="AR317" s="204"/>
      <c r="AS317" s="204"/>
      <c r="AT317" s="254"/>
      <c r="AU317" s="204"/>
      <c r="AV317" s="204"/>
      <c r="AW317" s="204"/>
      <c r="AX317" s="204"/>
      <c r="AY317" s="204"/>
      <c r="AZ317" s="204"/>
      <c r="BA317" s="204"/>
      <c r="BB317" s="204"/>
      <c r="BC317" s="204"/>
      <c r="BD317" s="204"/>
      <c r="BE317" s="204"/>
      <c r="BF317" s="204"/>
      <c r="BG317" s="204"/>
      <c r="BH317" s="204"/>
      <c r="BI317" s="204"/>
      <c r="BJ317" s="204"/>
      <c r="BK317" s="204"/>
      <c r="BL317" s="204"/>
      <c r="BM317" s="204"/>
      <c r="BN317" s="204"/>
      <c r="BO317" s="204"/>
      <c r="BP317" s="204"/>
      <c r="BQ317" s="204"/>
      <c r="BR317" s="204"/>
      <c r="BS317" s="204"/>
      <c r="BT317" s="204"/>
      <c r="BU317" s="204"/>
      <c r="BV317" s="204"/>
      <c r="BW317" s="204"/>
      <c r="BX317" s="204"/>
      <c r="BY317" s="204"/>
      <c r="BZ317" s="204"/>
      <c r="CA317" s="204"/>
      <c r="CB317" s="204"/>
      <c r="CC317" s="204"/>
      <c r="CD317" s="204"/>
      <c r="CE317" s="204"/>
      <c r="CF317" s="204"/>
      <c r="CG317" s="204"/>
      <c r="CH317" s="204"/>
      <c r="CI317" s="204"/>
      <c r="CJ317" s="204"/>
      <c r="CK317" s="204"/>
      <c r="CL317" s="204"/>
      <c r="CM317" s="204"/>
      <c r="CN317" s="204"/>
      <c r="CO317" s="204"/>
      <c r="CP317" s="204"/>
      <c r="CQ317" s="204"/>
      <c r="CR317" s="204"/>
      <c r="CS317" s="204"/>
      <c r="CT317" s="204"/>
      <c r="CU317" s="204"/>
      <c r="CV317" s="204"/>
      <c r="CW317" s="204"/>
      <c r="CX317" s="204"/>
      <c r="CY317" s="204"/>
    </row>
    <row r="318" spans="1:103" ht="15.75" customHeight="1" x14ac:dyDescent="0.2">
      <c r="A318" s="204"/>
      <c r="B318" s="204"/>
      <c r="C318" s="204"/>
      <c r="D318" s="204"/>
      <c r="E318" s="204"/>
      <c r="F318" s="204"/>
      <c r="G318" s="204"/>
      <c r="H318" s="204"/>
      <c r="I318" s="204"/>
      <c r="J318" s="204"/>
      <c r="K318" s="204"/>
      <c r="L318" s="204"/>
      <c r="M318" s="204"/>
      <c r="N318" s="204"/>
      <c r="O318" s="204"/>
      <c r="P318" s="204"/>
      <c r="Q318" s="204"/>
      <c r="R318" s="204"/>
      <c r="S318" s="204"/>
      <c r="T318" s="204"/>
      <c r="U318" s="204"/>
      <c r="V318" s="204"/>
      <c r="W318" s="204"/>
      <c r="X318" s="1469"/>
      <c r="Y318" s="254"/>
      <c r="Z318" s="254"/>
      <c r="AA318" s="254"/>
      <c r="AB318" s="254"/>
      <c r="AC318" s="254"/>
      <c r="AD318" s="254"/>
      <c r="AE318" s="254"/>
      <c r="AF318" s="254"/>
      <c r="AG318" s="254"/>
      <c r="AH318" s="254"/>
      <c r="AI318" s="473"/>
      <c r="AJ318" s="254"/>
      <c r="AK318" s="254"/>
      <c r="AL318" s="254"/>
      <c r="AM318" s="254"/>
      <c r="AN318" s="254"/>
      <c r="AO318" s="254"/>
      <c r="AP318" s="204"/>
      <c r="AQ318" s="204"/>
      <c r="AR318" s="204"/>
      <c r="AS318" s="204"/>
      <c r="AT318" s="254"/>
      <c r="AU318" s="204"/>
      <c r="AV318" s="204"/>
      <c r="AW318" s="204"/>
      <c r="AX318" s="204"/>
      <c r="AY318" s="204"/>
      <c r="AZ318" s="204"/>
      <c r="BA318" s="204"/>
      <c r="BB318" s="204"/>
      <c r="BC318" s="204"/>
      <c r="BD318" s="204"/>
      <c r="BE318" s="204"/>
      <c r="BF318" s="204"/>
      <c r="BG318" s="204"/>
      <c r="BH318" s="204"/>
      <c r="BI318" s="204"/>
      <c r="BJ318" s="204"/>
      <c r="BK318" s="204"/>
      <c r="BL318" s="204"/>
      <c r="BM318" s="204"/>
      <c r="BN318" s="204"/>
      <c r="BO318" s="204"/>
      <c r="BP318" s="204"/>
      <c r="BQ318" s="204"/>
      <c r="BR318" s="204"/>
      <c r="BS318" s="204"/>
      <c r="BT318" s="204"/>
      <c r="BU318" s="204"/>
      <c r="BV318" s="204"/>
      <c r="BW318" s="204"/>
      <c r="BX318" s="204"/>
      <c r="BY318" s="204"/>
      <c r="BZ318" s="204"/>
      <c r="CA318" s="204"/>
      <c r="CB318" s="204"/>
      <c r="CC318" s="204"/>
      <c r="CD318" s="204"/>
      <c r="CE318" s="204"/>
      <c r="CF318" s="204"/>
      <c r="CG318" s="204"/>
      <c r="CH318" s="204"/>
      <c r="CI318" s="204"/>
      <c r="CJ318" s="204"/>
      <c r="CK318" s="204"/>
      <c r="CL318" s="204"/>
      <c r="CM318" s="204"/>
      <c r="CN318" s="204"/>
      <c r="CO318" s="204"/>
      <c r="CP318" s="204"/>
      <c r="CQ318" s="204"/>
      <c r="CR318" s="204"/>
      <c r="CS318" s="204"/>
      <c r="CT318" s="204"/>
      <c r="CU318" s="204"/>
      <c r="CV318" s="204"/>
      <c r="CW318" s="204"/>
      <c r="CX318" s="204"/>
      <c r="CY318" s="204"/>
    </row>
    <row r="319" spans="1:103" ht="15.75" customHeight="1" x14ac:dyDescent="0.2">
      <c r="A319" s="204"/>
      <c r="B319" s="204"/>
      <c r="C319" s="204"/>
      <c r="D319" s="204"/>
      <c r="E319" s="204"/>
      <c r="F319" s="204"/>
      <c r="G319" s="204"/>
      <c r="H319" s="204"/>
      <c r="I319" s="204"/>
      <c r="J319" s="204"/>
      <c r="K319" s="204"/>
      <c r="L319" s="204"/>
      <c r="M319" s="204"/>
      <c r="N319" s="204"/>
      <c r="O319" s="204"/>
      <c r="P319" s="204"/>
      <c r="Q319" s="204"/>
      <c r="R319" s="204"/>
      <c r="S319" s="204"/>
      <c r="T319" s="204"/>
      <c r="U319" s="204"/>
      <c r="V319" s="204"/>
      <c r="W319" s="204"/>
      <c r="X319" s="1469"/>
      <c r="Y319" s="254"/>
      <c r="Z319" s="254"/>
      <c r="AA319" s="254"/>
      <c r="AB319" s="254"/>
      <c r="AC319" s="254"/>
      <c r="AD319" s="254"/>
      <c r="AE319" s="254"/>
      <c r="AF319" s="254"/>
      <c r="AG319" s="254"/>
      <c r="AH319" s="254"/>
      <c r="AI319" s="473"/>
      <c r="AJ319" s="254"/>
      <c r="AK319" s="254"/>
      <c r="AL319" s="254"/>
      <c r="AM319" s="254"/>
      <c r="AN319" s="254"/>
      <c r="AO319" s="254"/>
      <c r="AP319" s="204"/>
      <c r="AQ319" s="204"/>
      <c r="AR319" s="204"/>
      <c r="AS319" s="204"/>
      <c r="AT319" s="254"/>
      <c r="AU319" s="204"/>
      <c r="AV319" s="204"/>
      <c r="AW319" s="204"/>
      <c r="AX319" s="204"/>
      <c r="AY319" s="204"/>
      <c r="AZ319" s="204"/>
      <c r="BA319" s="204"/>
      <c r="BB319" s="204"/>
      <c r="BC319" s="204"/>
      <c r="BD319" s="204"/>
      <c r="BE319" s="204"/>
      <c r="BF319" s="204"/>
      <c r="BG319" s="204"/>
      <c r="BH319" s="204"/>
      <c r="BI319" s="204"/>
      <c r="BJ319" s="204"/>
      <c r="BK319" s="204"/>
      <c r="BL319" s="204"/>
      <c r="BM319" s="204"/>
      <c r="BN319" s="204"/>
      <c r="BO319" s="204"/>
      <c r="BP319" s="204"/>
      <c r="BQ319" s="204"/>
      <c r="BR319" s="204"/>
      <c r="BS319" s="204"/>
      <c r="BT319" s="204"/>
      <c r="BU319" s="204"/>
      <c r="BV319" s="204"/>
      <c r="BW319" s="204"/>
      <c r="BX319" s="204"/>
      <c r="BY319" s="204"/>
      <c r="BZ319" s="204"/>
      <c r="CA319" s="204"/>
      <c r="CB319" s="204"/>
      <c r="CC319" s="204"/>
      <c r="CD319" s="204"/>
      <c r="CE319" s="204"/>
      <c r="CF319" s="204"/>
      <c r="CG319" s="204"/>
      <c r="CH319" s="204"/>
      <c r="CI319" s="204"/>
      <c r="CJ319" s="204"/>
      <c r="CK319" s="204"/>
      <c r="CL319" s="204"/>
      <c r="CM319" s="204"/>
      <c r="CN319" s="204"/>
      <c r="CO319" s="204"/>
      <c r="CP319" s="204"/>
      <c r="CQ319" s="204"/>
      <c r="CR319" s="204"/>
      <c r="CS319" s="204"/>
      <c r="CT319" s="204"/>
      <c r="CU319" s="204"/>
      <c r="CV319" s="204"/>
      <c r="CW319" s="204"/>
      <c r="CX319" s="204"/>
      <c r="CY319" s="204"/>
    </row>
    <row r="320" spans="1:103" ht="15.75" customHeight="1" x14ac:dyDescent="0.2">
      <c r="A320" s="204"/>
      <c r="B320" s="204"/>
      <c r="C320" s="204"/>
      <c r="D320" s="204"/>
      <c r="E320" s="204"/>
      <c r="F320" s="204"/>
      <c r="G320" s="204"/>
      <c r="H320" s="204"/>
      <c r="I320" s="204"/>
      <c r="J320" s="204"/>
      <c r="K320" s="204"/>
      <c r="L320" s="204"/>
      <c r="M320" s="204"/>
      <c r="N320" s="204"/>
      <c r="O320" s="204"/>
      <c r="P320" s="204"/>
      <c r="Q320" s="204"/>
      <c r="R320" s="204"/>
      <c r="S320" s="204"/>
      <c r="T320" s="204"/>
      <c r="U320" s="204"/>
      <c r="V320" s="204"/>
      <c r="W320" s="204"/>
      <c r="X320" s="1469"/>
      <c r="Y320" s="254"/>
      <c r="Z320" s="254"/>
      <c r="AA320" s="254"/>
      <c r="AB320" s="254"/>
      <c r="AC320" s="254"/>
      <c r="AD320" s="254"/>
      <c r="AE320" s="254"/>
      <c r="AF320" s="254"/>
      <c r="AG320" s="254"/>
      <c r="AH320" s="254"/>
      <c r="AI320" s="473"/>
      <c r="AJ320" s="254"/>
      <c r="AK320" s="254"/>
      <c r="AL320" s="254"/>
      <c r="AM320" s="254"/>
      <c r="AN320" s="254"/>
      <c r="AO320" s="254"/>
      <c r="AP320" s="204"/>
      <c r="AQ320" s="204"/>
      <c r="AR320" s="204"/>
      <c r="AS320" s="204"/>
      <c r="AT320" s="254"/>
      <c r="AU320" s="204"/>
      <c r="AV320" s="204"/>
      <c r="AW320" s="204"/>
      <c r="AX320" s="204"/>
      <c r="AY320" s="204"/>
      <c r="AZ320" s="204"/>
      <c r="BA320" s="204"/>
      <c r="BB320" s="204"/>
      <c r="BC320" s="204"/>
      <c r="BD320" s="204"/>
      <c r="BE320" s="204"/>
      <c r="BF320" s="204"/>
      <c r="BG320" s="204"/>
      <c r="BH320" s="204"/>
      <c r="BI320" s="204"/>
      <c r="BJ320" s="204"/>
      <c r="BK320" s="204"/>
      <c r="BL320" s="204"/>
      <c r="BM320" s="204"/>
      <c r="BN320" s="204"/>
      <c r="BO320" s="204"/>
      <c r="BP320" s="204"/>
      <c r="BQ320" s="204"/>
      <c r="BR320" s="204"/>
      <c r="BS320" s="204"/>
      <c r="BT320" s="204"/>
      <c r="BU320" s="204"/>
      <c r="BV320" s="204"/>
      <c r="BW320" s="204"/>
      <c r="BX320" s="204"/>
      <c r="BY320" s="204"/>
      <c r="BZ320" s="204"/>
      <c r="CA320" s="204"/>
      <c r="CB320" s="204"/>
      <c r="CC320" s="204"/>
      <c r="CD320" s="204"/>
      <c r="CE320" s="204"/>
      <c r="CF320" s="204"/>
      <c r="CG320" s="204"/>
      <c r="CH320" s="204"/>
      <c r="CI320" s="204"/>
      <c r="CJ320" s="204"/>
      <c r="CK320" s="204"/>
      <c r="CL320" s="204"/>
      <c r="CM320" s="204"/>
      <c r="CN320" s="204"/>
      <c r="CO320" s="204"/>
      <c r="CP320" s="204"/>
      <c r="CQ320" s="204"/>
      <c r="CR320" s="204"/>
      <c r="CS320" s="204"/>
      <c r="CT320" s="204"/>
      <c r="CU320" s="204"/>
      <c r="CV320" s="204"/>
      <c r="CW320" s="204"/>
      <c r="CX320" s="204"/>
      <c r="CY320" s="204"/>
    </row>
    <row r="321" spans="1:103" ht="15.75" customHeight="1" x14ac:dyDescent="0.2">
      <c r="A321" s="204"/>
      <c r="B321" s="204"/>
      <c r="C321" s="204"/>
      <c r="D321" s="204"/>
      <c r="E321" s="204"/>
      <c r="F321" s="204"/>
      <c r="G321" s="204"/>
      <c r="H321" s="204"/>
      <c r="I321" s="204"/>
      <c r="J321" s="204"/>
      <c r="K321" s="204"/>
      <c r="L321" s="204"/>
      <c r="M321" s="204"/>
      <c r="N321" s="204"/>
      <c r="O321" s="204"/>
      <c r="P321" s="204"/>
      <c r="Q321" s="204"/>
      <c r="R321" s="204"/>
      <c r="S321" s="204"/>
      <c r="T321" s="204"/>
      <c r="U321" s="204"/>
      <c r="V321" s="204"/>
      <c r="W321" s="204"/>
      <c r="X321" s="1469"/>
      <c r="Y321" s="254"/>
      <c r="Z321" s="254"/>
      <c r="AA321" s="254"/>
      <c r="AB321" s="254"/>
      <c r="AC321" s="254"/>
      <c r="AD321" s="254"/>
      <c r="AE321" s="254"/>
      <c r="AF321" s="254"/>
      <c r="AG321" s="254"/>
      <c r="AH321" s="254"/>
      <c r="AI321" s="473"/>
      <c r="AJ321" s="254"/>
      <c r="AK321" s="254"/>
      <c r="AL321" s="254"/>
      <c r="AM321" s="254"/>
      <c r="AN321" s="254"/>
      <c r="AO321" s="254"/>
      <c r="AP321" s="204"/>
      <c r="AQ321" s="204"/>
      <c r="AR321" s="204"/>
      <c r="AS321" s="204"/>
      <c r="AT321" s="254"/>
      <c r="AU321" s="204"/>
      <c r="AV321" s="204"/>
      <c r="AW321" s="204"/>
      <c r="AX321" s="204"/>
      <c r="AY321" s="204"/>
      <c r="AZ321" s="204"/>
      <c r="BA321" s="204"/>
      <c r="BB321" s="204"/>
      <c r="BC321" s="204"/>
      <c r="BD321" s="204"/>
      <c r="BE321" s="204"/>
      <c r="BF321" s="204"/>
      <c r="BG321" s="204"/>
      <c r="BH321" s="204"/>
      <c r="BI321" s="204"/>
      <c r="BJ321" s="204"/>
      <c r="BK321" s="204"/>
      <c r="BL321" s="204"/>
      <c r="BM321" s="204"/>
      <c r="BN321" s="204"/>
      <c r="BO321" s="204"/>
      <c r="BP321" s="204"/>
      <c r="BQ321" s="204"/>
      <c r="BR321" s="204"/>
      <c r="BS321" s="204"/>
      <c r="BT321" s="204"/>
      <c r="BU321" s="204"/>
      <c r="BV321" s="204"/>
      <c r="BW321" s="204"/>
      <c r="BX321" s="204"/>
      <c r="BY321" s="204"/>
      <c r="BZ321" s="204"/>
      <c r="CA321" s="204"/>
      <c r="CB321" s="204"/>
      <c r="CC321" s="204"/>
      <c r="CD321" s="204"/>
      <c r="CE321" s="204"/>
      <c r="CF321" s="204"/>
      <c r="CG321" s="204"/>
      <c r="CH321" s="204"/>
      <c r="CI321" s="204"/>
      <c r="CJ321" s="204"/>
      <c r="CK321" s="204"/>
      <c r="CL321" s="204"/>
      <c r="CM321" s="204"/>
      <c r="CN321" s="204"/>
      <c r="CO321" s="204"/>
      <c r="CP321" s="204"/>
      <c r="CQ321" s="204"/>
      <c r="CR321" s="204"/>
      <c r="CS321" s="204"/>
      <c r="CT321" s="204"/>
      <c r="CU321" s="204"/>
      <c r="CV321" s="204"/>
      <c r="CW321" s="204"/>
      <c r="CX321" s="204"/>
      <c r="CY321" s="204"/>
    </row>
    <row r="322" spans="1:103" ht="15.75" customHeight="1" x14ac:dyDescent="0.2">
      <c r="A322" s="204"/>
      <c r="B322" s="204"/>
      <c r="C322" s="204"/>
      <c r="D322" s="204"/>
      <c r="E322" s="204"/>
      <c r="F322" s="204"/>
      <c r="G322" s="204"/>
      <c r="H322" s="204"/>
      <c r="I322" s="204"/>
      <c r="J322" s="204"/>
      <c r="K322" s="204"/>
      <c r="L322" s="204"/>
      <c r="M322" s="204"/>
      <c r="N322" s="204"/>
      <c r="O322" s="204"/>
      <c r="P322" s="204"/>
      <c r="Q322" s="204"/>
      <c r="R322" s="204"/>
      <c r="S322" s="204"/>
      <c r="T322" s="204"/>
      <c r="U322" s="204"/>
      <c r="V322" s="204"/>
      <c r="W322" s="204"/>
      <c r="X322" s="1469"/>
      <c r="Y322" s="254"/>
      <c r="Z322" s="254"/>
      <c r="AA322" s="254"/>
      <c r="AB322" s="254"/>
      <c r="AC322" s="254"/>
      <c r="AD322" s="254"/>
      <c r="AE322" s="254"/>
      <c r="AF322" s="254"/>
      <c r="AG322" s="254"/>
      <c r="AH322" s="254"/>
      <c r="AI322" s="473"/>
      <c r="AJ322" s="254"/>
      <c r="AK322" s="254"/>
      <c r="AL322" s="254"/>
      <c r="AM322" s="254"/>
      <c r="AN322" s="254"/>
      <c r="AO322" s="254"/>
      <c r="AP322" s="204"/>
      <c r="AQ322" s="204"/>
      <c r="AR322" s="204"/>
      <c r="AS322" s="204"/>
      <c r="AT322" s="254"/>
      <c r="AU322" s="204"/>
      <c r="AV322" s="204"/>
      <c r="AW322" s="204"/>
      <c r="AX322" s="204"/>
      <c r="AY322" s="204"/>
      <c r="AZ322" s="204"/>
      <c r="BA322" s="204"/>
      <c r="BB322" s="204"/>
      <c r="BC322" s="204"/>
      <c r="BD322" s="204"/>
      <c r="BE322" s="204"/>
      <c r="BF322" s="204"/>
      <c r="BG322" s="204"/>
      <c r="BH322" s="204"/>
      <c r="BI322" s="204"/>
      <c r="BJ322" s="204"/>
      <c r="BK322" s="204"/>
      <c r="BL322" s="204"/>
      <c r="BM322" s="204"/>
      <c r="BN322" s="204"/>
      <c r="BO322" s="204"/>
      <c r="BP322" s="204"/>
      <c r="BQ322" s="204"/>
      <c r="BR322" s="204"/>
      <c r="BS322" s="204"/>
      <c r="BT322" s="204"/>
      <c r="BU322" s="204"/>
      <c r="BV322" s="204"/>
      <c r="BW322" s="204"/>
      <c r="BX322" s="204"/>
      <c r="BY322" s="204"/>
      <c r="BZ322" s="204"/>
      <c r="CA322" s="204"/>
      <c r="CB322" s="204"/>
      <c r="CC322" s="204"/>
      <c r="CD322" s="204"/>
      <c r="CE322" s="204"/>
      <c r="CF322" s="204"/>
      <c r="CG322" s="204"/>
      <c r="CH322" s="204"/>
      <c r="CI322" s="204"/>
      <c r="CJ322" s="204"/>
      <c r="CK322" s="204"/>
      <c r="CL322" s="204"/>
      <c r="CM322" s="204"/>
      <c r="CN322" s="204"/>
      <c r="CO322" s="204"/>
      <c r="CP322" s="204"/>
      <c r="CQ322" s="204"/>
      <c r="CR322" s="204"/>
      <c r="CS322" s="204"/>
      <c r="CT322" s="204"/>
      <c r="CU322" s="204"/>
      <c r="CV322" s="204"/>
      <c r="CW322" s="204"/>
      <c r="CX322" s="204"/>
      <c r="CY322" s="204"/>
    </row>
    <row r="323" spans="1:103" ht="15.75" customHeight="1" x14ac:dyDescent="0.2">
      <c r="A323" s="204"/>
      <c r="B323" s="204"/>
      <c r="C323" s="204"/>
      <c r="D323" s="204"/>
      <c r="E323" s="204"/>
      <c r="F323" s="204"/>
      <c r="G323" s="204"/>
      <c r="H323" s="204"/>
      <c r="I323" s="204"/>
      <c r="J323" s="204"/>
      <c r="K323" s="204"/>
      <c r="L323" s="204"/>
      <c r="M323" s="204"/>
      <c r="N323" s="204"/>
      <c r="O323" s="204"/>
      <c r="P323" s="204"/>
      <c r="Q323" s="204"/>
      <c r="R323" s="204"/>
      <c r="S323" s="204"/>
      <c r="T323" s="204"/>
      <c r="U323" s="204"/>
      <c r="V323" s="204"/>
      <c r="W323" s="204"/>
      <c r="X323" s="1469"/>
      <c r="Y323" s="254"/>
      <c r="Z323" s="254"/>
      <c r="AA323" s="254"/>
      <c r="AB323" s="254"/>
      <c r="AC323" s="254"/>
      <c r="AD323" s="254"/>
      <c r="AE323" s="254"/>
      <c r="AF323" s="254"/>
      <c r="AG323" s="254"/>
      <c r="AH323" s="254"/>
      <c r="AI323" s="473"/>
      <c r="AJ323" s="254"/>
      <c r="AK323" s="254"/>
      <c r="AL323" s="254"/>
      <c r="AM323" s="254"/>
      <c r="AN323" s="254"/>
      <c r="AO323" s="254"/>
      <c r="AP323" s="204"/>
      <c r="AQ323" s="204"/>
      <c r="AR323" s="204"/>
      <c r="AS323" s="204"/>
      <c r="AT323" s="254"/>
      <c r="AU323" s="204"/>
      <c r="AV323" s="204"/>
      <c r="AW323" s="204"/>
      <c r="AX323" s="204"/>
      <c r="AY323" s="204"/>
      <c r="AZ323" s="204"/>
      <c r="BA323" s="204"/>
      <c r="BB323" s="204"/>
      <c r="BC323" s="204"/>
      <c r="BD323" s="204"/>
      <c r="BE323" s="204"/>
      <c r="BF323" s="204"/>
      <c r="BG323" s="204"/>
      <c r="BH323" s="204"/>
      <c r="BI323" s="204"/>
      <c r="BJ323" s="204"/>
      <c r="BK323" s="204"/>
      <c r="BL323" s="204"/>
      <c r="BM323" s="204"/>
      <c r="BN323" s="204"/>
      <c r="BO323" s="204"/>
      <c r="BP323" s="204"/>
      <c r="BQ323" s="204"/>
      <c r="BR323" s="204"/>
      <c r="BS323" s="204"/>
      <c r="BT323" s="204"/>
      <c r="BU323" s="204"/>
      <c r="BV323" s="204"/>
      <c r="BW323" s="204"/>
      <c r="BX323" s="204"/>
      <c r="BY323" s="204"/>
      <c r="BZ323" s="204"/>
      <c r="CA323" s="204"/>
      <c r="CB323" s="204"/>
      <c r="CC323" s="204"/>
      <c r="CD323" s="204"/>
      <c r="CE323" s="204"/>
      <c r="CF323" s="204"/>
      <c r="CG323" s="204"/>
      <c r="CH323" s="204"/>
      <c r="CI323" s="204"/>
      <c r="CJ323" s="204"/>
      <c r="CK323" s="204"/>
      <c r="CL323" s="204"/>
      <c r="CM323" s="204"/>
      <c r="CN323" s="204"/>
      <c r="CO323" s="204"/>
      <c r="CP323" s="204"/>
      <c r="CQ323" s="204"/>
      <c r="CR323" s="204"/>
      <c r="CS323" s="204"/>
      <c r="CT323" s="204"/>
      <c r="CU323" s="204"/>
      <c r="CV323" s="204"/>
      <c r="CW323" s="204"/>
      <c r="CX323" s="204"/>
      <c r="CY323" s="204"/>
    </row>
    <row r="324" spans="1:103" ht="15.75" customHeight="1" x14ac:dyDescent="0.2">
      <c r="A324" s="204"/>
      <c r="B324" s="204"/>
      <c r="C324" s="204"/>
      <c r="D324" s="204"/>
      <c r="E324" s="204"/>
      <c r="F324" s="204"/>
      <c r="G324" s="204"/>
      <c r="H324" s="204"/>
      <c r="I324" s="204"/>
      <c r="J324" s="204"/>
      <c r="K324" s="204"/>
      <c r="L324" s="204"/>
      <c r="M324" s="204"/>
      <c r="N324" s="204"/>
      <c r="O324" s="204"/>
      <c r="P324" s="204"/>
      <c r="Q324" s="204"/>
      <c r="R324" s="204"/>
      <c r="S324" s="204"/>
      <c r="T324" s="204"/>
      <c r="U324" s="204"/>
      <c r="V324" s="204"/>
      <c r="W324" s="204"/>
      <c r="X324" s="1469"/>
      <c r="Y324" s="254"/>
      <c r="Z324" s="254"/>
      <c r="AA324" s="254"/>
      <c r="AB324" s="254"/>
      <c r="AC324" s="254"/>
      <c r="AD324" s="254"/>
      <c r="AE324" s="254"/>
      <c r="AF324" s="254"/>
      <c r="AG324" s="254"/>
      <c r="AH324" s="254"/>
      <c r="AI324" s="473"/>
      <c r="AJ324" s="254"/>
      <c r="AK324" s="254"/>
      <c r="AL324" s="254"/>
      <c r="AM324" s="254"/>
      <c r="AN324" s="254"/>
      <c r="AO324" s="254"/>
      <c r="AP324" s="204"/>
      <c r="AQ324" s="204"/>
      <c r="AR324" s="204"/>
      <c r="AS324" s="204"/>
      <c r="AT324" s="254"/>
      <c r="AU324" s="204"/>
      <c r="AV324" s="204"/>
      <c r="AW324" s="204"/>
      <c r="AX324" s="204"/>
      <c r="AY324" s="204"/>
      <c r="AZ324" s="204"/>
      <c r="BA324" s="204"/>
      <c r="BB324" s="204"/>
      <c r="BC324" s="204"/>
      <c r="BD324" s="204"/>
      <c r="BE324" s="204"/>
      <c r="BF324" s="204"/>
      <c r="BG324" s="204"/>
      <c r="BH324" s="204"/>
      <c r="BI324" s="204"/>
      <c r="BJ324" s="204"/>
      <c r="BK324" s="204"/>
      <c r="BL324" s="204"/>
      <c r="BM324" s="204"/>
      <c r="BN324" s="204"/>
      <c r="BO324" s="204"/>
      <c r="BP324" s="204"/>
      <c r="BQ324" s="204"/>
      <c r="BR324" s="204"/>
      <c r="BS324" s="204"/>
      <c r="BT324" s="204"/>
      <c r="BU324" s="204"/>
      <c r="BV324" s="204"/>
      <c r="BW324" s="204"/>
      <c r="BX324" s="204"/>
      <c r="BY324" s="204"/>
      <c r="BZ324" s="204"/>
      <c r="CA324" s="204"/>
      <c r="CB324" s="204"/>
      <c r="CC324" s="204"/>
      <c r="CD324" s="204"/>
      <c r="CE324" s="204"/>
      <c r="CF324" s="204"/>
      <c r="CG324" s="204"/>
      <c r="CH324" s="204"/>
      <c r="CI324" s="204"/>
      <c r="CJ324" s="204"/>
      <c r="CK324" s="204"/>
      <c r="CL324" s="204"/>
      <c r="CM324" s="204"/>
      <c r="CN324" s="204"/>
      <c r="CO324" s="204"/>
      <c r="CP324" s="204"/>
      <c r="CQ324" s="204"/>
      <c r="CR324" s="204"/>
      <c r="CS324" s="204"/>
      <c r="CT324" s="204"/>
      <c r="CU324" s="204"/>
      <c r="CV324" s="204"/>
      <c r="CW324" s="204"/>
      <c r="CX324" s="204"/>
      <c r="CY324" s="204"/>
    </row>
    <row r="325" spans="1:103" ht="15.75" customHeight="1" x14ac:dyDescent="0.2">
      <c r="A325" s="204"/>
      <c r="B325" s="204"/>
      <c r="C325" s="204"/>
      <c r="D325" s="204"/>
      <c r="E325" s="204"/>
      <c r="F325" s="204"/>
      <c r="G325" s="204"/>
      <c r="H325" s="204"/>
      <c r="I325" s="204"/>
      <c r="J325" s="204"/>
      <c r="K325" s="204"/>
      <c r="L325" s="204"/>
      <c r="M325" s="204"/>
      <c r="N325" s="204"/>
      <c r="O325" s="204"/>
      <c r="P325" s="204"/>
      <c r="Q325" s="204"/>
      <c r="R325" s="204"/>
      <c r="S325" s="204"/>
      <c r="T325" s="204"/>
      <c r="U325" s="204"/>
      <c r="V325" s="204"/>
      <c r="W325" s="204"/>
      <c r="X325" s="1469"/>
      <c r="Y325" s="254"/>
      <c r="Z325" s="254"/>
      <c r="AA325" s="254"/>
      <c r="AB325" s="254"/>
      <c r="AC325" s="254"/>
      <c r="AD325" s="254"/>
      <c r="AE325" s="254"/>
      <c r="AF325" s="254"/>
      <c r="AG325" s="254"/>
      <c r="AH325" s="254"/>
      <c r="AI325" s="473"/>
      <c r="AJ325" s="254"/>
      <c r="AK325" s="254"/>
      <c r="AL325" s="254"/>
      <c r="AM325" s="254"/>
      <c r="AN325" s="254"/>
      <c r="AO325" s="254"/>
      <c r="AP325" s="204"/>
      <c r="AQ325" s="204"/>
      <c r="AR325" s="204"/>
      <c r="AS325" s="204"/>
      <c r="AT325" s="254"/>
      <c r="AU325" s="204"/>
      <c r="AV325" s="204"/>
      <c r="AW325" s="204"/>
      <c r="AX325" s="204"/>
      <c r="AY325" s="204"/>
      <c r="AZ325" s="204"/>
      <c r="BA325" s="204"/>
      <c r="BB325" s="204"/>
      <c r="BC325" s="204"/>
      <c r="BD325" s="204"/>
      <c r="BE325" s="204"/>
      <c r="BF325" s="204"/>
      <c r="BG325" s="204"/>
      <c r="BH325" s="204"/>
      <c r="BI325" s="204"/>
      <c r="BJ325" s="204"/>
      <c r="BK325" s="204"/>
      <c r="BL325" s="204"/>
      <c r="BM325" s="204"/>
      <c r="BN325" s="204"/>
      <c r="BO325" s="204"/>
      <c r="BP325" s="204"/>
      <c r="BQ325" s="204"/>
      <c r="BR325" s="204"/>
      <c r="BS325" s="204"/>
      <c r="BT325" s="204"/>
      <c r="BU325" s="204"/>
      <c r="BV325" s="204"/>
      <c r="BW325" s="204"/>
      <c r="BX325" s="204"/>
      <c r="BY325" s="204"/>
      <c r="BZ325" s="204"/>
      <c r="CA325" s="204"/>
      <c r="CB325" s="204"/>
      <c r="CC325" s="204"/>
      <c r="CD325" s="204"/>
      <c r="CE325" s="204"/>
      <c r="CF325" s="204"/>
      <c r="CG325" s="204"/>
      <c r="CH325" s="204"/>
      <c r="CI325" s="204"/>
      <c r="CJ325" s="204"/>
      <c r="CK325" s="204"/>
      <c r="CL325" s="204"/>
      <c r="CM325" s="204"/>
      <c r="CN325" s="204"/>
      <c r="CO325" s="204"/>
      <c r="CP325" s="204"/>
      <c r="CQ325" s="204"/>
      <c r="CR325" s="204"/>
      <c r="CS325" s="204"/>
      <c r="CT325" s="204"/>
      <c r="CU325" s="204"/>
      <c r="CV325" s="204"/>
      <c r="CW325" s="204"/>
      <c r="CX325" s="204"/>
      <c r="CY325" s="204"/>
    </row>
    <row r="326" spans="1:103" ht="15.75" customHeight="1" x14ac:dyDescent="0.2">
      <c r="A326" s="204"/>
      <c r="B326" s="204"/>
      <c r="C326" s="204"/>
      <c r="D326" s="204"/>
      <c r="E326" s="204"/>
      <c r="F326" s="204"/>
      <c r="G326" s="204"/>
      <c r="H326" s="204"/>
      <c r="I326" s="204"/>
      <c r="J326" s="204"/>
      <c r="K326" s="204"/>
      <c r="L326" s="204"/>
      <c r="M326" s="204"/>
      <c r="N326" s="204"/>
      <c r="O326" s="204"/>
      <c r="P326" s="204"/>
      <c r="Q326" s="204"/>
      <c r="R326" s="204"/>
      <c r="S326" s="204"/>
      <c r="T326" s="204"/>
      <c r="U326" s="204"/>
      <c r="V326" s="204"/>
      <c r="W326" s="204"/>
      <c r="X326" s="1469"/>
      <c r="Y326" s="254"/>
      <c r="Z326" s="254"/>
      <c r="AA326" s="254"/>
      <c r="AB326" s="254"/>
      <c r="AC326" s="254"/>
      <c r="AD326" s="254"/>
      <c r="AE326" s="254"/>
      <c r="AF326" s="254"/>
      <c r="AG326" s="254"/>
      <c r="AH326" s="254"/>
      <c r="AI326" s="473"/>
      <c r="AJ326" s="254"/>
      <c r="AK326" s="254"/>
      <c r="AL326" s="254"/>
      <c r="AM326" s="254"/>
      <c r="AN326" s="254"/>
      <c r="AO326" s="254"/>
      <c r="AP326" s="204"/>
      <c r="AQ326" s="204"/>
      <c r="AR326" s="204"/>
      <c r="AS326" s="204"/>
      <c r="AT326" s="254"/>
      <c r="AU326" s="204"/>
      <c r="AV326" s="204"/>
      <c r="AW326" s="204"/>
      <c r="AX326" s="204"/>
      <c r="AY326" s="204"/>
      <c r="AZ326" s="204"/>
      <c r="BA326" s="204"/>
      <c r="BB326" s="204"/>
      <c r="BC326" s="204"/>
      <c r="BD326" s="204"/>
      <c r="BE326" s="204"/>
      <c r="BF326" s="204"/>
      <c r="BG326" s="204"/>
      <c r="BH326" s="204"/>
      <c r="BI326" s="204"/>
      <c r="BJ326" s="204"/>
      <c r="BK326" s="204"/>
      <c r="BL326" s="204"/>
      <c r="BM326" s="204"/>
      <c r="BN326" s="204"/>
      <c r="BO326" s="204"/>
      <c r="BP326" s="204"/>
      <c r="BQ326" s="204"/>
      <c r="BR326" s="204"/>
      <c r="BS326" s="204"/>
      <c r="BT326" s="204"/>
      <c r="BU326" s="204"/>
      <c r="BV326" s="204"/>
      <c r="BW326" s="204"/>
      <c r="BX326" s="204"/>
      <c r="BY326" s="204"/>
      <c r="BZ326" s="204"/>
      <c r="CA326" s="204"/>
      <c r="CB326" s="204"/>
      <c r="CC326" s="204"/>
      <c r="CD326" s="204"/>
      <c r="CE326" s="204"/>
      <c r="CF326" s="204"/>
      <c r="CG326" s="204"/>
      <c r="CH326" s="204"/>
      <c r="CI326" s="204"/>
      <c r="CJ326" s="204"/>
      <c r="CK326" s="204"/>
      <c r="CL326" s="204"/>
      <c r="CM326" s="204"/>
      <c r="CN326" s="204"/>
      <c r="CO326" s="204"/>
      <c r="CP326" s="204"/>
      <c r="CQ326" s="204"/>
      <c r="CR326" s="204"/>
      <c r="CS326" s="204"/>
      <c r="CT326" s="204"/>
      <c r="CU326" s="204"/>
      <c r="CV326" s="204"/>
      <c r="CW326" s="204"/>
      <c r="CX326" s="204"/>
      <c r="CY326" s="204"/>
    </row>
    <row r="327" spans="1:103" ht="15.75" customHeight="1" x14ac:dyDescent="0.2">
      <c r="A327" s="204"/>
      <c r="B327" s="204"/>
      <c r="C327" s="204"/>
      <c r="D327" s="204"/>
      <c r="E327" s="204"/>
      <c r="F327" s="204"/>
      <c r="G327" s="204"/>
      <c r="H327" s="204"/>
      <c r="I327" s="204"/>
      <c r="J327" s="204"/>
      <c r="K327" s="204"/>
      <c r="L327" s="204"/>
      <c r="M327" s="204"/>
      <c r="N327" s="204"/>
      <c r="O327" s="204"/>
      <c r="P327" s="204"/>
      <c r="Q327" s="204"/>
      <c r="R327" s="204"/>
      <c r="S327" s="204"/>
      <c r="T327" s="204"/>
      <c r="U327" s="204"/>
      <c r="V327" s="204"/>
      <c r="W327" s="204"/>
      <c r="X327" s="1469"/>
      <c r="Y327" s="254"/>
      <c r="Z327" s="254"/>
      <c r="AA327" s="254"/>
      <c r="AB327" s="254"/>
      <c r="AC327" s="254"/>
      <c r="AD327" s="254"/>
      <c r="AE327" s="254"/>
      <c r="AF327" s="254"/>
      <c r="AG327" s="254"/>
      <c r="AH327" s="254"/>
      <c r="AI327" s="473"/>
      <c r="AJ327" s="254"/>
      <c r="AK327" s="254"/>
      <c r="AL327" s="254"/>
      <c r="AM327" s="254"/>
      <c r="AN327" s="254"/>
      <c r="AO327" s="254"/>
      <c r="AP327" s="204"/>
      <c r="AQ327" s="204"/>
      <c r="AR327" s="204"/>
      <c r="AS327" s="204"/>
      <c r="AT327" s="254"/>
      <c r="AU327" s="204"/>
      <c r="AV327" s="204"/>
      <c r="AW327" s="204"/>
      <c r="AX327" s="204"/>
      <c r="AY327" s="204"/>
      <c r="AZ327" s="204"/>
      <c r="BA327" s="204"/>
      <c r="BB327" s="204"/>
      <c r="BC327" s="204"/>
      <c r="BD327" s="204"/>
      <c r="BE327" s="204"/>
      <c r="BF327" s="204"/>
      <c r="BG327" s="204"/>
      <c r="BH327" s="204"/>
      <c r="BI327" s="204"/>
      <c r="BJ327" s="204"/>
      <c r="BK327" s="204"/>
      <c r="BL327" s="204"/>
      <c r="BM327" s="204"/>
      <c r="BN327" s="204"/>
      <c r="BO327" s="204"/>
      <c r="BP327" s="204"/>
      <c r="BQ327" s="204"/>
      <c r="BR327" s="204"/>
      <c r="BS327" s="204"/>
      <c r="BT327" s="204"/>
      <c r="BU327" s="204"/>
      <c r="BV327" s="204"/>
      <c r="BW327" s="204"/>
      <c r="BX327" s="204"/>
      <c r="BY327" s="204"/>
      <c r="BZ327" s="204"/>
      <c r="CA327" s="204"/>
      <c r="CB327" s="204"/>
      <c r="CC327" s="204"/>
      <c r="CD327" s="204"/>
      <c r="CE327" s="204"/>
      <c r="CF327" s="204"/>
      <c r="CG327" s="204"/>
      <c r="CH327" s="204"/>
      <c r="CI327" s="204"/>
      <c r="CJ327" s="204"/>
      <c r="CK327" s="204"/>
      <c r="CL327" s="204"/>
      <c r="CM327" s="204"/>
      <c r="CN327" s="204"/>
      <c r="CO327" s="204"/>
      <c r="CP327" s="204"/>
      <c r="CQ327" s="204"/>
      <c r="CR327" s="204"/>
      <c r="CS327" s="204"/>
      <c r="CT327" s="204"/>
      <c r="CU327" s="204"/>
      <c r="CV327" s="204"/>
      <c r="CW327" s="204"/>
      <c r="CX327" s="204"/>
      <c r="CY327" s="204"/>
    </row>
    <row r="328" spans="1:103" ht="15.75" customHeight="1" x14ac:dyDescent="0.2">
      <c r="A328" s="204"/>
      <c r="B328" s="204"/>
      <c r="C328" s="204"/>
      <c r="D328" s="204"/>
      <c r="E328" s="204"/>
      <c r="F328" s="204"/>
      <c r="G328" s="204"/>
      <c r="H328" s="204"/>
      <c r="I328" s="204"/>
      <c r="J328" s="204"/>
      <c r="K328" s="204"/>
      <c r="L328" s="204"/>
      <c r="M328" s="204"/>
      <c r="N328" s="204"/>
      <c r="O328" s="204"/>
      <c r="P328" s="204"/>
      <c r="Q328" s="204"/>
      <c r="R328" s="204"/>
      <c r="S328" s="204"/>
      <c r="T328" s="204"/>
      <c r="U328" s="204"/>
      <c r="V328" s="204"/>
      <c r="W328" s="204"/>
      <c r="X328" s="1469"/>
      <c r="Y328" s="254"/>
      <c r="Z328" s="254"/>
      <c r="AA328" s="254"/>
      <c r="AB328" s="254"/>
      <c r="AC328" s="254"/>
      <c r="AD328" s="254"/>
      <c r="AE328" s="254"/>
      <c r="AF328" s="254"/>
      <c r="AG328" s="254"/>
      <c r="AH328" s="254"/>
      <c r="AI328" s="473"/>
      <c r="AJ328" s="254"/>
      <c r="AK328" s="254"/>
      <c r="AL328" s="254"/>
      <c r="AM328" s="254"/>
      <c r="AN328" s="254"/>
      <c r="AO328" s="254"/>
      <c r="AP328" s="204"/>
      <c r="AQ328" s="204"/>
      <c r="AR328" s="204"/>
      <c r="AS328" s="204"/>
      <c r="AT328" s="254"/>
      <c r="AU328" s="204"/>
      <c r="AV328" s="204"/>
      <c r="AW328" s="204"/>
      <c r="AX328" s="204"/>
      <c r="AY328" s="204"/>
      <c r="AZ328" s="204"/>
      <c r="BA328" s="204"/>
      <c r="BB328" s="204"/>
      <c r="BC328" s="204"/>
      <c r="BD328" s="204"/>
      <c r="BE328" s="204"/>
      <c r="BF328" s="204"/>
      <c r="BG328" s="204"/>
      <c r="BH328" s="204"/>
      <c r="BI328" s="204"/>
      <c r="BJ328" s="204"/>
      <c r="BK328" s="204"/>
      <c r="BL328" s="204"/>
      <c r="BM328" s="204"/>
      <c r="BN328" s="204"/>
      <c r="BO328" s="204"/>
      <c r="BP328" s="204"/>
      <c r="BQ328" s="204"/>
      <c r="BR328" s="204"/>
      <c r="BS328" s="204"/>
      <c r="BT328" s="204"/>
      <c r="BU328" s="204"/>
      <c r="BV328" s="204"/>
      <c r="BW328" s="204"/>
      <c r="BX328" s="204"/>
      <c r="BY328" s="204"/>
      <c r="BZ328" s="204"/>
      <c r="CA328" s="204"/>
      <c r="CB328" s="204"/>
      <c r="CC328" s="204"/>
      <c r="CD328" s="204"/>
      <c r="CE328" s="204"/>
      <c r="CF328" s="204"/>
      <c r="CG328" s="204"/>
      <c r="CH328" s="204"/>
      <c r="CI328" s="204"/>
      <c r="CJ328" s="204"/>
      <c r="CK328" s="204"/>
      <c r="CL328" s="204"/>
      <c r="CM328" s="204"/>
      <c r="CN328" s="204"/>
      <c r="CO328" s="204"/>
      <c r="CP328" s="204"/>
      <c r="CQ328" s="204"/>
      <c r="CR328" s="204"/>
      <c r="CS328" s="204"/>
      <c r="CT328" s="204"/>
      <c r="CU328" s="204"/>
      <c r="CV328" s="204"/>
      <c r="CW328" s="204"/>
      <c r="CX328" s="204"/>
      <c r="CY328" s="204"/>
    </row>
    <row r="329" spans="1:103" ht="15.75" customHeight="1" x14ac:dyDescent="0.2">
      <c r="A329" s="204"/>
      <c r="B329" s="204"/>
      <c r="C329" s="204"/>
      <c r="D329" s="204"/>
      <c r="E329" s="204"/>
      <c r="F329" s="204"/>
      <c r="G329" s="204"/>
      <c r="H329" s="204"/>
      <c r="I329" s="204"/>
      <c r="J329" s="204"/>
      <c r="K329" s="204"/>
      <c r="L329" s="204"/>
      <c r="M329" s="204"/>
      <c r="N329" s="204"/>
      <c r="O329" s="204"/>
      <c r="P329" s="204"/>
      <c r="Q329" s="204"/>
      <c r="R329" s="204"/>
      <c r="S329" s="204"/>
      <c r="T329" s="204"/>
      <c r="U329" s="204"/>
      <c r="V329" s="204"/>
      <c r="W329" s="204"/>
      <c r="X329" s="1469"/>
      <c r="Y329" s="254"/>
      <c r="Z329" s="254"/>
      <c r="AA329" s="254"/>
      <c r="AB329" s="254"/>
      <c r="AC329" s="254"/>
      <c r="AD329" s="254"/>
      <c r="AE329" s="254"/>
      <c r="AF329" s="254"/>
      <c r="AG329" s="254"/>
      <c r="AH329" s="254"/>
      <c r="AI329" s="473"/>
      <c r="AJ329" s="254"/>
      <c r="AK329" s="254"/>
      <c r="AL329" s="254"/>
      <c r="AM329" s="254"/>
      <c r="AN329" s="254"/>
      <c r="AO329" s="254"/>
      <c r="AP329" s="204"/>
      <c r="AQ329" s="204"/>
      <c r="AR329" s="204"/>
      <c r="AS329" s="204"/>
      <c r="AT329" s="254"/>
      <c r="AU329" s="204"/>
      <c r="AV329" s="204"/>
      <c r="AW329" s="204"/>
      <c r="AX329" s="204"/>
      <c r="AY329" s="204"/>
      <c r="AZ329" s="204"/>
      <c r="BA329" s="204"/>
      <c r="BB329" s="204"/>
      <c r="BC329" s="204"/>
      <c r="BD329" s="204"/>
      <c r="BE329" s="204"/>
      <c r="BF329" s="204"/>
      <c r="BG329" s="204"/>
      <c r="BH329" s="204"/>
      <c r="BI329" s="204"/>
      <c r="BJ329" s="204"/>
      <c r="BK329" s="204"/>
      <c r="BL329" s="204"/>
      <c r="BM329" s="204"/>
      <c r="BN329" s="204"/>
      <c r="BO329" s="204"/>
      <c r="BP329" s="204"/>
      <c r="BQ329" s="204"/>
      <c r="BR329" s="204"/>
      <c r="BS329" s="204"/>
      <c r="BT329" s="204"/>
      <c r="BU329" s="204"/>
      <c r="BV329" s="204"/>
      <c r="BW329" s="204"/>
      <c r="BX329" s="204"/>
      <c r="BY329" s="204"/>
      <c r="BZ329" s="204"/>
      <c r="CA329" s="204"/>
      <c r="CB329" s="204"/>
      <c r="CC329" s="204"/>
      <c r="CD329" s="204"/>
      <c r="CE329" s="204"/>
      <c r="CF329" s="204"/>
      <c r="CG329" s="204"/>
      <c r="CH329" s="204"/>
      <c r="CI329" s="204"/>
      <c r="CJ329" s="204"/>
      <c r="CK329" s="204"/>
      <c r="CL329" s="204"/>
      <c r="CM329" s="204"/>
      <c r="CN329" s="204"/>
      <c r="CO329" s="204"/>
      <c r="CP329" s="204"/>
      <c r="CQ329" s="204"/>
      <c r="CR329" s="204"/>
      <c r="CS329" s="204"/>
      <c r="CT329" s="204"/>
      <c r="CU329" s="204"/>
      <c r="CV329" s="204"/>
      <c r="CW329" s="204"/>
      <c r="CX329" s="204"/>
      <c r="CY329" s="204"/>
    </row>
    <row r="330" spans="1:103" ht="15.75" customHeight="1" x14ac:dyDescent="0.2">
      <c r="A330" s="204"/>
      <c r="B330" s="204"/>
      <c r="C330" s="204"/>
      <c r="D330" s="204"/>
      <c r="E330" s="204"/>
      <c r="F330" s="204"/>
      <c r="G330" s="204"/>
      <c r="H330" s="204"/>
      <c r="I330" s="204"/>
      <c r="J330" s="204"/>
      <c r="K330" s="204"/>
      <c r="L330" s="204"/>
      <c r="M330" s="204"/>
      <c r="N330" s="204"/>
      <c r="O330" s="204"/>
      <c r="P330" s="204"/>
      <c r="Q330" s="204"/>
      <c r="R330" s="204"/>
      <c r="S330" s="204"/>
      <c r="T330" s="204"/>
      <c r="U330" s="204"/>
      <c r="V330" s="204"/>
      <c r="W330" s="204"/>
      <c r="X330" s="1469"/>
      <c r="Y330" s="254"/>
      <c r="Z330" s="254"/>
      <c r="AA330" s="254"/>
      <c r="AB330" s="254"/>
      <c r="AC330" s="254"/>
      <c r="AD330" s="254"/>
      <c r="AE330" s="254"/>
      <c r="AF330" s="254"/>
      <c r="AG330" s="254"/>
      <c r="AH330" s="254"/>
      <c r="AI330" s="473"/>
      <c r="AJ330" s="254"/>
      <c r="AK330" s="254"/>
      <c r="AL330" s="254"/>
      <c r="AM330" s="254"/>
      <c r="AN330" s="254"/>
      <c r="AO330" s="254"/>
      <c r="AP330" s="204"/>
      <c r="AQ330" s="204"/>
      <c r="AR330" s="204"/>
      <c r="AS330" s="204"/>
      <c r="AT330" s="254"/>
      <c r="AU330" s="204"/>
      <c r="AV330" s="204"/>
      <c r="AW330" s="204"/>
      <c r="AX330" s="204"/>
      <c r="AY330" s="204"/>
      <c r="AZ330" s="204"/>
      <c r="BA330" s="204"/>
      <c r="BB330" s="204"/>
      <c r="BC330" s="204"/>
      <c r="BD330" s="204"/>
      <c r="BE330" s="204"/>
      <c r="BF330" s="204"/>
      <c r="BG330" s="204"/>
      <c r="BH330" s="204"/>
      <c r="BI330" s="204"/>
      <c r="BJ330" s="204"/>
      <c r="BK330" s="204"/>
      <c r="BL330" s="204"/>
      <c r="BM330" s="204"/>
      <c r="BN330" s="204"/>
      <c r="BO330" s="204"/>
      <c r="BP330" s="204"/>
      <c r="BQ330" s="204"/>
      <c r="BR330" s="204"/>
      <c r="BS330" s="204"/>
      <c r="BT330" s="204"/>
      <c r="BU330" s="204"/>
      <c r="BV330" s="204"/>
      <c r="BW330" s="204"/>
      <c r="BX330" s="204"/>
      <c r="BY330" s="204"/>
      <c r="BZ330" s="204"/>
      <c r="CA330" s="204"/>
      <c r="CB330" s="204"/>
      <c r="CC330" s="204"/>
      <c r="CD330" s="204"/>
      <c r="CE330" s="204"/>
      <c r="CF330" s="204"/>
      <c r="CG330" s="204"/>
      <c r="CH330" s="204"/>
      <c r="CI330" s="204"/>
      <c r="CJ330" s="204"/>
      <c r="CK330" s="204"/>
      <c r="CL330" s="204"/>
      <c r="CM330" s="204"/>
      <c r="CN330" s="204"/>
      <c r="CO330" s="204"/>
      <c r="CP330" s="204"/>
      <c r="CQ330" s="204"/>
      <c r="CR330" s="204"/>
      <c r="CS330" s="204"/>
      <c r="CT330" s="204"/>
      <c r="CU330" s="204"/>
      <c r="CV330" s="204"/>
      <c r="CW330" s="204"/>
      <c r="CX330" s="204"/>
      <c r="CY330" s="204"/>
    </row>
    <row r="331" spans="1:103" ht="15.75" customHeight="1" x14ac:dyDescent="0.2">
      <c r="A331" s="204"/>
      <c r="B331" s="204"/>
      <c r="C331" s="204"/>
      <c r="D331" s="204"/>
      <c r="E331" s="204"/>
      <c r="F331" s="204"/>
      <c r="G331" s="204"/>
      <c r="H331" s="204"/>
      <c r="I331" s="204"/>
      <c r="J331" s="204"/>
      <c r="K331" s="204"/>
      <c r="L331" s="204"/>
      <c r="M331" s="204"/>
      <c r="N331" s="204"/>
      <c r="O331" s="204"/>
      <c r="P331" s="204"/>
      <c r="Q331" s="204"/>
      <c r="R331" s="204"/>
      <c r="S331" s="204"/>
      <c r="T331" s="204"/>
      <c r="U331" s="204"/>
      <c r="V331" s="204"/>
      <c r="W331" s="204"/>
      <c r="X331" s="1469"/>
      <c r="Y331" s="254"/>
      <c r="Z331" s="254"/>
      <c r="AA331" s="254"/>
      <c r="AB331" s="254"/>
      <c r="AC331" s="254"/>
      <c r="AD331" s="254"/>
      <c r="AE331" s="254"/>
      <c r="AF331" s="254"/>
      <c r="AG331" s="254"/>
      <c r="AH331" s="254"/>
      <c r="AI331" s="473"/>
      <c r="AJ331" s="254"/>
      <c r="AK331" s="254"/>
      <c r="AL331" s="254"/>
      <c r="AM331" s="254"/>
      <c r="AN331" s="254"/>
      <c r="AO331" s="254"/>
      <c r="AP331" s="204"/>
      <c r="AQ331" s="204"/>
      <c r="AR331" s="204"/>
      <c r="AS331" s="204"/>
      <c r="AT331" s="254"/>
      <c r="AU331" s="204"/>
      <c r="AV331" s="204"/>
      <c r="AW331" s="204"/>
      <c r="AX331" s="204"/>
      <c r="AY331" s="204"/>
      <c r="AZ331" s="204"/>
      <c r="BA331" s="204"/>
      <c r="BB331" s="204"/>
      <c r="BC331" s="204"/>
      <c r="BD331" s="204"/>
      <c r="BE331" s="204"/>
      <c r="BF331" s="204"/>
      <c r="BG331" s="204"/>
      <c r="BH331" s="204"/>
      <c r="BI331" s="204"/>
      <c r="BJ331" s="204"/>
      <c r="BK331" s="204"/>
      <c r="BL331" s="204"/>
      <c r="BM331" s="204"/>
      <c r="BN331" s="204"/>
      <c r="BO331" s="204"/>
      <c r="BP331" s="204"/>
      <c r="BQ331" s="204"/>
      <c r="BR331" s="204"/>
      <c r="BS331" s="204"/>
      <c r="BT331" s="204"/>
      <c r="BU331" s="204"/>
      <c r="BV331" s="204"/>
      <c r="BW331" s="204"/>
      <c r="BX331" s="204"/>
      <c r="BY331" s="204"/>
      <c r="BZ331" s="204"/>
      <c r="CA331" s="204"/>
      <c r="CB331" s="204"/>
      <c r="CC331" s="204"/>
      <c r="CD331" s="204"/>
      <c r="CE331" s="204"/>
      <c r="CF331" s="204"/>
      <c r="CG331" s="204"/>
      <c r="CH331" s="204"/>
      <c r="CI331" s="204"/>
      <c r="CJ331" s="204"/>
      <c r="CK331" s="204"/>
      <c r="CL331" s="204"/>
      <c r="CM331" s="204"/>
      <c r="CN331" s="204"/>
      <c r="CO331" s="204"/>
      <c r="CP331" s="204"/>
      <c r="CQ331" s="204"/>
      <c r="CR331" s="204"/>
      <c r="CS331" s="204"/>
      <c r="CT331" s="204"/>
      <c r="CU331" s="204"/>
      <c r="CV331" s="204"/>
      <c r="CW331" s="204"/>
      <c r="CX331" s="204"/>
      <c r="CY331" s="204"/>
    </row>
    <row r="332" spans="1:103" ht="15.75" customHeight="1" x14ac:dyDescent="0.2">
      <c r="A332" s="204"/>
      <c r="B332" s="204"/>
      <c r="C332" s="204"/>
      <c r="D332" s="204"/>
      <c r="E332" s="204"/>
      <c r="F332" s="204"/>
      <c r="G332" s="204"/>
      <c r="H332" s="204"/>
      <c r="I332" s="204"/>
      <c r="J332" s="204"/>
      <c r="K332" s="204"/>
      <c r="L332" s="204"/>
      <c r="M332" s="204"/>
      <c r="N332" s="204"/>
      <c r="O332" s="204"/>
      <c r="P332" s="204"/>
      <c r="Q332" s="204"/>
      <c r="R332" s="204"/>
      <c r="S332" s="204"/>
      <c r="T332" s="204"/>
      <c r="U332" s="204"/>
      <c r="V332" s="204"/>
      <c r="W332" s="204"/>
      <c r="X332" s="1469"/>
      <c r="Y332" s="254"/>
      <c r="Z332" s="254"/>
      <c r="AA332" s="254"/>
      <c r="AB332" s="254"/>
      <c r="AC332" s="254"/>
      <c r="AD332" s="254"/>
      <c r="AE332" s="254"/>
      <c r="AF332" s="254"/>
      <c r="AG332" s="254"/>
      <c r="AH332" s="254"/>
      <c r="AI332" s="473"/>
      <c r="AJ332" s="254"/>
      <c r="AK332" s="254"/>
      <c r="AL332" s="254"/>
      <c r="AM332" s="254"/>
      <c r="AN332" s="254"/>
      <c r="AO332" s="254"/>
      <c r="AP332" s="204"/>
      <c r="AQ332" s="204"/>
      <c r="AR332" s="204"/>
      <c r="AS332" s="204"/>
      <c r="AT332" s="254"/>
      <c r="AU332" s="204"/>
      <c r="AV332" s="204"/>
      <c r="AW332" s="204"/>
      <c r="AX332" s="204"/>
      <c r="AY332" s="204"/>
      <c r="AZ332" s="204"/>
      <c r="BA332" s="204"/>
      <c r="BB332" s="204"/>
      <c r="BC332" s="204"/>
      <c r="BD332" s="204"/>
      <c r="BE332" s="204"/>
      <c r="BF332" s="204"/>
      <c r="BG332" s="204"/>
      <c r="BH332" s="204"/>
      <c r="BI332" s="204"/>
      <c r="BJ332" s="204"/>
      <c r="BK332" s="204"/>
      <c r="BL332" s="204"/>
      <c r="BM332" s="204"/>
      <c r="BN332" s="204"/>
      <c r="BO332" s="204"/>
      <c r="BP332" s="204"/>
      <c r="BQ332" s="204"/>
      <c r="BR332" s="204"/>
      <c r="BS332" s="204"/>
      <c r="BT332" s="204"/>
      <c r="BU332" s="204"/>
      <c r="BV332" s="204"/>
      <c r="BW332" s="204"/>
      <c r="BX332" s="204"/>
      <c r="BY332" s="204"/>
      <c r="BZ332" s="204"/>
      <c r="CA332" s="204"/>
      <c r="CB332" s="204"/>
      <c r="CC332" s="204"/>
      <c r="CD332" s="204"/>
      <c r="CE332" s="204"/>
      <c r="CF332" s="204"/>
      <c r="CG332" s="204"/>
      <c r="CH332" s="204"/>
      <c r="CI332" s="204"/>
      <c r="CJ332" s="204"/>
      <c r="CK332" s="204"/>
      <c r="CL332" s="204"/>
      <c r="CM332" s="204"/>
      <c r="CN332" s="204"/>
      <c r="CO332" s="204"/>
      <c r="CP332" s="204"/>
      <c r="CQ332" s="204"/>
      <c r="CR332" s="204"/>
      <c r="CS332" s="204"/>
      <c r="CT332" s="204"/>
      <c r="CU332" s="204"/>
      <c r="CV332" s="204"/>
      <c r="CW332" s="204"/>
      <c r="CX332" s="204"/>
      <c r="CY332" s="204"/>
    </row>
    <row r="333" spans="1:103" ht="15.75" customHeight="1" x14ac:dyDescent="0.2">
      <c r="A333" s="204"/>
      <c r="B333" s="204"/>
      <c r="C333" s="204"/>
      <c r="D333" s="204"/>
      <c r="E333" s="204"/>
      <c r="F333" s="204"/>
      <c r="G333" s="204"/>
      <c r="H333" s="204"/>
      <c r="I333" s="204"/>
      <c r="J333" s="204"/>
      <c r="K333" s="204"/>
      <c r="L333" s="204"/>
      <c r="M333" s="204"/>
      <c r="N333" s="204"/>
      <c r="O333" s="204"/>
      <c r="P333" s="204"/>
      <c r="Q333" s="204"/>
      <c r="R333" s="204"/>
      <c r="S333" s="204"/>
      <c r="T333" s="204"/>
      <c r="U333" s="204"/>
      <c r="V333" s="204"/>
      <c r="W333" s="204"/>
      <c r="X333" s="1469"/>
      <c r="Y333" s="254"/>
      <c r="Z333" s="254"/>
      <c r="AA333" s="254"/>
      <c r="AB333" s="254"/>
      <c r="AC333" s="254"/>
      <c r="AD333" s="254"/>
      <c r="AE333" s="254"/>
      <c r="AF333" s="254"/>
      <c r="AG333" s="254"/>
      <c r="AH333" s="254"/>
      <c r="AI333" s="473"/>
      <c r="AJ333" s="254"/>
      <c r="AK333" s="254"/>
      <c r="AL333" s="254"/>
      <c r="AM333" s="254"/>
      <c r="AN333" s="254"/>
      <c r="AO333" s="254"/>
      <c r="AP333" s="204"/>
      <c r="AQ333" s="204"/>
      <c r="AR333" s="204"/>
      <c r="AS333" s="204"/>
      <c r="AT333" s="254"/>
      <c r="AU333" s="204"/>
      <c r="AV333" s="204"/>
      <c r="AW333" s="204"/>
      <c r="AX333" s="204"/>
      <c r="AY333" s="204"/>
      <c r="AZ333" s="204"/>
      <c r="BA333" s="204"/>
      <c r="BB333" s="204"/>
      <c r="BC333" s="204"/>
      <c r="BD333" s="204"/>
      <c r="BE333" s="204"/>
      <c r="BF333" s="204"/>
      <c r="BG333" s="204"/>
      <c r="BH333" s="204"/>
      <c r="BI333" s="204"/>
      <c r="BJ333" s="204"/>
      <c r="BK333" s="204"/>
      <c r="BL333" s="204"/>
      <c r="BM333" s="204"/>
      <c r="BN333" s="204"/>
      <c r="BO333" s="204"/>
      <c r="BP333" s="204"/>
      <c r="BQ333" s="204"/>
      <c r="BR333" s="204"/>
      <c r="BS333" s="204"/>
      <c r="BT333" s="204"/>
      <c r="BU333" s="204"/>
      <c r="BV333" s="204"/>
      <c r="BW333" s="204"/>
      <c r="BX333" s="204"/>
      <c r="BY333" s="204"/>
      <c r="BZ333" s="204"/>
      <c r="CA333" s="204"/>
      <c r="CB333" s="204"/>
      <c r="CC333" s="204"/>
      <c r="CD333" s="204"/>
      <c r="CE333" s="204"/>
      <c r="CF333" s="204"/>
      <c r="CG333" s="204"/>
      <c r="CH333" s="204"/>
      <c r="CI333" s="204"/>
      <c r="CJ333" s="204"/>
      <c r="CK333" s="204"/>
      <c r="CL333" s="204"/>
      <c r="CM333" s="204"/>
      <c r="CN333" s="204"/>
      <c r="CO333" s="204"/>
      <c r="CP333" s="204"/>
      <c r="CQ333" s="204"/>
      <c r="CR333" s="204"/>
      <c r="CS333" s="204"/>
      <c r="CT333" s="204"/>
      <c r="CU333" s="204"/>
      <c r="CV333" s="204"/>
      <c r="CW333" s="204"/>
      <c r="CX333" s="204"/>
      <c r="CY333" s="204"/>
    </row>
    <row r="334" spans="1:103" ht="15.75" customHeight="1" x14ac:dyDescent="0.2">
      <c r="A334" s="204"/>
      <c r="B334" s="204"/>
      <c r="C334" s="204"/>
      <c r="D334" s="204"/>
      <c r="E334" s="204"/>
      <c r="F334" s="204"/>
      <c r="G334" s="204"/>
      <c r="H334" s="204"/>
      <c r="I334" s="204"/>
      <c r="J334" s="204"/>
      <c r="K334" s="204"/>
      <c r="L334" s="204"/>
      <c r="M334" s="204"/>
      <c r="N334" s="204"/>
      <c r="O334" s="204"/>
      <c r="P334" s="204"/>
      <c r="Q334" s="204"/>
      <c r="R334" s="204"/>
      <c r="S334" s="204"/>
      <c r="T334" s="204"/>
      <c r="U334" s="204"/>
      <c r="V334" s="204"/>
      <c r="W334" s="204"/>
      <c r="X334" s="1469"/>
      <c r="Y334" s="254"/>
      <c r="Z334" s="254"/>
      <c r="AA334" s="254"/>
      <c r="AB334" s="254"/>
      <c r="AC334" s="254"/>
      <c r="AD334" s="254"/>
      <c r="AE334" s="254"/>
      <c r="AF334" s="254"/>
      <c r="AG334" s="254"/>
      <c r="AH334" s="254"/>
      <c r="AI334" s="473"/>
      <c r="AJ334" s="254"/>
      <c r="AK334" s="254"/>
      <c r="AL334" s="254"/>
      <c r="AM334" s="254"/>
      <c r="AN334" s="254"/>
      <c r="AO334" s="254"/>
      <c r="AP334" s="204"/>
      <c r="AQ334" s="204"/>
      <c r="AR334" s="204"/>
      <c r="AS334" s="204"/>
      <c r="AT334" s="254"/>
      <c r="AU334" s="204"/>
      <c r="AV334" s="204"/>
      <c r="AW334" s="204"/>
      <c r="AX334" s="204"/>
      <c r="AY334" s="204"/>
      <c r="AZ334" s="204"/>
      <c r="BA334" s="204"/>
      <c r="BB334" s="204"/>
      <c r="BC334" s="204"/>
      <c r="BD334" s="204"/>
      <c r="BE334" s="204"/>
      <c r="BF334" s="204"/>
      <c r="BG334" s="204"/>
      <c r="BH334" s="204"/>
      <c r="BI334" s="204"/>
      <c r="BJ334" s="204"/>
      <c r="BK334" s="204"/>
      <c r="BL334" s="204"/>
      <c r="BM334" s="204"/>
      <c r="BN334" s="204"/>
      <c r="BO334" s="204"/>
      <c r="BP334" s="204"/>
      <c r="BQ334" s="204"/>
      <c r="BR334" s="204"/>
      <c r="BS334" s="204"/>
      <c r="BT334" s="204"/>
      <c r="BU334" s="204"/>
      <c r="BV334" s="204"/>
      <c r="BW334" s="204"/>
      <c r="BX334" s="204"/>
      <c r="BY334" s="204"/>
      <c r="BZ334" s="204"/>
      <c r="CA334" s="204"/>
      <c r="CB334" s="204"/>
      <c r="CC334" s="204"/>
      <c r="CD334" s="204"/>
      <c r="CE334" s="204"/>
      <c r="CF334" s="204"/>
      <c r="CG334" s="204"/>
      <c r="CH334" s="204"/>
      <c r="CI334" s="204"/>
      <c r="CJ334" s="204"/>
      <c r="CK334" s="204"/>
      <c r="CL334" s="204"/>
      <c r="CM334" s="204"/>
      <c r="CN334" s="204"/>
      <c r="CO334" s="204"/>
      <c r="CP334" s="204"/>
      <c r="CQ334" s="204"/>
      <c r="CR334" s="204"/>
      <c r="CS334" s="204"/>
      <c r="CT334" s="204"/>
      <c r="CU334" s="204"/>
      <c r="CV334" s="204"/>
      <c r="CW334" s="204"/>
      <c r="CX334" s="204"/>
      <c r="CY334" s="204"/>
    </row>
  </sheetData>
  <sheetProtection algorithmName="SHA-512" hashValue="Ay6sENeZh2Xj/1NQLRVAhFSaOYNDLxbjXIQrV25nnt7VOpvgX+ukSq0tDm0WzLAq21h9aF3EJscd3tZr6CwKXQ==" saltValue="98HQS0XRHG3yiuVa25i7QA==" spinCount="100000" sheet="1" objects="1" scenarios="1"/>
  <autoFilter ref="A1:CY267"/>
  <mergeCells count="52">
    <mergeCell ref="U73:U78"/>
    <mergeCell ref="U79:U84"/>
    <mergeCell ref="U85:U90"/>
    <mergeCell ref="U91:U94"/>
    <mergeCell ref="U190:U195"/>
    <mergeCell ref="U95:U99"/>
    <mergeCell ref="U101:U116"/>
    <mergeCell ref="U117:U123"/>
    <mergeCell ref="U124:U129"/>
    <mergeCell ref="U130:U146"/>
    <mergeCell ref="U147:U152"/>
    <mergeCell ref="U153:U158"/>
    <mergeCell ref="U159:U169"/>
    <mergeCell ref="U170:U185"/>
    <mergeCell ref="U186:U189"/>
    <mergeCell ref="U45:U52"/>
    <mergeCell ref="U53:U57"/>
    <mergeCell ref="U58:U62"/>
    <mergeCell ref="U63:U67"/>
    <mergeCell ref="U68:U72"/>
    <mergeCell ref="U25:U28"/>
    <mergeCell ref="U29:U32"/>
    <mergeCell ref="U33:U37"/>
    <mergeCell ref="U38:U40"/>
    <mergeCell ref="U41:U43"/>
    <mergeCell ref="U2:U5"/>
    <mergeCell ref="U6:U9"/>
    <mergeCell ref="U10:U14"/>
    <mergeCell ref="U15:U18"/>
    <mergeCell ref="U19:U24"/>
    <mergeCell ref="U242:U246"/>
    <mergeCell ref="U247:U249"/>
    <mergeCell ref="U250:U252"/>
    <mergeCell ref="U254:U261"/>
    <mergeCell ref="U262:U264"/>
    <mergeCell ref="U217:U222"/>
    <mergeCell ref="U223:U227"/>
    <mergeCell ref="U229:U232"/>
    <mergeCell ref="U233:U237"/>
    <mergeCell ref="U238:U241"/>
    <mergeCell ref="U197:U200"/>
    <mergeCell ref="U201:U205"/>
    <mergeCell ref="U206:U208"/>
    <mergeCell ref="U209:U212"/>
    <mergeCell ref="U213:U216"/>
    <mergeCell ref="A2:A267"/>
    <mergeCell ref="B2:B44"/>
    <mergeCell ref="B45:B100"/>
    <mergeCell ref="B101:B196"/>
    <mergeCell ref="B197:B228"/>
    <mergeCell ref="B229:B253"/>
    <mergeCell ref="B254:B265"/>
  </mergeCells>
  <pageMargins left="0.70866141732283472" right="0.15748031496062992" top="0.51181102362204722" bottom="0.27559055118110237" header="0" footer="0"/>
  <pageSetup paperSize="5" scale="55"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Z287"/>
  <sheetViews>
    <sheetView zoomScale="90" zoomScaleNormal="90" workbookViewId="0">
      <pane xSplit="20" ySplit="1" topLeftCell="W80" activePane="bottomRight" state="frozen"/>
      <selection pane="topRight" activeCell="U1" sqref="U1"/>
      <selection pane="bottomLeft" activeCell="A2" sqref="A2"/>
      <selection pane="bottomRight" activeCell="BB92" sqref="BB92:BB93"/>
    </sheetView>
  </sheetViews>
  <sheetFormatPr baseColWidth="10" defaultColWidth="12.625" defaultRowHeight="15" customHeight="1" x14ac:dyDescent="0.2"/>
  <cols>
    <col min="1" max="1" width="4.375" customWidth="1"/>
    <col min="2" max="2" width="6.875" customWidth="1"/>
    <col min="3" max="3" width="13.375" hidden="1" customWidth="1"/>
    <col min="4" max="4" width="12.875" hidden="1" customWidth="1"/>
    <col min="5" max="18" width="10" hidden="1" customWidth="1"/>
    <col min="19" max="19" width="28.125" hidden="1" customWidth="1"/>
    <col min="20" max="20" width="12" customWidth="1"/>
    <col min="21" max="21" width="0.25" customWidth="1"/>
    <col min="22" max="22" width="0.75" hidden="1" customWidth="1"/>
    <col min="23" max="23" width="16.125" customWidth="1"/>
    <col min="24" max="24" width="11.375" customWidth="1"/>
    <col min="25" max="25" width="0.375" customWidth="1"/>
    <col min="26" max="26" width="0.625" customWidth="1"/>
    <col min="27" max="27" width="13.625" hidden="1" customWidth="1"/>
    <col min="28" max="29" width="0.375" hidden="1" customWidth="1"/>
    <col min="30" max="30" width="9.25" hidden="1" customWidth="1"/>
    <col min="31" max="32" width="18.5" hidden="1" customWidth="1"/>
    <col min="33" max="33" width="22" hidden="1" customWidth="1"/>
    <col min="34" max="34" width="20.125" hidden="1" customWidth="1"/>
    <col min="35" max="35" width="13.875" hidden="1" customWidth="1"/>
    <col min="36" max="36" width="15.875" hidden="1" customWidth="1"/>
    <col min="37" max="37" width="16.5" hidden="1" customWidth="1"/>
    <col min="38" max="38" width="9.5" hidden="1" customWidth="1"/>
    <col min="39" max="39" width="13.875" hidden="1" customWidth="1"/>
    <col min="40" max="40" width="9.375" hidden="1" customWidth="1"/>
    <col min="41" max="41" width="9.125" hidden="1" customWidth="1"/>
    <col min="42" max="42" width="6.375" hidden="1" customWidth="1"/>
    <col min="43" max="43" width="13.625" hidden="1" customWidth="1"/>
    <col min="44" max="44" width="8.875" hidden="1" customWidth="1"/>
    <col min="45" max="45" width="13.625" hidden="1" customWidth="1"/>
    <col min="46" max="46" width="11" hidden="1" customWidth="1"/>
    <col min="47" max="47" width="8.125" hidden="1" customWidth="1"/>
    <col min="48" max="48" width="9.75" hidden="1" customWidth="1"/>
    <col min="49" max="49" width="9.375" customWidth="1"/>
    <col min="50" max="50" width="10.25" hidden="1" customWidth="1"/>
    <col min="51" max="51" width="9.75" customWidth="1"/>
    <col min="52" max="52" width="9.375" customWidth="1"/>
    <col min="53" max="53" width="0.125" customWidth="1"/>
    <col min="54" max="54" width="10.125" customWidth="1"/>
    <col min="55" max="55" width="7.875" hidden="1" customWidth="1"/>
    <col min="56" max="56" width="9.5" customWidth="1"/>
    <col min="57" max="57" width="10.875" customWidth="1"/>
    <col min="58" max="58" width="12.5" customWidth="1"/>
    <col min="59" max="59" width="10.375" customWidth="1"/>
    <col min="60" max="60" width="13" customWidth="1"/>
    <col min="61" max="61" width="12" customWidth="1"/>
    <col min="62" max="62" width="10.625" customWidth="1"/>
    <col min="63" max="63" width="13.125" customWidth="1"/>
    <col min="64" max="99" width="10" hidden="1" customWidth="1"/>
    <col min="100" max="100" width="11.625" customWidth="1"/>
    <col min="101" max="101" width="9" customWidth="1"/>
    <col min="102" max="102" width="17.5" customWidth="1"/>
    <col min="103" max="104" width="10" customWidth="1"/>
  </cols>
  <sheetData>
    <row r="1" spans="1:104" s="1347" customFormat="1" ht="96" customHeight="1" x14ac:dyDescent="0.15">
      <c r="A1" s="1332" t="s">
        <v>92</v>
      </c>
      <c r="B1" s="1332" t="s">
        <v>114</v>
      </c>
      <c r="C1" s="1332" t="s">
        <v>115</v>
      </c>
      <c r="D1" s="1332" t="s">
        <v>116</v>
      </c>
      <c r="E1" s="1332" t="s">
        <v>117</v>
      </c>
      <c r="F1" s="1332" t="s">
        <v>118</v>
      </c>
      <c r="G1" s="1332" t="s">
        <v>119</v>
      </c>
      <c r="H1" s="1332" t="s">
        <v>120</v>
      </c>
      <c r="I1" s="1332" t="s">
        <v>121</v>
      </c>
      <c r="J1" s="1332" t="s">
        <v>122</v>
      </c>
      <c r="K1" s="1332" t="s">
        <v>123</v>
      </c>
      <c r="L1" s="1332" t="s">
        <v>124</v>
      </c>
      <c r="M1" s="1332" t="s">
        <v>12</v>
      </c>
      <c r="N1" s="1332" t="s">
        <v>13</v>
      </c>
      <c r="O1" s="1332" t="s">
        <v>14</v>
      </c>
      <c r="P1" s="1332" t="s">
        <v>15</v>
      </c>
      <c r="Q1" s="1332" t="s">
        <v>16</v>
      </c>
      <c r="R1" s="1332" t="s">
        <v>17</v>
      </c>
      <c r="S1" s="1332" t="s">
        <v>18</v>
      </c>
      <c r="T1" s="1332" t="s">
        <v>125</v>
      </c>
      <c r="U1" s="1332" t="s">
        <v>126</v>
      </c>
      <c r="V1" s="1332" t="s">
        <v>116</v>
      </c>
      <c r="W1" s="1332" t="s">
        <v>127</v>
      </c>
      <c r="X1" s="1332" t="s">
        <v>128</v>
      </c>
      <c r="Y1" s="1332" t="s">
        <v>129</v>
      </c>
      <c r="Z1" s="1332" t="s">
        <v>130</v>
      </c>
      <c r="AA1" s="1333" t="s">
        <v>131</v>
      </c>
      <c r="AB1" s="1334" t="s">
        <v>132</v>
      </c>
      <c r="AC1" s="1334" t="s">
        <v>133</v>
      </c>
      <c r="AD1" s="1335" t="s">
        <v>134</v>
      </c>
      <c r="AE1" s="1332" t="s">
        <v>135</v>
      </c>
      <c r="AF1" s="1332" t="s">
        <v>136</v>
      </c>
      <c r="AG1" s="1655" t="s">
        <v>137</v>
      </c>
      <c r="AH1" s="1332" t="s">
        <v>29</v>
      </c>
      <c r="AI1" s="1332" t="s">
        <v>30</v>
      </c>
      <c r="AJ1" s="1332" t="s">
        <v>31</v>
      </c>
      <c r="AK1" s="1332" t="s">
        <v>32</v>
      </c>
      <c r="AL1" s="1336" t="s">
        <v>130</v>
      </c>
      <c r="AM1" s="1336" t="s">
        <v>138</v>
      </c>
      <c r="AN1" s="1336" t="s">
        <v>26</v>
      </c>
      <c r="AO1" s="1336" t="s">
        <v>139</v>
      </c>
      <c r="AP1" s="1336" t="s">
        <v>26</v>
      </c>
      <c r="AQ1" s="1336" t="s">
        <v>140</v>
      </c>
      <c r="AR1" s="1336" t="s">
        <v>26</v>
      </c>
      <c r="AS1" s="1337" t="s">
        <v>141</v>
      </c>
      <c r="AT1" s="1336" t="s">
        <v>26</v>
      </c>
      <c r="AU1" s="1338" t="s">
        <v>38</v>
      </c>
      <c r="AV1" s="1338" t="s">
        <v>39</v>
      </c>
      <c r="AW1" s="1338" t="s">
        <v>40</v>
      </c>
      <c r="AX1" s="1339" t="s">
        <v>41</v>
      </c>
      <c r="AY1" s="1340" t="s">
        <v>131</v>
      </c>
      <c r="AZ1" s="1340" t="s">
        <v>142</v>
      </c>
      <c r="BA1" s="1340" t="s">
        <v>26</v>
      </c>
      <c r="BB1" s="1340" t="s">
        <v>143</v>
      </c>
      <c r="BC1" s="1340" t="s">
        <v>26</v>
      </c>
      <c r="BD1" s="1340" t="s">
        <v>144</v>
      </c>
      <c r="BE1" s="1340" t="s">
        <v>26</v>
      </c>
      <c r="BF1" s="1656" t="s">
        <v>145</v>
      </c>
      <c r="BG1" s="1656" t="s">
        <v>26</v>
      </c>
      <c r="BH1" s="1340" t="s">
        <v>47</v>
      </c>
      <c r="BI1" s="1340" t="s">
        <v>48</v>
      </c>
      <c r="BJ1" s="1341" t="s">
        <v>49</v>
      </c>
      <c r="BK1" s="1341" t="s">
        <v>50</v>
      </c>
      <c r="BL1" s="1342" t="s">
        <v>146</v>
      </c>
      <c r="BM1" s="1334" t="s">
        <v>147</v>
      </c>
      <c r="BN1" s="1343" t="s">
        <v>26</v>
      </c>
      <c r="BO1" s="1334" t="s">
        <v>148</v>
      </c>
      <c r="BP1" s="1343" t="s">
        <v>26</v>
      </c>
      <c r="BQ1" s="1334" t="s">
        <v>149</v>
      </c>
      <c r="BR1" s="1343" t="s">
        <v>26</v>
      </c>
      <c r="BS1" s="1334" t="s">
        <v>150</v>
      </c>
      <c r="BT1" s="1343" t="s">
        <v>26</v>
      </c>
      <c r="BU1" s="1344" t="s">
        <v>56</v>
      </c>
      <c r="BV1" s="1344" t="s">
        <v>57</v>
      </c>
      <c r="BW1" s="1344" t="s">
        <v>58</v>
      </c>
      <c r="BX1" s="1344" t="s">
        <v>59</v>
      </c>
      <c r="BY1" s="1334" t="s">
        <v>151</v>
      </c>
      <c r="BZ1" s="1334" t="s">
        <v>152</v>
      </c>
      <c r="CA1" s="1334" t="s">
        <v>153</v>
      </c>
      <c r="CB1" s="1334" t="s">
        <v>154</v>
      </c>
      <c r="CC1" s="1334" t="s">
        <v>155</v>
      </c>
      <c r="CD1" s="1334" t="s">
        <v>156</v>
      </c>
      <c r="CE1" s="1334" t="s">
        <v>157</v>
      </c>
      <c r="CF1" s="1334" t="s">
        <v>158</v>
      </c>
      <c r="CG1" s="1345" t="s">
        <v>68</v>
      </c>
      <c r="CH1" s="1334" t="s">
        <v>159</v>
      </c>
      <c r="CI1" s="1345" t="s">
        <v>70</v>
      </c>
      <c r="CJ1" s="1345" t="s">
        <v>71</v>
      </c>
      <c r="CK1" s="1345" t="s">
        <v>72</v>
      </c>
      <c r="CL1" s="1345" t="s">
        <v>73</v>
      </c>
      <c r="CM1" s="1334" t="s">
        <v>160</v>
      </c>
      <c r="CN1" s="1334" t="s">
        <v>161</v>
      </c>
      <c r="CO1" s="1334" t="s">
        <v>76</v>
      </c>
      <c r="CP1" s="1334" t="s">
        <v>77</v>
      </c>
      <c r="CQ1" s="1334" t="s">
        <v>78</v>
      </c>
      <c r="CR1" s="1334" t="s">
        <v>79</v>
      </c>
      <c r="CS1" s="1334" t="s">
        <v>80</v>
      </c>
      <c r="CT1" s="1334" t="s">
        <v>81</v>
      </c>
      <c r="CU1" s="1334" t="s">
        <v>82</v>
      </c>
      <c r="CV1" s="1334" t="s">
        <v>83</v>
      </c>
      <c r="CW1" s="1346"/>
      <c r="CX1" s="1346"/>
      <c r="CY1" s="1346"/>
      <c r="CZ1" s="1346"/>
    </row>
    <row r="2" spans="1:104" ht="56.25" customHeight="1" x14ac:dyDescent="0.2">
      <c r="A2" s="1835" t="s">
        <v>1276</v>
      </c>
      <c r="B2" s="1841" t="s">
        <v>1277</v>
      </c>
      <c r="C2" s="475" t="s">
        <v>1278</v>
      </c>
      <c r="D2" s="475" t="s">
        <v>1279</v>
      </c>
      <c r="E2" s="476"/>
      <c r="F2" s="476"/>
      <c r="G2" s="476"/>
      <c r="H2" s="476"/>
      <c r="I2" s="476"/>
      <c r="J2" s="476"/>
      <c r="K2" s="476"/>
      <c r="L2" s="476"/>
      <c r="M2" s="476"/>
      <c r="N2" s="476"/>
      <c r="O2" s="476"/>
      <c r="P2" s="476"/>
      <c r="Q2" s="476"/>
      <c r="R2" s="476"/>
      <c r="S2" s="476"/>
      <c r="T2" s="1844" t="s">
        <v>1280</v>
      </c>
      <c r="U2" s="475" t="s">
        <v>1281</v>
      </c>
      <c r="V2" s="477" t="s">
        <v>1282</v>
      </c>
      <c r="W2" s="897" t="s">
        <v>1283</v>
      </c>
      <c r="X2" s="898">
        <v>1</v>
      </c>
      <c r="Y2" s="899">
        <v>0.1</v>
      </c>
      <c r="Z2" s="899">
        <v>0.9</v>
      </c>
      <c r="AA2" s="899"/>
      <c r="AB2" s="899">
        <f>+Y2</f>
        <v>0.1</v>
      </c>
      <c r="AC2" s="899">
        <v>0.9</v>
      </c>
      <c r="AD2" s="899"/>
      <c r="AE2" s="900">
        <v>0.02</v>
      </c>
      <c r="AF2" s="901">
        <v>2</v>
      </c>
      <c r="AG2" s="899">
        <v>0.02</v>
      </c>
      <c r="AH2" s="899">
        <f>+AG2</f>
        <v>0.02</v>
      </c>
      <c r="AI2" s="899">
        <f>+AH2/Y2</f>
        <v>0.19999999999999998</v>
      </c>
      <c r="AJ2" s="899">
        <f>+AH2</f>
        <v>0.02</v>
      </c>
      <c r="AK2" s="902">
        <f>+AJ2/X2</f>
        <v>0.02</v>
      </c>
      <c r="AL2" s="899">
        <v>0.9</v>
      </c>
      <c r="AM2" s="898">
        <v>0</v>
      </c>
      <c r="AN2" s="898"/>
      <c r="AO2" s="898">
        <v>0</v>
      </c>
      <c r="AP2" s="898"/>
      <c r="AQ2" s="898">
        <v>1</v>
      </c>
      <c r="AR2" s="898"/>
      <c r="AS2" s="898">
        <v>0</v>
      </c>
      <c r="AT2" s="898"/>
      <c r="AU2" s="898">
        <f>+AQ2</f>
        <v>1</v>
      </c>
      <c r="AV2" s="899">
        <v>1</v>
      </c>
      <c r="AW2" s="903">
        <v>1</v>
      </c>
      <c r="AX2" s="904">
        <f t="shared" ref="AX2:AX10" si="0">+AW2/X2</f>
        <v>1</v>
      </c>
      <c r="AY2" s="898"/>
      <c r="AZ2" s="898"/>
      <c r="BA2" s="898"/>
      <c r="BB2" s="898"/>
      <c r="BC2" s="898"/>
      <c r="BD2" s="1375"/>
      <c r="BE2" s="1220"/>
      <c r="BF2" s="898"/>
      <c r="BG2" s="898"/>
      <c r="BH2" s="898"/>
      <c r="BI2" s="898"/>
      <c r="BJ2" s="903">
        <f>+BH2+AW2</f>
        <v>1</v>
      </c>
      <c r="BK2" s="899">
        <v>1</v>
      </c>
      <c r="BL2" s="478"/>
      <c r="BM2" s="478"/>
      <c r="BN2" s="478"/>
      <c r="BO2" s="478"/>
      <c r="BP2" s="478"/>
      <c r="BQ2" s="478"/>
      <c r="BR2" s="478"/>
      <c r="BS2" s="478"/>
      <c r="BT2" s="478"/>
      <c r="BU2" s="478"/>
      <c r="BV2" s="478"/>
      <c r="BW2" s="478"/>
      <c r="BX2" s="478"/>
      <c r="BY2" s="478"/>
      <c r="BZ2" s="478"/>
      <c r="CA2" s="478"/>
      <c r="CB2" s="478"/>
      <c r="CC2" s="478"/>
      <c r="CD2" s="478"/>
      <c r="CE2" s="478"/>
      <c r="CF2" s="478"/>
      <c r="CG2" s="478"/>
      <c r="CH2" s="478"/>
      <c r="CI2" s="478"/>
      <c r="CJ2" s="478"/>
      <c r="CK2" s="478"/>
      <c r="CL2" s="478"/>
      <c r="CM2" s="478"/>
      <c r="CN2" s="478"/>
      <c r="CO2" s="478"/>
      <c r="CP2" s="478"/>
      <c r="CQ2" s="478"/>
      <c r="CR2" s="478"/>
      <c r="CS2" s="478"/>
      <c r="CT2" s="478"/>
      <c r="CU2" s="478"/>
      <c r="CV2" s="478"/>
      <c r="CW2" s="478"/>
      <c r="CX2" s="478"/>
      <c r="CY2" s="478"/>
      <c r="CZ2" s="478"/>
    </row>
    <row r="3" spans="1:104" ht="87.75" customHeight="1" x14ac:dyDescent="0.2">
      <c r="A3" s="1836"/>
      <c r="B3" s="1842"/>
      <c r="C3" s="475"/>
      <c r="D3" s="475"/>
      <c r="E3" s="476"/>
      <c r="F3" s="476"/>
      <c r="G3" s="476"/>
      <c r="H3" s="476"/>
      <c r="I3" s="476"/>
      <c r="J3" s="476"/>
      <c r="K3" s="476"/>
      <c r="L3" s="476"/>
      <c r="M3" s="476"/>
      <c r="N3" s="476"/>
      <c r="O3" s="476"/>
      <c r="P3" s="476"/>
      <c r="Q3" s="476"/>
      <c r="R3" s="476"/>
      <c r="S3" s="476"/>
      <c r="T3" s="1845"/>
      <c r="U3" s="475" t="s">
        <v>1284</v>
      </c>
      <c r="V3" s="477" t="s">
        <v>1285</v>
      </c>
      <c r="W3" s="897" t="s">
        <v>1286</v>
      </c>
      <c r="X3" s="898">
        <v>15000</v>
      </c>
      <c r="Y3" s="898">
        <v>700</v>
      </c>
      <c r="Z3" s="898">
        <v>5150</v>
      </c>
      <c r="AA3" s="898">
        <v>5000</v>
      </c>
      <c r="AB3" s="899">
        <f>+Y3/X3</f>
        <v>4.6666666666666669E-2</v>
      </c>
      <c r="AC3" s="899">
        <f t="shared" ref="AC3:AC10" si="1">+Z3/X3</f>
        <v>0.34333333333333332</v>
      </c>
      <c r="AD3" s="899">
        <f t="shared" ref="AD3:AD9" si="2">AA3/X3</f>
        <v>0.33333333333333331</v>
      </c>
      <c r="AE3" s="901">
        <v>510</v>
      </c>
      <c r="AF3" s="901">
        <v>100</v>
      </c>
      <c r="AG3" s="898">
        <v>700</v>
      </c>
      <c r="AH3" s="898">
        <f>+AG3</f>
        <v>700</v>
      </c>
      <c r="AI3" s="899">
        <f>+AH3/Y3</f>
        <v>1</v>
      </c>
      <c r="AJ3" s="898">
        <f>+AH3</f>
        <v>700</v>
      </c>
      <c r="AK3" s="902">
        <f>+AJ3/X3</f>
        <v>4.6666666666666669E-2</v>
      </c>
      <c r="AL3" s="898">
        <v>5150</v>
      </c>
      <c r="AM3" s="898">
        <v>117</v>
      </c>
      <c r="AN3" s="898"/>
      <c r="AO3" s="898">
        <v>479</v>
      </c>
      <c r="AP3" s="898"/>
      <c r="AQ3" s="898">
        <v>2553</v>
      </c>
      <c r="AR3" s="898"/>
      <c r="AS3" s="898">
        <v>1770</v>
      </c>
      <c r="AT3" s="898"/>
      <c r="AU3" s="898">
        <f>+AM3+AO3+AQ3+AS3</f>
        <v>4919</v>
      </c>
      <c r="AV3" s="899">
        <f>+AU3/AL3</f>
        <v>0.95514563106796113</v>
      </c>
      <c r="AW3" s="903">
        <v>5556</v>
      </c>
      <c r="AX3" s="904">
        <f t="shared" si="0"/>
        <v>0.37040000000000001</v>
      </c>
      <c r="AY3" s="898">
        <f t="shared" ref="AY3:AY9" si="3">AA3</f>
        <v>5000</v>
      </c>
      <c r="AZ3" s="898">
        <v>397</v>
      </c>
      <c r="BA3" s="898"/>
      <c r="BB3" s="898">
        <v>1673</v>
      </c>
      <c r="BC3" s="898"/>
      <c r="BD3" s="898">
        <v>667</v>
      </c>
      <c r="BE3" s="898"/>
      <c r="BF3" s="898">
        <v>3425</v>
      </c>
      <c r="BG3" s="898"/>
      <c r="BH3" s="898">
        <f>AZ3+BB3+BD3+BF3</f>
        <v>6162</v>
      </c>
      <c r="BI3" s="1219">
        <v>1</v>
      </c>
      <c r="BJ3" s="903">
        <f t="shared" ref="BJ3:BJ9" si="4">BH3+AW3</f>
        <v>11718</v>
      </c>
      <c r="BK3" s="951">
        <f t="shared" ref="BK3:BK9" si="5">BJ3/X3</f>
        <v>0.78120000000000001</v>
      </c>
      <c r="BL3" s="478"/>
      <c r="BM3" s="478"/>
      <c r="BN3" s="478"/>
      <c r="BO3" s="478"/>
      <c r="BP3" s="478"/>
      <c r="BQ3" s="478"/>
      <c r="BR3" s="478"/>
      <c r="BS3" s="478"/>
      <c r="BT3" s="478"/>
      <c r="BU3" s="478"/>
      <c r="BV3" s="478"/>
      <c r="BW3" s="478"/>
      <c r="BX3" s="478"/>
      <c r="BY3" s="478"/>
      <c r="BZ3" s="478"/>
      <c r="CA3" s="478"/>
      <c r="CB3" s="478"/>
      <c r="CC3" s="478"/>
      <c r="CD3" s="478"/>
      <c r="CE3" s="478"/>
      <c r="CF3" s="478"/>
      <c r="CG3" s="478"/>
      <c r="CH3" s="478"/>
      <c r="CI3" s="478"/>
      <c r="CJ3" s="478"/>
      <c r="CK3" s="478"/>
      <c r="CL3" s="478"/>
      <c r="CM3" s="478"/>
      <c r="CN3" s="478"/>
      <c r="CO3" s="478"/>
      <c r="CP3" s="478"/>
      <c r="CQ3" s="478"/>
      <c r="CR3" s="478"/>
      <c r="CS3" s="478"/>
      <c r="CT3" s="478"/>
      <c r="CU3" s="478"/>
      <c r="CV3" s="478"/>
      <c r="CW3" s="478"/>
      <c r="CX3" s="479"/>
      <c r="CY3" s="480"/>
      <c r="CZ3" s="479"/>
    </row>
    <row r="4" spans="1:104" ht="44.25" customHeight="1" x14ac:dyDescent="0.2">
      <c r="A4" s="1836"/>
      <c r="B4" s="1842"/>
      <c r="C4" s="475"/>
      <c r="D4" s="475"/>
      <c r="E4" s="476"/>
      <c r="F4" s="476"/>
      <c r="G4" s="476"/>
      <c r="H4" s="476"/>
      <c r="I4" s="476"/>
      <c r="J4" s="476"/>
      <c r="K4" s="476"/>
      <c r="L4" s="476"/>
      <c r="M4" s="476"/>
      <c r="N4" s="476"/>
      <c r="O4" s="476"/>
      <c r="P4" s="476"/>
      <c r="Q4" s="476"/>
      <c r="R4" s="476"/>
      <c r="S4" s="476"/>
      <c r="T4" s="1845"/>
      <c r="U4" s="475" t="s">
        <v>1287</v>
      </c>
      <c r="V4" s="477" t="s">
        <v>1288</v>
      </c>
      <c r="W4" s="897" t="s">
        <v>1289</v>
      </c>
      <c r="X4" s="898">
        <v>5000</v>
      </c>
      <c r="Y4" s="898">
        <v>100</v>
      </c>
      <c r="Z4" s="898">
        <v>1700</v>
      </c>
      <c r="AA4" s="898">
        <v>250</v>
      </c>
      <c r="AB4" s="899">
        <f>+Y4/X4</f>
        <v>0.02</v>
      </c>
      <c r="AC4" s="899">
        <f t="shared" si="1"/>
        <v>0.34</v>
      </c>
      <c r="AD4" s="899">
        <f t="shared" si="2"/>
        <v>0.05</v>
      </c>
      <c r="AE4" s="901">
        <v>0</v>
      </c>
      <c r="AF4" s="901">
        <v>45</v>
      </c>
      <c r="AG4" s="898">
        <v>100</v>
      </c>
      <c r="AH4" s="898">
        <f>+AG4</f>
        <v>100</v>
      </c>
      <c r="AI4" s="899">
        <f>+AH4/Y4</f>
        <v>1</v>
      </c>
      <c r="AJ4" s="898">
        <f>+AH4</f>
        <v>100</v>
      </c>
      <c r="AK4" s="902">
        <f>+AJ4/X4</f>
        <v>0.02</v>
      </c>
      <c r="AL4" s="898">
        <v>1700</v>
      </c>
      <c r="AM4" s="898">
        <v>0</v>
      </c>
      <c r="AN4" s="898"/>
      <c r="AO4" s="898">
        <v>65</v>
      </c>
      <c r="AP4" s="898"/>
      <c r="AQ4" s="898">
        <v>325</v>
      </c>
      <c r="AR4" s="898"/>
      <c r="AS4" s="898">
        <v>80</v>
      </c>
      <c r="AT4" s="898"/>
      <c r="AU4" s="898">
        <f>+AM4+AO4+AQ4+AS4</f>
        <v>470</v>
      </c>
      <c r="AV4" s="899">
        <f>+AU4/AL4</f>
        <v>0.27647058823529413</v>
      </c>
      <c r="AW4" s="903">
        <f t="shared" ref="AW4:AW10" si="6">+AU4+AJ4</f>
        <v>570</v>
      </c>
      <c r="AX4" s="904">
        <f t="shared" si="0"/>
        <v>0.114</v>
      </c>
      <c r="AY4" s="898">
        <f t="shared" si="3"/>
        <v>250</v>
      </c>
      <c r="AZ4" s="898">
        <v>0</v>
      </c>
      <c r="BA4" s="898"/>
      <c r="BB4" s="898">
        <v>27</v>
      </c>
      <c r="BC4" s="898"/>
      <c r="BD4" s="898">
        <v>0</v>
      </c>
      <c r="BE4" s="898"/>
      <c r="BF4" s="898">
        <v>0</v>
      </c>
      <c r="BG4" s="898"/>
      <c r="BH4" s="898">
        <v>27</v>
      </c>
      <c r="BI4" s="899">
        <f>+BH4/AY4</f>
        <v>0.108</v>
      </c>
      <c r="BJ4" s="903">
        <f>BH4+AW4</f>
        <v>597</v>
      </c>
      <c r="BK4" s="951">
        <f t="shared" si="5"/>
        <v>0.11940000000000001</v>
      </c>
      <c r="BL4" s="478"/>
      <c r="BM4" s="478"/>
      <c r="BN4" s="478"/>
      <c r="BO4" s="478"/>
      <c r="BP4" s="478"/>
      <c r="BQ4" s="478"/>
      <c r="BR4" s="478"/>
      <c r="BS4" s="478"/>
      <c r="BT4" s="478"/>
      <c r="BU4" s="478"/>
      <c r="BV4" s="478"/>
      <c r="BW4" s="478"/>
      <c r="BX4" s="478"/>
      <c r="BY4" s="478"/>
      <c r="BZ4" s="478"/>
      <c r="CA4" s="478"/>
      <c r="CB4" s="478"/>
      <c r="CC4" s="478"/>
      <c r="CD4" s="478"/>
      <c r="CE4" s="478"/>
      <c r="CF4" s="478"/>
      <c r="CG4" s="478"/>
      <c r="CH4" s="478"/>
      <c r="CI4" s="478"/>
      <c r="CJ4" s="478"/>
      <c r="CK4" s="478"/>
      <c r="CL4" s="478"/>
      <c r="CM4" s="478"/>
      <c r="CN4" s="478"/>
      <c r="CO4" s="478"/>
      <c r="CP4" s="478"/>
      <c r="CQ4" s="478"/>
      <c r="CR4" s="478"/>
      <c r="CS4" s="478"/>
      <c r="CT4" s="478"/>
      <c r="CU4" s="478"/>
      <c r="CV4" s="478"/>
      <c r="CW4" s="478"/>
      <c r="CX4" s="478"/>
      <c r="CY4" s="478"/>
      <c r="CZ4" s="478"/>
    </row>
    <row r="5" spans="1:104" ht="33" customHeight="1" x14ac:dyDescent="0.2">
      <c r="A5" s="1836"/>
      <c r="B5" s="1842"/>
      <c r="C5" s="475"/>
      <c r="D5" s="475"/>
      <c r="E5" s="476"/>
      <c r="F5" s="476"/>
      <c r="G5" s="476"/>
      <c r="H5" s="476"/>
      <c r="I5" s="476"/>
      <c r="J5" s="476"/>
      <c r="K5" s="476"/>
      <c r="L5" s="476"/>
      <c r="M5" s="476"/>
      <c r="N5" s="476"/>
      <c r="O5" s="476"/>
      <c r="P5" s="476"/>
      <c r="Q5" s="476"/>
      <c r="R5" s="476"/>
      <c r="S5" s="476"/>
      <c r="T5" s="1845"/>
      <c r="U5" s="475" t="s">
        <v>1290</v>
      </c>
      <c r="V5" s="477" t="s">
        <v>1288</v>
      </c>
      <c r="W5" s="897" t="s">
        <v>1291</v>
      </c>
      <c r="X5" s="898">
        <v>2500</v>
      </c>
      <c r="Y5" s="898">
        <v>50</v>
      </c>
      <c r="Z5" s="898">
        <v>850</v>
      </c>
      <c r="AA5" s="898">
        <v>800</v>
      </c>
      <c r="AB5" s="899">
        <f>+Y5/X5</f>
        <v>0.02</v>
      </c>
      <c r="AC5" s="899">
        <f t="shared" si="1"/>
        <v>0.34</v>
      </c>
      <c r="AD5" s="899">
        <f t="shared" si="2"/>
        <v>0.32</v>
      </c>
      <c r="AE5" s="901">
        <v>26</v>
      </c>
      <c r="AF5" s="901">
        <v>26</v>
      </c>
      <c r="AG5" s="898">
        <v>48</v>
      </c>
      <c r="AH5" s="898">
        <f>+AG5</f>
        <v>48</v>
      </c>
      <c r="AI5" s="899">
        <f>+AH5/Y5</f>
        <v>0.96</v>
      </c>
      <c r="AJ5" s="898">
        <f>+AH5</f>
        <v>48</v>
      </c>
      <c r="AK5" s="902">
        <f>+AJ5/X5</f>
        <v>1.9199999999999998E-2</v>
      </c>
      <c r="AL5" s="898">
        <v>850</v>
      </c>
      <c r="AM5" s="898">
        <v>0</v>
      </c>
      <c r="AN5" s="898"/>
      <c r="AO5" s="898">
        <v>325</v>
      </c>
      <c r="AP5" s="898"/>
      <c r="AQ5" s="898">
        <v>495</v>
      </c>
      <c r="AR5" s="898"/>
      <c r="AS5" s="898">
        <v>80</v>
      </c>
      <c r="AT5" s="898"/>
      <c r="AU5" s="898">
        <f>+AM5+AO5+AQ5+AS5</f>
        <v>900</v>
      </c>
      <c r="AV5" s="899">
        <v>1</v>
      </c>
      <c r="AW5" s="903">
        <f t="shared" si="6"/>
        <v>948</v>
      </c>
      <c r="AX5" s="907">
        <f t="shared" si="0"/>
        <v>0.37919999999999998</v>
      </c>
      <c r="AY5" s="898">
        <f t="shared" si="3"/>
        <v>800</v>
      </c>
      <c r="AZ5" s="898">
        <v>0</v>
      </c>
      <c r="BA5" s="898"/>
      <c r="BB5" s="898">
        <v>203</v>
      </c>
      <c r="BC5" s="898"/>
      <c r="BD5" s="898">
        <v>0</v>
      </c>
      <c r="BE5" s="898"/>
      <c r="BF5" s="898">
        <v>25</v>
      </c>
      <c r="BG5" s="898"/>
      <c r="BH5" s="898">
        <f>+BB5+BF5</f>
        <v>228</v>
      </c>
      <c r="BI5" s="899">
        <f>+BH5/AY5</f>
        <v>0.28499999999999998</v>
      </c>
      <c r="BJ5" s="903">
        <f>BH5+AW5</f>
        <v>1176</v>
      </c>
      <c r="BK5" s="951">
        <f t="shared" si="5"/>
        <v>0.47039999999999998</v>
      </c>
      <c r="BL5" s="478"/>
      <c r="BM5" s="478"/>
      <c r="BN5" s="478"/>
      <c r="BO5" s="478"/>
      <c r="BP5" s="478"/>
      <c r="BQ5" s="478"/>
      <c r="BR5" s="478"/>
      <c r="BS5" s="478"/>
      <c r="BT5" s="478"/>
      <c r="BU5" s="478"/>
      <c r="BV5" s="478"/>
      <c r="BW5" s="478"/>
      <c r="BX5" s="478"/>
      <c r="BY5" s="478"/>
      <c r="BZ5" s="478"/>
      <c r="CA5" s="478"/>
      <c r="CB5" s="478"/>
      <c r="CC5" s="478"/>
      <c r="CD5" s="478"/>
      <c r="CE5" s="478"/>
      <c r="CF5" s="478"/>
      <c r="CG5" s="478"/>
      <c r="CH5" s="478"/>
      <c r="CI5" s="478"/>
      <c r="CJ5" s="478"/>
      <c r="CK5" s="478"/>
      <c r="CL5" s="478"/>
      <c r="CM5" s="478"/>
      <c r="CN5" s="478"/>
      <c r="CO5" s="478"/>
      <c r="CP5" s="478"/>
      <c r="CQ5" s="478"/>
      <c r="CR5" s="478"/>
      <c r="CS5" s="478"/>
      <c r="CT5" s="478"/>
      <c r="CU5" s="478"/>
      <c r="CV5" s="478"/>
      <c r="CW5" s="478"/>
      <c r="CX5" s="478"/>
      <c r="CY5" s="478"/>
      <c r="CZ5" s="478"/>
    </row>
    <row r="6" spans="1:104" ht="76.5" customHeight="1" x14ac:dyDescent="0.2">
      <c r="A6" s="1836"/>
      <c r="B6" s="1842"/>
      <c r="C6" s="475"/>
      <c r="D6" s="475"/>
      <c r="E6" s="476"/>
      <c r="F6" s="476"/>
      <c r="G6" s="476"/>
      <c r="H6" s="476"/>
      <c r="I6" s="476"/>
      <c r="J6" s="476"/>
      <c r="K6" s="476"/>
      <c r="L6" s="476"/>
      <c r="M6" s="476"/>
      <c r="N6" s="476"/>
      <c r="O6" s="476"/>
      <c r="P6" s="476"/>
      <c r="Q6" s="476"/>
      <c r="R6" s="476"/>
      <c r="S6" s="476"/>
      <c r="T6" s="1845"/>
      <c r="U6" s="475" t="s">
        <v>1292</v>
      </c>
      <c r="V6" s="477" t="s">
        <v>1293</v>
      </c>
      <c r="W6" s="897" t="s">
        <v>1294</v>
      </c>
      <c r="X6" s="898">
        <v>4</v>
      </c>
      <c r="Y6" s="898" t="s">
        <v>177</v>
      </c>
      <c r="Z6" s="898">
        <v>1</v>
      </c>
      <c r="AA6" s="898">
        <v>1</v>
      </c>
      <c r="AB6" s="899"/>
      <c r="AC6" s="899">
        <f t="shared" si="1"/>
        <v>0.25</v>
      </c>
      <c r="AD6" s="899">
        <f t="shared" si="2"/>
        <v>0.25</v>
      </c>
      <c r="AE6" s="898"/>
      <c r="AF6" s="898"/>
      <c r="AG6" s="898"/>
      <c r="AH6" s="898"/>
      <c r="AI6" s="898"/>
      <c r="AJ6" s="898"/>
      <c r="AK6" s="898"/>
      <c r="AL6" s="898">
        <v>1</v>
      </c>
      <c r="AM6" s="898">
        <v>0</v>
      </c>
      <c r="AN6" s="898"/>
      <c r="AO6" s="898">
        <v>1</v>
      </c>
      <c r="AP6" s="898"/>
      <c r="AQ6" s="898">
        <v>1</v>
      </c>
      <c r="AR6" s="898"/>
      <c r="AS6" s="898">
        <v>0</v>
      </c>
      <c r="AT6" s="898"/>
      <c r="AU6" s="898">
        <f>+AO6+AQ6</f>
        <v>2</v>
      </c>
      <c r="AV6" s="899">
        <v>1</v>
      </c>
      <c r="AW6" s="903">
        <f t="shared" si="6"/>
        <v>2</v>
      </c>
      <c r="AX6" s="904">
        <f t="shared" si="0"/>
        <v>0.5</v>
      </c>
      <c r="AY6" s="898">
        <f t="shared" si="3"/>
        <v>1</v>
      </c>
      <c r="AZ6" s="898">
        <v>0</v>
      </c>
      <c r="BA6" s="898"/>
      <c r="BB6" s="898">
        <v>0</v>
      </c>
      <c r="BC6" s="898"/>
      <c r="BD6" s="898">
        <v>0</v>
      </c>
      <c r="BE6" s="898"/>
      <c r="BF6" s="898">
        <v>1</v>
      </c>
      <c r="BG6" s="898"/>
      <c r="BH6" s="898">
        <f>+BF6</f>
        <v>1</v>
      </c>
      <c r="BI6" s="899">
        <v>1</v>
      </c>
      <c r="BJ6" s="903">
        <f t="shared" si="4"/>
        <v>3</v>
      </c>
      <c r="BK6" s="951">
        <f t="shared" si="5"/>
        <v>0.75</v>
      </c>
      <c r="BL6" s="478"/>
      <c r="BM6" s="478"/>
      <c r="BN6" s="478"/>
      <c r="BO6" s="478"/>
      <c r="BP6" s="478"/>
      <c r="BQ6" s="478"/>
      <c r="BR6" s="478"/>
      <c r="BS6" s="478"/>
      <c r="BT6" s="478"/>
      <c r="BU6" s="478"/>
      <c r="BV6" s="478"/>
      <c r="BW6" s="478"/>
      <c r="BX6" s="478"/>
      <c r="BY6" s="478"/>
      <c r="BZ6" s="478"/>
      <c r="CA6" s="478"/>
      <c r="CB6" s="478"/>
      <c r="CC6" s="478"/>
      <c r="CD6" s="478"/>
      <c r="CE6" s="478"/>
      <c r="CF6" s="478"/>
      <c r="CG6" s="478"/>
      <c r="CH6" s="478"/>
      <c r="CI6" s="478"/>
      <c r="CJ6" s="478"/>
      <c r="CK6" s="478"/>
      <c r="CL6" s="478"/>
      <c r="CM6" s="478"/>
      <c r="CN6" s="478"/>
      <c r="CO6" s="478"/>
      <c r="CP6" s="478"/>
      <c r="CQ6" s="478"/>
      <c r="CR6" s="478"/>
      <c r="CS6" s="478"/>
      <c r="CT6" s="478"/>
      <c r="CU6" s="478"/>
      <c r="CV6" s="478"/>
      <c r="CW6" s="478"/>
      <c r="CX6" s="478"/>
      <c r="CY6" s="478"/>
      <c r="CZ6" s="478"/>
    </row>
    <row r="7" spans="1:104" ht="111.75" customHeight="1" x14ac:dyDescent="0.2">
      <c r="A7" s="1836"/>
      <c r="B7" s="1842"/>
      <c r="C7" s="475"/>
      <c r="D7" s="475"/>
      <c r="E7" s="476"/>
      <c r="F7" s="476"/>
      <c r="G7" s="476"/>
      <c r="H7" s="476"/>
      <c r="I7" s="476"/>
      <c r="J7" s="476"/>
      <c r="K7" s="476"/>
      <c r="L7" s="476"/>
      <c r="M7" s="476"/>
      <c r="N7" s="476"/>
      <c r="O7" s="476"/>
      <c r="P7" s="476"/>
      <c r="Q7" s="476"/>
      <c r="R7" s="476"/>
      <c r="S7" s="476"/>
      <c r="T7" s="1845"/>
      <c r="U7" s="475" t="s">
        <v>1295</v>
      </c>
      <c r="V7" s="477" t="s">
        <v>1296</v>
      </c>
      <c r="W7" s="897" t="s">
        <v>1297</v>
      </c>
      <c r="X7" s="898">
        <v>800</v>
      </c>
      <c r="Y7" s="898" t="s">
        <v>177</v>
      </c>
      <c r="Z7" s="898">
        <v>300</v>
      </c>
      <c r="AA7" s="898">
        <v>300</v>
      </c>
      <c r="AB7" s="899"/>
      <c r="AC7" s="899">
        <f t="shared" si="1"/>
        <v>0.375</v>
      </c>
      <c r="AD7" s="899">
        <f t="shared" si="2"/>
        <v>0.375</v>
      </c>
      <c r="AE7" s="898"/>
      <c r="AF7" s="898"/>
      <c r="AG7" s="898"/>
      <c r="AH7" s="898"/>
      <c r="AI7" s="898"/>
      <c r="AJ7" s="898"/>
      <c r="AK7" s="898"/>
      <c r="AL7" s="898">
        <v>300</v>
      </c>
      <c r="AM7" s="898">
        <v>0</v>
      </c>
      <c r="AN7" s="898"/>
      <c r="AO7" s="898">
        <v>20</v>
      </c>
      <c r="AP7" s="898"/>
      <c r="AQ7" s="898">
        <v>88</v>
      </c>
      <c r="AR7" s="898"/>
      <c r="AS7" s="898">
        <v>35</v>
      </c>
      <c r="AT7" s="898"/>
      <c r="AU7" s="898">
        <f>+AO7+AM7+AQ7+AS7</f>
        <v>143</v>
      </c>
      <c r="AV7" s="899">
        <f>+AU7/AL7</f>
        <v>0.47666666666666668</v>
      </c>
      <c r="AW7" s="903">
        <f t="shared" si="6"/>
        <v>143</v>
      </c>
      <c r="AX7" s="904">
        <f t="shared" si="0"/>
        <v>0.17874999999999999</v>
      </c>
      <c r="AY7" s="898">
        <f t="shared" si="3"/>
        <v>300</v>
      </c>
      <c r="AZ7" s="898">
        <v>0</v>
      </c>
      <c r="BA7" s="898"/>
      <c r="BB7" s="898">
        <v>203</v>
      </c>
      <c r="BC7" s="898"/>
      <c r="BD7" s="898">
        <v>8</v>
      </c>
      <c r="BE7" s="898"/>
      <c r="BF7" s="898">
        <v>39</v>
      </c>
      <c r="BG7" s="898"/>
      <c r="BH7" s="898">
        <f>+BB7+AZ7+BD7+BF7</f>
        <v>250</v>
      </c>
      <c r="BI7" s="899">
        <f>+BH7/AY7</f>
        <v>0.83333333333333337</v>
      </c>
      <c r="BJ7" s="903">
        <f t="shared" si="4"/>
        <v>393</v>
      </c>
      <c r="BK7" s="899">
        <f t="shared" si="5"/>
        <v>0.49125000000000002</v>
      </c>
      <c r="BL7" s="478"/>
      <c r="BM7" s="478"/>
      <c r="BN7" s="478"/>
      <c r="BO7" s="478"/>
      <c r="BP7" s="478"/>
      <c r="BQ7" s="478"/>
      <c r="BR7" s="478"/>
      <c r="BS7" s="478"/>
      <c r="BT7" s="478"/>
      <c r="BU7" s="478"/>
      <c r="BV7" s="478"/>
      <c r="BW7" s="478"/>
      <c r="BX7" s="478"/>
      <c r="BY7" s="478"/>
      <c r="BZ7" s="478"/>
      <c r="CA7" s="478"/>
      <c r="CB7" s="478"/>
      <c r="CC7" s="478"/>
      <c r="CD7" s="478"/>
      <c r="CE7" s="478"/>
      <c r="CF7" s="478"/>
      <c r="CG7" s="478"/>
      <c r="CH7" s="478"/>
      <c r="CI7" s="478"/>
      <c r="CJ7" s="478"/>
      <c r="CK7" s="478"/>
      <c r="CL7" s="478"/>
      <c r="CM7" s="478"/>
      <c r="CN7" s="478"/>
      <c r="CO7" s="478"/>
      <c r="CP7" s="478"/>
      <c r="CQ7" s="478"/>
      <c r="CR7" s="478"/>
      <c r="CS7" s="478"/>
      <c r="CT7" s="478"/>
      <c r="CU7" s="478"/>
      <c r="CV7" s="478"/>
      <c r="CW7" s="478"/>
      <c r="CX7" s="478"/>
      <c r="CY7" s="478"/>
      <c r="CZ7" s="478"/>
    </row>
    <row r="8" spans="1:104" ht="102.75" customHeight="1" x14ac:dyDescent="0.2">
      <c r="A8" s="1836"/>
      <c r="B8" s="1842"/>
      <c r="C8" s="475"/>
      <c r="D8" s="475"/>
      <c r="E8" s="476"/>
      <c r="F8" s="476"/>
      <c r="G8" s="476"/>
      <c r="H8" s="476"/>
      <c r="I8" s="476"/>
      <c r="J8" s="476"/>
      <c r="K8" s="476"/>
      <c r="L8" s="476"/>
      <c r="M8" s="476"/>
      <c r="N8" s="476"/>
      <c r="O8" s="476"/>
      <c r="P8" s="476"/>
      <c r="Q8" s="476"/>
      <c r="R8" s="476"/>
      <c r="S8" s="476"/>
      <c r="T8" s="1845"/>
      <c r="U8" s="475" t="s">
        <v>1298</v>
      </c>
      <c r="V8" s="477" t="s">
        <v>201</v>
      </c>
      <c r="W8" s="897" t="s">
        <v>1299</v>
      </c>
      <c r="X8" s="898">
        <v>100</v>
      </c>
      <c r="Y8" s="898" t="s">
        <v>177</v>
      </c>
      <c r="Z8" s="898">
        <v>25</v>
      </c>
      <c r="AA8" s="898">
        <v>20</v>
      </c>
      <c r="AB8" s="899"/>
      <c r="AC8" s="899">
        <f t="shared" si="1"/>
        <v>0.25</v>
      </c>
      <c r="AD8" s="899">
        <f t="shared" si="2"/>
        <v>0.2</v>
      </c>
      <c r="AE8" s="898"/>
      <c r="AF8" s="898"/>
      <c r="AG8" s="898"/>
      <c r="AH8" s="898"/>
      <c r="AI8" s="898"/>
      <c r="AJ8" s="898"/>
      <c r="AK8" s="898"/>
      <c r="AL8" s="898">
        <v>25</v>
      </c>
      <c r="AM8" s="898">
        <v>0</v>
      </c>
      <c r="AN8" s="898"/>
      <c r="AO8" s="898">
        <v>0</v>
      </c>
      <c r="AP8" s="898"/>
      <c r="AQ8" s="898">
        <v>0</v>
      </c>
      <c r="AR8" s="898"/>
      <c r="AS8" s="898">
        <v>0</v>
      </c>
      <c r="AT8" s="898"/>
      <c r="AU8" s="898">
        <f>+AO8+AM8</f>
        <v>0</v>
      </c>
      <c r="AV8" s="899">
        <f>+AU8/AL8</f>
        <v>0</v>
      </c>
      <c r="AW8" s="903">
        <f t="shared" si="6"/>
        <v>0</v>
      </c>
      <c r="AX8" s="904">
        <f t="shared" si="0"/>
        <v>0</v>
      </c>
      <c r="AY8" s="898">
        <f t="shared" si="3"/>
        <v>20</v>
      </c>
      <c r="AZ8" s="898">
        <v>0</v>
      </c>
      <c r="BA8" s="898"/>
      <c r="BB8" s="898">
        <v>0</v>
      </c>
      <c r="BC8" s="898"/>
      <c r="BD8" s="898">
        <v>0</v>
      </c>
      <c r="BE8" s="898"/>
      <c r="BF8" s="898">
        <v>0</v>
      </c>
      <c r="BG8" s="898"/>
      <c r="BH8" s="898">
        <v>0</v>
      </c>
      <c r="BI8" s="899">
        <v>0</v>
      </c>
      <c r="BJ8" s="903">
        <f t="shared" si="4"/>
        <v>0</v>
      </c>
      <c r="BK8" s="951">
        <f t="shared" si="5"/>
        <v>0</v>
      </c>
      <c r="BL8" s="478"/>
      <c r="BM8" s="478"/>
      <c r="BN8" s="478"/>
      <c r="BO8" s="478"/>
      <c r="BP8" s="478"/>
      <c r="BQ8" s="478"/>
      <c r="BR8" s="478"/>
      <c r="BS8" s="478"/>
      <c r="BT8" s="478"/>
      <c r="BU8" s="478"/>
      <c r="BV8" s="478"/>
      <c r="BW8" s="478"/>
      <c r="BX8" s="478"/>
      <c r="BY8" s="478"/>
      <c r="BZ8" s="478"/>
      <c r="CA8" s="478"/>
      <c r="CB8" s="478"/>
      <c r="CC8" s="478"/>
      <c r="CD8" s="478"/>
      <c r="CE8" s="478"/>
      <c r="CF8" s="478"/>
      <c r="CG8" s="478"/>
      <c r="CH8" s="478"/>
      <c r="CI8" s="478"/>
      <c r="CJ8" s="478"/>
      <c r="CK8" s="478"/>
      <c r="CL8" s="478"/>
      <c r="CM8" s="478"/>
      <c r="CN8" s="478"/>
      <c r="CO8" s="478"/>
      <c r="CP8" s="478"/>
      <c r="CQ8" s="478"/>
      <c r="CR8" s="478"/>
      <c r="CS8" s="478"/>
      <c r="CT8" s="478"/>
      <c r="CU8" s="478"/>
      <c r="CV8" s="478"/>
      <c r="CW8" s="478"/>
      <c r="CX8" s="478"/>
      <c r="CY8" s="478"/>
      <c r="CZ8" s="478"/>
    </row>
    <row r="9" spans="1:104" ht="93.75" customHeight="1" x14ac:dyDescent="0.2">
      <c r="A9" s="1836"/>
      <c r="B9" s="1842"/>
      <c r="C9" s="475"/>
      <c r="D9" s="475"/>
      <c r="E9" s="476"/>
      <c r="F9" s="476"/>
      <c r="G9" s="476"/>
      <c r="H9" s="476"/>
      <c r="I9" s="476"/>
      <c r="J9" s="476"/>
      <c r="K9" s="476"/>
      <c r="L9" s="476"/>
      <c r="M9" s="476"/>
      <c r="N9" s="476"/>
      <c r="O9" s="476"/>
      <c r="P9" s="476"/>
      <c r="Q9" s="476"/>
      <c r="R9" s="476"/>
      <c r="S9" s="476"/>
      <c r="T9" s="1845"/>
      <c r="U9" s="475" t="s">
        <v>1300</v>
      </c>
      <c r="V9" s="477" t="s">
        <v>1301</v>
      </c>
      <c r="W9" s="897" t="s">
        <v>1302</v>
      </c>
      <c r="X9" s="898">
        <v>1</v>
      </c>
      <c r="Y9" s="898" t="s">
        <v>177</v>
      </c>
      <c r="Z9" s="898">
        <v>1</v>
      </c>
      <c r="AA9" s="898">
        <v>1</v>
      </c>
      <c r="AB9" s="899"/>
      <c r="AC9" s="899">
        <f t="shared" si="1"/>
        <v>1</v>
      </c>
      <c r="AD9" s="899">
        <f t="shared" si="2"/>
        <v>1</v>
      </c>
      <c r="AE9" s="898"/>
      <c r="AF9" s="898"/>
      <c r="AG9" s="898"/>
      <c r="AH9" s="898"/>
      <c r="AI9" s="898"/>
      <c r="AJ9" s="898"/>
      <c r="AK9" s="898"/>
      <c r="AL9" s="898">
        <v>1</v>
      </c>
      <c r="AM9" s="898">
        <v>0</v>
      </c>
      <c r="AN9" s="898"/>
      <c r="AO9" s="898">
        <v>0</v>
      </c>
      <c r="AP9" s="898"/>
      <c r="AQ9" s="898">
        <v>0</v>
      </c>
      <c r="AR9" s="898"/>
      <c r="AS9" s="898">
        <v>0</v>
      </c>
      <c r="AT9" s="898"/>
      <c r="AU9" s="898">
        <f>+AO9+AM9</f>
        <v>0</v>
      </c>
      <c r="AV9" s="899">
        <f>+AU9/AL9</f>
        <v>0</v>
      </c>
      <c r="AW9" s="903">
        <f t="shared" si="6"/>
        <v>0</v>
      </c>
      <c r="AX9" s="904">
        <f t="shared" si="0"/>
        <v>0</v>
      </c>
      <c r="AY9" s="898">
        <f t="shared" si="3"/>
        <v>1</v>
      </c>
      <c r="AZ9" s="898">
        <v>0</v>
      </c>
      <c r="BA9" s="898"/>
      <c r="BB9" s="898">
        <v>0</v>
      </c>
      <c r="BC9" s="898"/>
      <c r="BD9" s="898">
        <v>0</v>
      </c>
      <c r="BE9" s="898"/>
      <c r="BF9" s="898">
        <v>1</v>
      </c>
      <c r="BG9" s="898"/>
      <c r="BH9" s="898">
        <f>+BF9</f>
        <v>1</v>
      </c>
      <c r="BI9" s="899">
        <v>1</v>
      </c>
      <c r="BJ9" s="903">
        <f t="shared" si="4"/>
        <v>1</v>
      </c>
      <c r="BK9" s="951">
        <f t="shared" si="5"/>
        <v>1</v>
      </c>
      <c r="BL9" s="478"/>
      <c r="BM9" s="478"/>
      <c r="BN9" s="478"/>
      <c r="BO9" s="478"/>
      <c r="BP9" s="478"/>
      <c r="BQ9" s="478"/>
      <c r="BR9" s="478"/>
      <c r="BS9" s="478"/>
      <c r="BT9" s="478"/>
      <c r="BU9" s="478"/>
      <c r="BV9" s="478"/>
      <c r="BW9" s="478"/>
      <c r="BX9" s="478"/>
      <c r="BY9" s="478"/>
      <c r="BZ9" s="478"/>
      <c r="CA9" s="478"/>
      <c r="CB9" s="478"/>
      <c r="CC9" s="478"/>
      <c r="CD9" s="478"/>
      <c r="CE9" s="478"/>
      <c r="CF9" s="478"/>
      <c r="CG9" s="478"/>
      <c r="CH9" s="478"/>
      <c r="CI9" s="478"/>
      <c r="CJ9" s="478"/>
      <c r="CK9" s="478"/>
      <c r="CL9" s="478"/>
      <c r="CM9" s="478"/>
      <c r="CN9" s="478"/>
      <c r="CO9" s="478"/>
      <c r="CP9" s="478"/>
      <c r="CQ9" s="478"/>
      <c r="CR9" s="478"/>
      <c r="CS9" s="478"/>
      <c r="CT9" s="478"/>
      <c r="CU9" s="478"/>
      <c r="CV9" s="478"/>
      <c r="CW9" s="478"/>
      <c r="CX9" s="478"/>
      <c r="CY9" s="478"/>
      <c r="CZ9" s="478"/>
    </row>
    <row r="10" spans="1:104" ht="69" customHeight="1" x14ac:dyDescent="0.2">
      <c r="A10" s="1836"/>
      <c r="B10" s="1842"/>
      <c r="C10" s="475"/>
      <c r="D10" s="475"/>
      <c r="E10" s="476"/>
      <c r="F10" s="476"/>
      <c r="G10" s="476"/>
      <c r="H10" s="476"/>
      <c r="I10" s="476"/>
      <c r="J10" s="476"/>
      <c r="K10" s="476"/>
      <c r="L10" s="476"/>
      <c r="M10" s="476"/>
      <c r="N10" s="476"/>
      <c r="O10" s="476"/>
      <c r="P10" s="476"/>
      <c r="Q10" s="476"/>
      <c r="R10" s="476"/>
      <c r="S10" s="476"/>
      <c r="T10" s="1845"/>
      <c r="U10" s="475" t="s">
        <v>1303</v>
      </c>
      <c r="V10" s="477" t="s">
        <v>201</v>
      </c>
      <c r="W10" s="897" t="s">
        <v>1304</v>
      </c>
      <c r="X10" s="898">
        <v>1500</v>
      </c>
      <c r="Y10" s="898">
        <v>4</v>
      </c>
      <c r="Z10" s="898">
        <v>300</v>
      </c>
      <c r="AA10" s="898">
        <v>0</v>
      </c>
      <c r="AB10" s="902">
        <f>+Y10/X10</f>
        <v>2.6666666666666666E-3</v>
      </c>
      <c r="AC10" s="902">
        <f t="shared" si="1"/>
        <v>0.2</v>
      </c>
      <c r="AD10" s="902">
        <v>0</v>
      </c>
      <c r="AE10" s="908">
        <v>50</v>
      </c>
      <c r="AF10" s="908">
        <v>50</v>
      </c>
      <c r="AG10" s="909">
        <v>50</v>
      </c>
      <c r="AH10" s="898">
        <v>50</v>
      </c>
      <c r="AI10" s="899">
        <v>1</v>
      </c>
      <c r="AJ10" s="898">
        <f>+AH10</f>
        <v>50</v>
      </c>
      <c r="AK10" s="902">
        <f>+AJ10/X10</f>
        <v>3.3333333333333333E-2</v>
      </c>
      <c r="AL10" s="898">
        <v>483</v>
      </c>
      <c r="AM10" s="898">
        <v>0</v>
      </c>
      <c r="AN10" s="898"/>
      <c r="AO10" s="898">
        <v>35</v>
      </c>
      <c r="AP10" s="898"/>
      <c r="AQ10" s="898">
        <v>30</v>
      </c>
      <c r="AR10" s="898"/>
      <c r="AS10" s="898">
        <v>33</v>
      </c>
      <c r="AT10" s="898"/>
      <c r="AU10" s="898">
        <f>+AO10+AM10+AQ10+AS10</f>
        <v>98</v>
      </c>
      <c r="AV10" s="899">
        <f>+AU10/AL10</f>
        <v>0.20289855072463769</v>
      </c>
      <c r="AW10" s="903">
        <f t="shared" si="6"/>
        <v>148</v>
      </c>
      <c r="AX10" s="904">
        <f t="shared" si="0"/>
        <v>9.8666666666666666E-2</v>
      </c>
      <c r="AY10" s="898"/>
      <c r="AZ10" s="898"/>
      <c r="BA10" s="898"/>
      <c r="BB10" s="898"/>
      <c r="BC10" s="898"/>
      <c r="BD10" s="898"/>
      <c r="BE10" s="898"/>
      <c r="BF10" s="898"/>
      <c r="BG10" s="1220" t="s">
        <v>2292</v>
      </c>
      <c r="BH10" s="898"/>
      <c r="BI10" s="898"/>
      <c r="BJ10" s="898"/>
      <c r="BK10" s="902">
        <f>AX10</f>
        <v>9.8666666666666666E-2</v>
      </c>
      <c r="BL10" s="478"/>
      <c r="BM10" s="478"/>
      <c r="BN10" s="478"/>
      <c r="BO10" s="478"/>
      <c r="BP10" s="478"/>
      <c r="BQ10" s="478"/>
      <c r="BR10" s="478"/>
      <c r="BS10" s="478"/>
      <c r="BT10" s="478"/>
      <c r="BU10" s="478"/>
      <c r="BV10" s="478"/>
      <c r="BW10" s="478"/>
      <c r="BX10" s="478"/>
      <c r="BY10" s="478"/>
      <c r="BZ10" s="478"/>
      <c r="CA10" s="478"/>
      <c r="CB10" s="478"/>
      <c r="CC10" s="478"/>
      <c r="CD10" s="478"/>
      <c r="CE10" s="478"/>
      <c r="CF10" s="478"/>
      <c r="CG10" s="478"/>
      <c r="CH10" s="478"/>
      <c r="CI10" s="478"/>
      <c r="CJ10" s="478"/>
      <c r="CK10" s="478"/>
      <c r="CL10" s="478"/>
      <c r="CM10" s="478"/>
      <c r="CN10" s="478"/>
      <c r="CO10" s="478"/>
      <c r="CP10" s="478"/>
      <c r="CQ10" s="478"/>
      <c r="CR10" s="478"/>
      <c r="CS10" s="478"/>
      <c r="CT10" s="478"/>
      <c r="CU10" s="478"/>
      <c r="CV10" s="478"/>
      <c r="CW10" s="478"/>
      <c r="CX10" s="478"/>
      <c r="CY10" s="478"/>
      <c r="CZ10" s="478"/>
    </row>
    <row r="11" spans="1:104" ht="18" customHeight="1" x14ac:dyDescent="0.2">
      <c r="A11" s="1836"/>
      <c r="B11" s="1842"/>
      <c r="C11" s="475"/>
      <c r="D11" s="475"/>
      <c r="E11" s="476"/>
      <c r="F11" s="476"/>
      <c r="G11" s="476"/>
      <c r="H11" s="476"/>
      <c r="I11" s="476"/>
      <c r="J11" s="476"/>
      <c r="K11" s="476"/>
      <c r="L11" s="476"/>
      <c r="M11" s="476"/>
      <c r="N11" s="476"/>
      <c r="O11" s="476"/>
      <c r="P11" s="476"/>
      <c r="Q11" s="476"/>
      <c r="R11" s="476"/>
      <c r="S11" s="476"/>
      <c r="T11" s="1846"/>
      <c r="U11" s="481"/>
      <c r="V11" s="481"/>
      <c r="W11" s="910"/>
      <c r="X11" s="911"/>
      <c r="Y11" s="911"/>
      <c r="Z11" s="911"/>
      <c r="AA11" s="911"/>
      <c r="AB11" s="912">
        <f>AVERAGE(AB2:AB10)</f>
        <v>3.7866666666666667E-2</v>
      </c>
      <c r="AC11" s="912">
        <f>AVERAGE(AC2:AC10)</f>
        <v>0.44425925925925935</v>
      </c>
      <c r="AD11" s="912">
        <f>AVERAGE(AD2:AD10)</f>
        <v>0.31604166666666667</v>
      </c>
      <c r="AE11" s="911"/>
      <c r="AF11" s="911"/>
      <c r="AG11" s="911"/>
      <c r="AH11" s="911"/>
      <c r="AI11" s="912">
        <f>AVERAGE(AI2:AI10)</f>
        <v>0.83200000000000007</v>
      </c>
      <c r="AJ11" s="911"/>
      <c r="AK11" s="913">
        <f>AVERAGE(AK2:AK10)</f>
        <v>2.7839999999999997E-2</v>
      </c>
      <c r="AL11" s="911"/>
      <c r="AM11" s="914"/>
      <c r="AN11" s="914"/>
      <c r="AO11" s="914"/>
      <c r="AP11" s="914"/>
      <c r="AQ11" s="914"/>
      <c r="AR11" s="914"/>
      <c r="AS11" s="914"/>
      <c r="AT11" s="914"/>
      <c r="AU11" s="914"/>
      <c r="AV11" s="915">
        <f>AVERAGE(AV2:AV10)</f>
        <v>0.54568682629939547</v>
      </c>
      <c r="AW11" s="1010"/>
      <c r="AX11" s="1012">
        <f>AVERAGE(AX2:AX10)</f>
        <v>0.29344629629629626</v>
      </c>
      <c r="AY11" s="1005"/>
      <c r="AZ11" s="1005"/>
      <c r="BA11" s="1005"/>
      <c r="BB11" s="1005"/>
      <c r="BC11" s="1005"/>
      <c r="BD11" s="1005"/>
      <c r="BE11" s="1005"/>
      <c r="BF11" s="1005"/>
      <c r="BG11" s="1005"/>
      <c r="BH11" s="1005"/>
      <c r="BI11" s="1012">
        <f>AVERAGE(BI2:BI10)</f>
        <v>0.60376190476190472</v>
      </c>
      <c r="BJ11" s="1005"/>
      <c r="BK11" s="1416">
        <f>AVERAGE(BK2:BK10)</f>
        <v>0.52343518518518506</v>
      </c>
      <c r="BL11" s="478"/>
      <c r="BM11" s="478"/>
      <c r="BN11" s="478"/>
      <c r="BO11" s="478"/>
      <c r="BP11" s="478"/>
      <c r="BQ11" s="478"/>
      <c r="BR11" s="478"/>
      <c r="BS11" s="478"/>
      <c r="BT11" s="478"/>
      <c r="BU11" s="478"/>
      <c r="BV11" s="478"/>
      <c r="BW11" s="478"/>
      <c r="BX11" s="478"/>
      <c r="BY11" s="478"/>
      <c r="BZ11" s="478"/>
      <c r="CA11" s="478"/>
      <c r="CB11" s="478"/>
      <c r="CC11" s="478"/>
      <c r="CD11" s="478"/>
      <c r="CE11" s="478"/>
      <c r="CF11" s="478"/>
      <c r="CG11" s="478"/>
      <c r="CH11" s="478"/>
      <c r="CI11" s="478"/>
      <c r="CJ11" s="478"/>
      <c r="CK11" s="478"/>
      <c r="CL11" s="478"/>
      <c r="CM11" s="478"/>
      <c r="CN11" s="478"/>
      <c r="CO11" s="478"/>
      <c r="CP11" s="478"/>
      <c r="CQ11" s="478"/>
      <c r="CR11" s="478"/>
      <c r="CS11" s="478"/>
      <c r="CT11" s="478"/>
      <c r="CU11" s="478"/>
      <c r="CV11" s="478"/>
      <c r="CW11" s="478"/>
      <c r="CX11" s="478"/>
      <c r="CY11" s="478"/>
      <c r="CZ11" s="478"/>
    </row>
    <row r="12" spans="1:104" ht="76.5" customHeight="1" x14ac:dyDescent="0.2">
      <c r="A12" s="1836"/>
      <c r="B12" s="1842"/>
      <c r="C12" s="475"/>
      <c r="D12" s="475"/>
      <c r="E12" s="476"/>
      <c r="F12" s="476"/>
      <c r="G12" s="476"/>
      <c r="H12" s="476"/>
      <c r="I12" s="476"/>
      <c r="J12" s="476"/>
      <c r="K12" s="476"/>
      <c r="L12" s="476"/>
      <c r="M12" s="476"/>
      <c r="N12" s="476"/>
      <c r="O12" s="476"/>
      <c r="P12" s="476"/>
      <c r="Q12" s="476"/>
      <c r="R12" s="476"/>
      <c r="S12" s="476"/>
      <c r="T12" s="1847" t="s">
        <v>1305</v>
      </c>
      <c r="U12" s="482" t="s">
        <v>1306</v>
      </c>
      <c r="V12" s="483" t="s">
        <v>1307</v>
      </c>
      <c r="W12" s="917" t="s">
        <v>1308</v>
      </c>
      <c r="X12" s="898">
        <v>1010</v>
      </c>
      <c r="Y12" s="898">
        <v>150</v>
      </c>
      <c r="Z12" s="898">
        <v>300</v>
      </c>
      <c r="AA12" s="898">
        <v>300</v>
      </c>
      <c r="AB12" s="899">
        <f>+Y12/X12</f>
        <v>0.14851485148514851</v>
      </c>
      <c r="AC12" s="899">
        <f>+Z12/X12</f>
        <v>0.29702970297029702</v>
      </c>
      <c r="AD12" s="899">
        <f>AA12/X12</f>
        <v>0.29702970297029702</v>
      </c>
      <c r="AE12" s="901">
        <v>0</v>
      </c>
      <c r="AF12" s="901">
        <v>30</v>
      </c>
      <c r="AG12" s="898">
        <v>127</v>
      </c>
      <c r="AH12" s="898">
        <f>+AG12</f>
        <v>127</v>
      </c>
      <c r="AI12" s="899">
        <f>+AH12/Y12</f>
        <v>0.84666666666666668</v>
      </c>
      <c r="AJ12" s="898">
        <f>+AH12</f>
        <v>127</v>
      </c>
      <c r="AK12" s="902">
        <f>+AJ12/X12</f>
        <v>0.12574257425742574</v>
      </c>
      <c r="AL12" s="898">
        <v>300</v>
      </c>
      <c r="AM12" s="898">
        <v>45</v>
      </c>
      <c r="AN12" s="898"/>
      <c r="AO12" s="898">
        <v>167</v>
      </c>
      <c r="AP12" s="898"/>
      <c r="AQ12" s="898"/>
      <c r="AR12" s="898"/>
      <c r="AS12" s="898">
        <v>42</v>
      </c>
      <c r="AT12" s="898"/>
      <c r="AU12" s="898">
        <f>+AM12+AO12+AS12</f>
        <v>254</v>
      </c>
      <c r="AV12" s="899">
        <f>+AU12/AL12</f>
        <v>0.84666666666666668</v>
      </c>
      <c r="AW12" s="898">
        <f>+AU12+AJ12</f>
        <v>381</v>
      </c>
      <c r="AX12" s="904">
        <f>+AW12/X12</f>
        <v>0.37722772277227723</v>
      </c>
      <c r="AY12" s="898">
        <f>AA12</f>
        <v>300</v>
      </c>
      <c r="AZ12" s="898">
        <v>30</v>
      </c>
      <c r="BA12" s="898"/>
      <c r="BB12" s="898">
        <v>135</v>
      </c>
      <c r="BC12" s="898"/>
      <c r="BD12" s="898">
        <v>55</v>
      </c>
      <c r="BE12" s="898"/>
      <c r="BF12" s="898">
        <v>47</v>
      </c>
      <c r="BG12" s="898"/>
      <c r="BH12" s="898">
        <f>AZ12+BB12+BD12+BF12</f>
        <v>267</v>
      </c>
      <c r="BI12" s="951">
        <f>BH12/AY12</f>
        <v>0.89</v>
      </c>
      <c r="BJ12" s="898">
        <f>BH12+AW12</f>
        <v>648</v>
      </c>
      <c r="BK12" s="902">
        <f>BJ12/X12</f>
        <v>0.6415841584158416</v>
      </c>
      <c r="BL12" s="478"/>
      <c r="BM12" s="478"/>
      <c r="BN12" s="478"/>
      <c r="BO12" s="478"/>
      <c r="BP12" s="478"/>
      <c r="BQ12" s="478"/>
      <c r="BR12" s="478"/>
      <c r="BS12" s="478"/>
      <c r="BT12" s="478"/>
      <c r="BU12" s="478"/>
      <c r="BV12" s="478"/>
      <c r="BW12" s="478"/>
      <c r="BX12" s="478"/>
      <c r="BY12" s="478"/>
      <c r="BZ12" s="478"/>
      <c r="CA12" s="478"/>
      <c r="CB12" s="478"/>
      <c r="CC12" s="478"/>
      <c r="CD12" s="478"/>
      <c r="CE12" s="478"/>
      <c r="CF12" s="478"/>
      <c r="CG12" s="478"/>
      <c r="CH12" s="478"/>
      <c r="CI12" s="478"/>
      <c r="CJ12" s="478"/>
      <c r="CK12" s="478"/>
      <c r="CL12" s="478"/>
      <c r="CM12" s="478"/>
      <c r="CN12" s="478"/>
      <c r="CO12" s="478"/>
      <c r="CP12" s="478"/>
      <c r="CQ12" s="478"/>
      <c r="CR12" s="478"/>
      <c r="CS12" s="478"/>
      <c r="CT12" s="478"/>
      <c r="CU12" s="478"/>
      <c r="CV12" s="478"/>
      <c r="CW12" s="478"/>
      <c r="CX12" s="478"/>
      <c r="CY12" s="478"/>
      <c r="CZ12" s="478"/>
    </row>
    <row r="13" spans="1:104" ht="60.75" customHeight="1" x14ac:dyDescent="0.2">
      <c r="A13" s="1836"/>
      <c r="B13" s="1842"/>
      <c r="C13" s="475"/>
      <c r="D13" s="475"/>
      <c r="E13" s="476"/>
      <c r="F13" s="476"/>
      <c r="G13" s="476"/>
      <c r="H13" s="476"/>
      <c r="I13" s="476"/>
      <c r="J13" s="476"/>
      <c r="K13" s="476"/>
      <c r="L13" s="476"/>
      <c r="M13" s="476"/>
      <c r="N13" s="476"/>
      <c r="O13" s="476"/>
      <c r="P13" s="476"/>
      <c r="Q13" s="476"/>
      <c r="R13" s="476"/>
      <c r="S13" s="476"/>
      <c r="T13" s="1848"/>
      <c r="U13" s="482" t="s">
        <v>1309</v>
      </c>
      <c r="V13" s="483" t="s">
        <v>1310</v>
      </c>
      <c r="W13" s="917" t="s">
        <v>1311</v>
      </c>
      <c r="X13" s="898">
        <v>600</v>
      </c>
      <c r="Y13" s="898">
        <v>25</v>
      </c>
      <c r="Z13" s="898">
        <v>190</v>
      </c>
      <c r="AA13" s="898">
        <v>200</v>
      </c>
      <c r="AB13" s="899">
        <f>+Y13/X13</f>
        <v>4.1666666666666664E-2</v>
      </c>
      <c r="AC13" s="899">
        <f>+Z13/X13</f>
        <v>0.31666666666666665</v>
      </c>
      <c r="AD13" s="899">
        <f>AA13/X13</f>
        <v>0.33333333333333331</v>
      </c>
      <c r="AE13" s="901">
        <v>25</v>
      </c>
      <c r="AF13" s="901">
        <v>25</v>
      </c>
      <c r="AG13" s="898">
        <v>25</v>
      </c>
      <c r="AH13" s="898">
        <f>+AG13</f>
        <v>25</v>
      </c>
      <c r="AI13" s="899">
        <v>1</v>
      </c>
      <c r="AJ13" s="898">
        <f>+AH13</f>
        <v>25</v>
      </c>
      <c r="AK13" s="902">
        <f>+AJ13/X13</f>
        <v>4.1666666666666664E-2</v>
      </c>
      <c r="AL13" s="898">
        <v>190</v>
      </c>
      <c r="AM13" s="898">
        <v>32</v>
      </c>
      <c r="AN13" s="898"/>
      <c r="AO13" s="898">
        <v>131</v>
      </c>
      <c r="AP13" s="898"/>
      <c r="AQ13" s="898"/>
      <c r="AR13" s="898"/>
      <c r="AS13" s="898">
        <v>0</v>
      </c>
      <c r="AT13" s="898"/>
      <c r="AU13" s="898">
        <f>+AM13+AO13</f>
        <v>163</v>
      </c>
      <c r="AV13" s="899">
        <f>+AU13/AL13</f>
        <v>0.85789473684210527</v>
      </c>
      <c r="AW13" s="898">
        <f>+AU13+AJ13</f>
        <v>188</v>
      </c>
      <c r="AX13" s="904">
        <f>+AW13/X13</f>
        <v>0.31333333333333335</v>
      </c>
      <c r="AY13" s="898">
        <f>AA13</f>
        <v>200</v>
      </c>
      <c r="AZ13" s="898">
        <v>0</v>
      </c>
      <c r="BA13" s="898"/>
      <c r="BB13" s="898">
        <v>45</v>
      </c>
      <c r="BC13" s="898"/>
      <c r="BD13" s="898">
        <v>96</v>
      </c>
      <c r="BE13" s="898"/>
      <c r="BF13" s="898">
        <v>0</v>
      </c>
      <c r="BG13" s="898"/>
      <c r="BH13" s="898">
        <f>AZ13+BB13+BD13+BF13</f>
        <v>141</v>
      </c>
      <c r="BI13" s="951">
        <f>BH13/AY13</f>
        <v>0.70499999999999996</v>
      </c>
      <c r="BJ13" s="898">
        <f>BH13+AW13</f>
        <v>329</v>
      </c>
      <c r="BK13" s="902">
        <f>BJ13/X13</f>
        <v>0.54833333333333334</v>
      </c>
      <c r="BL13" s="478"/>
      <c r="BM13" s="478"/>
      <c r="BN13" s="478"/>
      <c r="BO13" s="478"/>
      <c r="BP13" s="478"/>
      <c r="BQ13" s="478"/>
      <c r="BR13" s="478"/>
      <c r="BS13" s="478"/>
      <c r="BT13" s="478"/>
      <c r="BU13" s="478"/>
      <c r="BV13" s="478"/>
      <c r="BW13" s="478"/>
      <c r="BX13" s="478"/>
      <c r="BY13" s="478"/>
      <c r="BZ13" s="478"/>
      <c r="CA13" s="478"/>
      <c r="CB13" s="478"/>
      <c r="CC13" s="478"/>
      <c r="CD13" s="478"/>
      <c r="CE13" s="478"/>
      <c r="CF13" s="478"/>
      <c r="CG13" s="478"/>
      <c r="CH13" s="478"/>
      <c r="CI13" s="478"/>
      <c r="CJ13" s="478"/>
      <c r="CK13" s="478"/>
      <c r="CL13" s="478"/>
      <c r="CM13" s="478"/>
      <c r="CN13" s="478"/>
      <c r="CO13" s="478"/>
      <c r="CP13" s="478"/>
      <c r="CQ13" s="478"/>
      <c r="CR13" s="478"/>
      <c r="CS13" s="478"/>
      <c r="CT13" s="478"/>
      <c r="CU13" s="478"/>
      <c r="CV13" s="478"/>
      <c r="CW13" s="478"/>
      <c r="CX13" s="478"/>
      <c r="CY13" s="478"/>
      <c r="CZ13" s="478"/>
    </row>
    <row r="14" spans="1:104" ht="75" customHeight="1" x14ac:dyDescent="0.2">
      <c r="A14" s="1836"/>
      <c r="B14" s="1842"/>
      <c r="C14" s="475"/>
      <c r="D14" s="475"/>
      <c r="E14" s="476"/>
      <c r="F14" s="476"/>
      <c r="G14" s="476"/>
      <c r="H14" s="476"/>
      <c r="I14" s="476"/>
      <c r="J14" s="476"/>
      <c r="K14" s="476"/>
      <c r="L14" s="476"/>
      <c r="M14" s="476"/>
      <c r="N14" s="476"/>
      <c r="O14" s="476"/>
      <c r="P14" s="476"/>
      <c r="Q14" s="476"/>
      <c r="R14" s="476"/>
      <c r="S14" s="476"/>
      <c r="T14" s="1848"/>
      <c r="U14" s="482" t="s">
        <v>1312</v>
      </c>
      <c r="V14" s="483" t="s">
        <v>1313</v>
      </c>
      <c r="W14" s="917" t="s">
        <v>1314</v>
      </c>
      <c r="X14" s="898">
        <v>100</v>
      </c>
      <c r="Y14" s="898">
        <v>5</v>
      </c>
      <c r="Z14" s="898">
        <v>30</v>
      </c>
      <c r="AA14" s="898">
        <v>30</v>
      </c>
      <c r="AB14" s="899">
        <f>+Y14/X14</f>
        <v>0.05</v>
      </c>
      <c r="AC14" s="899">
        <f>+Z14/X14</f>
        <v>0.3</v>
      </c>
      <c r="AD14" s="899">
        <f>AA14/X14</f>
        <v>0.3</v>
      </c>
      <c r="AE14" s="901">
        <v>5</v>
      </c>
      <c r="AF14" s="901">
        <v>5</v>
      </c>
      <c r="AG14" s="898">
        <v>5</v>
      </c>
      <c r="AH14" s="898">
        <f>+AG14</f>
        <v>5</v>
      </c>
      <c r="AI14" s="899">
        <v>1</v>
      </c>
      <c r="AJ14" s="898">
        <v>2</v>
      </c>
      <c r="AK14" s="902">
        <f>+AJ14/X14</f>
        <v>0.02</v>
      </c>
      <c r="AL14" s="898">
        <v>30</v>
      </c>
      <c r="AM14" s="898">
        <v>0</v>
      </c>
      <c r="AN14" s="898"/>
      <c r="AO14" s="898">
        <v>30</v>
      </c>
      <c r="AP14" s="898"/>
      <c r="AQ14" s="898"/>
      <c r="AR14" s="898"/>
      <c r="AS14" s="898">
        <v>25</v>
      </c>
      <c r="AT14" s="898"/>
      <c r="AU14" s="898">
        <f>+AO14+AS14</f>
        <v>55</v>
      </c>
      <c r="AV14" s="899">
        <f>+AU14/AL14</f>
        <v>1.8333333333333333</v>
      </c>
      <c r="AW14" s="898">
        <f>+AU14+AJ14+3</f>
        <v>60</v>
      </c>
      <c r="AX14" s="904">
        <f>+AW14/X14</f>
        <v>0.6</v>
      </c>
      <c r="AY14" s="898">
        <f>AA14</f>
        <v>30</v>
      </c>
      <c r="AZ14" s="898">
        <v>0</v>
      </c>
      <c r="BA14" s="898"/>
      <c r="BB14" s="898">
        <v>0</v>
      </c>
      <c r="BC14" s="898"/>
      <c r="BD14" s="898">
        <v>0</v>
      </c>
      <c r="BE14" s="302" t="s">
        <v>2222</v>
      </c>
      <c r="BF14" s="898">
        <v>7</v>
      </c>
      <c r="BG14" s="898"/>
      <c r="BH14" s="898">
        <f>AZ14+BB14+BD14+BF14</f>
        <v>7</v>
      </c>
      <c r="BI14" s="951">
        <f>BH14/AY14</f>
        <v>0.23333333333333334</v>
      </c>
      <c r="BJ14" s="898">
        <f>+BH14+AW14</f>
        <v>67</v>
      </c>
      <c r="BK14" s="951">
        <f>BJ14/X14</f>
        <v>0.67</v>
      </c>
      <c r="BL14" s="478"/>
      <c r="BM14" s="478"/>
      <c r="BN14" s="478"/>
      <c r="BO14" s="478"/>
      <c r="BP14" s="478"/>
      <c r="BQ14" s="478"/>
      <c r="BR14" s="478"/>
      <c r="BS14" s="478"/>
      <c r="BT14" s="478"/>
      <c r="BU14" s="478"/>
      <c r="BV14" s="478"/>
      <c r="BW14" s="478"/>
      <c r="BX14" s="478"/>
      <c r="BY14" s="478"/>
      <c r="BZ14" s="478"/>
      <c r="CA14" s="478"/>
      <c r="CB14" s="478"/>
      <c r="CC14" s="478"/>
      <c r="CD14" s="478"/>
      <c r="CE14" s="478"/>
      <c r="CF14" s="478"/>
      <c r="CG14" s="478"/>
      <c r="CH14" s="478"/>
      <c r="CI14" s="478"/>
      <c r="CJ14" s="478"/>
      <c r="CK14" s="478"/>
      <c r="CL14" s="478"/>
      <c r="CM14" s="478"/>
      <c r="CN14" s="478"/>
      <c r="CO14" s="478"/>
      <c r="CP14" s="478"/>
      <c r="CQ14" s="478"/>
      <c r="CR14" s="478"/>
      <c r="CS14" s="478"/>
      <c r="CT14" s="478"/>
      <c r="CU14" s="478"/>
      <c r="CV14" s="478"/>
      <c r="CW14" s="478"/>
      <c r="CX14" s="478"/>
      <c r="CY14" s="478"/>
      <c r="CZ14" s="478"/>
    </row>
    <row r="15" spans="1:104" ht="42" customHeight="1" x14ac:dyDescent="0.2">
      <c r="A15" s="1836"/>
      <c r="B15" s="1842"/>
      <c r="C15" s="475"/>
      <c r="D15" s="475"/>
      <c r="E15" s="476"/>
      <c r="F15" s="476"/>
      <c r="G15" s="476"/>
      <c r="H15" s="476"/>
      <c r="I15" s="476"/>
      <c r="J15" s="476"/>
      <c r="K15" s="476"/>
      <c r="L15" s="476"/>
      <c r="M15" s="476"/>
      <c r="N15" s="476"/>
      <c r="O15" s="476"/>
      <c r="P15" s="476"/>
      <c r="Q15" s="476"/>
      <c r="R15" s="476"/>
      <c r="S15" s="476"/>
      <c r="T15" s="1849"/>
      <c r="U15" s="484"/>
      <c r="V15" s="484"/>
      <c r="W15" s="918"/>
      <c r="X15" s="911"/>
      <c r="Y15" s="911"/>
      <c r="Z15" s="911"/>
      <c r="AA15" s="911"/>
      <c r="AB15" s="912">
        <f>AVERAGE(AB12:AB14)</f>
        <v>8.0060506050605051E-2</v>
      </c>
      <c r="AC15" s="912">
        <f>AVERAGE(AC12:AC14)</f>
        <v>0.30456545654565459</v>
      </c>
      <c r="AD15" s="912">
        <f>AVERAGE(AD12:AD14)</f>
        <v>0.31012101210121013</v>
      </c>
      <c r="AE15" s="911"/>
      <c r="AF15" s="911"/>
      <c r="AG15" s="911"/>
      <c r="AH15" s="911"/>
      <c r="AI15" s="912">
        <f>AVERAGE(AI12:AI14)</f>
        <v>0.94888888888888889</v>
      </c>
      <c r="AJ15" s="911"/>
      <c r="AK15" s="913">
        <f>AVERAGE(AK12:AK14)</f>
        <v>6.2469746974697461E-2</v>
      </c>
      <c r="AL15" s="911"/>
      <c r="AM15" s="914"/>
      <c r="AN15" s="914"/>
      <c r="AO15" s="914"/>
      <c r="AP15" s="914"/>
      <c r="AQ15" s="914"/>
      <c r="AR15" s="914"/>
      <c r="AS15" s="914"/>
      <c r="AT15" s="914"/>
      <c r="AU15" s="914"/>
      <c r="AV15" s="915">
        <f>AVERAGE(AV12:AV14)</f>
        <v>1.1792982456140351</v>
      </c>
      <c r="AW15" s="1010"/>
      <c r="AX15" s="1012">
        <f>AVERAGE(AX12:AX14)</f>
        <v>0.43018701870187021</v>
      </c>
      <c r="AY15" s="1005"/>
      <c r="AZ15" s="1005"/>
      <c r="BA15" s="1005"/>
      <c r="BB15" s="1005"/>
      <c r="BC15" s="1005"/>
      <c r="BD15" s="1005"/>
      <c r="BE15" s="1005"/>
      <c r="BF15" s="1005"/>
      <c r="BG15" s="1005"/>
      <c r="BH15" s="1005"/>
      <c r="BI15" s="1012">
        <f>AVERAGE(BI12:BI14)</f>
        <v>0.60944444444444446</v>
      </c>
      <c r="BJ15" s="1005"/>
      <c r="BK15" s="916">
        <f>AVERAGE(BK12:BK14)</f>
        <v>0.61997249724972503</v>
      </c>
      <c r="BL15" s="478"/>
      <c r="BM15" s="478"/>
      <c r="BN15" s="478"/>
      <c r="BO15" s="478"/>
      <c r="BP15" s="478"/>
      <c r="BQ15" s="478"/>
      <c r="BR15" s="478"/>
      <c r="BS15" s="478"/>
      <c r="BT15" s="478"/>
      <c r="BU15" s="478"/>
      <c r="BV15" s="478"/>
      <c r="BW15" s="478"/>
      <c r="BX15" s="478"/>
      <c r="BY15" s="478"/>
      <c r="BZ15" s="478"/>
      <c r="CA15" s="478"/>
      <c r="CB15" s="478"/>
      <c r="CC15" s="478"/>
      <c r="CD15" s="478"/>
      <c r="CE15" s="478"/>
      <c r="CF15" s="478"/>
      <c r="CG15" s="478"/>
      <c r="CH15" s="478"/>
      <c r="CI15" s="478"/>
      <c r="CJ15" s="478"/>
      <c r="CK15" s="478"/>
      <c r="CL15" s="478"/>
      <c r="CM15" s="478"/>
      <c r="CN15" s="478"/>
      <c r="CO15" s="478"/>
      <c r="CP15" s="478"/>
      <c r="CQ15" s="478"/>
      <c r="CR15" s="478"/>
      <c r="CS15" s="478"/>
      <c r="CT15" s="478"/>
      <c r="CU15" s="478"/>
      <c r="CV15" s="478"/>
      <c r="CW15" s="478"/>
      <c r="CX15" s="478"/>
      <c r="CY15" s="478"/>
      <c r="CZ15" s="478"/>
    </row>
    <row r="16" spans="1:104" ht="30.75" customHeight="1" x14ac:dyDescent="0.2">
      <c r="A16" s="1836"/>
      <c r="B16" s="1842"/>
      <c r="C16" s="475"/>
      <c r="D16" s="475"/>
      <c r="E16" s="476"/>
      <c r="F16" s="476"/>
      <c r="G16" s="476"/>
      <c r="H16" s="476"/>
      <c r="I16" s="476"/>
      <c r="J16" s="476"/>
      <c r="K16" s="476"/>
      <c r="L16" s="476"/>
      <c r="M16" s="476"/>
      <c r="N16" s="476"/>
      <c r="O16" s="476"/>
      <c r="P16" s="476"/>
      <c r="Q16" s="476"/>
      <c r="R16" s="476"/>
      <c r="S16" s="476"/>
      <c r="T16" s="1847" t="s">
        <v>1315</v>
      </c>
      <c r="U16" s="482" t="s">
        <v>1316</v>
      </c>
      <c r="V16" s="485" t="s">
        <v>1317</v>
      </c>
      <c r="W16" s="919" t="s">
        <v>1318</v>
      </c>
      <c r="X16" s="898">
        <v>800</v>
      </c>
      <c r="Y16" s="898">
        <v>20</v>
      </c>
      <c r="Z16" s="898">
        <v>250</v>
      </c>
      <c r="AA16" s="898">
        <v>305</v>
      </c>
      <c r="AB16" s="899">
        <f>+Y16/X16</f>
        <v>2.5000000000000001E-2</v>
      </c>
      <c r="AC16" s="899">
        <f>+Z16/X16</f>
        <v>0.3125</v>
      </c>
      <c r="AD16" s="899">
        <f>AA16/X16</f>
        <v>0.38124999999999998</v>
      </c>
      <c r="AE16" s="898">
        <v>10</v>
      </c>
      <c r="AF16" s="898">
        <v>10</v>
      </c>
      <c r="AG16" s="898">
        <v>20</v>
      </c>
      <c r="AH16" s="898">
        <f>+AG16</f>
        <v>20</v>
      </c>
      <c r="AI16" s="899">
        <f>+AH16/Y16</f>
        <v>1</v>
      </c>
      <c r="AJ16" s="898">
        <f>+AH16</f>
        <v>20</v>
      </c>
      <c r="AK16" s="902">
        <f>+AJ16/X16</f>
        <v>2.5000000000000001E-2</v>
      </c>
      <c r="AL16" s="898">
        <v>250</v>
      </c>
      <c r="AM16" s="898">
        <v>0</v>
      </c>
      <c r="AN16" s="898"/>
      <c r="AO16" s="898">
        <v>0</v>
      </c>
      <c r="AP16" s="898"/>
      <c r="AQ16" s="898"/>
      <c r="AR16" s="898"/>
      <c r="AS16" s="898">
        <v>15</v>
      </c>
      <c r="AT16" s="898"/>
      <c r="AU16" s="898">
        <f>+AS16</f>
        <v>15</v>
      </c>
      <c r="AV16" s="899">
        <f>+AU16/AL16</f>
        <v>0.06</v>
      </c>
      <c r="AW16" s="898">
        <v>35</v>
      </c>
      <c r="AX16" s="904">
        <f>+AW16/X16</f>
        <v>4.3749999999999997E-2</v>
      </c>
      <c r="AY16" s="898">
        <v>365</v>
      </c>
      <c r="AZ16" s="898">
        <v>0</v>
      </c>
      <c r="BA16" s="898"/>
      <c r="BB16" s="898">
        <v>31</v>
      </c>
      <c r="BC16" s="1220" t="s">
        <v>2186</v>
      </c>
      <c r="BD16" s="898">
        <v>0</v>
      </c>
      <c r="BE16" s="898"/>
      <c r="BF16" s="898">
        <v>0</v>
      </c>
      <c r="BG16" s="898"/>
      <c r="BH16" s="1221">
        <f>+BB16</f>
        <v>31</v>
      </c>
      <c r="BI16" s="951">
        <f>+BH16/AY16</f>
        <v>8.4931506849315067E-2</v>
      </c>
      <c r="BJ16" s="1222">
        <f>+BH16</f>
        <v>31</v>
      </c>
      <c r="BK16" s="902">
        <f>+BJ16/800</f>
        <v>3.875E-2</v>
      </c>
      <c r="BL16" s="478"/>
      <c r="BM16" s="478"/>
      <c r="BN16" s="478"/>
      <c r="BO16" s="478"/>
      <c r="BP16" s="478"/>
      <c r="BQ16" s="478"/>
      <c r="BR16" s="478"/>
      <c r="BS16" s="478"/>
      <c r="BT16" s="478"/>
      <c r="BU16" s="478"/>
      <c r="BV16" s="478"/>
      <c r="BW16" s="478"/>
      <c r="BX16" s="478"/>
      <c r="BY16" s="478"/>
      <c r="BZ16" s="478"/>
      <c r="CA16" s="478"/>
      <c r="CB16" s="478"/>
      <c r="CC16" s="478"/>
      <c r="CD16" s="478"/>
      <c r="CE16" s="478"/>
      <c r="CF16" s="478"/>
      <c r="CG16" s="478"/>
      <c r="CH16" s="478"/>
      <c r="CI16" s="478"/>
      <c r="CJ16" s="478"/>
      <c r="CK16" s="478"/>
      <c r="CL16" s="478"/>
      <c r="CM16" s="478"/>
      <c r="CN16" s="478"/>
      <c r="CO16" s="478"/>
      <c r="CP16" s="478"/>
      <c r="CQ16" s="478"/>
      <c r="CR16" s="478"/>
      <c r="CS16" s="478"/>
      <c r="CT16" s="478"/>
      <c r="CU16" s="478"/>
      <c r="CV16" s="478"/>
      <c r="CW16" s="478"/>
      <c r="CX16" s="478"/>
      <c r="CY16" s="478"/>
      <c r="CZ16" s="478"/>
    </row>
    <row r="17" spans="1:104" ht="90.75" customHeight="1" x14ac:dyDescent="0.2">
      <c r="A17" s="1836"/>
      <c r="B17" s="1842"/>
      <c r="C17" s="475"/>
      <c r="D17" s="475"/>
      <c r="E17" s="476"/>
      <c r="F17" s="476"/>
      <c r="G17" s="476"/>
      <c r="H17" s="476"/>
      <c r="I17" s="476"/>
      <c r="J17" s="476"/>
      <c r="K17" s="476"/>
      <c r="L17" s="476"/>
      <c r="M17" s="476"/>
      <c r="N17" s="476"/>
      <c r="O17" s="476"/>
      <c r="P17" s="476"/>
      <c r="Q17" s="476"/>
      <c r="R17" s="476"/>
      <c r="S17" s="476"/>
      <c r="T17" s="1848"/>
      <c r="U17" s="482" t="s">
        <v>1319</v>
      </c>
      <c r="V17" s="483" t="s">
        <v>1320</v>
      </c>
      <c r="W17" s="919" t="s">
        <v>1321</v>
      </c>
      <c r="X17" s="898">
        <v>500</v>
      </c>
      <c r="Y17" s="898">
        <v>30</v>
      </c>
      <c r="Z17" s="898">
        <v>150</v>
      </c>
      <c r="AA17" s="898">
        <v>200</v>
      </c>
      <c r="AB17" s="899">
        <f>+Y17/X17</f>
        <v>0.06</v>
      </c>
      <c r="AC17" s="899">
        <f>+Z17/X17</f>
        <v>0.3</v>
      </c>
      <c r="AD17" s="899">
        <f>AA17/X17</f>
        <v>0.4</v>
      </c>
      <c r="AE17" s="898">
        <v>0</v>
      </c>
      <c r="AF17" s="898">
        <v>0</v>
      </c>
      <c r="AG17" s="898">
        <v>10</v>
      </c>
      <c r="AH17" s="898">
        <f>+AG17</f>
        <v>10</v>
      </c>
      <c r="AI17" s="899">
        <f>+AH17/Y17</f>
        <v>0.33333333333333331</v>
      </c>
      <c r="AJ17" s="898">
        <v>0</v>
      </c>
      <c r="AK17" s="902">
        <f>+AJ17/X17</f>
        <v>0</v>
      </c>
      <c r="AL17" s="898">
        <v>150</v>
      </c>
      <c r="AM17" s="898">
        <v>0</v>
      </c>
      <c r="AN17" s="898"/>
      <c r="AO17" s="898">
        <v>10</v>
      </c>
      <c r="AP17" s="898"/>
      <c r="AQ17" s="898">
        <v>0</v>
      </c>
      <c r="AR17" s="898"/>
      <c r="AS17" s="898">
        <f>80+25</f>
        <v>105</v>
      </c>
      <c r="AT17" s="898"/>
      <c r="AU17" s="898">
        <f>+AO17+AS17</f>
        <v>115</v>
      </c>
      <c r="AV17" s="899">
        <f>+AU17/AL17</f>
        <v>0.76666666666666672</v>
      </c>
      <c r="AW17" s="898">
        <v>100</v>
      </c>
      <c r="AX17" s="904">
        <f>+AW17/X17</f>
        <v>0.2</v>
      </c>
      <c r="AY17" s="1485">
        <f>AA17</f>
        <v>200</v>
      </c>
      <c r="AZ17" s="898">
        <v>0</v>
      </c>
      <c r="BA17" s="898"/>
      <c r="BB17" s="898">
        <v>0</v>
      </c>
      <c r="BC17" s="898"/>
      <c r="BD17" s="898">
        <v>71</v>
      </c>
      <c r="BE17" s="1659" t="s">
        <v>2293</v>
      </c>
      <c r="BF17" s="1660">
        <v>230</v>
      </c>
      <c r="BG17" s="898"/>
      <c r="BH17" s="898">
        <f>+BD17+BF17</f>
        <v>301</v>
      </c>
      <c r="BI17" s="951">
        <v>1</v>
      </c>
      <c r="BJ17" s="898">
        <f>BH17+AW17</f>
        <v>401</v>
      </c>
      <c r="BK17" s="951">
        <f>BJ17/X17</f>
        <v>0.80200000000000005</v>
      </c>
      <c r="BL17" s="478"/>
      <c r="BM17" s="478"/>
      <c r="BN17" s="478"/>
      <c r="BO17" s="478"/>
      <c r="BP17" s="478"/>
      <c r="BQ17" s="478"/>
      <c r="BR17" s="478"/>
      <c r="BS17" s="478"/>
      <c r="BT17" s="478"/>
      <c r="BU17" s="478"/>
      <c r="BV17" s="478"/>
      <c r="BW17" s="478"/>
      <c r="BX17" s="478"/>
      <c r="BY17" s="478"/>
      <c r="BZ17" s="478"/>
      <c r="CA17" s="478"/>
      <c r="CB17" s="478"/>
      <c r="CC17" s="478"/>
      <c r="CD17" s="478"/>
      <c r="CE17" s="478"/>
      <c r="CF17" s="478"/>
      <c r="CG17" s="478"/>
      <c r="CH17" s="478"/>
      <c r="CI17" s="478"/>
      <c r="CJ17" s="478"/>
      <c r="CK17" s="478"/>
      <c r="CL17" s="478"/>
      <c r="CM17" s="478"/>
      <c r="CN17" s="478"/>
      <c r="CO17" s="478"/>
      <c r="CP17" s="478"/>
      <c r="CQ17" s="478"/>
      <c r="CR17" s="478"/>
      <c r="CS17" s="478"/>
      <c r="CT17" s="478"/>
      <c r="CU17" s="478"/>
      <c r="CV17" s="478"/>
      <c r="CW17" s="478"/>
      <c r="CX17" s="478"/>
      <c r="CY17" s="478"/>
      <c r="CZ17" s="478"/>
    </row>
    <row r="18" spans="1:104" ht="82.5" customHeight="1" x14ac:dyDescent="0.2">
      <c r="A18" s="1836"/>
      <c r="B18" s="1842"/>
      <c r="C18" s="475"/>
      <c r="D18" s="475"/>
      <c r="E18" s="476"/>
      <c r="F18" s="476"/>
      <c r="G18" s="476"/>
      <c r="H18" s="476"/>
      <c r="I18" s="476"/>
      <c r="J18" s="476"/>
      <c r="K18" s="476"/>
      <c r="L18" s="476"/>
      <c r="M18" s="476"/>
      <c r="N18" s="476"/>
      <c r="O18" s="476"/>
      <c r="P18" s="476"/>
      <c r="Q18" s="476"/>
      <c r="R18" s="476"/>
      <c r="S18" s="476"/>
      <c r="T18" s="1848"/>
      <c r="U18" s="482" t="s">
        <v>1322</v>
      </c>
      <c r="V18" s="483" t="s">
        <v>1323</v>
      </c>
      <c r="W18" s="919" t="s">
        <v>1324</v>
      </c>
      <c r="X18" s="898">
        <v>2200</v>
      </c>
      <c r="Y18" s="898">
        <v>200</v>
      </c>
      <c r="Z18" s="898">
        <v>500</v>
      </c>
      <c r="AA18" s="898">
        <v>850</v>
      </c>
      <c r="AB18" s="899">
        <f>+Y18/X18</f>
        <v>9.0909090909090912E-2</v>
      </c>
      <c r="AC18" s="899">
        <f>+Z18/X18</f>
        <v>0.22727272727272727</v>
      </c>
      <c r="AD18" s="899">
        <f>AA18/X18</f>
        <v>0.38636363636363635</v>
      </c>
      <c r="AE18" s="898">
        <v>150</v>
      </c>
      <c r="AF18" s="898">
        <v>150</v>
      </c>
      <c r="AG18" s="898">
        <v>200</v>
      </c>
      <c r="AH18" s="898">
        <f>+AG18</f>
        <v>200</v>
      </c>
      <c r="AI18" s="899">
        <f>+AH18/Y18</f>
        <v>1</v>
      </c>
      <c r="AJ18" s="898">
        <v>110</v>
      </c>
      <c r="AK18" s="902">
        <f>+AJ18/X18</f>
        <v>0.05</v>
      </c>
      <c r="AL18" s="898">
        <v>500</v>
      </c>
      <c r="AM18" s="898">
        <v>0</v>
      </c>
      <c r="AN18" s="898"/>
      <c r="AO18" s="898">
        <v>21</v>
      </c>
      <c r="AP18" s="898"/>
      <c r="AQ18" s="898">
        <v>109</v>
      </c>
      <c r="AR18" s="898"/>
      <c r="AS18" s="898">
        <v>100</v>
      </c>
      <c r="AT18" s="898"/>
      <c r="AU18" s="898">
        <f>+AO18+AM18+AQ18+AS18</f>
        <v>230</v>
      </c>
      <c r="AV18" s="899">
        <f>+AU18/AL18</f>
        <v>0.46</v>
      </c>
      <c r="AW18" s="898">
        <f>+AU18+AJ18</f>
        <v>340</v>
      </c>
      <c r="AX18" s="904">
        <f>+AW18/X18</f>
        <v>0.15454545454545454</v>
      </c>
      <c r="AY18" s="898">
        <f>AA18</f>
        <v>850</v>
      </c>
      <c r="AZ18" s="898">
        <v>0</v>
      </c>
      <c r="BA18" s="898"/>
      <c r="BB18" s="898">
        <f>468</f>
        <v>468</v>
      </c>
      <c r="BC18" s="898"/>
      <c r="BD18" s="1485">
        <v>517</v>
      </c>
      <c r="BE18" s="302"/>
      <c r="BF18" s="898">
        <v>691</v>
      </c>
      <c r="BG18" s="898"/>
      <c r="BH18" s="898">
        <f>+BB18+BD18+BF18</f>
        <v>1676</v>
      </c>
      <c r="BI18" s="1173">
        <v>1</v>
      </c>
      <c r="BJ18" s="898">
        <f>BH18+AW18</f>
        <v>2016</v>
      </c>
      <c r="BK18" s="1173">
        <f>BJ18/X18</f>
        <v>0.91636363636363638</v>
      </c>
      <c r="BL18" s="478"/>
      <c r="BM18" s="478"/>
      <c r="BN18" s="478"/>
      <c r="BO18" s="478"/>
      <c r="BP18" s="478"/>
      <c r="BQ18" s="478"/>
      <c r="BR18" s="478"/>
      <c r="BS18" s="478"/>
      <c r="BT18" s="478"/>
      <c r="BU18" s="478"/>
      <c r="BV18" s="478"/>
      <c r="BW18" s="478"/>
      <c r="BX18" s="478"/>
      <c r="BY18" s="478"/>
      <c r="BZ18" s="478"/>
      <c r="CA18" s="478"/>
      <c r="CB18" s="478"/>
      <c r="CC18" s="478"/>
      <c r="CD18" s="478"/>
      <c r="CE18" s="478"/>
      <c r="CF18" s="478"/>
      <c r="CG18" s="478"/>
      <c r="CH18" s="478"/>
      <c r="CI18" s="478"/>
      <c r="CJ18" s="478"/>
      <c r="CK18" s="478"/>
      <c r="CL18" s="478"/>
      <c r="CM18" s="478"/>
      <c r="CN18" s="478"/>
      <c r="CO18" s="478"/>
      <c r="CP18" s="478"/>
      <c r="CQ18" s="478"/>
      <c r="CR18" s="478"/>
      <c r="CS18" s="478"/>
      <c r="CT18" s="478"/>
      <c r="CU18" s="478"/>
      <c r="CV18" s="478"/>
      <c r="CW18" s="478"/>
      <c r="CX18" s="478"/>
      <c r="CY18" s="478"/>
      <c r="CZ18" s="478"/>
    </row>
    <row r="19" spans="1:104" ht="14.25" customHeight="1" x14ac:dyDescent="0.2">
      <c r="A19" s="1836"/>
      <c r="B19" s="1842"/>
      <c r="C19" s="475"/>
      <c r="D19" s="475"/>
      <c r="E19" s="476"/>
      <c r="F19" s="476"/>
      <c r="G19" s="476"/>
      <c r="H19" s="476"/>
      <c r="I19" s="476"/>
      <c r="J19" s="476"/>
      <c r="K19" s="476"/>
      <c r="L19" s="476"/>
      <c r="M19" s="476"/>
      <c r="N19" s="476"/>
      <c r="O19" s="476"/>
      <c r="P19" s="476"/>
      <c r="Q19" s="476"/>
      <c r="R19" s="476"/>
      <c r="S19" s="476"/>
      <c r="T19" s="1849"/>
      <c r="U19" s="484"/>
      <c r="V19" s="484"/>
      <c r="W19" s="918"/>
      <c r="X19" s="911"/>
      <c r="Y19" s="911"/>
      <c r="Z19" s="911"/>
      <c r="AA19" s="911"/>
      <c r="AB19" s="912">
        <f>AVERAGE(AB16:AB18)</f>
        <v>5.8636363636363632E-2</v>
      </c>
      <c r="AC19" s="912">
        <f>AVERAGE(AC16:AC18)</f>
        <v>0.27992424242424246</v>
      </c>
      <c r="AD19" s="912">
        <f>AVERAGE(AD16:AD18)</f>
        <v>0.38920454545454541</v>
      </c>
      <c r="AE19" s="911"/>
      <c r="AF19" s="911"/>
      <c r="AG19" s="911"/>
      <c r="AH19" s="911"/>
      <c r="AI19" s="912">
        <f>AVERAGE(AI16:AI18)</f>
        <v>0.77777777777777768</v>
      </c>
      <c r="AJ19" s="911"/>
      <c r="AK19" s="913">
        <f>AVERAGE(AK16:AK18)</f>
        <v>2.5000000000000005E-2</v>
      </c>
      <c r="AL19" s="911"/>
      <c r="AM19" s="914"/>
      <c r="AN19" s="914"/>
      <c r="AO19" s="914"/>
      <c r="AP19" s="914"/>
      <c r="AQ19" s="914"/>
      <c r="AR19" s="914"/>
      <c r="AS19" s="914"/>
      <c r="AT19" s="914"/>
      <c r="AU19" s="914"/>
      <c r="AV19" s="913">
        <f>AVERAGE(AV16:AV18)</f>
        <v>0.42888888888888888</v>
      </c>
      <c r="AW19" s="1010"/>
      <c r="AX19" s="1011">
        <f>AVERAGE(AX16:AX18)</f>
        <v>0.13276515151515153</v>
      </c>
      <c r="AY19" s="1005"/>
      <c r="AZ19" s="1005"/>
      <c r="BA19" s="1005"/>
      <c r="BB19" s="1005"/>
      <c r="BC19" s="1005"/>
      <c r="BD19" s="1005"/>
      <c r="BE19" s="1005"/>
      <c r="BF19" s="1005"/>
      <c r="BG19" s="1005"/>
      <c r="BH19" s="1005"/>
      <c r="BI19" s="1011">
        <f>AVERAGE(BI16:BI18)</f>
        <v>0.69497716894977168</v>
      </c>
      <c r="BJ19" s="1005"/>
      <c r="BK19" s="920">
        <f>AVERAGE(BK16:BK18)</f>
        <v>0.58570454545454542</v>
      </c>
      <c r="BL19" s="478"/>
      <c r="BM19" s="478"/>
      <c r="BN19" s="478"/>
      <c r="BO19" s="478"/>
      <c r="BP19" s="478"/>
      <c r="BQ19" s="478"/>
      <c r="BR19" s="478"/>
      <c r="BS19" s="478"/>
      <c r="BT19" s="478"/>
      <c r="BU19" s="478"/>
      <c r="BV19" s="478"/>
      <c r="BW19" s="478"/>
      <c r="BX19" s="478"/>
      <c r="BY19" s="478"/>
      <c r="BZ19" s="478"/>
      <c r="CA19" s="478"/>
      <c r="CB19" s="478"/>
      <c r="CC19" s="478"/>
      <c r="CD19" s="478"/>
      <c r="CE19" s="478"/>
      <c r="CF19" s="478"/>
      <c r="CG19" s="478"/>
      <c r="CH19" s="478"/>
      <c r="CI19" s="478"/>
      <c r="CJ19" s="478"/>
      <c r="CK19" s="478"/>
      <c r="CL19" s="478"/>
      <c r="CM19" s="478"/>
      <c r="CN19" s="478"/>
      <c r="CO19" s="478"/>
      <c r="CP19" s="478"/>
      <c r="CQ19" s="478"/>
      <c r="CR19" s="478"/>
      <c r="CS19" s="478"/>
      <c r="CT19" s="478"/>
      <c r="CU19" s="478"/>
      <c r="CV19" s="478"/>
      <c r="CW19" s="478"/>
      <c r="CX19" s="478"/>
      <c r="CY19" s="478"/>
      <c r="CZ19" s="478"/>
    </row>
    <row r="20" spans="1:104" ht="73.5" customHeight="1" x14ac:dyDescent="0.2">
      <c r="A20" s="1836"/>
      <c r="B20" s="1842"/>
      <c r="C20" s="475"/>
      <c r="D20" s="475"/>
      <c r="E20" s="476"/>
      <c r="F20" s="476"/>
      <c r="G20" s="476"/>
      <c r="H20" s="476"/>
      <c r="I20" s="476"/>
      <c r="J20" s="476"/>
      <c r="K20" s="476"/>
      <c r="L20" s="476"/>
      <c r="M20" s="476"/>
      <c r="N20" s="476"/>
      <c r="O20" s="476"/>
      <c r="P20" s="476"/>
      <c r="Q20" s="476"/>
      <c r="R20" s="476"/>
      <c r="S20" s="476"/>
      <c r="T20" s="1844" t="s">
        <v>1325</v>
      </c>
      <c r="U20" s="475" t="s">
        <v>1326</v>
      </c>
      <c r="V20" s="477" t="s">
        <v>1327</v>
      </c>
      <c r="W20" s="897" t="s">
        <v>1328</v>
      </c>
      <c r="X20" s="898">
        <v>1</v>
      </c>
      <c r="Y20" s="898" t="s">
        <v>177</v>
      </c>
      <c r="Z20" s="898">
        <v>0.5</v>
      </c>
      <c r="AA20" s="898"/>
      <c r="AB20" s="898"/>
      <c r="AC20" s="899">
        <v>0.5</v>
      </c>
      <c r="AD20" s="899"/>
      <c r="AE20" s="898"/>
      <c r="AF20" s="898"/>
      <c r="AG20" s="898"/>
      <c r="AH20" s="898"/>
      <c r="AI20" s="898"/>
      <c r="AJ20" s="898"/>
      <c r="AK20" s="898"/>
      <c r="AL20" s="921">
        <v>0.5</v>
      </c>
      <c r="AM20" s="921">
        <v>0.33</v>
      </c>
      <c r="AN20" s="921"/>
      <c r="AO20" s="921">
        <v>0.33</v>
      </c>
      <c r="AP20" s="921"/>
      <c r="AQ20" s="921">
        <v>0.15</v>
      </c>
      <c r="AR20" s="921"/>
      <c r="AS20" s="921">
        <v>0.13</v>
      </c>
      <c r="AT20" s="921"/>
      <c r="AU20" s="898">
        <f>+AO20+AM20+AQ20+AS20</f>
        <v>0.94000000000000006</v>
      </c>
      <c r="AV20" s="899">
        <v>1</v>
      </c>
      <c r="AW20" s="898">
        <f>+AU20+AJ20</f>
        <v>0.94000000000000006</v>
      </c>
      <c r="AX20" s="904">
        <f>+AW20/X20</f>
        <v>0.94000000000000006</v>
      </c>
      <c r="AY20" s="898"/>
      <c r="AZ20" s="898"/>
      <c r="BA20" s="898"/>
      <c r="BB20" s="898"/>
      <c r="BC20" s="898"/>
      <c r="BD20" s="898"/>
      <c r="BE20" s="898"/>
      <c r="BF20" s="898"/>
      <c r="BG20" s="898"/>
      <c r="BH20" s="898"/>
      <c r="BI20" s="898"/>
      <c r="BJ20" s="899">
        <v>1</v>
      </c>
      <c r="BK20" s="899">
        <f>+BJ20</f>
        <v>1</v>
      </c>
      <c r="BL20" s="478"/>
      <c r="BM20" s="478"/>
      <c r="BN20" s="478"/>
      <c r="BO20" s="478"/>
      <c r="BP20" s="478"/>
      <c r="BQ20" s="478"/>
      <c r="BR20" s="478"/>
      <c r="BS20" s="478"/>
      <c r="BT20" s="478"/>
      <c r="BU20" s="478"/>
      <c r="BV20" s="478"/>
      <c r="BW20" s="478"/>
      <c r="BX20" s="478"/>
      <c r="BY20" s="478"/>
      <c r="BZ20" s="478"/>
      <c r="CA20" s="478"/>
      <c r="CB20" s="478"/>
      <c r="CC20" s="478"/>
      <c r="CD20" s="478"/>
      <c r="CE20" s="478"/>
      <c r="CF20" s="478"/>
      <c r="CG20" s="478"/>
      <c r="CH20" s="478"/>
      <c r="CI20" s="478"/>
      <c r="CJ20" s="478"/>
      <c r="CK20" s="478"/>
      <c r="CL20" s="478"/>
      <c r="CM20" s="478"/>
      <c r="CN20" s="478"/>
      <c r="CO20" s="478"/>
      <c r="CP20" s="478"/>
      <c r="CQ20" s="478"/>
      <c r="CR20" s="478"/>
      <c r="CS20" s="478"/>
      <c r="CT20" s="478"/>
      <c r="CU20" s="478"/>
      <c r="CV20" s="478"/>
      <c r="CW20" s="478"/>
      <c r="CX20" s="478"/>
      <c r="CY20" s="478"/>
      <c r="CZ20" s="478"/>
    </row>
    <row r="21" spans="1:104" ht="77.25" customHeight="1" x14ac:dyDescent="0.2">
      <c r="A21" s="1836"/>
      <c r="B21" s="1842"/>
      <c r="C21" s="475"/>
      <c r="D21" s="475"/>
      <c r="E21" s="476"/>
      <c r="F21" s="476"/>
      <c r="G21" s="476"/>
      <c r="H21" s="476"/>
      <c r="I21" s="476"/>
      <c r="J21" s="476"/>
      <c r="K21" s="476"/>
      <c r="L21" s="476"/>
      <c r="M21" s="476"/>
      <c r="N21" s="476"/>
      <c r="O21" s="476"/>
      <c r="P21" s="476"/>
      <c r="Q21" s="476"/>
      <c r="R21" s="476"/>
      <c r="S21" s="476"/>
      <c r="T21" s="1845"/>
      <c r="U21" s="475" t="s">
        <v>1329</v>
      </c>
      <c r="V21" s="477" t="s">
        <v>1330</v>
      </c>
      <c r="W21" s="897" t="s">
        <v>1331</v>
      </c>
      <c r="X21" s="898">
        <v>1</v>
      </c>
      <c r="Y21" s="898" t="s">
        <v>177</v>
      </c>
      <c r="Z21" s="899">
        <v>1</v>
      </c>
      <c r="AA21" s="908">
        <v>0.35</v>
      </c>
      <c r="AB21" s="898"/>
      <c r="AC21" s="899">
        <v>1</v>
      </c>
      <c r="AD21" s="899">
        <v>0.05</v>
      </c>
      <c r="AE21" s="898"/>
      <c r="AF21" s="898"/>
      <c r="AG21" s="898"/>
      <c r="AH21" s="898"/>
      <c r="AI21" s="898"/>
      <c r="AJ21" s="898"/>
      <c r="AK21" s="922"/>
      <c r="AL21" s="899">
        <v>1</v>
      </c>
      <c r="AM21" s="898">
        <v>0</v>
      </c>
      <c r="AN21" s="898"/>
      <c r="AO21" s="898">
        <v>0</v>
      </c>
      <c r="AP21" s="898"/>
      <c r="AQ21" s="898">
        <v>0.15</v>
      </c>
      <c r="AR21" s="898"/>
      <c r="AS21" s="898">
        <v>0.5</v>
      </c>
      <c r="AT21" s="898"/>
      <c r="AU21" s="898">
        <f>+AO21+AM21+AQ21+AS21</f>
        <v>0.65</v>
      </c>
      <c r="AV21" s="899">
        <f>+AU21/AL21</f>
        <v>0.65</v>
      </c>
      <c r="AW21" s="898">
        <f>+AU21+AJ21</f>
        <v>0.65</v>
      </c>
      <c r="AX21" s="904">
        <f>+AW21/X21</f>
        <v>0.65</v>
      </c>
      <c r="AY21" s="908">
        <f>AA21</f>
        <v>0.35</v>
      </c>
      <c r="AZ21" s="898">
        <v>0.3</v>
      </c>
      <c r="BA21" s="898"/>
      <c r="BB21" s="898"/>
      <c r="BC21" s="898"/>
      <c r="BD21" s="898">
        <v>0</v>
      </c>
      <c r="BE21" s="898"/>
      <c r="BF21" s="898">
        <v>0.05</v>
      </c>
      <c r="BG21" s="898"/>
      <c r="BH21" s="898">
        <f>AZ21+BF21</f>
        <v>0.35</v>
      </c>
      <c r="BI21" s="951">
        <f>BH21/AY21</f>
        <v>1</v>
      </c>
      <c r="BJ21" s="898">
        <f>BH21+AW21</f>
        <v>1</v>
      </c>
      <c r="BK21" s="951">
        <f>BJ21/X21</f>
        <v>1</v>
      </c>
      <c r="BL21" s="478"/>
      <c r="BM21" s="478"/>
      <c r="BN21" s="478"/>
      <c r="BO21" s="478"/>
      <c r="BP21" s="478"/>
      <c r="BQ21" s="478"/>
      <c r="BR21" s="478"/>
      <c r="BS21" s="478"/>
      <c r="BT21" s="478"/>
      <c r="BU21" s="478"/>
      <c r="BV21" s="478"/>
      <c r="BW21" s="478"/>
      <c r="BX21" s="478"/>
      <c r="BY21" s="478"/>
      <c r="BZ21" s="478"/>
      <c r="CA21" s="478"/>
      <c r="CB21" s="478"/>
      <c r="CC21" s="478"/>
      <c r="CD21" s="478"/>
      <c r="CE21" s="478"/>
      <c r="CF21" s="478"/>
      <c r="CG21" s="478"/>
      <c r="CH21" s="478"/>
      <c r="CI21" s="478"/>
      <c r="CJ21" s="478"/>
      <c r="CK21" s="478"/>
      <c r="CL21" s="478"/>
      <c r="CM21" s="478"/>
      <c r="CN21" s="478"/>
      <c r="CO21" s="478"/>
      <c r="CP21" s="478"/>
      <c r="CQ21" s="478"/>
      <c r="CR21" s="478"/>
      <c r="CS21" s="478"/>
      <c r="CT21" s="478"/>
      <c r="CU21" s="478"/>
      <c r="CV21" s="478"/>
      <c r="CW21" s="478"/>
      <c r="CX21" s="478"/>
      <c r="CY21" s="478"/>
      <c r="CZ21" s="478"/>
    </row>
    <row r="22" spans="1:104" ht="49.5" customHeight="1" x14ac:dyDescent="0.2">
      <c r="A22" s="1836"/>
      <c r="B22" s="1842"/>
      <c r="C22" s="475"/>
      <c r="D22" s="475"/>
      <c r="E22" s="476"/>
      <c r="F22" s="476"/>
      <c r="G22" s="476"/>
      <c r="H22" s="476"/>
      <c r="I22" s="476"/>
      <c r="J22" s="476"/>
      <c r="K22" s="476"/>
      <c r="L22" s="476"/>
      <c r="M22" s="476"/>
      <c r="N22" s="476"/>
      <c r="O22" s="476"/>
      <c r="P22" s="476"/>
      <c r="Q22" s="476"/>
      <c r="R22" s="476"/>
      <c r="S22" s="476"/>
      <c r="T22" s="1845"/>
      <c r="U22" s="475" t="s">
        <v>1332</v>
      </c>
      <c r="V22" s="477" t="s">
        <v>1327</v>
      </c>
      <c r="W22" s="897" t="s">
        <v>1333</v>
      </c>
      <c r="X22" s="898">
        <v>4</v>
      </c>
      <c r="Y22" s="898" t="s">
        <v>177</v>
      </c>
      <c r="Z22" s="898">
        <v>1</v>
      </c>
      <c r="AA22" s="898">
        <v>2</v>
      </c>
      <c r="AB22" s="898"/>
      <c r="AC22" s="899">
        <v>0.25</v>
      </c>
      <c r="AD22" s="899">
        <v>0</v>
      </c>
      <c r="AE22" s="898"/>
      <c r="AF22" s="898"/>
      <c r="AG22" s="898"/>
      <c r="AH22" s="898"/>
      <c r="AI22" s="899"/>
      <c r="AJ22" s="898"/>
      <c r="AK22" s="904"/>
      <c r="AL22" s="898">
        <v>1</v>
      </c>
      <c r="AM22" s="898">
        <v>0</v>
      </c>
      <c r="AN22" s="898"/>
      <c r="AO22" s="898">
        <v>0</v>
      </c>
      <c r="AP22" s="898"/>
      <c r="AQ22" s="898">
        <v>0</v>
      </c>
      <c r="AR22" s="898"/>
      <c r="AS22" s="898">
        <v>0</v>
      </c>
      <c r="AT22" s="898"/>
      <c r="AU22" s="898">
        <f>+AM22</f>
        <v>0</v>
      </c>
      <c r="AV22" s="899">
        <f>+AU22/AL22</f>
        <v>0</v>
      </c>
      <c r="AW22" s="898">
        <f>+AU22+AJ22</f>
        <v>0</v>
      </c>
      <c r="AX22" s="904">
        <f>+AW22/X22</f>
        <v>0</v>
      </c>
      <c r="AY22" s="898">
        <v>2</v>
      </c>
      <c r="AZ22" s="898">
        <v>0</v>
      </c>
      <c r="BA22" s="898"/>
      <c r="BB22" s="898">
        <v>0.5</v>
      </c>
      <c r="BC22" s="898"/>
      <c r="BD22" s="898">
        <v>0.5</v>
      </c>
      <c r="BE22" s="898"/>
      <c r="BF22" s="898">
        <v>1</v>
      </c>
      <c r="BG22" s="898"/>
      <c r="BH22" s="898">
        <f>+BB22+BD22+BF22</f>
        <v>2</v>
      </c>
      <c r="BI22" s="899">
        <f>+BH22/AY22</f>
        <v>1</v>
      </c>
      <c r="BJ22" s="898">
        <f>+BH22</f>
        <v>2</v>
      </c>
      <c r="BK22" s="899">
        <f>+BJ22/X22</f>
        <v>0.5</v>
      </c>
      <c r="BL22" s="478"/>
      <c r="BM22" s="478"/>
      <c r="BN22" s="478"/>
      <c r="BO22" s="478"/>
      <c r="BP22" s="478"/>
      <c r="BQ22" s="478"/>
      <c r="BR22" s="478"/>
      <c r="BS22" s="478"/>
      <c r="BT22" s="478"/>
      <c r="BU22" s="478"/>
      <c r="BV22" s="478"/>
      <c r="BW22" s="478"/>
      <c r="BX22" s="478"/>
      <c r="BY22" s="478"/>
      <c r="BZ22" s="478"/>
      <c r="CA22" s="478"/>
      <c r="CB22" s="478"/>
      <c r="CC22" s="478"/>
      <c r="CD22" s="478"/>
      <c r="CE22" s="478"/>
      <c r="CF22" s="478"/>
      <c r="CG22" s="478"/>
      <c r="CH22" s="478"/>
      <c r="CI22" s="478"/>
      <c r="CJ22" s="478"/>
      <c r="CK22" s="478"/>
      <c r="CL22" s="478"/>
      <c r="CM22" s="478"/>
      <c r="CN22" s="478"/>
      <c r="CO22" s="478"/>
      <c r="CP22" s="478"/>
      <c r="CQ22" s="478"/>
      <c r="CR22" s="478"/>
      <c r="CS22" s="478"/>
      <c r="CT22" s="478"/>
      <c r="CU22" s="478"/>
      <c r="CV22" s="478"/>
      <c r="CW22" s="478"/>
      <c r="CX22" s="478"/>
      <c r="CY22" s="478"/>
      <c r="CZ22" s="478"/>
    </row>
    <row r="23" spans="1:104" ht="69.75" customHeight="1" x14ac:dyDescent="0.2">
      <c r="A23" s="1836"/>
      <c r="B23" s="1842"/>
      <c r="C23" s="475"/>
      <c r="D23" s="475"/>
      <c r="E23" s="476"/>
      <c r="F23" s="476"/>
      <c r="G23" s="476"/>
      <c r="H23" s="476"/>
      <c r="I23" s="476"/>
      <c r="J23" s="476"/>
      <c r="K23" s="476"/>
      <c r="L23" s="476"/>
      <c r="M23" s="476"/>
      <c r="N23" s="476"/>
      <c r="O23" s="476"/>
      <c r="P23" s="476"/>
      <c r="Q23" s="476"/>
      <c r="R23" s="476"/>
      <c r="S23" s="476"/>
      <c r="T23" s="1845"/>
      <c r="U23" s="475" t="s">
        <v>1334</v>
      </c>
      <c r="V23" s="477" t="s">
        <v>1335</v>
      </c>
      <c r="W23" s="897" t="s">
        <v>1336</v>
      </c>
      <c r="X23" s="898">
        <v>200</v>
      </c>
      <c r="Y23" s="898" t="s">
        <v>177</v>
      </c>
      <c r="Z23" s="898" t="s">
        <v>177</v>
      </c>
      <c r="AA23" s="898">
        <v>100</v>
      </c>
      <c r="AB23" s="898"/>
      <c r="AC23" s="898"/>
      <c r="AD23" s="899">
        <v>0.5</v>
      </c>
      <c r="AE23" s="898"/>
      <c r="AF23" s="898"/>
      <c r="AG23" s="898"/>
      <c r="AH23" s="898"/>
      <c r="AI23" s="899"/>
      <c r="AJ23" s="898"/>
      <c r="AK23" s="904"/>
      <c r="AL23" s="898" t="s">
        <v>177</v>
      </c>
      <c r="AM23" s="905"/>
      <c r="AN23" s="905"/>
      <c r="AO23" s="905"/>
      <c r="AP23" s="905"/>
      <c r="AQ23" s="905"/>
      <c r="AR23" s="905"/>
      <c r="AS23" s="905"/>
      <c r="AT23" s="905"/>
      <c r="AU23" s="905"/>
      <c r="AV23" s="905"/>
      <c r="AW23" s="905"/>
      <c r="AX23" s="923"/>
      <c r="AY23" s="898">
        <v>100</v>
      </c>
      <c r="AZ23" s="898">
        <v>0</v>
      </c>
      <c r="BA23" s="898"/>
      <c r="BB23" s="898">
        <v>25</v>
      </c>
      <c r="BC23" s="898"/>
      <c r="BD23" s="898">
        <v>0</v>
      </c>
      <c r="BE23" s="898"/>
      <c r="BF23" s="898">
        <v>209</v>
      </c>
      <c r="BG23" s="898"/>
      <c r="BH23" s="898">
        <v>100</v>
      </c>
      <c r="BI23" s="951">
        <f>+BH23/AY23</f>
        <v>1</v>
      </c>
      <c r="BJ23" s="898">
        <f>+BH23</f>
        <v>100</v>
      </c>
      <c r="BK23" s="899">
        <v>1</v>
      </c>
      <c r="BL23" s="478"/>
      <c r="BM23" s="478"/>
      <c r="BN23" s="478"/>
      <c r="BO23" s="478"/>
      <c r="BP23" s="478"/>
      <c r="BQ23" s="478"/>
      <c r="BR23" s="478"/>
      <c r="BS23" s="478"/>
      <c r="BT23" s="478"/>
      <c r="BU23" s="478"/>
      <c r="BV23" s="478"/>
      <c r="BW23" s="478"/>
      <c r="BX23" s="478"/>
      <c r="BY23" s="478"/>
      <c r="BZ23" s="478"/>
      <c r="CA23" s="478"/>
      <c r="CB23" s="478"/>
      <c r="CC23" s="478"/>
      <c r="CD23" s="478"/>
      <c r="CE23" s="478"/>
      <c r="CF23" s="478"/>
      <c r="CG23" s="478"/>
      <c r="CH23" s="478"/>
      <c r="CI23" s="478"/>
      <c r="CJ23" s="478"/>
      <c r="CK23" s="478"/>
      <c r="CL23" s="478"/>
      <c r="CM23" s="478"/>
      <c r="CN23" s="478"/>
      <c r="CO23" s="478"/>
      <c r="CP23" s="478"/>
      <c r="CQ23" s="478"/>
      <c r="CR23" s="478"/>
      <c r="CS23" s="478"/>
      <c r="CT23" s="478"/>
      <c r="CU23" s="478"/>
      <c r="CV23" s="478"/>
      <c r="CW23" s="478"/>
      <c r="CX23" s="478"/>
      <c r="CY23" s="478"/>
      <c r="CZ23" s="478"/>
    </row>
    <row r="24" spans="1:104" ht="14.25" customHeight="1" x14ac:dyDescent="0.2">
      <c r="A24" s="1836"/>
      <c r="B24" s="1842"/>
      <c r="C24" s="475"/>
      <c r="D24" s="475"/>
      <c r="E24" s="476"/>
      <c r="F24" s="476"/>
      <c r="G24" s="476"/>
      <c r="H24" s="476"/>
      <c r="I24" s="476"/>
      <c r="J24" s="476"/>
      <c r="K24" s="476"/>
      <c r="L24" s="476"/>
      <c r="M24" s="476"/>
      <c r="N24" s="476"/>
      <c r="O24" s="476"/>
      <c r="P24" s="476"/>
      <c r="Q24" s="476"/>
      <c r="R24" s="476"/>
      <c r="S24" s="476"/>
      <c r="T24" s="1846"/>
      <c r="U24" s="481"/>
      <c r="V24" s="481"/>
      <c r="W24" s="910"/>
      <c r="X24" s="911"/>
      <c r="Y24" s="911"/>
      <c r="Z24" s="911"/>
      <c r="AA24" s="911"/>
      <c r="AB24" s="911"/>
      <c r="AC24" s="912">
        <f>+(AC20+AC21+AC22)/3</f>
        <v>0.58333333333333337</v>
      </c>
      <c r="AD24" s="912">
        <f>AVERAGE(AD20:AD23)</f>
        <v>0.18333333333333335</v>
      </c>
      <c r="AE24" s="911"/>
      <c r="AF24" s="911"/>
      <c r="AG24" s="911"/>
      <c r="AH24" s="911"/>
      <c r="AI24" s="924"/>
      <c r="AJ24" s="911"/>
      <c r="AK24" s="925"/>
      <c r="AL24" s="911"/>
      <c r="AM24" s="905"/>
      <c r="AN24" s="905"/>
      <c r="AO24" s="905"/>
      <c r="AP24" s="905"/>
      <c r="AQ24" s="905"/>
      <c r="AR24" s="905"/>
      <c r="AS24" s="905"/>
      <c r="AT24" s="905"/>
      <c r="AU24" s="905"/>
      <c r="AV24" s="913">
        <f>AVERAGE(AV20:AV23)</f>
        <v>0.54999999999999993</v>
      </c>
      <c r="AW24" s="905"/>
      <c r="AX24" s="926">
        <f>AVERAGE(AX20:AX23)</f>
        <v>0.53</v>
      </c>
      <c r="AY24" s="1005"/>
      <c r="AZ24" s="1005"/>
      <c r="BA24" s="1005"/>
      <c r="BB24" s="1005"/>
      <c r="BC24" s="1005"/>
      <c r="BD24" s="1005"/>
      <c r="BE24" s="1005"/>
      <c r="BF24" s="1005"/>
      <c r="BG24" s="1005"/>
      <c r="BH24" s="1005"/>
      <c r="BI24" s="1011">
        <f>AVERAGE(BI20:BI23)</f>
        <v>1</v>
      </c>
      <c r="BJ24" s="1005"/>
      <c r="BK24" s="1011">
        <f>AVERAGE(BK20:BK23)</f>
        <v>0.875</v>
      </c>
      <c r="BL24" s="478"/>
      <c r="BM24" s="478"/>
      <c r="BN24" s="478"/>
      <c r="BO24" s="478"/>
      <c r="BP24" s="478"/>
      <c r="BQ24" s="478"/>
      <c r="BR24" s="478"/>
      <c r="BS24" s="478"/>
      <c r="BT24" s="478"/>
      <c r="BU24" s="478"/>
      <c r="BV24" s="478"/>
      <c r="BW24" s="478"/>
      <c r="BX24" s="478"/>
      <c r="BY24" s="478"/>
      <c r="BZ24" s="478"/>
      <c r="CA24" s="478"/>
      <c r="CB24" s="478"/>
      <c r="CC24" s="478"/>
      <c r="CD24" s="478"/>
      <c r="CE24" s="478"/>
      <c r="CF24" s="478"/>
      <c r="CG24" s="478"/>
      <c r="CH24" s="478"/>
      <c r="CI24" s="478"/>
      <c r="CJ24" s="478"/>
      <c r="CK24" s="478"/>
      <c r="CL24" s="478"/>
      <c r="CM24" s="478"/>
      <c r="CN24" s="478"/>
      <c r="CO24" s="478"/>
      <c r="CP24" s="478"/>
      <c r="CQ24" s="478"/>
      <c r="CR24" s="478"/>
      <c r="CS24" s="478"/>
      <c r="CT24" s="478"/>
      <c r="CU24" s="478"/>
      <c r="CV24" s="478"/>
      <c r="CW24" s="478"/>
      <c r="CX24" s="478"/>
      <c r="CY24" s="478"/>
      <c r="CZ24" s="478"/>
    </row>
    <row r="25" spans="1:104" ht="88.5" customHeight="1" x14ac:dyDescent="0.2">
      <c r="A25" s="1836"/>
      <c r="B25" s="1842"/>
      <c r="C25" s="475"/>
      <c r="D25" s="475"/>
      <c r="E25" s="476"/>
      <c r="F25" s="476"/>
      <c r="G25" s="476"/>
      <c r="H25" s="476"/>
      <c r="I25" s="476"/>
      <c r="J25" s="476"/>
      <c r="K25" s="476"/>
      <c r="L25" s="476"/>
      <c r="M25" s="476"/>
      <c r="N25" s="476"/>
      <c r="O25" s="476"/>
      <c r="P25" s="476"/>
      <c r="Q25" s="476"/>
      <c r="R25" s="476"/>
      <c r="S25" s="476"/>
      <c r="T25" s="1844" t="s">
        <v>1337</v>
      </c>
      <c r="U25" s="475" t="s">
        <v>1338</v>
      </c>
      <c r="V25" s="477" t="s">
        <v>1339</v>
      </c>
      <c r="W25" s="897" t="s">
        <v>1340</v>
      </c>
      <c r="X25" s="898">
        <v>5000</v>
      </c>
      <c r="Y25" s="898" t="s">
        <v>177</v>
      </c>
      <c r="Z25" s="898">
        <v>2000</v>
      </c>
      <c r="AA25" s="898">
        <v>2365</v>
      </c>
      <c r="AB25" s="898"/>
      <c r="AC25" s="899">
        <f>+Z25/X25</f>
        <v>0.4</v>
      </c>
      <c r="AD25" s="899">
        <f>AA25/X25</f>
        <v>0.47299999999999998</v>
      </c>
      <c r="AE25" s="898"/>
      <c r="AF25" s="898"/>
      <c r="AG25" s="898"/>
      <c r="AH25" s="898"/>
      <c r="AI25" s="898"/>
      <c r="AJ25" s="898"/>
      <c r="AK25" s="898"/>
      <c r="AL25" s="927">
        <v>2000</v>
      </c>
      <c r="AM25" s="927">
        <v>60</v>
      </c>
      <c r="AN25" s="927"/>
      <c r="AO25" s="927"/>
      <c r="AP25" s="927"/>
      <c r="AQ25" s="927">
        <v>116</v>
      </c>
      <c r="AR25" s="927"/>
      <c r="AS25" s="927">
        <v>63</v>
      </c>
      <c r="AT25" s="927"/>
      <c r="AU25" s="927">
        <f>+AM25+AQ25+AS25</f>
        <v>239</v>
      </c>
      <c r="AV25" s="928">
        <f>+AU25/AL25</f>
        <v>0.1195</v>
      </c>
      <c r="AW25" s="927">
        <f>+AU25+AJ25</f>
        <v>239</v>
      </c>
      <c r="AX25" s="929">
        <f>+AW25/X25</f>
        <v>4.7800000000000002E-2</v>
      </c>
      <c r="AY25" s="898">
        <f>AA25</f>
        <v>2365</v>
      </c>
      <c r="AZ25" s="898">
        <v>0</v>
      </c>
      <c r="BA25" s="898"/>
      <c r="BB25" s="898">
        <v>0</v>
      </c>
      <c r="BC25" s="898"/>
      <c r="BD25" s="898">
        <v>0</v>
      </c>
      <c r="BE25" s="898"/>
      <c r="BF25" s="898">
        <v>0</v>
      </c>
      <c r="BG25" s="898"/>
      <c r="BH25" s="898">
        <v>0</v>
      </c>
      <c r="BI25" s="899">
        <v>0</v>
      </c>
      <c r="BJ25" s="898">
        <f>BH25+AW25+330</f>
        <v>569</v>
      </c>
      <c r="BK25" s="951">
        <f>BJ25/X25</f>
        <v>0.1138</v>
      </c>
      <c r="BL25" s="478"/>
      <c r="BM25" s="478"/>
      <c r="BN25" s="478"/>
      <c r="BO25" s="478"/>
      <c r="BP25" s="478"/>
      <c r="BQ25" s="478"/>
      <c r="BR25" s="478"/>
      <c r="BS25" s="478"/>
      <c r="BT25" s="478"/>
      <c r="BU25" s="478"/>
      <c r="BV25" s="478"/>
      <c r="BW25" s="478"/>
      <c r="BX25" s="478"/>
      <c r="BY25" s="478"/>
      <c r="BZ25" s="478"/>
      <c r="CA25" s="478"/>
      <c r="CB25" s="478"/>
      <c r="CC25" s="478"/>
      <c r="CD25" s="478"/>
      <c r="CE25" s="478"/>
      <c r="CF25" s="478"/>
      <c r="CG25" s="478"/>
      <c r="CH25" s="478"/>
      <c r="CI25" s="478"/>
      <c r="CJ25" s="478"/>
      <c r="CK25" s="478"/>
      <c r="CL25" s="478"/>
      <c r="CM25" s="478"/>
      <c r="CN25" s="478"/>
      <c r="CO25" s="478"/>
      <c r="CP25" s="478"/>
      <c r="CQ25" s="478"/>
      <c r="CR25" s="478"/>
      <c r="CS25" s="478"/>
      <c r="CT25" s="478"/>
      <c r="CU25" s="478"/>
      <c r="CV25" s="478"/>
      <c r="CW25" s="478"/>
      <c r="CX25" s="478"/>
      <c r="CY25" s="478"/>
      <c r="CZ25" s="478"/>
    </row>
    <row r="26" spans="1:104" ht="47.25" customHeight="1" x14ac:dyDescent="0.2">
      <c r="A26" s="1836"/>
      <c r="B26" s="1842"/>
      <c r="C26" s="475"/>
      <c r="D26" s="475"/>
      <c r="E26" s="476"/>
      <c r="F26" s="476"/>
      <c r="G26" s="476"/>
      <c r="H26" s="476"/>
      <c r="I26" s="476"/>
      <c r="J26" s="476"/>
      <c r="K26" s="476"/>
      <c r="L26" s="476"/>
      <c r="M26" s="476"/>
      <c r="N26" s="476"/>
      <c r="O26" s="476"/>
      <c r="P26" s="476"/>
      <c r="Q26" s="476"/>
      <c r="R26" s="476"/>
      <c r="S26" s="476"/>
      <c r="T26" s="1845"/>
      <c r="U26" s="475" t="s">
        <v>1341</v>
      </c>
      <c r="V26" s="477" t="s">
        <v>1342</v>
      </c>
      <c r="W26" s="897" t="s">
        <v>1343</v>
      </c>
      <c r="X26" s="898">
        <v>1</v>
      </c>
      <c r="Y26" s="898">
        <v>1</v>
      </c>
      <c r="Z26" s="898">
        <v>0.25</v>
      </c>
      <c r="AA26" s="898">
        <v>0.3</v>
      </c>
      <c r="AB26" s="899">
        <v>0.25</v>
      </c>
      <c r="AC26" s="899">
        <v>0.25</v>
      </c>
      <c r="AD26" s="898" t="s">
        <v>1344</v>
      </c>
      <c r="AE26" s="898">
        <v>0</v>
      </c>
      <c r="AF26" s="898">
        <v>0</v>
      </c>
      <c r="AG26" s="899">
        <v>0.25</v>
      </c>
      <c r="AH26" s="899">
        <f>+AG26</f>
        <v>0.25</v>
      </c>
      <c r="AI26" s="899">
        <f>+AH26/Y26</f>
        <v>0.25</v>
      </c>
      <c r="AJ26" s="899">
        <v>0.16</v>
      </c>
      <c r="AK26" s="899">
        <f>+AJ26/X26</f>
        <v>0.16</v>
      </c>
      <c r="AL26" s="898">
        <v>0.25</v>
      </c>
      <c r="AM26" s="921">
        <v>0.25</v>
      </c>
      <c r="AN26" s="921"/>
      <c r="AO26" s="921">
        <v>6.25E-2</v>
      </c>
      <c r="AP26" s="921"/>
      <c r="AQ26" s="921">
        <v>6.25E-2</v>
      </c>
      <c r="AR26" s="921"/>
      <c r="AS26" s="921">
        <v>6.25E-2</v>
      </c>
      <c r="AT26" s="921"/>
      <c r="AU26" s="921">
        <f>+AM26+AO26+AQ26+AS26</f>
        <v>0.4375</v>
      </c>
      <c r="AV26" s="930">
        <v>1</v>
      </c>
      <c r="AW26" s="930">
        <f>+AU26+AJ26</f>
        <v>0.59750000000000003</v>
      </c>
      <c r="AX26" s="931">
        <f>+AW26/X26</f>
        <v>0.59750000000000003</v>
      </c>
      <c r="AY26" s="898">
        <f>AA26</f>
        <v>0.3</v>
      </c>
      <c r="AZ26" s="898">
        <v>0.16</v>
      </c>
      <c r="BA26" s="898"/>
      <c r="BB26" s="898">
        <v>0.74</v>
      </c>
      <c r="BC26" s="898"/>
      <c r="BD26" s="898">
        <v>0.1</v>
      </c>
      <c r="BE26" s="898"/>
      <c r="BF26" s="898">
        <v>0</v>
      </c>
      <c r="BG26" s="898"/>
      <c r="BH26" s="898">
        <f>AZ26+BB26+BD26</f>
        <v>1</v>
      </c>
      <c r="BI26" s="951">
        <f>+BH26</f>
        <v>1</v>
      </c>
      <c r="BJ26" s="899">
        <v>1</v>
      </c>
      <c r="BK26" s="899">
        <v>1</v>
      </c>
      <c r="BL26" s="478"/>
      <c r="BM26" s="478"/>
      <c r="BN26" s="478"/>
      <c r="BO26" s="478"/>
      <c r="BP26" s="478"/>
      <c r="BQ26" s="478"/>
      <c r="BR26" s="478"/>
      <c r="BS26" s="478"/>
      <c r="BT26" s="478"/>
      <c r="BU26" s="478"/>
      <c r="BV26" s="478"/>
      <c r="BW26" s="478"/>
      <c r="BX26" s="478"/>
      <c r="BY26" s="478"/>
      <c r="BZ26" s="478"/>
      <c r="CA26" s="478"/>
      <c r="CB26" s="478"/>
      <c r="CC26" s="478"/>
      <c r="CD26" s="478"/>
      <c r="CE26" s="478"/>
      <c r="CF26" s="478"/>
      <c r="CG26" s="478"/>
      <c r="CH26" s="478"/>
      <c r="CI26" s="478"/>
      <c r="CJ26" s="478"/>
      <c r="CK26" s="478"/>
      <c r="CL26" s="478"/>
      <c r="CM26" s="478"/>
      <c r="CN26" s="478"/>
      <c r="CO26" s="478"/>
      <c r="CP26" s="478"/>
      <c r="CQ26" s="478"/>
      <c r="CR26" s="478"/>
      <c r="CS26" s="478"/>
      <c r="CT26" s="478"/>
      <c r="CU26" s="478"/>
      <c r="CV26" s="478"/>
      <c r="CW26" s="478"/>
      <c r="CX26" s="478"/>
      <c r="CY26" s="478"/>
      <c r="CZ26" s="478"/>
    </row>
    <row r="27" spans="1:104" ht="69.75" customHeight="1" x14ac:dyDescent="0.2">
      <c r="A27" s="1836"/>
      <c r="B27" s="1842"/>
      <c r="C27" s="475"/>
      <c r="D27" s="475"/>
      <c r="E27" s="476"/>
      <c r="F27" s="476"/>
      <c r="G27" s="476"/>
      <c r="H27" s="476"/>
      <c r="I27" s="476"/>
      <c r="J27" s="476"/>
      <c r="K27" s="476"/>
      <c r="L27" s="476"/>
      <c r="M27" s="476"/>
      <c r="N27" s="476"/>
      <c r="O27" s="476"/>
      <c r="P27" s="476"/>
      <c r="Q27" s="476"/>
      <c r="R27" s="476"/>
      <c r="S27" s="476"/>
      <c r="T27" s="1845"/>
      <c r="U27" s="475" t="s">
        <v>1345</v>
      </c>
      <c r="V27" s="477" t="s">
        <v>1342</v>
      </c>
      <c r="W27" s="897" t="s">
        <v>1346</v>
      </c>
      <c r="X27" s="898">
        <v>1</v>
      </c>
      <c r="Y27" s="898" t="s">
        <v>177</v>
      </c>
      <c r="Z27" s="898" t="s">
        <v>177</v>
      </c>
      <c r="AA27" s="898">
        <v>1</v>
      </c>
      <c r="AB27" s="898"/>
      <c r="AC27" s="898"/>
      <c r="AD27" s="899">
        <v>1</v>
      </c>
      <c r="AE27" s="898"/>
      <c r="AF27" s="898"/>
      <c r="AG27" s="898"/>
      <c r="AH27" s="898"/>
      <c r="AI27" s="898"/>
      <c r="AJ27" s="898"/>
      <c r="AK27" s="898"/>
      <c r="AL27" s="922" t="s">
        <v>177</v>
      </c>
      <c r="AM27" s="905"/>
      <c r="AN27" s="905"/>
      <c r="AO27" s="905"/>
      <c r="AP27" s="905"/>
      <c r="AQ27" s="905"/>
      <c r="AR27" s="905"/>
      <c r="AS27" s="905"/>
      <c r="AT27" s="905"/>
      <c r="AU27" s="905"/>
      <c r="AV27" s="905"/>
      <c r="AW27" s="905"/>
      <c r="AX27" s="923"/>
      <c r="AY27" s="898">
        <v>1</v>
      </c>
      <c r="AZ27" s="898">
        <v>0.15</v>
      </c>
      <c r="BA27" s="898"/>
      <c r="BB27" s="898">
        <v>0.1</v>
      </c>
      <c r="BC27" s="898"/>
      <c r="BD27" s="898">
        <v>0</v>
      </c>
      <c r="BE27" s="898"/>
      <c r="BF27" s="898">
        <v>0</v>
      </c>
      <c r="BG27" s="898"/>
      <c r="BH27" s="898">
        <f>AZ27+BB27</f>
        <v>0.25</v>
      </c>
      <c r="BI27" s="899">
        <f>+BH27</f>
        <v>0.25</v>
      </c>
      <c r="BJ27" s="898">
        <f>BH27</f>
        <v>0.25</v>
      </c>
      <c r="BK27" s="951">
        <f>BJ27/X27</f>
        <v>0.25</v>
      </c>
      <c r="BL27" s="478"/>
      <c r="BM27" s="478"/>
      <c r="BN27" s="478"/>
      <c r="BO27" s="478"/>
      <c r="BP27" s="478"/>
      <c r="BQ27" s="478"/>
      <c r="BR27" s="478"/>
      <c r="BS27" s="478"/>
      <c r="BT27" s="478"/>
      <c r="BU27" s="478"/>
      <c r="BV27" s="478"/>
      <c r="BW27" s="478"/>
      <c r="BX27" s="478"/>
      <c r="BY27" s="478"/>
      <c r="BZ27" s="478"/>
      <c r="CA27" s="478"/>
      <c r="CB27" s="478"/>
      <c r="CC27" s="478"/>
      <c r="CD27" s="478"/>
      <c r="CE27" s="478"/>
      <c r="CF27" s="478"/>
      <c r="CG27" s="478"/>
      <c r="CH27" s="478"/>
      <c r="CI27" s="478"/>
      <c r="CJ27" s="478"/>
      <c r="CK27" s="478"/>
      <c r="CL27" s="478"/>
      <c r="CM27" s="478"/>
      <c r="CN27" s="478"/>
      <c r="CO27" s="478"/>
      <c r="CP27" s="478"/>
      <c r="CQ27" s="478"/>
      <c r="CR27" s="478"/>
      <c r="CS27" s="478"/>
      <c r="CT27" s="478"/>
      <c r="CU27" s="478"/>
      <c r="CV27" s="478"/>
      <c r="CW27" s="478"/>
      <c r="CX27" s="478"/>
      <c r="CY27" s="478"/>
      <c r="CZ27" s="478"/>
    </row>
    <row r="28" spans="1:104" ht="56.25" customHeight="1" x14ac:dyDescent="0.2">
      <c r="A28" s="1836"/>
      <c r="B28" s="1842"/>
      <c r="C28" s="475"/>
      <c r="D28" s="475"/>
      <c r="E28" s="476"/>
      <c r="F28" s="476"/>
      <c r="G28" s="476"/>
      <c r="H28" s="476"/>
      <c r="I28" s="476"/>
      <c r="J28" s="476"/>
      <c r="K28" s="476"/>
      <c r="L28" s="476"/>
      <c r="M28" s="476"/>
      <c r="N28" s="476"/>
      <c r="O28" s="476"/>
      <c r="P28" s="476"/>
      <c r="Q28" s="476"/>
      <c r="R28" s="476"/>
      <c r="S28" s="476"/>
      <c r="T28" s="1845"/>
      <c r="U28" s="475" t="s">
        <v>1347</v>
      </c>
      <c r="V28" s="477" t="s">
        <v>1339</v>
      </c>
      <c r="W28" s="897" t="s">
        <v>1348</v>
      </c>
      <c r="X28" s="898">
        <v>40</v>
      </c>
      <c r="Y28" s="898" t="s">
        <v>177</v>
      </c>
      <c r="Z28" s="898" t="s">
        <v>177</v>
      </c>
      <c r="AA28" s="898">
        <v>20</v>
      </c>
      <c r="AB28" s="898"/>
      <c r="AC28" s="898"/>
      <c r="AD28" s="899">
        <v>0.5</v>
      </c>
      <c r="AE28" s="898"/>
      <c r="AF28" s="898"/>
      <c r="AG28" s="898"/>
      <c r="AH28" s="898"/>
      <c r="AI28" s="898"/>
      <c r="AJ28" s="898"/>
      <c r="AK28" s="898"/>
      <c r="AL28" s="922" t="s">
        <v>177</v>
      </c>
      <c r="AM28" s="905"/>
      <c r="AN28" s="905"/>
      <c r="AO28" s="905"/>
      <c r="AP28" s="905"/>
      <c r="AQ28" s="905"/>
      <c r="AR28" s="905"/>
      <c r="AS28" s="905"/>
      <c r="AT28" s="905"/>
      <c r="AU28" s="905"/>
      <c r="AV28" s="905"/>
      <c r="AW28" s="905"/>
      <c r="AX28" s="923"/>
      <c r="AY28" s="898">
        <v>20</v>
      </c>
      <c r="AZ28" s="898">
        <v>0</v>
      </c>
      <c r="BA28" s="898"/>
      <c r="BB28" s="898">
        <v>0</v>
      </c>
      <c r="BC28" s="898"/>
      <c r="BD28" s="898">
        <v>0</v>
      </c>
      <c r="BE28" s="898"/>
      <c r="BF28" s="898"/>
      <c r="BG28" s="898"/>
      <c r="BH28" s="898">
        <v>0</v>
      </c>
      <c r="BI28" s="899">
        <v>0</v>
      </c>
      <c r="BJ28" s="898">
        <f>BH28</f>
        <v>0</v>
      </c>
      <c r="BK28" s="898">
        <v>0</v>
      </c>
      <c r="BL28" s="478"/>
      <c r="BM28" s="478"/>
      <c r="BN28" s="478"/>
      <c r="BO28" s="478"/>
      <c r="BP28" s="478"/>
      <c r="BQ28" s="478"/>
      <c r="BR28" s="478"/>
      <c r="BS28" s="478"/>
      <c r="BT28" s="478"/>
      <c r="BU28" s="478"/>
      <c r="BV28" s="478"/>
      <c r="BW28" s="478"/>
      <c r="BX28" s="478"/>
      <c r="BY28" s="478"/>
      <c r="BZ28" s="478"/>
      <c r="CA28" s="478"/>
      <c r="CB28" s="478"/>
      <c r="CC28" s="478"/>
      <c r="CD28" s="478"/>
      <c r="CE28" s="478"/>
      <c r="CF28" s="478"/>
      <c r="CG28" s="478"/>
      <c r="CH28" s="478"/>
      <c r="CI28" s="478"/>
      <c r="CJ28" s="478"/>
      <c r="CK28" s="478"/>
      <c r="CL28" s="478"/>
      <c r="CM28" s="478"/>
      <c r="CN28" s="478"/>
      <c r="CO28" s="478"/>
      <c r="CP28" s="478"/>
      <c r="CQ28" s="478"/>
      <c r="CR28" s="478"/>
      <c r="CS28" s="478"/>
      <c r="CT28" s="478"/>
      <c r="CU28" s="478"/>
      <c r="CV28" s="478"/>
      <c r="CW28" s="478"/>
      <c r="CX28" s="478"/>
      <c r="CY28" s="478"/>
      <c r="CZ28" s="478"/>
    </row>
    <row r="29" spans="1:104" ht="44.25" customHeight="1" x14ac:dyDescent="0.2">
      <c r="A29" s="1836"/>
      <c r="B29" s="1842"/>
      <c r="C29" s="475"/>
      <c r="D29" s="475"/>
      <c r="E29" s="476"/>
      <c r="F29" s="476"/>
      <c r="G29" s="476"/>
      <c r="H29" s="476"/>
      <c r="I29" s="476"/>
      <c r="J29" s="476"/>
      <c r="K29" s="476"/>
      <c r="L29" s="476"/>
      <c r="M29" s="476"/>
      <c r="N29" s="476"/>
      <c r="O29" s="476"/>
      <c r="P29" s="476"/>
      <c r="Q29" s="476"/>
      <c r="R29" s="476"/>
      <c r="S29" s="476"/>
      <c r="T29" s="1846"/>
      <c r="U29" s="481"/>
      <c r="V29" s="481"/>
      <c r="W29" s="910"/>
      <c r="X29" s="911"/>
      <c r="Y29" s="911"/>
      <c r="Z29" s="911"/>
      <c r="AA29" s="911"/>
      <c r="AB29" s="912">
        <f>AVERAGE(AB25:AB28)</f>
        <v>0.25</v>
      </c>
      <c r="AC29" s="912">
        <f>+(AC25+AC26)/2</f>
        <v>0.32500000000000001</v>
      </c>
      <c r="AD29" s="912">
        <f>AVERAGE(AD25:AD28)</f>
        <v>0.65766666666666662</v>
      </c>
      <c r="AE29" s="911"/>
      <c r="AF29" s="911"/>
      <c r="AG29" s="911"/>
      <c r="AH29" s="911"/>
      <c r="AI29" s="912">
        <f>AVERAGE(AI25:AI28)</f>
        <v>0.25</v>
      </c>
      <c r="AJ29" s="932"/>
      <c r="AK29" s="912">
        <f>AVERAGE(AK25:AK28)</f>
        <v>0.16</v>
      </c>
      <c r="AL29" s="933"/>
      <c r="AM29" s="905"/>
      <c r="AN29" s="905"/>
      <c r="AO29" s="905"/>
      <c r="AP29" s="905"/>
      <c r="AQ29" s="905"/>
      <c r="AR29" s="905"/>
      <c r="AS29" s="905"/>
      <c r="AT29" s="905"/>
      <c r="AU29" s="905"/>
      <c r="AV29" s="913">
        <f>AVERAGE(AV25:AV28)</f>
        <v>0.55974999999999997</v>
      </c>
      <c r="AW29" s="1005"/>
      <c r="AX29" s="926">
        <f>AVERAGE(AX25:AX28)</f>
        <v>0.32264999999999999</v>
      </c>
      <c r="AY29" s="1005"/>
      <c r="AZ29" s="1005"/>
      <c r="BA29" s="1005"/>
      <c r="BB29" s="1005"/>
      <c r="BC29" s="1005"/>
      <c r="BD29" s="1005"/>
      <c r="BE29" s="1005"/>
      <c r="BF29" s="1005"/>
      <c r="BG29" s="1005"/>
      <c r="BH29" s="1005"/>
      <c r="BI29" s="1011">
        <f>AVERAGE(BI25:BI28)</f>
        <v>0.3125</v>
      </c>
      <c r="BJ29" s="1005"/>
      <c r="BK29" s="920">
        <f>AVERAGE(BK25:BK28)</f>
        <v>0.34094999999999998</v>
      </c>
      <c r="BL29" s="478"/>
      <c r="BM29" s="478"/>
      <c r="BN29" s="478"/>
      <c r="BO29" s="478"/>
      <c r="BP29" s="478"/>
      <c r="BQ29" s="478"/>
      <c r="BR29" s="478"/>
      <c r="BS29" s="478"/>
      <c r="BT29" s="478"/>
      <c r="BU29" s="478"/>
      <c r="BV29" s="478"/>
      <c r="BW29" s="478"/>
      <c r="BX29" s="478"/>
      <c r="BY29" s="478"/>
      <c r="BZ29" s="478"/>
      <c r="CA29" s="478"/>
      <c r="CB29" s="478"/>
      <c r="CC29" s="478"/>
      <c r="CD29" s="478"/>
      <c r="CE29" s="478"/>
      <c r="CF29" s="478"/>
      <c r="CG29" s="478"/>
      <c r="CH29" s="478"/>
      <c r="CI29" s="478"/>
      <c r="CJ29" s="478"/>
      <c r="CK29" s="478"/>
      <c r="CL29" s="478"/>
      <c r="CM29" s="478"/>
      <c r="CN29" s="478"/>
      <c r="CO29" s="478"/>
      <c r="CP29" s="478"/>
      <c r="CQ29" s="478"/>
      <c r="CR29" s="478"/>
      <c r="CS29" s="478"/>
      <c r="CT29" s="478"/>
      <c r="CU29" s="478"/>
      <c r="CV29" s="478"/>
      <c r="CW29" s="478"/>
      <c r="CX29" s="478"/>
      <c r="CY29" s="478"/>
      <c r="CZ29" s="478"/>
    </row>
    <row r="30" spans="1:104" ht="56.25" customHeight="1" x14ac:dyDescent="0.2">
      <c r="A30" s="1836"/>
      <c r="B30" s="1842"/>
      <c r="C30" s="475"/>
      <c r="D30" s="475"/>
      <c r="E30" s="476"/>
      <c r="F30" s="476"/>
      <c r="G30" s="476"/>
      <c r="H30" s="476"/>
      <c r="I30" s="476"/>
      <c r="J30" s="476"/>
      <c r="K30" s="476"/>
      <c r="L30" s="476"/>
      <c r="M30" s="476"/>
      <c r="N30" s="476"/>
      <c r="O30" s="476"/>
      <c r="P30" s="476"/>
      <c r="Q30" s="476"/>
      <c r="R30" s="476"/>
      <c r="S30" s="476"/>
      <c r="T30" s="1844" t="s">
        <v>1349</v>
      </c>
      <c r="U30" s="475" t="s">
        <v>1350</v>
      </c>
      <c r="V30" s="477" t="s">
        <v>1339</v>
      </c>
      <c r="W30" s="897" t="s">
        <v>1351</v>
      </c>
      <c r="X30" s="921">
        <v>1</v>
      </c>
      <c r="Y30" s="921" t="s">
        <v>177</v>
      </c>
      <c r="Z30" s="921" t="s">
        <v>177</v>
      </c>
      <c r="AA30" s="921"/>
      <c r="AB30" s="921"/>
      <c r="AC30" s="921"/>
      <c r="AD30" s="921"/>
      <c r="AE30" s="921"/>
      <c r="AF30" s="921"/>
      <c r="AG30" s="921"/>
      <c r="AH30" s="921"/>
      <c r="AI30" s="921"/>
      <c r="AJ30" s="921"/>
      <c r="AK30" s="921"/>
      <c r="AL30" s="934">
        <v>1</v>
      </c>
      <c r="AM30" s="921">
        <v>0.33</v>
      </c>
      <c r="AN30" s="921"/>
      <c r="AO30" s="921">
        <v>0.33</v>
      </c>
      <c r="AP30" s="921"/>
      <c r="AQ30" s="921">
        <v>0.15</v>
      </c>
      <c r="AR30" s="921"/>
      <c r="AS30" s="921">
        <v>0.13</v>
      </c>
      <c r="AT30" s="921"/>
      <c r="AU30" s="921">
        <f>+AO30+AM30+AQ30+AS30</f>
        <v>0.94000000000000006</v>
      </c>
      <c r="AV30" s="930">
        <f>+AU30/AL30</f>
        <v>0.94000000000000006</v>
      </c>
      <c r="AW30" s="921">
        <f>+AU30+AJ30</f>
        <v>0.94000000000000006</v>
      </c>
      <c r="AX30" s="931">
        <f>+AW30/X30</f>
        <v>0.94000000000000006</v>
      </c>
      <c r="AY30" s="898"/>
      <c r="AZ30" s="898"/>
      <c r="BA30" s="905"/>
      <c r="BB30" s="905"/>
      <c r="BC30" s="905"/>
      <c r="BD30" s="905"/>
      <c r="BE30" s="905"/>
      <c r="BF30" s="905"/>
      <c r="BG30" s="905"/>
      <c r="BH30" s="905"/>
      <c r="BI30" s="898"/>
      <c r="BJ30" s="899">
        <v>1</v>
      </c>
      <c r="BK30" s="899">
        <f>+BJ30</f>
        <v>1</v>
      </c>
      <c r="BL30" s="478"/>
      <c r="BM30" s="478"/>
      <c r="BN30" s="478"/>
      <c r="BO30" s="478"/>
      <c r="BP30" s="478"/>
      <c r="BQ30" s="478"/>
      <c r="BR30" s="478"/>
      <c r="BS30" s="478"/>
      <c r="BT30" s="478"/>
      <c r="BU30" s="478"/>
      <c r="BV30" s="478"/>
      <c r="BW30" s="478"/>
      <c r="BX30" s="478"/>
      <c r="BY30" s="478"/>
      <c r="BZ30" s="478"/>
      <c r="CA30" s="478"/>
      <c r="CB30" s="478"/>
      <c r="CC30" s="478"/>
      <c r="CD30" s="478"/>
      <c r="CE30" s="478"/>
      <c r="CF30" s="478"/>
      <c r="CG30" s="478"/>
      <c r="CH30" s="478"/>
      <c r="CI30" s="478"/>
      <c r="CJ30" s="478"/>
      <c r="CK30" s="478"/>
      <c r="CL30" s="478"/>
      <c r="CM30" s="478"/>
      <c r="CN30" s="478"/>
      <c r="CO30" s="478"/>
      <c r="CP30" s="478"/>
      <c r="CQ30" s="478"/>
      <c r="CR30" s="478"/>
      <c r="CS30" s="478"/>
      <c r="CT30" s="478"/>
      <c r="CU30" s="478"/>
      <c r="CV30" s="478"/>
      <c r="CW30" s="478"/>
      <c r="CX30" s="478"/>
      <c r="CY30" s="478"/>
      <c r="CZ30" s="478"/>
    </row>
    <row r="31" spans="1:104" ht="87" customHeight="1" x14ac:dyDescent="0.2">
      <c r="A31" s="1836"/>
      <c r="B31" s="1842"/>
      <c r="C31" s="475"/>
      <c r="D31" s="475"/>
      <c r="E31" s="476"/>
      <c r="F31" s="476"/>
      <c r="G31" s="476"/>
      <c r="H31" s="476"/>
      <c r="I31" s="476"/>
      <c r="J31" s="476"/>
      <c r="K31" s="476"/>
      <c r="L31" s="476"/>
      <c r="M31" s="476"/>
      <c r="N31" s="476"/>
      <c r="O31" s="476"/>
      <c r="P31" s="476"/>
      <c r="Q31" s="476"/>
      <c r="R31" s="476"/>
      <c r="S31" s="476"/>
      <c r="T31" s="1845"/>
      <c r="U31" s="475" t="s">
        <v>1352</v>
      </c>
      <c r="V31" s="477" t="s">
        <v>1339</v>
      </c>
      <c r="W31" s="935" t="s">
        <v>1353</v>
      </c>
      <c r="X31" s="899">
        <v>0.3</v>
      </c>
      <c r="Y31" s="898" t="s">
        <v>177</v>
      </c>
      <c r="Z31" s="898" t="s">
        <v>177</v>
      </c>
      <c r="AA31" s="899"/>
      <c r="AB31" s="898"/>
      <c r="AC31" s="898"/>
      <c r="AD31" s="899">
        <v>0.5</v>
      </c>
      <c r="AE31" s="898"/>
      <c r="AF31" s="898"/>
      <c r="AG31" s="898"/>
      <c r="AH31" s="898"/>
      <c r="AI31" s="898"/>
      <c r="AJ31" s="898"/>
      <c r="AK31" s="898"/>
      <c r="AL31" s="898" t="s">
        <v>177</v>
      </c>
      <c r="AM31" s="898"/>
      <c r="AN31" s="898"/>
      <c r="AO31" s="898"/>
      <c r="AP31" s="898"/>
      <c r="AQ31" s="898"/>
      <c r="AR31" s="898"/>
      <c r="AS31" s="898"/>
      <c r="AT31" s="898"/>
      <c r="AU31" s="898"/>
      <c r="AV31" s="898"/>
      <c r="AW31" s="898"/>
      <c r="AX31" s="922"/>
      <c r="AY31" s="899">
        <v>0.3</v>
      </c>
      <c r="AZ31" s="898">
        <v>0</v>
      </c>
      <c r="BA31" s="905"/>
      <c r="BB31" s="899">
        <v>0.18</v>
      </c>
      <c r="BC31" s="898"/>
      <c r="BD31" s="898">
        <v>0</v>
      </c>
      <c r="BE31" s="898"/>
      <c r="BF31" s="899">
        <v>0.32</v>
      </c>
      <c r="BG31" s="898"/>
      <c r="BH31" s="899">
        <f>+BB31+BF31</f>
        <v>0.5</v>
      </c>
      <c r="BI31" s="951">
        <v>1</v>
      </c>
      <c r="BJ31" s="899">
        <f>+BI31</f>
        <v>1</v>
      </c>
      <c r="BK31" s="899">
        <f>+BJ31</f>
        <v>1</v>
      </c>
      <c r="BL31" s="478"/>
      <c r="BM31" s="478"/>
      <c r="BN31" s="478"/>
      <c r="BO31" s="478"/>
      <c r="BP31" s="478"/>
      <c r="BQ31" s="478"/>
      <c r="BR31" s="478"/>
      <c r="BS31" s="478"/>
      <c r="BT31" s="478"/>
      <c r="BU31" s="478"/>
      <c r="BV31" s="478"/>
      <c r="BW31" s="478"/>
      <c r="BX31" s="478"/>
      <c r="BY31" s="478"/>
      <c r="BZ31" s="478"/>
      <c r="CA31" s="478"/>
      <c r="CB31" s="478"/>
      <c r="CC31" s="478"/>
      <c r="CD31" s="478"/>
      <c r="CE31" s="478"/>
      <c r="CF31" s="478"/>
      <c r="CG31" s="478"/>
      <c r="CH31" s="478"/>
      <c r="CI31" s="478"/>
      <c r="CJ31" s="478"/>
      <c r="CK31" s="478"/>
      <c r="CL31" s="478"/>
      <c r="CM31" s="478"/>
      <c r="CN31" s="478"/>
      <c r="CO31" s="478"/>
      <c r="CP31" s="478"/>
      <c r="CQ31" s="478"/>
      <c r="CR31" s="478"/>
      <c r="CS31" s="478"/>
      <c r="CT31" s="478"/>
      <c r="CU31" s="478"/>
      <c r="CV31" s="478"/>
      <c r="CW31" s="478"/>
      <c r="CX31" s="478"/>
      <c r="CY31" s="478"/>
      <c r="CZ31" s="478"/>
    </row>
    <row r="32" spans="1:104" ht="72" customHeight="1" x14ac:dyDescent="0.2">
      <c r="A32" s="1836"/>
      <c r="B32" s="1842"/>
      <c r="C32" s="475"/>
      <c r="D32" s="475"/>
      <c r="E32" s="476"/>
      <c r="F32" s="476"/>
      <c r="G32" s="476"/>
      <c r="H32" s="476"/>
      <c r="I32" s="476"/>
      <c r="J32" s="476"/>
      <c r="K32" s="476"/>
      <c r="L32" s="476"/>
      <c r="M32" s="476"/>
      <c r="N32" s="476"/>
      <c r="O32" s="476"/>
      <c r="P32" s="476"/>
      <c r="Q32" s="476"/>
      <c r="R32" s="476"/>
      <c r="S32" s="476"/>
      <c r="T32" s="1845"/>
      <c r="U32" s="475" t="s">
        <v>1354</v>
      </c>
      <c r="V32" s="477" t="s">
        <v>1339</v>
      </c>
      <c r="W32" s="897" t="s">
        <v>1355</v>
      </c>
      <c r="X32" s="928">
        <v>0.1</v>
      </c>
      <c r="Y32" s="927" t="s">
        <v>177</v>
      </c>
      <c r="Z32" s="936">
        <v>3.4000000000000002E-2</v>
      </c>
      <c r="AA32" s="928">
        <v>0.05</v>
      </c>
      <c r="AB32" s="927"/>
      <c r="AC32" s="928">
        <f>+Z32/X32</f>
        <v>0.34</v>
      </c>
      <c r="AD32" s="928">
        <v>0.5</v>
      </c>
      <c r="AE32" s="927"/>
      <c r="AF32" s="927"/>
      <c r="AG32" s="927"/>
      <c r="AH32" s="927"/>
      <c r="AI32" s="927"/>
      <c r="AJ32" s="927"/>
      <c r="AK32" s="927"/>
      <c r="AL32" s="936">
        <v>3.4000000000000002E-2</v>
      </c>
      <c r="AM32" s="927">
        <v>0</v>
      </c>
      <c r="AN32" s="927"/>
      <c r="AO32" s="927">
        <v>0</v>
      </c>
      <c r="AP32" s="927"/>
      <c r="AQ32" s="927">
        <v>0</v>
      </c>
      <c r="AR32" s="927"/>
      <c r="AS32" s="927">
        <v>0</v>
      </c>
      <c r="AT32" s="927"/>
      <c r="AU32" s="927">
        <f>+AO32+AM32</f>
        <v>0</v>
      </c>
      <c r="AV32" s="928">
        <f>+AU32/AL32</f>
        <v>0</v>
      </c>
      <c r="AW32" s="927">
        <f>+AU32+AJ32</f>
        <v>0</v>
      </c>
      <c r="AX32" s="937">
        <f>+AW32/X32</f>
        <v>0</v>
      </c>
      <c r="AY32" s="899">
        <v>0.05</v>
      </c>
      <c r="AZ32" s="898">
        <v>0</v>
      </c>
      <c r="BA32" s="905"/>
      <c r="BB32" s="898">
        <v>0</v>
      </c>
      <c r="BC32" s="898"/>
      <c r="BD32" s="898">
        <v>0</v>
      </c>
      <c r="BE32" s="898"/>
      <c r="BF32" s="898">
        <v>0</v>
      </c>
      <c r="BG32" s="898"/>
      <c r="BH32" s="898">
        <v>0</v>
      </c>
      <c r="BI32" s="899">
        <v>0</v>
      </c>
      <c r="BJ32" s="898">
        <v>0</v>
      </c>
      <c r="BK32" s="899">
        <v>0</v>
      </c>
      <c r="BL32" s="478"/>
      <c r="BM32" s="478"/>
      <c r="BN32" s="478"/>
      <c r="BO32" s="478"/>
      <c r="BP32" s="478"/>
      <c r="BQ32" s="478"/>
      <c r="BR32" s="478"/>
      <c r="BS32" s="478"/>
      <c r="BT32" s="478"/>
      <c r="BU32" s="478"/>
      <c r="BV32" s="478"/>
      <c r="BW32" s="478"/>
      <c r="BX32" s="478"/>
      <c r="BY32" s="478"/>
      <c r="BZ32" s="478"/>
      <c r="CA32" s="478"/>
      <c r="CB32" s="478"/>
      <c r="CC32" s="478"/>
      <c r="CD32" s="478"/>
      <c r="CE32" s="478"/>
      <c r="CF32" s="478"/>
      <c r="CG32" s="478"/>
      <c r="CH32" s="478"/>
      <c r="CI32" s="478"/>
      <c r="CJ32" s="478"/>
      <c r="CK32" s="478"/>
      <c r="CL32" s="478"/>
      <c r="CM32" s="478"/>
      <c r="CN32" s="478"/>
      <c r="CO32" s="478"/>
      <c r="CP32" s="478"/>
      <c r="CQ32" s="478"/>
      <c r="CR32" s="478"/>
      <c r="CS32" s="478"/>
      <c r="CT32" s="478"/>
      <c r="CU32" s="478"/>
      <c r="CV32" s="478"/>
      <c r="CW32" s="478"/>
      <c r="CX32" s="478"/>
      <c r="CY32" s="478"/>
      <c r="CZ32" s="478"/>
    </row>
    <row r="33" spans="1:104" ht="24.75" customHeight="1" x14ac:dyDescent="0.2">
      <c r="A33" s="1836"/>
      <c r="B33" s="1842"/>
      <c r="C33" s="475"/>
      <c r="D33" s="475"/>
      <c r="E33" s="476"/>
      <c r="F33" s="476"/>
      <c r="G33" s="476"/>
      <c r="H33" s="476"/>
      <c r="I33" s="476"/>
      <c r="J33" s="476"/>
      <c r="K33" s="476"/>
      <c r="L33" s="476"/>
      <c r="M33" s="476"/>
      <c r="N33" s="476"/>
      <c r="O33" s="476"/>
      <c r="P33" s="476"/>
      <c r="Q33" s="476"/>
      <c r="R33" s="476"/>
      <c r="S33" s="476"/>
      <c r="T33" s="1846"/>
      <c r="U33" s="481"/>
      <c r="V33" s="481"/>
      <c r="W33" s="910"/>
      <c r="X33" s="911"/>
      <c r="Y33" s="911"/>
      <c r="Z33" s="911"/>
      <c r="AA33" s="911"/>
      <c r="AB33" s="911"/>
      <c r="AC33" s="912">
        <f>+AC32</f>
        <v>0.34</v>
      </c>
      <c r="AD33" s="912">
        <f>AVERAGE(AD30:AD32)</f>
        <v>0.5</v>
      </c>
      <c r="AE33" s="911"/>
      <c r="AF33" s="911"/>
      <c r="AG33" s="911"/>
      <c r="AH33" s="911"/>
      <c r="AI33" s="911"/>
      <c r="AJ33" s="911"/>
      <c r="AK33" s="911"/>
      <c r="AL33" s="911"/>
      <c r="AM33" s="914"/>
      <c r="AN33" s="914"/>
      <c r="AO33" s="914"/>
      <c r="AP33" s="914"/>
      <c r="AQ33" s="914"/>
      <c r="AR33" s="914"/>
      <c r="AS33" s="914"/>
      <c r="AT33" s="914"/>
      <c r="AU33" s="914"/>
      <c r="AV33" s="913">
        <f>AVERAGE(AV30:AV32)</f>
        <v>0.47000000000000003</v>
      </c>
      <c r="AW33" s="914"/>
      <c r="AX33" s="926">
        <f>AVERAGE(AX30:AX32)</f>
        <v>0.47000000000000003</v>
      </c>
      <c r="AY33" s="905"/>
      <c r="AZ33" s="905"/>
      <c r="BA33" s="905"/>
      <c r="BB33" s="905"/>
      <c r="BC33" s="905"/>
      <c r="BD33" s="905"/>
      <c r="BE33" s="905"/>
      <c r="BF33" s="905"/>
      <c r="BG33" s="905"/>
      <c r="BH33" s="905"/>
      <c r="BI33" s="920">
        <f>AVERAGE(BI30:BI32)</f>
        <v>0.5</v>
      </c>
      <c r="BJ33" s="905"/>
      <c r="BK33" s="920">
        <f>AVERAGE(BK30:BK32)</f>
        <v>0.66666666666666663</v>
      </c>
      <c r="BL33" s="478"/>
      <c r="BM33" s="478"/>
      <c r="BN33" s="478"/>
      <c r="BO33" s="478"/>
      <c r="BP33" s="478"/>
      <c r="BQ33" s="478"/>
      <c r="BR33" s="478"/>
      <c r="BS33" s="478"/>
      <c r="BT33" s="478"/>
      <c r="BU33" s="478"/>
      <c r="BV33" s="478"/>
      <c r="BW33" s="478"/>
      <c r="BX33" s="478"/>
      <c r="BY33" s="478"/>
      <c r="BZ33" s="478"/>
      <c r="CA33" s="478"/>
      <c r="CB33" s="478"/>
      <c r="CC33" s="478"/>
      <c r="CD33" s="478"/>
      <c r="CE33" s="478"/>
      <c r="CF33" s="478"/>
      <c r="CG33" s="478"/>
      <c r="CH33" s="478"/>
      <c r="CI33" s="478"/>
      <c r="CJ33" s="478"/>
      <c r="CK33" s="478"/>
      <c r="CL33" s="478"/>
      <c r="CM33" s="478"/>
      <c r="CN33" s="478"/>
      <c r="CO33" s="478"/>
      <c r="CP33" s="478"/>
      <c r="CQ33" s="478"/>
      <c r="CR33" s="478"/>
      <c r="CS33" s="478"/>
      <c r="CT33" s="478"/>
      <c r="CU33" s="478"/>
      <c r="CV33" s="478"/>
      <c r="CW33" s="478"/>
      <c r="CX33" s="478"/>
      <c r="CY33" s="478"/>
      <c r="CZ33" s="478"/>
    </row>
    <row r="34" spans="1:104" ht="96.75" customHeight="1" x14ac:dyDescent="0.2">
      <c r="A34" s="1836"/>
      <c r="B34" s="1842"/>
      <c r="C34" s="475"/>
      <c r="D34" s="475"/>
      <c r="E34" s="476"/>
      <c r="F34" s="476"/>
      <c r="G34" s="476"/>
      <c r="H34" s="476"/>
      <c r="I34" s="476"/>
      <c r="J34" s="476"/>
      <c r="K34" s="476"/>
      <c r="L34" s="476"/>
      <c r="M34" s="476"/>
      <c r="N34" s="476"/>
      <c r="O34" s="476"/>
      <c r="P34" s="476"/>
      <c r="Q34" s="476"/>
      <c r="R34" s="476"/>
      <c r="S34" s="476"/>
      <c r="T34" s="1844" t="s">
        <v>1357</v>
      </c>
      <c r="U34" s="475" t="s">
        <v>1358</v>
      </c>
      <c r="V34" s="477" t="s">
        <v>1339</v>
      </c>
      <c r="W34" s="897" t="s">
        <v>1359</v>
      </c>
      <c r="X34" s="898">
        <v>6</v>
      </c>
      <c r="Y34" s="898" t="s">
        <v>177</v>
      </c>
      <c r="Z34" s="898">
        <v>2</v>
      </c>
      <c r="AA34" s="898">
        <v>3</v>
      </c>
      <c r="AB34" s="898"/>
      <c r="AC34" s="899">
        <f>+Z34/X34</f>
        <v>0.33333333333333331</v>
      </c>
      <c r="AD34" s="899">
        <v>0.5</v>
      </c>
      <c r="AE34" s="898"/>
      <c r="AF34" s="898"/>
      <c r="AG34" s="898"/>
      <c r="AH34" s="898"/>
      <c r="AI34" s="898"/>
      <c r="AJ34" s="898"/>
      <c r="AK34" s="898"/>
      <c r="AL34" s="898">
        <v>2</v>
      </c>
      <c r="AM34" s="898">
        <v>0</v>
      </c>
      <c r="AN34" s="898"/>
      <c r="AO34" s="898">
        <v>0</v>
      </c>
      <c r="AP34" s="898"/>
      <c r="AQ34" s="898">
        <v>1</v>
      </c>
      <c r="AR34" s="898"/>
      <c r="AS34" s="898">
        <v>0.25</v>
      </c>
      <c r="AT34" s="898"/>
      <c r="AU34" s="898">
        <f>+AQ34+AS34</f>
        <v>1.25</v>
      </c>
      <c r="AV34" s="899">
        <f>+AU34/AL34</f>
        <v>0.625</v>
      </c>
      <c r="AW34" s="898">
        <f>+AU34+AJ34</f>
        <v>1.25</v>
      </c>
      <c r="AX34" s="904">
        <f>+AW34/X34</f>
        <v>0.20833333333333334</v>
      </c>
      <c r="AY34" s="898">
        <f>AA34</f>
        <v>3</v>
      </c>
      <c r="AZ34" s="898">
        <v>0</v>
      </c>
      <c r="BA34" s="898"/>
      <c r="BB34" s="898">
        <v>2</v>
      </c>
      <c r="BC34" s="898"/>
      <c r="BD34" s="898">
        <v>1</v>
      </c>
      <c r="BE34" s="898"/>
      <c r="BF34" s="898">
        <v>1</v>
      </c>
      <c r="BG34" s="898"/>
      <c r="BH34" s="898">
        <f>+BB34+BD34+BF34</f>
        <v>4</v>
      </c>
      <c r="BI34" s="951">
        <v>1</v>
      </c>
      <c r="BJ34" s="898">
        <f>BH34+AW34+0.75</f>
        <v>6</v>
      </c>
      <c r="BK34" s="951">
        <f>BJ34/X34</f>
        <v>1</v>
      </c>
      <c r="BL34" s="478"/>
      <c r="BM34" s="478"/>
      <c r="BN34" s="478"/>
      <c r="BO34" s="478"/>
      <c r="BP34" s="478"/>
      <c r="BQ34" s="478"/>
      <c r="BR34" s="478"/>
      <c r="BS34" s="478"/>
      <c r="BT34" s="478"/>
      <c r="BU34" s="478"/>
      <c r="BV34" s="478"/>
      <c r="BW34" s="478"/>
      <c r="BX34" s="478"/>
      <c r="BY34" s="478"/>
      <c r="BZ34" s="478"/>
      <c r="CA34" s="478"/>
      <c r="CB34" s="478"/>
      <c r="CC34" s="478"/>
      <c r="CD34" s="478"/>
      <c r="CE34" s="478"/>
      <c r="CF34" s="478"/>
      <c r="CG34" s="478"/>
      <c r="CH34" s="478"/>
      <c r="CI34" s="478"/>
      <c r="CJ34" s="478"/>
      <c r="CK34" s="478"/>
      <c r="CL34" s="478"/>
      <c r="CM34" s="478"/>
      <c r="CN34" s="478"/>
      <c r="CO34" s="478"/>
      <c r="CP34" s="478"/>
      <c r="CQ34" s="478"/>
      <c r="CR34" s="478"/>
      <c r="CS34" s="478"/>
      <c r="CT34" s="478"/>
      <c r="CU34" s="478"/>
      <c r="CV34" s="478"/>
      <c r="CW34" s="478"/>
      <c r="CX34" s="478"/>
      <c r="CY34" s="478"/>
      <c r="CZ34" s="478"/>
    </row>
    <row r="35" spans="1:104" ht="84" customHeight="1" x14ac:dyDescent="0.2">
      <c r="A35" s="1836"/>
      <c r="B35" s="1842"/>
      <c r="C35" s="475"/>
      <c r="D35" s="475"/>
      <c r="E35" s="476"/>
      <c r="F35" s="476"/>
      <c r="G35" s="476"/>
      <c r="H35" s="476"/>
      <c r="I35" s="476"/>
      <c r="J35" s="476"/>
      <c r="K35" s="476"/>
      <c r="L35" s="476"/>
      <c r="M35" s="476"/>
      <c r="N35" s="476"/>
      <c r="O35" s="476"/>
      <c r="P35" s="476"/>
      <c r="Q35" s="476"/>
      <c r="R35" s="476"/>
      <c r="S35" s="476"/>
      <c r="T35" s="1845"/>
      <c r="U35" s="475" t="s">
        <v>1360</v>
      </c>
      <c r="V35" s="477" t="s">
        <v>201</v>
      </c>
      <c r="W35" s="897" t="s">
        <v>1361</v>
      </c>
      <c r="X35" s="898">
        <v>800</v>
      </c>
      <c r="Y35" s="898" t="s">
        <v>177</v>
      </c>
      <c r="Z35" s="898">
        <v>300</v>
      </c>
      <c r="AA35" s="898">
        <v>500</v>
      </c>
      <c r="AB35" s="898"/>
      <c r="AC35" s="899">
        <f>+Z35/X35</f>
        <v>0.375</v>
      </c>
      <c r="AD35" s="899">
        <f>AA35/X35</f>
        <v>0.625</v>
      </c>
      <c r="AE35" s="898"/>
      <c r="AF35" s="898"/>
      <c r="AG35" s="898"/>
      <c r="AH35" s="898"/>
      <c r="AI35" s="898"/>
      <c r="AJ35" s="898"/>
      <c r="AK35" s="898"/>
      <c r="AL35" s="898">
        <v>300</v>
      </c>
      <c r="AM35" s="898">
        <v>0</v>
      </c>
      <c r="AN35" s="898"/>
      <c r="AO35" s="898">
        <v>0</v>
      </c>
      <c r="AP35" s="898"/>
      <c r="AQ35" s="898">
        <v>0</v>
      </c>
      <c r="AR35" s="898"/>
      <c r="AS35" s="898"/>
      <c r="AT35" s="898"/>
      <c r="AU35" s="898">
        <f>+AM35</f>
        <v>0</v>
      </c>
      <c r="AV35" s="899">
        <f>+AU35/AL35</f>
        <v>0</v>
      </c>
      <c r="AW35" s="898">
        <f>+AU35+AJ35</f>
        <v>0</v>
      </c>
      <c r="AX35" s="904">
        <f>+AW35/X35</f>
        <v>0</v>
      </c>
      <c r="AY35" s="898">
        <f>AA35</f>
        <v>500</v>
      </c>
      <c r="AZ35" s="898">
        <v>205</v>
      </c>
      <c r="BA35" s="898"/>
      <c r="BB35" s="898">
        <v>0</v>
      </c>
      <c r="BC35" s="898"/>
      <c r="BD35" s="898">
        <v>84</v>
      </c>
      <c r="BE35" s="898"/>
      <c r="BF35" s="898">
        <v>0</v>
      </c>
      <c r="BG35" s="898"/>
      <c r="BH35" s="898">
        <f>AZ35+BD35</f>
        <v>289</v>
      </c>
      <c r="BI35" s="951">
        <f>BH35/AY35</f>
        <v>0.57799999999999996</v>
      </c>
      <c r="BJ35" s="898">
        <f>BH35+AW35+199</f>
        <v>488</v>
      </c>
      <c r="BK35" s="951">
        <f>BJ35/X35</f>
        <v>0.61</v>
      </c>
      <c r="BL35" s="478"/>
      <c r="BM35" s="478"/>
      <c r="BN35" s="478"/>
      <c r="BO35" s="478"/>
      <c r="BP35" s="478"/>
      <c r="BQ35" s="478"/>
      <c r="BR35" s="478"/>
      <c r="BS35" s="478"/>
      <c r="BT35" s="478"/>
      <c r="BU35" s="478"/>
      <c r="BV35" s="478"/>
      <c r="BW35" s="478"/>
      <c r="BX35" s="478"/>
      <c r="BY35" s="478"/>
      <c r="BZ35" s="478"/>
      <c r="CA35" s="478"/>
      <c r="CB35" s="478"/>
      <c r="CC35" s="478"/>
      <c r="CD35" s="478"/>
      <c r="CE35" s="478"/>
      <c r="CF35" s="478"/>
      <c r="CG35" s="478"/>
      <c r="CH35" s="478"/>
      <c r="CI35" s="478"/>
      <c r="CJ35" s="478"/>
      <c r="CK35" s="478"/>
      <c r="CL35" s="478"/>
      <c r="CM35" s="478"/>
      <c r="CN35" s="478"/>
      <c r="CO35" s="478"/>
      <c r="CP35" s="478"/>
      <c r="CQ35" s="478"/>
      <c r="CR35" s="478"/>
      <c r="CS35" s="478"/>
      <c r="CT35" s="478"/>
      <c r="CU35" s="478"/>
      <c r="CV35" s="478"/>
      <c r="CW35" s="478"/>
      <c r="CX35" s="478"/>
      <c r="CY35" s="478"/>
      <c r="CZ35" s="478"/>
    </row>
    <row r="36" spans="1:104" ht="31.5" customHeight="1" x14ac:dyDescent="0.2">
      <c r="A36" s="1836"/>
      <c r="B36" s="1842"/>
      <c r="C36" s="475"/>
      <c r="D36" s="475"/>
      <c r="E36" s="476"/>
      <c r="F36" s="476"/>
      <c r="G36" s="476"/>
      <c r="H36" s="476"/>
      <c r="I36" s="476"/>
      <c r="J36" s="476"/>
      <c r="K36" s="476"/>
      <c r="L36" s="476"/>
      <c r="M36" s="476"/>
      <c r="N36" s="476"/>
      <c r="O36" s="476"/>
      <c r="P36" s="476"/>
      <c r="Q36" s="476"/>
      <c r="R36" s="476"/>
      <c r="S36" s="476"/>
      <c r="T36" s="1846"/>
      <c r="U36" s="481"/>
      <c r="V36" s="481"/>
      <c r="W36" s="910"/>
      <c r="X36" s="911"/>
      <c r="Y36" s="911"/>
      <c r="Z36" s="911"/>
      <c r="AA36" s="911"/>
      <c r="AB36" s="911"/>
      <c r="AC36" s="912">
        <f>+(AC34+AC35)/2</f>
        <v>0.35416666666666663</v>
      </c>
      <c r="AD36" s="912"/>
      <c r="AE36" s="911"/>
      <c r="AF36" s="911"/>
      <c r="AG36" s="911"/>
      <c r="AH36" s="911"/>
      <c r="AI36" s="911"/>
      <c r="AJ36" s="911"/>
      <c r="AK36" s="911"/>
      <c r="AL36" s="911"/>
      <c r="AM36" s="914"/>
      <c r="AN36" s="914"/>
      <c r="AO36" s="914"/>
      <c r="AP36" s="914"/>
      <c r="AQ36" s="914"/>
      <c r="AR36" s="914"/>
      <c r="AS36" s="914"/>
      <c r="AT36" s="914"/>
      <c r="AU36" s="914"/>
      <c r="AV36" s="913">
        <f>AVERAGE(AV34:AV35)</f>
        <v>0.3125</v>
      </c>
      <c r="AW36" s="1010"/>
      <c r="AX36" s="1011">
        <f>AVERAGE(AX34:AX35)</f>
        <v>0.10416666666666667</v>
      </c>
      <c r="AY36" s="1005"/>
      <c r="AZ36" s="1005"/>
      <c r="BA36" s="1005"/>
      <c r="BB36" s="1005"/>
      <c r="BC36" s="1005"/>
      <c r="BD36" s="1005"/>
      <c r="BE36" s="1005"/>
      <c r="BF36" s="1005"/>
      <c r="BG36" s="1005"/>
      <c r="BH36" s="1005"/>
      <c r="BI36" s="1011">
        <f>AVERAGE(BI34:BI35)</f>
        <v>0.78899999999999992</v>
      </c>
      <c r="BJ36" s="1005"/>
      <c r="BK36" s="920">
        <f>AVERAGE(BK34:BK35)</f>
        <v>0.80499999999999994</v>
      </c>
      <c r="BL36" s="478"/>
      <c r="BM36" s="478"/>
      <c r="BN36" s="478"/>
      <c r="BO36" s="478"/>
      <c r="BP36" s="478"/>
      <c r="BQ36" s="478"/>
      <c r="BR36" s="478"/>
      <c r="BS36" s="478"/>
      <c r="BT36" s="478"/>
      <c r="BU36" s="478"/>
      <c r="BV36" s="478"/>
      <c r="BW36" s="478"/>
      <c r="BX36" s="478"/>
      <c r="BY36" s="478"/>
      <c r="BZ36" s="478"/>
      <c r="CA36" s="478"/>
      <c r="CB36" s="478"/>
      <c r="CC36" s="478"/>
      <c r="CD36" s="478"/>
      <c r="CE36" s="478"/>
      <c r="CF36" s="478"/>
      <c r="CG36" s="478"/>
      <c r="CH36" s="478"/>
      <c r="CI36" s="478"/>
      <c r="CJ36" s="478"/>
      <c r="CK36" s="478"/>
      <c r="CL36" s="478"/>
      <c r="CM36" s="478"/>
      <c r="CN36" s="478"/>
      <c r="CO36" s="478"/>
      <c r="CP36" s="478"/>
      <c r="CQ36" s="478"/>
      <c r="CR36" s="478"/>
      <c r="CS36" s="478"/>
      <c r="CT36" s="478"/>
      <c r="CU36" s="478"/>
      <c r="CV36" s="478"/>
      <c r="CW36" s="478"/>
      <c r="CX36" s="478"/>
      <c r="CY36" s="478"/>
      <c r="CZ36" s="478"/>
    </row>
    <row r="37" spans="1:104" ht="51.75" customHeight="1" x14ac:dyDescent="0.2">
      <c r="A37" s="1836"/>
      <c r="B37" s="1842"/>
      <c r="C37" s="475"/>
      <c r="D37" s="475"/>
      <c r="E37" s="476"/>
      <c r="F37" s="476"/>
      <c r="G37" s="476"/>
      <c r="H37" s="476"/>
      <c r="I37" s="476"/>
      <c r="J37" s="476"/>
      <c r="K37" s="476"/>
      <c r="L37" s="476"/>
      <c r="M37" s="476"/>
      <c r="N37" s="476"/>
      <c r="O37" s="476"/>
      <c r="P37" s="476"/>
      <c r="Q37" s="476"/>
      <c r="R37" s="476"/>
      <c r="S37" s="476"/>
      <c r="T37" s="1844" t="s">
        <v>1362</v>
      </c>
      <c r="U37" s="475" t="s">
        <v>1363</v>
      </c>
      <c r="V37" s="477" t="s">
        <v>1364</v>
      </c>
      <c r="W37" s="897" t="s">
        <v>1365</v>
      </c>
      <c r="X37" s="898">
        <v>1</v>
      </c>
      <c r="Y37" s="898" t="s">
        <v>177</v>
      </c>
      <c r="Z37" s="938">
        <v>0.5</v>
      </c>
      <c r="AA37" s="938">
        <v>1</v>
      </c>
      <c r="AB37" s="898"/>
      <c r="AC37" s="899">
        <f>+Z37/X37</f>
        <v>0.5</v>
      </c>
      <c r="AD37" s="899">
        <v>0.25</v>
      </c>
      <c r="AE37" s="898"/>
      <c r="AF37" s="898"/>
      <c r="AG37" s="898"/>
      <c r="AH37" s="898"/>
      <c r="AI37" s="898"/>
      <c r="AJ37" s="898"/>
      <c r="AK37" s="898"/>
      <c r="AL37" s="938">
        <v>0.5</v>
      </c>
      <c r="AM37" s="898">
        <v>0</v>
      </c>
      <c r="AN37" s="898"/>
      <c r="AO37" s="898">
        <v>0</v>
      </c>
      <c r="AP37" s="898"/>
      <c r="AQ37" s="898">
        <v>0</v>
      </c>
      <c r="AR37" s="898"/>
      <c r="AS37" s="898">
        <v>0</v>
      </c>
      <c r="AT37" s="898"/>
      <c r="AU37" s="898">
        <f>+AO37+AM37</f>
        <v>0</v>
      </c>
      <c r="AV37" s="899">
        <f>+AU37/AL37</f>
        <v>0</v>
      </c>
      <c r="AW37" s="898">
        <f>+AU37+AJ37</f>
        <v>0</v>
      </c>
      <c r="AX37" s="904">
        <f>+AW37/X37</f>
        <v>0</v>
      </c>
      <c r="AY37" s="898">
        <v>1</v>
      </c>
      <c r="AZ37" s="898">
        <v>0.25</v>
      </c>
      <c r="BA37" s="898"/>
      <c r="BB37" s="898">
        <v>0.25</v>
      </c>
      <c r="BC37" s="898"/>
      <c r="BD37" s="898">
        <v>0.1</v>
      </c>
      <c r="BE37" s="898"/>
      <c r="BF37" s="898">
        <v>0.4</v>
      </c>
      <c r="BG37" s="898"/>
      <c r="BH37" s="898">
        <f>AZ37+BB37+BD37+BF37</f>
        <v>1</v>
      </c>
      <c r="BI37" s="951">
        <f>BH37/AY37</f>
        <v>1</v>
      </c>
      <c r="BJ37" s="898">
        <f>BH37+AW37</f>
        <v>1</v>
      </c>
      <c r="BK37" s="951">
        <f>BJ37/X37</f>
        <v>1</v>
      </c>
      <c r="BL37" s="478"/>
      <c r="BM37" s="478"/>
      <c r="BN37" s="478"/>
      <c r="BO37" s="478"/>
      <c r="BP37" s="478"/>
      <c r="BQ37" s="478"/>
      <c r="BR37" s="478"/>
      <c r="BS37" s="478"/>
      <c r="BT37" s="478"/>
      <c r="BU37" s="478"/>
      <c r="BV37" s="478"/>
      <c r="BW37" s="478"/>
      <c r="BX37" s="478"/>
      <c r="BY37" s="478"/>
      <c r="BZ37" s="478"/>
      <c r="CA37" s="478"/>
      <c r="CB37" s="478"/>
      <c r="CC37" s="478"/>
      <c r="CD37" s="478"/>
      <c r="CE37" s="478"/>
      <c r="CF37" s="478"/>
      <c r="CG37" s="478"/>
      <c r="CH37" s="478"/>
      <c r="CI37" s="478"/>
      <c r="CJ37" s="478"/>
      <c r="CK37" s="478"/>
      <c r="CL37" s="478"/>
      <c r="CM37" s="478"/>
      <c r="CN37" s="478"/>
      <c r="CO37" s="478"/>
      <c r="CP37" s="478"/>
      <c r="CQ37" s="478"/>
      <c r="CR37" s="478"/>
      <c r="CS37" s="478"/>
      <c r="CT37" s="478"/>
      <c r="CU37" s="478"/>
      <c r="CV37" s="478"/>
      <c r="CW37" s="478"/>
      <c r="CX37" s="478"/>
      <c r="CY37" s="478"/>
      <c r="CZ37" s="478"/>
    </row>
    <row r="38" spans="1:104" ht="66" customHeight="1" x14ac:dyDescent="0.2">
      <c r="A38" s="1836"/>
      <c r="B38" s="1842"/>
      <c r="C38" s="475"/>
      <c r="D38" s="475"/>
      <c r="E38" s="476"/>
      <c r="F38" s="476"/>
      <c r="G38" s="476"/>
      <c r="H38" s="476"/>
      <c r="I38" s="476"/>
      <c r="J38" s="476"/>
      <c r="K38" s="476"/>
      <c r="L38" s="476"/>
      <c r="M38" s="476"/>
      <c r="N38" s="476"/>
      <c r="O38" s="476"/>
      <c r="P38" s="476"/>
      <c r="Q38" s="476"/>
      <c r="R38" s="476"/>
      <c r="S38" s="476"/>
      <c r="T38" s="1845"/>
      <c r="U38" s="475" t="s">
        <v>1366</v>
      </c>
      <c r="V38" s="477" t="s">
        <v>1364</v>
      </c>
      <c r="W38" s="897" t="s">
        <v>1367</v>
      </c>
      <c r="X38" s="898">
        <v>6</v>
      </c>
      <c r="Y38" s="898" t="s">
        <v>177</v>
      </c>
      <c r="Z38" s="938">
        <v>2</v>
      </c>
      <c r="AA38" s="938">
        <v>4</v>
      </c>
      <c r="AB38" s="898"/>
      <c r="AC38" s="899">
        <f>+Z38/X38</f>
        <v>0.33333333333333331</v>
      </c>
      <c r="AD38" s="899">
        <f>AA38/X38</f>
        <v>0.66666666666666663</v>
      </c>
      <c r="AE38" s="898"/>
      <c r="AF38" s="898"/>
      <c r="AG38" s="898"/>
      <c r="AH38" s="898"/>
      <c r="AI38" s="898"/>
      <c r="AJ38" s="898"/>
      <c r="AK38" s="898"/>
      <c r="AL38" s="938">
        <v>2</v>
      </c>
      <c r="AM38" s="898">
        <v>0</v>
      </c>
      <c r="AN38" s="898"/>
      <c r="AO38" s="898">
        <v>0.25</v>
      </c>
      <c r="AP38" s="898"/>
      <c r="AQ38" s="898">
        <v>0</v>
      </c>
      <c r="AR38" s="898"/>
      <c r="AS38" s="898">
        <v>1</v>
      </c>
      <c r="AT38" s="898"/>
      <c r="AU38" s="898">
        <f>+AO38+AM38+AS38</f>
        <v>1.25</v>
      </c>
      <c r="AV38" s="899">
        <f>+AU38/AL38</f>
        <v>0.625</v>
      </c>
      <c r="AW38" s="898">
        <v>1</v>
      </c>
      <c r="AX38" s="907">
        <f>+AW38/X38</f>
        <v>0.16666666666666666</v>
      </c>
      <c r="AY38" s="898">
        <v>4</v>
      </c>
      <c r="AZ38" s="898">
        <v>0</v>
      </c>
      <c r="BA38" s="898"/>
      <c r="BB38" s="898">
        <v>0</v>
      </c>
      <c r="BC38" s="898">
        <v>0</v>
      </c>
      <c r="BD38" s="898">
        <v>5</v>
      </c>
      <c r="BE38" s="898"/>
      <c r="BF38" s="898">
        <v>0</v>
      </c>
      <c r="BG38" s="898"/>
      <c r="BH38" s="898">
        <f>+BD38</f>
        <v>5</v>
      </c>
      <c r="BI38" s="951">
        <v>1</v>
      </c>
      <c r="BJ38" s="898">
        <f>+BH38+AW38</f>
        <v>6</v>
      </c>
      <c r="BK38" s="951">
        <f>BJ38/X38</f>
        <v>1</v>
      </c>
      <c r="BL38" s="478"/>
      <c r="BM38" s="478"/>
      <c r="BN38" s="478"/>
      <c r="BO38" s="478"/>
      <c r="BP38" s="478"/>
      <c r="BQ38" s="478"/>
      <c r="BR38" s="478"/>
      <c r="BS38" s="478"/>
      <c r="BT38" s="478"/>
      <c r="BU38" s="478"/>
      <c r="BV38" s="478"/>
      <c r="BW38" s="478"/>
      <c r="BX38" s="478"/>
      <c r="BY38" s="478"/>
      <c r="BZ38" s="478"/>
      <c r="CA38" s="478"/>
      <c r="CB38" s="478"/>
      <c r="CC38" s="478"/>
      <c r="CD38" s="478"/>
      <c r="CE38" s="478"/>
      <c r="CF38" s="478"/>
      <c r="CG38" s="478"/>
      <c r="CH38" s="478"/>
      <c r="CI38" s="478"/>
      <c r="CJ38" s="478"/>
      <c r="CK38" s="478"/>
      <c r="CL38" s="478"/>
      <c r="CM38" s="478"/>
      <c r="CN38" s="478"/>
      <c r="CO38" s="478"/>
      <c r="CP38" s="478"/>
      <c r="CQ38" s="478"/>
      <c r="CR38" s="478"/>
      <c r="CS38" s="478"/>
      <c r="CT38" s="478"/>
      <c r="CU38" s="478"/>
      <c r="CV38" s="478"/>
      <c r="CW38" s="478"/>
      <c r="CX38" s="478"/>
      <c r="CY38" s="478"/>
      <c r="CZ38" s="478"/>
    </row>
    <row r="39" spans="1:104" ht="83.25" customHeight="1" x14ac:dyDescent="0.2">
      <c r="A39" s="1836"/>
      <c r="B39" s="1842"/>
      <c r="C39" s="475"/>
      <c r="D39" s="475"/>
      <c r="E39" s="476"/>
      <c r="F39" s="476"/>
      <c r="G39" s="476"/>
      <c r="H39" s="476"/>
      <c r="I39" s="476"/>
      <c r="J39" s="476"/>
      <c r="K39" s="476"/>
      <c r="L39" s="476"/>
      <c r="M39" s="476"/>
      <c r="N39" s="476"/>
      <c r="O39" s="476"/>
      <c r="P39" s="476"/>
      <c r="Q39" s="476"/>
      <c r="R39" s="476"/>
      <c r="S39" s="476"/>
      <c r="T39" s="1845"/>
      <c r="U39" s="475" t="s">
        <v>1368</v>
      </c>
      <c r="V39" s="477" t="s">
        <v>1364</v>
      </c>
      <c r="W39" s="897" t="s">
        <v>1369</v>
      </c>
      <c r="X39" s="898">
        <v>1</v>
      </c>
      <c r="Y39" s="898" t="s">
        <v>177</v>
      </c>
      <c r="Z39" s="938">
        <v>0.5</v>
      </c>
      <c r="AA39" s="938">
        <v>1</v>
      </c>
      <c r="AB39" s="898"/>
      <c r="AC39" s="899">
        <f>+Z39/X39</f>
        <v>0.5</v>
      </c>
      <c r="AD39" s="899">
        <v>0.9</v>
      </c>
      <c r="AE39" s="898"/>
      <c r="AF39" s="898"/>
      <c r="AG39" s="898"/>
      <c r="AH39" s="898"/>
      <c r="AI39" s="898"/>
      <c r="AJ39" s="898"/>
      <c r="AK39" s="898"/>
      <c r="AL39" s="938">
        <v>0.5</v>
      </c>
      <c r="AM39" s="898">
        <v>0</v>
      </c>
      <c r="AN39" s="898"/>
      <c r="AO39" s="898">
        <v>0</v>
      </c>
      <c r="AP39" s="898"/>
      <c r="AQ39" s="898">
        <v>0</v>
      </c>
      <c r="AR39" s="898"/>
      <c r="AS39" s="898">
        <v>0</v>
      </c>
      <c r="AT39" s="898"/>
      <c r="AU39" s="898">
        <f>+AO39+AM39</f>
        <v>0</v>
      </c>
      <c r="AV39" s="899">
        <f>+AU39/AL39</f>
        <v>0</v>
      </c>
      <c r="AW39" s="898">
        <f>+AU39+AJ39</f>
        <v>0</v>
      </c>
      <c r="AX39" s="904">
        <f>+AW39/X39</f>
        <v>0</v>
      </c>
      <c r="AY39" s="898">
        <v>1</v>
      </c>
      <c r="AZ39" s="898">
        <v>0.1</v>
      </c>
      <c r="BA39" s="898"/>
      <c r="BB39" s="898">
        <v>0.25</v>
      </c>
      <c r="BC39" s="898"/>
      <c r="BD39" s="898">
        <v>0.25</v>
      </c>
      <c r="BE39" s="898"/>
      <c r="BF39" s="898">
        <v>0.4</v>
      </c>
      <c r="BG39" s="898"/>
      <c r="BH39" s="898">
        <f>AZ39+BB39+BD39+BF39</f>
        <v>1</v>
      </c>
      <c r="BI39" s="951">
        <f>BH39/AY39</f>
        <v>1</v>
      </c>
      <c r="BJ39" s="898">
        <f>BH39+AW39</f>
        <v>1</v>
      </c>
      <c r="BK39" s="951">
        <f>BJ39/X39</f>
        <v>1</v>
      </c>
      <c r="BL39" s="478"/>
      <c r="BM39" s="478"/>
      <c r="BN39" s="478"/>
      <c r="BO39" s="478"/>
      <c r="BP39" s="478"/>
      <c r="BQ39" s="478"/>
      <c r="BR39" s="478"/>
      <c r="BS39" s="478"/>
      <c r="BT39" s="478"/>
      <c r="BU39" s="478"/>
      <c r="BV39" s="478"/>
      <c r="BW39" s="478"/>
      <c r="BX39" s="478"/>
      <c r="BY39" s="478"/>
      <c r="BZ39" s="478"/>
      <c r="CA39" s="478"/>
      <c r="CB39" s="478"/>
      <c r="CC39" s="478"/>
      <c r="CD39" s="478"/>
      <c r="CE39" s="478"/>
      <c r="CF39" s="478"/>
      <c r="CG39" s="478"/>
      <c r="CH39" s="478"/>
      <c r="CI39" s="478"/>
      <c r="CJ39" s="478"/>
      <c r="CK39" s="478"/>
      <c r="CL39" s="478"/>
      <c r="CM39" s="478"/>
      <c r="CN39" s="478"/>
      <c r="CO39" s="478"/>
      <c r="CP39" s="478"/>
      <c r="CQ39" s="478"/>
      <c r="CR39" s="478"/>
      <c r="CS39" s="478"/>
      <c r="CT39" s="478"/>
      <c r="CU39" s="478"/>
      <c r="CV39" s="478"/>
      <c r="CW39" s="478"/>
      <c r="CX39" s="478"/>
      <c r="CY39" s="478"/>
      <c r="CZ39" s="478"/>
    </row>
    <row r="40" spans="1:104" ht="21.75" customHeight="1" x14ac:dyDescent="0.2">
      <c r="A40" s="1836"/>
      <c r="B40" s="1842"/>
      <c r="C40" s="475"/>
      <c r="D40" s="475"/>
      <c r="E40" s="476"/>
      <c r="F40" s="476"/>
      <c r="G40" s="476"/>
      <c r="H40" s="476"/>
      <c r="I40" s="476"/>
      <c r="J40" s="476"/>
      <c r="K40" s="476"/>
      <c r="L40" s="476"/>
      <c r="M40" s="476"/>
      <c r="N40" s="476"/>
      <c r="O40" s="476"/>
      <c r="P40" s="476"/>
      <c r="Q40" s="476"/>
      <c r="R40" s="476"/>
      <c r="S40" s="476"/>
      <c r="T40" s="1846"/>
      <c r="U40" s="481"/>
      <c r="V40" s="481"/>
      <c r="W40" s="910"/>
      <c r="X40" s="911"/>
      <c r="Y40" s="911"/>
      <c r="Z40" s="911"/>
      <c r="AA40" s="911"/>
      <c r="AB40" s="911"/>
      <c r="AC40" s="912">
        <f>AVERAGE(AC37:AC39)</f>
        <v>0.44444444444444442</v>
      </c>
      <c r="AD40" s="912">
        <f>AVERAGE(AD37:AD39)</f>
        <v>0.60555555555555551</v>
      </c>
      <c r="AE40" s="911"/>
      <c r="AF40" s="911"/>
      <c r="AG40" s="911"/>
      <c r="AH40" s="911"/>
      <c r="AI40" s="911"/>
      <c r="AJ40" s="911"/>
      <c r="AK40" s="911"/>
      <c r="AL40" s="911"/>
      <c r="AM40" s="914"/>
      <c r="AN40" s="914"/>
      <c r="AO40" s="914"/>
      <c r="AP40" s="914"/>
      <c r="AQ40" s="914"/>
      <c r="AR40" s="914"/>
      <c r="AS40" s="914"/>
      <c r="AT40" s="914"/>
      <c r="AU40" s="914"/>
      <c r="AV40" s="913">
        <f>AVERAGE(AV37:AV39)</f>
        <v>0.20833333333333334</v>
      </c>
      <c r="AW40" s="1010"/>
      <c r="AX40" s="1011">
        <f>AVERAGE(AX37:AX39)</f>
        <v>5.5555555555555552E-2</v>
      </c>
      <c r="AY40" s="1005"/>
      <c r="AZ40" s="1005"/>
      <c r="BA40" s="1005"/>
      <c r="BB40" s="1005"/>
      <c r="BC40" s="1005"/>
      <c r="BD40" s="1005"/>
      <c r="BE40" s="1005"/>
      <c r="BF40" s="1005"/>
      <c r="BG40" s="1005"/>
      <c r="BH40" s="1005"/>
      <c r="BI40" s="1011">
        <f>AVERAGE(BI37:BI39)</f>
        <v>1</v>
      </c>
      <c r="BJ40" s="1005"/>
      <c r="BK40" s="920">
        <f>AVERAGE(BK37:BK39)</f>
        <v>1</v>
      </c>
      <c r="BL40" s="478"/>
      <c r="BM40" s="478"/>
      <c r="BN40" s="478"/>
      <c r="BO40" s="478"/>
      <c r="BP40" s="478"/>
      <c r="BQ40" s="478"/>
      <c r="BR40" s="478"/>
      <c r="BS40" s="478"/>
      <c r="BT40" s="478"/>
      <c r="BU40" s="478"/>
      <c r="BV40" s="478"/>
      <c r="BW40" s="478"/>
      <c r="BX40" s="478"/>
      <c r="BY40" s="478"/>
      <c r="BZ40" s="478"/>
      <c r="CA40" s="478"/>
      <c r="CB40" s="478"/>
      <c r="CC40" s="478"/>
      <c r="CD40" s="478"/>
      <c r="CE40" s="478"/>
      <c r="CF40" s="478"/>
      <c r="CG40" s="478"/>
      <c r="CH40" s="478"/>
      <c r="CI40" s="478"/>
      <c r="CJ40" s="478"/>
      <c r="CK40" s="478"/>
      <c r="CL40" s="478"/>
      <c r="CM40" s="478"/>
      <c r="CN40" s="478"/>
      <c r="CO40" s="478"/>
      <c r="CP40" s="478"/>
      <c r="CQ40" s="478"/>
      <c r="CR40" s="478"/>
      <c r="CS40" s="478"/>
      <c r="CT40" s="478"/>
      <c r="CU40" s="478"/>
      <c r="CV40" s="478"/>
      <c r="CW40" s="478"/>
      <c r="CX40" s="478"/>
      <c r="CY40" s="478"/>
      <c r="CZ40" s="478"/>
    </row>
    <row r="41" spans="1:104" ht="54" customHeight="1" x14ac:dyDescent="0.2">
      <c r="A41" s="1836"/>
      <c r="B41" s="1842"/>
      <c r="C41" s="475"/>
      <c r="D41" s="475"/>
      <c r="E41" s="476"/>
      <c r="F41" s="476"/>
      <c r="G41" s="476"/>
      <c r="H41" s="476"/>
      <c r="I41" s="476"/>
      <c r="J41" s="476"/>
      <c r="K41" s="476"/>
      <c r="L41" s="476"/>
      <c r="M41" s="476"/>
      <c r="N41" s="476"/>
      <c r="O41" s="476"/>
      <c r="P41" s="476"/>
      <c r="Q41" s="476"/>
      <c r="R41" s="476"/>
      <c r="S41" s="476"/>
      <c r="T41" s="1844" t="s">
        <v>1370</v>
      </c>
      <c r="U41" s="486" t="s">
        <v>1371</v>
      </c>
      <c r="V41" s="477" t="s">
        <v>1372</v>
      </c>
      <c r="W41" s="939" t="s">
        <v>1373</v>
      </c>
      <c r="X41" s="898">
        <v>1000</v>
      </c>
      <c r="Y41" s="898" t="s">
        <v>177</v>
      </c>
      <c r="Z41" s="898">
        <v>1</v>
      </c>
      <c r="AA41" s="898">
        <v>334</v>
      </c>
      <c r="AB41" s="898"/>
      <c r="AC41" s="902">
        <f>+Z41/X41</f>
        <v>1E-3</v>
      </c>
      <c r="AD41" s="902">
        <f>AA41/X41</f>
        <v>0.33400000000000002</v>
      </c>
      <c r="AE41" s="898"/>
      <c r="AF41" s="898"/>
      <c r="AG41" s="898"/>
      <c r="AH41" s="898"/>
      <c r="AI41" s="898"/>
      <c r="AJ41" s="898"/>
      <c r="AK41" s="898"/>
      <c r="AL41" s="940">
        <v>334</v>
      </c>
      <c r="AM41" s="940"/>
      <c r="AN41" s="940"/>
      <c r="AO41" s="940"/>
      <c r="AP41" s="940"/>
      <c r="AQ41" s="940"/>
      <c r="AR41" s="940"/>
      <c r="AS41" s="898">
        <v>304</v>
      </c>
      <c r="AT41" s="940"/>
      <c r="AU41" s="940">
        <f>+AS41</f>
        <v>304</v>
      </c>
      <c r="AV41" s="941">
        <f>+AU41/AL41</f>
        <v>0.91017964071856283</v>
      </c>
      <c r="AW41" s="940">
        <f>+AS41</f>
        <v>304</v>
      </c>
      <c r="AX41" s="942">
        <f>+AW41/X41</f>
        <v>0.30399999999999999</v>
      </c>
      <c r="AY41" s="898">
        <v>334</v>
      </c>
      <c r="AZ41" s="898">
        <v>0</v>
      </c>
      <c r="BA41" s="898"/>
      <c r="BB41" s="898">
        <v>0</v>
      </c>
      <c r="BC41" s="898"/>
      <c r="BD41" s="898">
        <v>0</v>
      </c>
      <c r="BE41" s="898"/>
      <c r="BF41" s="898">
        <v>305</v>
      </c>
      <c r="BG41" s="898"/>
      <c r="BH41" s="898">
        <f>+BF41</f>
        <v>305</v>
      </c>
      <c r="BI41" s="951">
        <v>1</v>
      </c>
      <c r="BJ41" s="898">
        <f>BH41+AW41</f>
        <v>609</v>
      </c>
      <c r="BK41" s="951">
        <f>BJ41/X41</f>
        <v>0.60899999999999999</v>
      </c>
      <c r="BL41" s="478"/>
      <c r="BM41" s="478"/>
      <c r="BN41" s="478"/>
      <c r="BO41" s="478"/>
      <c r="BP41" s="478"/>
      <c r="BQ41" s="478"/>
      <c r="BR41" s="478"/>
      <c r="BS41" s="478"/>
      <c r="BT41" s="478"/>
      <c r="BU41" s="478"/>
      <c r="BV41" s="478"/>
      <c r="BW41" s="478"/>
      <c r="BX41" s="478"/>
      <c r="BY41" s="478"/>
      <c r="BZ41" s="478"/>
      <c r="CA41" s="478"/>
      <c r="CB41" s="478"/>
      <c r="CC41" s="478"/>
      <c r="CD41" s="478"/>
      <c r="CE41" s="478"/>
      <c r="CF41" s="478"/>
      <c r="CG41" s="478"/>
      <c r="CH41" s="478"/>
      <c r="CI41" s="478"/>
      <c r="CJ41" s="478"/>
      <c r="CK41" s="478"/>
      <c r="CL41" s="478"/>
      <c r="CM41" s="478"/>
      <c r="CN41" s="478"/>
      <c r="CO41" s="478"/>
      <c r="CP41" s="478"/>
      <c r="CQ41" s="478"/>
      <c r="CR41" s="478"/>
      <c r="CS41" s="478"/>
      <c r="CT41" s="478"/>
      <c r="CU41" s="478"/>
      <c r="CV41" s="478"/>
      <c r="CW41" s="478"/>
      <c r="CX41" s="478"/>
      <c r="CY41" s="478"/>
      <c r="CZ41" s="478"/>
    </row>
    <row r="42" spans="1:104" ht="47.25" customHeight="1" x14ac:dyDescent="0.2">
      <c r="A42" s="1836"/>
      <c r="B42" s="1842"/>
      <c r="C42" s="475"/>
      <c r="D42" s="475"/>
      <c r="E42" s="476"/>
      <c r="F42" s="476"/>
      <c r="G42" s="476"/>
      <c r="H42" s="476"/>
      <c r="I42" s="476"/>
      <c r="J42" s="476"/>
      <c r="K42" s="476"/>
      <c r="L42" s="476"/>
      <c r="M42" s="476"/>
      <c r="N42" s="476"/>
      <c r="O42" s="476"/>
      <c r="P42" s="476"/>
      <c r="Q42" s="476"/>
      <c r="R42" s="476"/>
      <c r="S42" s="476"/>
      <c r="T42" s="1845"/>
      <c r="U42" s="486" t="s">
        <v>1374</v>
      </c>
      <c r="V42" s="477" t="s">
        <v>1372</v>
      </c>
      <c r="W42" s="897" t="s">
        <v>1375</v>
      </c>
      <c r="X42" s="898">
        <v>600</v>
      </c>
      <c r="Y42" s="898" t="s">
        <v>177</v>
      </c>
      <c r="Z42" s="898">
        <v>1</v>
      </c>
      <c r="AA42" s="898">
        <v>200</v>
      </c>
      <c r="AB42" s="898"/>
      <c r="AC42" s="902">
        <f>+Z42/X42</f>
        <v>1.6666666666666668E-3</v>
      </c>
      <c r="AD42" s="902"/>
      <c r="AE42" s="898"/>
      <c r="AF42" s="898"/>
      <c r="AG42" s="898"/>
      <c r="AH42" s="898"/>
      <c r="AI42" s="898"/>
      <c r="AJ42" s="898"/>
      <c r="AK42" s="898"/>
      <c r="AL42" s="898">
        <v>200</v>
      </c>
      <c r="AM42" s="943"/>
      <c r="AN42" s="905"/>
      <c r="AO42" s="905"/>
      <c r="AP42" s="905"/>
      <c r="AQ42" s="905"/>
      <c r="AR42" s="905"/>
      <c r="AS42" s="898">
        <v>341</v>
      </c>
      <c r="AT42" s="898"/>
      <c r="AU42" s="898">
        <f>+AS42</f>
        <v>341</v>
      </c>
      <c r="AV42" s="899">
        <v>1</v>
      </c>
      <c r="AW42" s="898">
        <f>+AS42</f>
        <v>341</v>
      </c>
      <c r="AX42" s="904">
        <f>+AW42/X42</f>
        <v>0.56833333333333336</v>
      </c>
      <c r="AY42" s="898">
        <v>200</v>
      </c>
      <c r="AZ42" s="898">
        <v>0</v>
      </c>
      <c r="BA42" s="898"/>
      <c r="BB42" s="898">
        <v>1504</v>
      </c>
      <c r="BC42" s="898"/>
      <c r="BD42" s="898">
        <f>+BB42</f>
        <v>1504</v>
      </c>
      <c r="BE42" s="898"/>
      <c r="BF42" s="898">
        <v>200</v>
      </c>
      <c r="BG42" s="898"/>
      <c r="BH42" s="898">
        <f>+BB42+BF42</f>
        <v>1704</v>
      </c>
      <c r="BI42" s="944">
        <f>IFERROR(IF((+BH42/AY42)&gt;100%,100%,(+BH42/AY42)),"NP")</f>
        <v>1</v>
      </c>
      <c r="BJ42" s="898">
        <f>BH42+AW42</f>
        <v>2045</v>
      </c>
      <c r="BK42" s="951">
        <v>1</v>
      </c>
      <c r="BL42" s="478"/>
      <c r="BM42" s="478"/>
      <c r="BN42" s="478"/>
      <c r="BO42" s="478"/>
      <c r="BP42" s="478"/>
      <c r="BQ42" s="478"/>
      <c r="BR42" s="478"/>
      <c r="BS42" s="478"/>
      <c r="BT42" s="478"/>
      <c r="BU42" s="478"/>
      <c r="BV42" s="478"/>
      <c r="BW42" s="478"/>
      <c r="BX42" s="478"/>
      <c r="BY42" s="478"/>
      <c r="BZ42" s="478"/>
      <c r="CA42" s="478"/>
      <c r="CB42" s="478"/>
      <c r="CC42" s="478"/>
      <c r="CD42" s="478"/>
      <c r="CE42" s="478"/>
      <c r="CF42" s="478"/>
      <c r="CG42" s="478"/>
      <c r="CH42" s="478"/>
      <c r="CI42" s="478"/>
      <c r="CJ42" s="478"/>
      <c r="CK42" s="478"/>
      <c r="CL42" s="478"/>
      <c r="CM42" s="478"/>
      <c r="CN42" s="478"/>
      <c r="CO42" s="478"/>
      <c r="CP42" s="478"/>
      <c r="CQ42" s="478"/>
      <c r="CR42" s="478"/>
      <c r="CS42" s="478"/>
      <c r="CT42" s="478"/>
      <c r="CU42" s="478"/>
      <c r="CV42" s="478"/>
      <c r="CW42" s="478"/>
      <c r="CX42" s="478"/>
      <c r="CY42" s="478"/>
      <c r="CZ42" s="478"/>
    </row>
    <row r="43" spans="1:104" ht="70.5" customHeight="1" x14ac:dyDescent="0.2">
      <c r="A43" s="1836"/>
      <c r="B43" s="1842"/>
      <c r="C43" s="475"/>
      <c r="D43" s="475"/>
      <c r="E43" s="487"/>
      <c r="F43" s="487"/>
      <c r="G43" s="487"/>
      <c r="H43" s="487"/>
      <c r="I43" s="487"/>
      <c r="J43" s="487"/>
      <c r="K43" s="487"/>
      <c r="L43" s="487"/>
      <c r="M43" s="487"/>
      <c r="N43" s="487"/>
      <c r="O43" s="487"/>
      <c r="P43" s="487"/>
      <c r="Q43" s="487"/>
      <c r="R43" s="487"/>
      <c r="S43" s="487"/>
      <c r="T43" s="1845"/>
      <c r="U43" s="488" t="s">
        <v>1376</v>
      </c>
      <c r="V43" s="477" t="s">
        <v>1372</v>
      </c>
      <c r="W43" s="897" t="s">
        <v>1377</v>
      </c>
      <c r="X43" s="945">
        <v>1</v>
      </c>
      <c r="Y43" s="945">
        <v>1</v>
      </c>
      <c r="Z43" s="945">
        <v>1</v>
      </c>
      <c r="AA43" s="945" t="s">
        <v>319</v>
      </c>
      <c r="AB43" s="946">
        <v>0.25</v>
      </c>
      <c r="AC43" s="902">
        <v>0.25</v>
      </c>
      <c r="AD43" s="902"/>
      <c r="AE43" s="945">
        <v>1</v>
      </c>
      <c r="AF43" s="945">
        <v>1</v>
      </c>
      <c r="AG43" s="945">
        <v>1</v>
      </c>
      <c r="AH43" s="945">
        <f>+AG43</f>
        <v>1</v>
      </c>
      <c r="AI43" s="946">
        <v>1</v>
      </c>
      <c r="AJ43" s="945">
        <v>1</v>
      </c>
      <c r="AK43" s="946">
        <v>1</v>
      </c>
      <c r="AL43" s="947">
        <v>1</v>
      </c>
      <c r="AM43" s="921">
        <f>+AE43</f>
        <v>1</v>
      </c>
      <c r="AN43" s="930">
        <f>+AM43/AC43</f>
        <v>4</v>
      </c>
      <c r="AO43" s="930">
        <v>1</v>
      </c>
      <c r="AP43" s="930" t="e">
        <f>+AO43/P43</f>
        <v>#DIV/0!</v>
      </c>
      <c r="AQ43" s="948"/>
      <c r="AR43" s="948"/>
      <c r="AS43" s="947"/>
      <c r="AT43" s="947"/>
      <c r="AU43" s="947">
        <f>+AL43+AM43</f>
        <v>2</v>
      </c>
      <c r="AV43" s="949">
        <v>1</v>
      </c>
      <c r="AW43" s="930">
        <v>1</v>
      </c>
      <c r="AX43" s="950">
        <v>1</v>
      </c>
      <c r="AY43" s="945" t="s">
        <v>177</v>
      </c>
      <c r="AZ43" s="945"/>
      <c r="BA43" s="945"/>
      <c r="BB43" s="1266">
        <v>2</v>
      </c>
      <c r="BC43" s="945"/>
      <c r="BD43" s="945">
        <v>2</v>
      </c>
      <c r="BE43" s="945"/>
      <c r="BF43" s="945"/>
      <c r="BG43" s="945"/>
      <c r="BH43" s="945">
        <f>+BB43</f>
        <v>2</v>
      </c>
      <c r="BI43" s="944">
        <v>1</v>
      </c>
      <c r="BJ43" s="946">
        <f>AW43</f>
        <v>1</v>
      </c>
      <c r="BK43" s="946">
        <f>BJ43</f>
        <v>1</v>
      </c>
      <c r="BL43" s="489"/>
      <c r="BM43" s="489"/>
      <c r="BN43" s="489"/>
      <c r="BO43" s="489"/>
      <c r="BP43" s="489"/>
      <c r="BQ43" s="489"/>
      <c r="BR43" s="489"/>
      <c r="BS43" s="489"/>
      <c r="BT43" s="489"/>
      <c r="BU43" s="489"/>
      <c r="BV43" s="489"/>
      <c r="BW43" s="489"/>
      <c r="BX43" s="489"/>
      <c r="BY43" s="489"/>
      <c r="BZ43" s="489"/>
      <c r="CA43" s="489"/>
      <c r="CB43" s="489"/>
      <c r="CC43" s="489"/>
      <c r="CD43" s="489"/>
      <c r="CE43" s="489"/>
      <c r="CF43" s="489"/>
      <c r="CG43" s="489"/>
      <c r="CH43" s="489"/>
      <c r="CI43" s="489"/>
      <c r="CJ43" s="489"/>
      <c r="CK43" s="489"/>
      <c r="CL43" s="489"/>
      <c r="CM43" s="489"/>
      <c r="CN43" s="489"/>
      <c r="CO43" s="489"/>
      <c r="CP43" s="489"/>
      <c r="CQ43" s="489"/>
      <c r="CR43" s="489"/>
      <c r="CS43" s="489"/>
      <c r="CT43" s="489"/>
      <c r="CU43" s="489"/>
      <c r="CV43" s="489"/>
      <c r="CW43" s="489"/>
      <c r="CX43" s="489"/>
      <c r="CY43" s="489"/>
      <c r="CZ43" s="489"/>
    </row>
    <row r="44" spans="1:104" ht="40.5" customHeight="1" x14ac:dyDescent="0.2">
      <c r="A44" s="1836"/>
      <c r="B44" s="1842"/>
      <c r="C44" s="475"/>
      <c r="D44" s="475"/>
      <c r="E44" s="476"/>
      <c r="F44" s="476"/>
      <c r="G44" s="476"/>
      <c r="H44" s="476"/>
      <c r="I44" s="476"/>
      <c r="J44" s="476"/>
      <c r="K44" s="476"/>
      <c r="L44" s="476"/>
      <c r="M44" s="476"/>
      <c r="N44" s="476"/>
      <c r="O44" s="476"/>
      <c r="P44" s="476"/>
      <c r="Q44" s="476"/>
      <c r="R44" s="476"/>
      <c r="S44" s="476"/>
      <c r="T44" s="1845"/>
      <c r="U44" s="486" t="s">
        <v>1378</v>
      </c>
      <c r="V44" s="477" t="s">
        <v>1372</v>
      </c>
      <c r="W44" s="897" t="s">
        <v>1379</v>
      </c>
      <c r="X44" s="898">
        <v>1</v>
      </c>
      <c r="Y44" s="898" t="s">
        <v>177</v>
      </c>
      <c r="Z44" s="898" t="s">
        <v>177</v>
      </c>
      <c r="AA44" s="898">
        <v>1</v>
      </c>
      <c r="AB44" s="898"/>
      <c r="AC44" s="898"/>
      <c r="AD44" s="951">
        <f>AA44/X44</f>
        <v>1</v>
      </c>
      <c r="AE44" s="898"/>
      <c r="AF44" s="898"/>
      <c r="AG44" s="898"/>
      <c r="AH44" s="898"/>
      <c r="AI44" s="898"/>
      <c r="AJ44" s="898"/>
      <c r="AK44" s="922"/>
      <c r="AL44" s="898" t="s">
        <v>177</v>
      </c>
      <c r="AM44" s="943"/>
      <c r="AN44" s="905"/>
      <c r="AO44" s="905"/>
      <c r="AP44" s="905"/>
      <c r="AQ44" s="905"/>
      <c r="AR44" s="905"/>
      <c r="AS44" s="905"/>
      <c r="AT44" s="905"/>
      <c r="AU44" s="905"/>
      <c r="AV44" s="952"/>
      <c r="AW44" s="952"/>
      <c r="AX44" s="953"/>
      <c r="AY44" s="898">
        <v>1</v>
      </c>
      <c r="AZ44" s="898">
        <v>0</v>
      </c>
      <c r="BA44" s="898"/>
      <c r="BB44" s="898">
        <v>0</v>
      </c>
      <c r="BC44" s="898"/>
      <c r="BD44" s="898">
        <v>0</v>
      </c>
      <c r="BE44" s="898"/>
      <c r="BF44" s="898"/>
      <c r="BG44" s="898"/>
      <c r="BH44" s="898">
        <f>AZ44</f>
        <v>0</v>
      </c>
      <c r="BI44" s="951">
        <v>0</v>
      </c>
      <c r="BJ44" s="898">
        <f>BH44+AW44</f>
        <v>0</v>
      </c>
      <c r="BK44" s="1173">
        <v>0</v>
      </c>
      <c r="BL44" s="478"/>
      <c r="BM44" s="478"/>
      <c r="BN44" s="478"/>
      <c r="BO44" s="478"/>
      <c r="BP44" s="478"/>
      <c r="BQ44" s="478"/>
      <c r="BR44" s="478"/>
      <c r="BS44" s="478"/>
      <c r="BT44" s="478"/>
      <c r="BU44" s="478"/>
      <c r="BV44" s="478"/>
      <c r="BW44" s="478"/>
      <c r="BX44" s="478"/>
      <c r="BY44" s="478"/>
      <c r="BZ44" s="478"/>
      <c r="CA44" s="478"/>
      <c r="CB44" s="478"/>
      <c r="CC44" s="478"/>
      <c r="CD44" s="478"/>
      <c r="CE44" s="478"/>
      <c r="CF44" s="478"/>
      <c r="CG44" s="478"/>
      <c r="CH44" s="478"/>
      <c r="CI44" s="478"/>
      <c r="CJ44" s="478"/>
      <c r="CK44" s="478"/>
      <c r="CL44" s="478"/>
      <c r="CM44" s="478"/>
      <c r="CN44" s="478"/>
      <c r="CO44" s="478"/>
      <c r="CP44" s="478"/>
      <c r="CQ44" s="478"/>
      <c r="CR44" s="478"/>
      <c r="CS44" s="478"/>
      <c r="CT44" s="478"/>
      <c r="CU44" s="478"/>
      <c r="CV44" s="478"/>
      <c r="CW44" s="478"/>
      <c r="CX44" s="478"/>
      <c r="CY44" s="478"/>
      <c r="CZ44" s="478"/>
    </row>
    <row r="45" spans="1:104" ht="25.5" customHeight="1" x14ac:dyDescent="0.2">
      <c r="A45" s="1836"/>
      <c r="B45" s="1842"/>
      <c r="C45" s="475"/>
      <c r="D45" s="475"/>
      <c r="E45" s="476"/>
      <c r="F45" s="476"/>
      <c r="G45" s="476"/>
      <c r="H45" s="476"/>
      <c r="I45" s="476"/>
      <c r="J45" s="476"/>
      <c r="K45" s="476"/>
      <c r="L45" s="476"/>
      <c r="M45" s="476"/>
      <c r="N45" s="476"/>
      <c r="O45" s="476"/>
      <c r="P45" s="476"/>
      <c r="Q45" s="476"/>
      <c r="R45" s="476"/>
      <c r="S45" s="476"/>
      <c r="T45" s="1846"/>
      <c r="U45" s="481"/>
      <c r="V45" s="481"/>
      <c r="W45" s="910"/>
      <c r="X45" s="911"/>
      <c r="Y45" s="911"/>
      <c r="Z45" s="911"/>
      <c r="AA45" s="911"/>
      <c r="AB45" s="924">
        <v>0.25</v>
      </c>
      <c r="AC45" s="912">
        <f>+(AC41+AC42+AC43)/3</f>
        <v>8.4222222222222212E-2</v>
      </c>
      <c r="AD45" s="912">
        <f>AVERAGE(AD41:AD44)</f>
        <v>0.66700000000000004</v>
      </c>
      <c r="AE45" s="911"/>
      <c r="AF45" s="911"/>
      <c r="AG45" s="911"/>
      <c r="AH45" s="911"/>
      <c r="AI45" s="924">
        <f>AVERAGE(AI41:AI44)</f>
        <v>1</v>
      </c>
      <c r="AJ45" s="911"/>
      <c r="AK45" s="954">
        <f>AVERAGE(AK41:AK44)</f>
        <v>1</v>
      </c>
      <c r="AL45" s="911"/>
      <c r="AM45" s="965"/>
      <c r="AN45" s="965"/>
      <c r="AO45" s="965"/>
      <c r="AP45" s="965"/>
      <c r="AQ45" s="965"/>
      <c r="AR45" s="965"/>
      <c r="AS45" s="965"/>
      <c r="AT45" s="965"/>
      <c r="AU45" s="965"/>
      <c r="AV45" s="1174">
        <f>AVERAGE(AV41:AV43)</f>
        <v>0.97005988023952094</v>
      </c>
      <c r="AW45" s="1174"/>
      <c r="AX45" s="1175">
        <f>(AX41+AX42+AX43)/3</f>
        <v>0.62411111111111117</v>
      </c>
      <c r="AY45" s="1176"/>
      <c r="AZ45" s="1176"/>
      <c r="BA45" s="1176"/>
      <c r="BB45" s="1176"/>
      <c r="BC45" s="1176"/>
      <c r="BD45" s="1176"/>
      <c r="BE45" s="1176"/>
      <c r="BF45" s="1176"/>
      <c r="BG45" s="1176"/>
      <c r="BH45" s="1176"/>
      <c r="BI45" s="1177">
        <f>(BI41+BI42+BI43+BI44)/4</f>
        <v>0.75</v>
      </c>
      <c r="BJ45" s="1176"/>
      <c r="BK45" s="1177">
        <f>(BK41+BK42+BK43+BK44)/4</f>
        <v>0.65225</v>
      </c>
      <c r="BL45" s="478"/>
      <c r="BM45" s="478"/>
      <c r="BN45" s="478"/>
      <c r="BO45" s="478"/>
      <c r="BP45" s="478"/>
      <c r="BQ45" s="478"/>
      <c r="BR45" s="478"/>
      <c r="BS45" s="478"/>
      <c r="BT45" s="478"/>
      <c r="BU45" s="478"/>
      <c r="BV45" s="478"/>
      <c r="BW45" s="478"/>
      <c r="BX45" s="478"/>
      <c r="BY45" s="478"/>
      <c r="BZ45" s="478"/>
      <c r="CA45" s="478"/>
      <c r="CB45" s="478"/>
      <c r="CC45" s="478"/>
      <c r="CD45" s="478"/>
      <c r="CE45" s="478"/>
      <c r="CF45" s="478"/>
      <c r="CG45" s="478"/>
      <c r="CH45" s="478"/>
      <c r="CI45" s="478"/>
      <c r="CJ45" s="478"/>
      <c r="CK45" s="478"/>
      <c r="CL45" s="478"/>
      <c r="CM45" s="478"/>
      <c r="CN45" s="478"/>
      <c r="CO45" s="478"/>
      <c r="CP45" s="478"/>
      <c r="CQ45" s="478"/>
      <c r="CR45" s="478"/>
      <c r="CS45" s="478"/>
      <c r="CT45" s="478"/>
      <c r="CU45" s="478"/>
      <c r="CV45" s="478"/>
      <c r="CW45" s="478"/>
      <c r="CX45" s="478"/>
      <c r="CY45" s="478"/>
      <c r="CZ45" s="478"/>
    </row>
    <row r="46" spans="1:104" ht="72.75" customHeight="1" x14ac:dyDescent="0.2">
      <c r="A46" s="1836"/>
      <c r="B46" s="1842"/>
      <c r="C46" s="475"/>
      <c r="D46" s="475"/>
      <c r="E46" s="487"/>
      <c r="F46" s="487"/>
      <c r="G46" s="487"/>
      <c r="H46" s="487"/>
      <c r="I46" s="487"/>
      <c r="J46" s="487"/>
      <c r="K46" s="487"/>
      <c r="L46" s="487"/>
      <c r="M46" s="487"/>
      <c r="N46" s="487"/>
      <c r="O46" s="487"/>
      <c r="P46" s="487"/>
      <c r="Q46" s="487"/>
      <c r="R46" s="487"/>
      <c r="S46" s="487"/>
      <c r="T46" s="1844" t="s">
        <v>1380</v>
      </c>
      <c r="U46" s="490" t="s">
        <v>1381</v>
      </c>
      <c r="V46" s="483" t="s">
        <v>201</v>
      </c>
      <c r="W46" s="917" t="s">
        <v>1382</v>
      </c>
      <c r="X46" s="945">
        <v>8</v>
      </c>
      <c r="Y46" s="946">
        <v>0.8</v>
      </c>
      <c r="Z46" s="955">
        <v>2</v>
      </c>
      <c r="AA46" s="955">
        <v>2.1</v>
      </c>
      <c r="AB46" s="946">
        <f>+Y46/X46</f>
        <v>0.1</v>
      </c>
      <c r="AC46" s="946">
        <f>+Z46/X46</f>
        <v>0.25</v>
      </c>
      <c r="AD46" s="946">
        <f>AA46/X46</f>
        <v>0.26250000000000001</v>
      </c>
      <c r="AE46" s="946">
        <v>0.3</v>
      </c>
      <c r="AF46" s="946">
        <v>0.8</v>
      </c>
      <c r="AG46" s="956">
        <v>1.8</v>
      </c>
      <c r="AH46" s="957">
        <v>1.7999999999999999E-2</v>
      </c>
      <c r="AI46" s="946">
        <v>1</v>
      </c>
      <c r="AJ46" s="958">
        <v>0.02</v>
      </c>
      <c r="AK46" s="959">
        <f>+AJ46</f>
        <v>0.02</v>
      </c>
      <c r="AL46" s="955">
        <v>2</v>
      </c>
      <c r="AM46" s="945">
        <v>0</v>
      </c>
      <c r="AN46" s="945"/>
      <c r="AO46" s="945"/>
      <c r="AP46" s="945"/>
      <c r="AQ46" s="945">
        <v>1.1000000000000001</v>
      </c>
      <c r="AR46" s="945"/>
      <c r="AS46" s="945">
        <v>2</v>
      </c>
      <c r="AT46" s="945"/>
      <c r="AU46" s="945">
        <f>+AQ46+AS46</f>
        <v>3.1</v>
      </c>
      <c r="AV46" s="946">
        <f>+AU46/AL46</f>
        <v>1.55</v>
      </c>
      <c r="AW46" s="960">
        <f>+AU46+AJ46</f>
        <v>3.12</v>
      </c>
      <c r="AX46" s="959">
        <f>+AW46/X46</f>
        <v>0.39</v>
      </c>
      <c r="AY46" s="955">
        <f>AA46</f>
        <v>2.1</v>
      </c>
      <c r="AZ46" s="945">
        <v>0</v>
      </c>
      <c r="BA46" s="945"/>
      <c r="BB46" s="945">
        <v>0</v>
      </c>
      <c r="BC46" s="945"/>
      <c r="BD46" s="945">
        <v>0</v>
      </c>
      <c r="BE46" s="945"/>
      <c r="BF46" s="945">
        <v>1.9</v>
      </c>
      <c r="BG46" s="945"/>
      <c r="BH46" s="945">
        <f>+BF46</f>
        <v>1.9</v>
      </c>
      <c r="BI46" s="1225">
        <f>BH46/AY46</f>
        <v>0.90476190476190466</v>
      </c>
      <c r="BJ46" s="960">
        <f>BH46+AW46</f>
        <v>5.0199999999999996</v>
      </c>
      <c r="BK46" s="957">
        <f>BJ46/X46</f>
        <v>0.62749999999999995</v>
      </c>
      <c r="BL46" s="489"/>
      <c r="BM46" s="489"/>
      <c r="BN46" s="489"/>
      <c r="BO46" s="489"/>
      <c r="BP46" s="489"/>
      <c r="BQ46" s="489"/>
      <c r="BR46" s="489"/>
      <c r="BS46" s="489"/>
      <c r="BT46" s="489"/>
      <c r="BU46" s="489"/>
      <c r="BV46" s="489"/>
      <c r="BW46" s="489"/>
      <c r="BX46" s="489"/>
      <c r="BY46" s="489"/>
      <c r="BZ46" s="489"/>
      <c r="CA46" s="489"/>
      <c r="CB46" s="489"/>
      <c r="CC46" s="489"/>
      <c r="CD46" s="489"/>
      <c r="CE46" s="489"/>
      <c r="CF46" s="489"/>
      <c r="CG46" s="489"/>
      <c r="CH46" s="489"/>
      <c r="CI46" s="489"/>
      <c r="CJ46" s="489"/>
      <c r="CK46" s="489"/>
      <c r="CL46" s="489"/>
      <c r="CM46" s="489"/>
      <c r="CN46" s="489"/>
      <c r="CO46" s="489"/>
      <c r="CP46" s="489"/>
      <c r="CQ46" s="489"/>
      <c r="CR46" s="489"/>
      <c r="CS46" s="489"/>
      <c r="CT46" s="489"/>
      <c r="CU46" s="489"/>
      <c r="CV46" s="489"/>
      <c r="CW46" s="489"/>
      <c r="CX46" s="489"/>
      <c r="CY46" s="489"/>
      <c r="CZ46" s="489"/>
    </row>
    <row r="47" spans="1:104" ht="22.5" customHeight="1" x14ac:dyDescent="0.2">
      <c r="A47" s="1836"/>
      <c r="B47" s="1842"/>
      <c r="C47" s="475"/>
      <c r="D47" s="475"/>
      <c r="E47" s="476"/>
      <c r="F47" s="476"/>
      <c r="G47" s="476"/>
      <c r="H47" s="476"/>
      <c r="I47" s="476"/>
      <c r="J47" s="476"/>
      <c r="K47" s="476"/>
      <c r="L47" s="476"/>
      <c r="M47" s="476"/>
      <c r="N47" s="476"/>
      <c r="O47" s="476"/>
      <c r="P47" s="476"/>
      <c r="Q47" s="476"/>
      <c r="R47" s="476"/>
      <c r="S47" s="476"/>
      <c r="T47" s="1846"/>
      <c r="U47" s="484"/>
      <c r="V47" s="484"/>
      <c r="W47" s="918"/>
      <c r="X47" s="911"/>
      <c r="Y47" s="911"/>
      <c r="Z47" s="911"/>
      <c r="AA47" s="911"/>
      <c r="AB47" s="912">
        <f>AVERAGE(AB46)</f>
        <v>0.1</v>
      </c>
      <c r="AC47" s="912">
        <f>AVERAGE(AC46)</f>
        <v>0.25</v>
      </c>
      <c r="AD47" s="912">
        <f>AVERAGE(AD46)</f>
        <v>0.26250000000000001</v>
      </c>
      <c r="AE47" s="911"/>
      <c r="AF47" s="911"/>
      <c r="AG47" s="911"/>
      <c r="AH47" s="911"/>
      <c r="AI47" s="924">
        <f>+AI46</f>
        <v>1</v>
      </c>
      <c r="AJ47" s="911"/>
      <c r="AK47" s="925">
        <f>AVERAGE(AK46)</f>
        <v>0.02</v>
      </c>
      <c r="AL47" s="911"/>
      <c r="AM47" s="905"/>
      <c r="AN47" s="905"/>
      <c r="AO47" s="905"/>
      <c r="AP47" s="905"/>
      <c r="AQ47" s="905"/>
      <c r="AR47" s="905"/>
      <c r="AS47" s="905"/>
      <c r="AT47" s="905"/>
      <c r="AU47" s="905"/>
      <c r="AV47" s="912">
        <f>+AV46</f>
        <v>1.55</v>
      </c>
      <c r="AW47" s="932"/>
      <c r="AX47" s="920">
        <f>+AX46</f>
        <v>0.39</v>
      </c>
      <c r="AY47" s="905"/>
      <c r="AZ47" s="905"/>
      <c r="BA47" s="905"/>
      <c r="BB47" s="905"/>
      <c r="BC47" s="905"/>
      <c r="BD47" s="905"/>
      <c r="BE47" s="905"/>
      <c r="BF47" s="905"/>
      <c r="BG47" s="905"/>
      <c r="BH47" s="905"/>
      <c r="BI47" s="920">
        <f>+BI46</f>
        <v>0.90476190476190466</v>
      </c>
      <c r="BJ47" s="905"/>
      <c r="BK47" s="920">
        <f>+BK46</f>
        <v>0.62749999999999995</v>
      </c>
      <c r="BL47" s="478"/>
      <c r="BM47" s="478"/>
      <c r="BN47" s="478"/>
      <c r="BO47" s="478"/>
      <c r="BP47" s="478"/>
      <c r="BQ47" s="478"/>
      <c r="BR47" s="478"/>
      <c r="BS47" s="478"/>
      <c r="BT47" s="478"/>
      <c r="BU47" s="478"/>
      <c r="BV47" s="478"/>
      <c r="BW47" s="478"/>
      <c r="BX47" s="478"/>
      <c r="BY47" s="478"/>
      <c r="BZ47" s="478"/>
      <c r="CA47" s="478"/>
      <c r="CB47" s="478"/>
      <c r="CC47" s="478"/>
      <c r="CD47" s="478"/>
      <c r="CE47" s="478"/>
      <c r="CF47" s="478"/>
      <c r="CG47" s="478"/>
      <c r="CH47" s="478"/>
      <c r="CI47" s="478"/>
      <c r="CJ47" s="478"/>
      <c r="CK47" s="478"/>
      <c r="CL47" s="478"/>
      <c r="CM47" s="478"/>
      <c r="CN47" s="478"/>
      <c r="CO47" s="478"/>
      <c r="CP47" s="478"/>
      <c r="CQ47" s="478"/>
      <c r="CR47" s="478"/>
      <c r="CS47" s="478"/>
      <c r="CT47" s="478"/>
      <c r="CU47" s="478"/>
      <c r="CV47" s="478"/>
      <c r="CW47" s="478"/>
      <c r="CX47" s="478"/>
      <c r="CY47" s="478"/>
      <c r="CZ47" s="478"/>
    </row>
    <row r="48" spans="1:104" ht="69.75" customHeight="1" x14ac:dyDescent="0.2">
      <c r="A48" s="1836"/>
      <c r="B48" s="1842"/>
      <c r="C48" s="475"/>
      <c r="D48" s="475"/>
      <c r="E48" s="476"/>
      <c r="F48" s="476"/>
      <c r="G48" s="476"/>
      <c r="H48" s="476"/>
      <c r="I48" s="476"/>
      <c r="J48" s="476"/>
      <c r="K48" s="476"/>
      <c r="L48" s="476"/>
      <c r="M48" s="476"/>
      <c r="N48" s="476"/>
      <c r="O48" s="476"/>
      <c r="P48" s="476"/>
      <c r="Q48" s="476"/>
      <c r="R48" s="476"/>
      <c r="S48" s="476"/>
      <c r="T48" s="1844" t="s">
        <v>1383</v>
      </c>
      <c r="U48" s="491" t="s">
        <v>1384</v>
      </c>
      <c r="V48" s="477" t="s">
        <v>1385</v>
      </c>
      <c r="W48" s="897" t="s">
        <v>1386</v>
      </c>
      <c r="X48" s="898">
        <v>3</v>
      </c>
      <c r="Y48" s="898">
        <v>3</v>
      </c>
      <c r="Z48" s="898">
        <v>1</v>
      </c>
      <c r="AA48" s="898">
        <v>1</v>
      </c>
      <c r="AB48" s="899">
        <v>0.25</v>
      </c>
      <c r="AC48" s="899">
        <v>0.33</v>
      </c>
      <c r="AD48" s="899">
        <f>AA48/X48</f>
        <v>0.33333333333333331</v>
      </c>
      <c r="AE48" s="898">
        <v>0</v>
      </c>
      <c r="AF48" s="898">
        <v>0</v>
      </c>
      <c r="AG48" s="898">
        <v>0</v>
      </c>
      <c r="AH48" s="898">
        <v>0</v>
      </c>
      <c r="AI48" s="899">
        <v>0</v>
      </c>
      <c r="AJ48" s="898">
        <v>0</v>
      </c>
      <c r="AK48" s="904">
        <v>0</v>
      </c>
      <c r="AL48" s="898">
        <v>1</v>
      </c>
      <c r="AM48" s="905">
        <v>0</v>
      </c>
      <c r="AN48" s="905"/>
      <c r="AO48" s="905">
        <v>0</v>
      </c>
      <c r="AP48" s="905"/>
      <c r="AQ48" s="905">
        <v>0</v>
      </c>
      <c r="AR48" s="905"/>
      <c r="AS48" s="905">
        <v>0</v>
      </c>
      <c r="AT48" s="905"/>
      <c r="AU48" s="905">
        <v>0</v>
      </c>
      <c r="AV48" s="906">
        <v>0</v>
      </c>
      <c r="AW48" s="1163">
        <v>1</v>
      </c>
      <c r="AX48" s="907">
        <v>0</v>
      </c>
      <c r="AY48" s="898">
        <v>1</v>
      </c>
      <c r="AZ48" s="898">
        <v>0.25</v>
      </c>
      <c r="BA48" s="1182" t="s">
        <v>2173</v>
      </c>
      <c r="BB48" s="1483">
        <v>0.16600000000000001</v>
      </c>
      <c r="BC48" s="898"/>
      <c r="BD48" s="1221">
        <v>0.1</v>
      </c>
      <c r="BE48" s="1484"/>
      <c r="BF48" s="898"/>
      <c r="BG48" s="898"/>
      <c r="BH48" s="1221">
        <f>+BB48+AZ48+BD48</f>
        <v>0.51600000000000001</v>
      </c>
      <c r="BI48" s="951">
        <f>+BH48</f>
        <v>0.51600000000000001</v>
      </c>
      <c r="BJ48" s="1705">
        <f>+BH48+AW48</f>
        <v>1.516</v>
      </c>
      <c r="BK48" s="1162">
        <f>BJ48/X48</f>
        <v>0.5053333333333333</v>
      </c>
      <c r="BL48" s="478"/>
      <c r="BM48" s="478"/>
      <c r="BN48" s="478"/>
      <c r="BO48" s="478"/>
      <c r="BP48" s="478"/>
      <c r="BQ48" s="478"/>
      <c r="BR48" s="478"/>
      <c r="BS48" s="478"/>
      <c r="BT48" s="478"/>
      <c r="BU48" s="478"/>
      <c r="BV48" s="478"/>
      <c r="BW48" s="478"/>
      <c r="BX48" s="478"/>
      <c r="BY48" s="478"/>
      <c r="BZ48" s="478"/>
      <c r="CA48" s="478"/>
      <c r="CB48" s="478"/>
      <c r="CC48" s="478"/>
      <c r="CD48" s="478"/>
      <c r="CE48" s="478"/>
      <c r="CF48" s="478"/>
      <c r="CG48" s="478"/>
      <c r="CH48" s="478"/>
      <c r="CI48" s="478"/>
      <c r="CJ48" s="478"/>
      <c r="CK48" s="478"/>
      <c r="CL48" s="478"/>
      <c r="CM48" s="478"/>
      <c r="CN48" s="478"/>
      <c r="CO48" s="478"/>
      <c r="CP48" s="478"/>
      <c r="CQ48" s="478"/>
      <c r="CR48" s="478"/>
      <c r="CS48" s="478"/>
      <c r="CT48" s="478"/>
      <c r="CU48" s="478"/>
      <c r="CV48" s="478"/>
      <c r="CW48" s="478"/>
      <c r="CX48" s="478"/>
      <c r="CY48" s="478"/>
      <c r="CZ48" s="478"/>
    </row>
    <row r="49" spans="1:104" ht="123" customHeight="1" x14ac:dyDescent="0.2">
      <c r="A49" s="1836"/>
      <c r="B49" s="1842"/>
      <c r="C49" s="475"/>
      <c r="D49" s="475"/>
      <c r="E49" s="476"/>
      <c r="F49" s="476"/>
      <c r="G49" s="476"/>
      <c r="H49" s="476"/>
      <c r="I49" s="476"/>
      <c r="J49" s="476"/>
      <c r="K49" s="476"/>
      <c r="L49" s="476"/>
      <c r="M49" s="476"/>
      <c r="N49" s="476"/>
      <c r="O49" s="476"/>
      <c r="P49" s="476"/>
      <c r="Q49" s="476"/>
      <c r="R49" s="476"/>
      <c r="S49" s="476"/>
      <c r="T49" s="1845"/>
      <c r="U49" s="491" t="s">
        <v>1387</v>
      </c>
      <c r="V49" s="477">
        <v>0</v>
      </c>
      <c r="W49" s="897" t="s">
        <v>1388</v>
      </c>
      <c r="X49" s="898">
        <v>1665</v>
      </c>
      <c r="Y49" s="898">
        <v>200</v>
      </c>
      <c r="Z49" s="898">
        <v>834</v>
      </c>
      <c r="AA49" s="898">
        <v>831</v>
      </c>
      <c r="AB49" s="899">
        <f>+Y49/X49</f>
        <v>0.12012012012012012</v>
      </c>
      <c r="AC49" s="899">
        <f>+Z49/X49</f>
        <v>0.50090090090090089</v>
      </c>
      <c r="AD49" s="899">
        <f>AA49/X49</f>
        <v>0.49909909909909911</v>
      </c>
      <c r="AE49" s="898">
        <v>0</v>
      </c>
      <c r="AF49" s="898">
        <v>0</v>
      </c>
      <c r="AG49" s="898">
        <v>0</v>
      </c>
      <c r="AH49" s="898">
        <v>0</v>
      </c>
      <c r="AI49" s="899">
        <v>0</v>
      </c>
      <c r="AJ49" s="898">
        <v>0</v>
      </c>
      <c r="AK49" s="904">
        <v>0</v>
      </c>
      <c r="AL49" s="898">
        <v>834</v>
      </c>
      <c r="AM49" s="905">
        <v>0</v>
      </c>
      <c r="AN49" s="905"/>
      <c r="AO49" s="905">
        <v>0</v>
      </c>
      <c r="AP49" s="905"/>
      <c r="AQ49" s="905">
        <v>834</v>
      </c>
      <c r="AR49" s="905"/>
      <c r="AS49" s="905">
        <v>0</v>
      </c>
      <c r="AT49" s="905"/>
      <c r="AU49" s="905">
        <f>+AQ49</f>
        <v>834</v>
      </c>
      <c r="AV49" s="906">
        <v>1</v>
      </c>
      <c r="AW49" s="1163">
        <f>+AU49</f>
        <v>834</v>
      </c>
      <c r="AX49" s="907">
        <f>+AW49/X49</f>
        <v>0.50090090090090089</v>
      </c>
      <c r="AY49" s="898">
        <v>831</v>
      </c>
      <c r="AZ49" s="898">
        <v>0</v>
      </c>
      <c r="BA49" s="898"/>
      <c r="BB49" s="898">
        <v>0</v>
      </c>
      <c r="BC49" s="898"/>
      <c r="BD49" s="898">
        <v>0</v>
      </c>
      <c r="BE49" s="1484"/>
      <c r="BF49" s="898">
        <v>0</v>
      </c>
      <c r="BG49" s="898"/>
      <c r="BH49" s="898">
        <f>AZ49</f>
        <v>0</v>
      </c>
      <c r="BI49" s="951">
        <f>BH49/AY49</f>
        <v>0</v>
      </c>
      <c r="BJ49" s="898">
        <v>0</v>
      </c>
      <c r="BK49" s="1162">
        <f>BJ49/X49</f>
        <v>0</v>
      </c>
      <c r="BL49" s="478"/>
      <c r="BM49" s="478"/>
      <c r="BN49" s="478"/>
      <c r="BO49" s="478"/>
      <c r="BP49" s="478"/>
      <c r="BQ49" s="478"/>
      <c r="BR49" s="478"/>
      <c r="BS49" s="478"/>
      <c r="BT49" s="478"/>
      <c r="BU49" s="478"/>
      <c r="BV49" s="478"/>
      <c r="BW49" s="478"/>
      <c r="BX49" s="478"/>
      <c r="BY49" s="478"/>
      <c r="BZ49" s="478"/>
      <c r="CA49" s="478"/>
      <c r="CB49" s="478"/>
      <c r="CC49" s="478"/>
      <c r="CD49" s="478"/>
      <c r="CE49" s="478"/>
      <c r="CF49" s="478"/>
      <c r="CG49" s="478"/>
      <c r="CH49" s="478"/>
      <c r="CI49" s="478"/>
      <c r="CJ49" s="478"/>
      <c r="CK49" s="478"/>
      <c r="CL49" s="478"/>
      <c r="CM49" s="478"/>
      <c r="CN49" s="478"/>
      <c r="CO49" s="478"/>
      <c r="CP49" s="478"/>
      <c r="CQ49" s="478"/>
      <c r="CR49" s="478"/>
      <c r="CS49" s="478"/>
      <c r="CT49" s="478"/>
      <c r="CU49" s="478"/>
      <c r="CV49" s="478"/>
      <c r="CW49" s="478"/>
      <c r="CX49" s="478"/>
      <c r="CY49" s="478"/>
      <c r="CZ49" s="478"/>
    </row>
    <row r="50" spans="1:104" ht="30" customHeight="1" x14ac:dyDescent="0.2">
      <c r="A50" s="1836"/>
      <c r="B50" s="1842"/>
      <c r="C50" s="475"/>
      <c r="D50" s="475"/>
      <c r="E50" s="476"/>
      <c r="F50" s="476"/>
      <c r="G50" s="476"/>
      <c r="H50" s="476"/>
      <c r="I50" s="476"/>
      <c r="J50" s="476"/>
      <c r="K50" s="476"/>
      <c r="L50" s="476"/>
      <c r="M50" s="476"/>
      <c r="N50" s="476"/>
      <c r="O50" s="476"/>
      <c r="P50" s="476"/>
      <c r="Q50" s="476"/>
      <c r="R50" s="476"/>
      <c r="S50" s="476"/>
      <c r="T50" s="1845"/>
      <c r="U50" s="491" t="s">
        <v>1389</v>
      </c>
      <c r="V50" s="477">
        <v>0</v>
      </c>
      <c r="W50" s="897" t="s">
        <v>1390</v>
      </c>
      <c r="X50" s="898">
        <v>176</v>
      </c>
      <c r="Y50" s="898" t="s">
        <v>177</v>
      </c>
      <c r="Z50" s="898" t="s">
        <v>177</v>
      </c>
      <c r="AA50" s="898"/>
      <c r="AB50" s="898"/>
      <c r="AC50" s="898"/>
      <c r="AD50" s="898"/>
      <c r="AE50" s="898"/>
      <c r="AF50" s="898"/>
      <c r="AG50" s="898"/>
      <c r="AH50" s="898"/>
      <c r="AI50" s="898"/>
      <c r="AJ50" s="898"/>
      <c r="AK50" s="898"/>
      <c r="AL50" s="927" t="s">
        <v>177</v>
      </c>
      <c r="AM50" s="961"/>
      <c r="AN50" s="961"/>
      <c r="AO50" s="961"/>
      <c r="AP50" s="961"/>
      <c r="AQ50" s="961"/>
      <c r="AR50" s="961"/>
      <c r="AS50" s="961"/>
      <c r="AT50" s="961"/>
      <c r="AU50" s="961"/>
      <c r="AV50" s="961"/>
      <c r="AW50" s="961"/>
      <c r="AX50" s="962"/>
      <c r="AY50" s="905"/>
      <c r="AZ50" s="905"/>
      <c r="BA50" s="905"/>
      <c r="BB50" s="905"/>
      <c r="BC50" s="905"/>
      <c r="BD50" s="905"/>
      <c r="BE50" s="905"/>
      <c r="BF50" s="905"/>
      <c r="BG50" s="905"/>
      <c r="BH50" s="905"/>
      <c r="BI50" s="905"/>
      <c r="BJ50" s="905"/>
      <c r="BK50" s="905"/>
      <c r="BL50" s="478"/>
      <c r="BM50" s="478"/>
      <c r="BN50" s="478"/>
      <c r="BO50" s="478"/>
      <c r="BP50" s="478"/>
      <c r="BQ50" s="478"/>
      <c r="BR50" s="478"/>
      <c r="BS50" s="478"/>
      <c r="BT50" s="478"/>
      <c r="BU50" s="478"/>
      <c r="BV50" s="478"/>
      <c r="BW50" s="478"/>
      <c r="BX50" s="478"/>
      <c r="BY50" s="478"/>
      <c r="BZ50" s="478"/>
      <c r="CA50" s="478"/>
      <c r="CB50" s="478"/>
      <c r="CC50" s="478"/>
      <c r="CD50" s="478"/>
      <c r="CE50" s="478"/>
      <c r="CF50" s="478"/>
      <c r="CG50" s="478"/>
      <c r="CH50" s="478"/>
      <c r="CI50" s="478"/>
      <c r="CJ50" s="478"/>
      <c r="CK50" s="478"/>
      <c r="CL50" s="478"/>
      <c r="CM50" s="478"/>
      <c r="CN50" s="478"/>
      <c r="CO50" s="478"/>
      <c r="CP50" s="478"/>
      <c r="CQ50" s="478"/>
      <c r="CR50" s="478"/>
      <c r="CS50" s="478"/>
      <c r="CT50" s="478"/>
      <c r="CU50" s="478"/>
      <c r="CV50" s="478"/>
      <c r="CW50" s="478"/>
      <c r="CX50" s="478"/>
      <c r="CY50" s="478"/>
      <c r="CZ50" s="478"/>
    </row>
    <row r="51" spans="1:104" ht="44.25" customHeight="1" x14ac:dyDescent="0.2">
      <c r="A51" s="1836"/>
      <c r="B51" s="1842"/>
      <c r="C51" s="475"/>
      <c r="D51" s="475"/>
      <c r="E51" s="476"/>
      <c r="F51" s="476"/>
      <c r="G51" s="476"/>
      <c r="H51" s="476"/>
      <c r="I51" s="476"/>
      <c r="J51" s="476"/>
      <c r="K51" s="476"/>
      <c r="L51" s="476"/>
      <c r="M51" s="476"/>
      <c r="N51" s="476"/>
      <c r="O51" s="476"/>
      <c r="P51" s="476"/>
      <c r="Q51" s="476"/>
      <c r="R51" s="476"/>
      <c r="S51" s="476"/>
      <c r="T51" s="1845"/>
      <c r="U51" s="491" t="s">
        <v>1391</v>
      </c>
      <c r="V51" s="477" t="s">
        <v>1392</v>
      </c>
      <c r="W51" s="897" t="s">
        <v>1393</v>
      </c>
      <c r="X51" s="898">
        <v>647</v>
      </c>
      <c r="Y51" s="898" t="s">
        <v>177</v>
      </c>
      <c r="Z51" s="898" t="s">
        <v>177</v>
      </c>
      <c r="AA51" s="898"/>
      <c r="AB51" s="898"/>
      <c r="AC51" s="898"/>
      <c r="AD51" s="898"/>
      <c r="AE51" s="898"/>
      <c r="AF51" s="898"/>
      <c r="AG51" s="898"/>
      <c r="AH51" s="898"/>
      <c r="AI51" s="898"/>
      <c r="AJ51" s="898"/>
      <c r="AK51" s="898"/>
      <c r="AL51" s="898" t="s">
        <v>177</v>
      </c>
      <c r="AM51" s="905"/>
      <c r="AN51" s="905"/>
      <c r="AO51" s="905"/>
      <c r="AP51" s="905"/>
      <c r="AQ51" s="905"/>
      <c r="AR51" s="905"/>
      <c r="AS51" s="905"/>
      <c r="AT51" s="905"/>
      <c r="AU51" s="905"/>
      <c r="AV51" s="905"/>
      <c r="AW51" s="905"/>
      <c r="AX51" s="923"/>
      <c r="AY51" s="905"/>
      <c r="AZ51" s="905"/>
      <c r="BA51" s="905"/>
      <c r="BB51" s="905"/>
      <c r="BC51" s="905"/>
      <c r="BD51" s="905"/>
      <c r="BE51" s="905"/>
      <c r="BF51" s="905"/>
      <c r="BG51" s="905"/>
      <c r="BH51" s="905"/>
      <c r="BI51" s="905"/>
      <c r="BJ51" s="905"/>
      <c r="BK51" s="905"/>
      <c r="BL51" s="478"/>
      <c r="BM51" s="478"/>
      <c r="BN51" s="478"/>
      <c r="BO51" s="478"/>
      <c r="BP51" s="478"/>
      <c r="BQ51" s="478"/>
      <c r="BR51" s="478"/>
      <c r="BS51" s="478"/>
      <c r="BT51" s="478"/>
      <c r="BU51" s="478"/>
      <c r="BV51" s="478"/>
      <c r="BW51" s="478"/>
      <c r="BX51" s="478"/>
      <c r="BY51" s="478"/>
      <c r="BZ51" s="478"/>
      <c r="CA51" s="478"/>
      <c r="CB51" s="478"/>
      <c r="CC51" s="478"/>
      <c r="CD51" s="478"/>
      <c r="CE51" s="478"/>
      <c r="CF51" s="478"/>
      <c r="CG51" s="478"/>
      <c r="CH51" s="478"/>
      <c r="CI51" s="478"/>
      <c r="CJ51" s="478"/>
      <c r="CK51" s="478"/>
      <c r="CL51" s="478"/>
      <c r="CM51" s="478"/>
      <c r="CN51" s="478"/>
      <c r="CO51" s="478"/>
      <c r="CP51" s="478"/>
      <c r="CQ51" s="478"/>
      <c r="CR51" s="478"/>
      <c r="CS51" s="478"/>
      <c r="CT51" s="478"/>
      <c r="CU51" s="478"/>
      <c r="CV51" s="478"/>
      <c r="CW51" s="478"/>
      <c r="CX51" s="478"/>
      <c r="CY51" s="478"/>
      <c r="CZ51" s="478"/>
    </row>
    <row r="52" spans="1:104" ht="59.25" customHeight="1" x14ac:dyDescent="0.2">
      <c r="A52" s="1836"/>
      <c r="B52" s="1842"/>
      <c r="C52" s="475"/>
      <c r="D52" s="475"/>
      <c r="E52" s="476"/>
      <c r="F52" s="476"/>
      <c r="G52" s="476"/>
      <c r="H52" s="476"/>
      <c r="I52" s="476"/>
      <c r="J52" s="476"/>
      <c r="K52" s="476"/>
      <c r="L52" s="476"/>
      <c r="M52" s="476"/>
      <c r="N52" s="476"/>
      <c r="O52" s="476"/>
      <c r="P52" s="476"/>
      <c r="Q52" s="476"/>
      <c r="R52" s="476"/>
      <c r="S52" s="476"/>
      <c r="T52" s="1845"/>
      <c r="U52" s="475" t="s">
        <v>1394</v>
      </c>
      <c r="V52" s="477" t="s">
        <v>343</v>
      </c>
      <c r="W52" s="897" t="s">
        <v>1395</v>
      </c>
      <c r="X52" s="898">
        <v>300</v>
      </c>
      <c r="Y52" s="898" t="s">
        <v>177</v>
      </c>
      <c r="Z52" s="898" t="s">
        <v>177</v>
      </c>
      <c r="AA52" s="898"/>
      <c r="AB52" s="898"/>
      <c r="AC52" s="898"/>
      <c r="AD52" s="898"/>
      <c r="AE52" s="898"/>
      <c r="AF52" s="898"/>
      <c r="AG52" s="898"/>
      <c r="AH52" s="898"/>
      <c r="AI52" s="898"/>
      <c r="AJ52" s="898"/>
      <c r="AK52" s="898"/>
      <c r="AL52" s="898" t="s">
        <v>177</v>
      </c>
      <c r="AM52" s="905"/>
      <c r="AN52" s="905"/>
      <c r="AO52" s="905"/>
      <c r="AP52" s="905"/>
      <c r="AQ52" s="905"/>
      <c r="AR52" s="905"/>
      <c r="AS52" s="905"/>
      <c r="AT52" s="905"/>
      <c r="AU52" s="905"/>
      <c r="AV52" s="905"/>
      <c r="AW52" s="905"/>
      <c r="AX52" s="923"/>
      <c r="AY52" s="905"/>
      <c r="AZ52" s="905"/>
      <c r="BA52" s="905"/>
      <c r="BB52" s="905"/>
      <c r="BC52" s="905"/>
      <c r="BD52" s="905"/>
      <c r="BE52" s="905"/>
      <c r="BF52" s="905"/>
      <c r="BG52" s="905"/>
      <c r="BH52" s="905"/>
      <c r="BI52" s="905"/>
      <c r="BJ52" s="905"/>
      <c r="BK52" s="905"/>
      <c r="BL52" s="478"/>
      <c r="BM52" s="478"/>
      <c r="BN52" s="478"/>
      <c r="BO52" s="478"/>
      <c r="BP52" s="478"/>
      <c r="BQ52" s="478"/>
      <c r="BR52" s="478"/>
      <c r="BS52" s="478"/>
      <c r="BT52" s="478"/>
      <c r="BU52" s="478"/>
      <c r="BV52" s="478"/>
      <c r="BW52" s="478"/>
      <c r="BX52" s="478"/>
      <c r="BY52" s="478"/>
      <c r="BZ52" s="478"/>
      <c r="CA52" s="478"/>
      <c r="CB52" s="478"/>
      <c r="CC52" s="478"/>
      <c r="CD52" s="478"/>
      <c r="CE52" s="478"/>
      <c r="CF52" s="478"/>
      <c r="CG52" s="478"/>
      <c r="CH52" s="478"/>
      <c r="CI52" s="478"/>
      <c r="CJ52" s="478"/>
      <c r="CK52" s="478"/>
      <c r="CL52" s="478"/>
      <c r="CM52" s="478"/>
      <c r="CN52" s="478"/>
      <c r="CO52" s="478"/>
      <c r="CP52" s="478"/>
      <c r="CQ52" s="478"/>
      <c r="CR52" s="478"/>
      <c r="CS52" s="478"/>
      <c r="CT52" s="478"/>
      <c r="CU52" s="478"/>
      <c r="CV52" s="478"/>
      <c r="CW52" s="478"/>
      <c r="CX52" s="478"/>
      <c r="CY52" s="478"/>
      <c r="CZ52" s="478"/>
    </row>
    <row r="53" spans="1:104" ht="14.25" customHeight="1" x14ac:dyDescent="0.2">
      <c r="A53" s="1836"/>
      <c r="B53" s="1842"/>
      <c r="C53" s="475"/>
      <c r="D53" s="475"/>
      <c r="E53" s="476"/>
      <c r="F53" s="476"/>
      <c r="G53" s="476"/>
      <c r="H53" s="476"/>
      <c r="I53" s="476"/>
      <c r="J53" s="476"/>
      <c r="K53" s="476"/>
      <c r="L53" s="476"/>
      <c r="M53" s="476"/>
      <c r="N53" s="476"/>
      <c r="O53" s="476"/>
      <c r="P53" s="476"/>
      <c r="Q53" s="476"/>
      <c r="R53" s="476"/>
      <c r="S53" s="476"/>
      <c r="T53" s="1846"/>
      <c r="U53" s="481"/>
      <c r="V53" s="481"/>
      <c r="W53" s="910"/>
      <c r="X53" s="911"/>
      <c r="Y53" s="911"/>
      <c r="Z53" s="911"/>
      <c r="AA53" s="911"/>
      <c r="AB53" s="912">
        <f>AVERAGE(AB48:AB52)</f>
        <v>0.18506006006006007</v>
      </c>
      <c r="AC53" s="912">
        <f>AVERAGE(AC48:AC52)</f>
        <v>0.41545045045045048</v>
      </c>
      <c r="AD53" s="912">
        <f>AVERAGE(AD48:AD52)</f>
        <v>0.41621621621621618</v>
      </c>
      <c r="AE53" s="911"/>
      <c r="AF53" s="911"/>
      <c r="AG53" s="911"/>
      <c r="AH53" s="911"/>
      <c r="AI53" s="912">
        <v>0</v>
      </c>
      <c r="AJ53" s="932"/>
      <c r="AK53" s="912">
        <f>AVERAGE(AK48:AK52)</f>
        <v>0</v>
      </c>
      <c r="AL53" s="911"/>
      <c r="AM53" s="905"/>
      <c r="AN53" s="905"/>
      <c r="AO53" s="905"/>
      <c r="AP53" s="905"/>
      <c r="AQ53" s="905"/>
      <c r="AR53" s="905"/>
      <c r="AS53" s="905"/>
      <c r="AT53" s="905"/>
      <c r="AU53" s="905"/>
      <c r="AV53" s="912">
        <f>AVERAGE(AV48:AV52)</f>
        <v>0.5</v>
      </c>
      <c r="AW53" s="1009"/>
      <c r="AX53" s="1008">
        <f>AVERAGE(AX48:AX52)</f>
        <v>0.25045045045045045</v>
      </c>
      <c r="AY53" s="1005"/>
      <c r="AZ53" s="1005"/>
      <c r="BA53" s="1005"/>
      <c r="BB53" s="1005"/>
      <c r="BC53" s="1005"/>
      <c r="BD53" s="1005"/>
      <c r="BE53" s="1005"/>
      <c r="BF53" s="1005"/>
      <c r="BG53" s="1005"/>
      <c r="BH53" s="1005"/>
      <c r="BI53" s="1011">
        <f>AVERAGE(BI48:BI52)</f>
        <v>0.25800000000000001</v>
      </c>
      <c r="BJ53" s="1005"/>
      <c r="BK53" s="954">
        <f>AVERAGE(BK48:BK52)</f>
        <v>0.25266666666666665</v>
      </c>
      <c r="BL53" s="478"/>
      <c r="BM53" s="478"/>
      <c r="BN53" s="478"/>
      <c r="BO53" s="478"/>
      <c r="BP53" s="478"/>
      <c r="BQ53" s="478"/>
      <c r="BR53" s="478"/>
      <c r="BS53" s="478"/>
      <c r="BT53" s="478"/>
      <c r="BU53" s="478"/>
      <c r="BV53" s="478"/>
      <c r="BW53" s="478"/>
      <c r="BX53" s="478"/>
      <c r="BY53" s="478"/>
      <c r="BZ53" s="478"/>
      <c r="CA53" s="478"/>
      <c r="CB53" s="478"/>
      <c r="CC53" s="478"/>
      <c r="CD53" s="478"/>
      <c r="CE53" s="478"/>
      <c r="CF53" s="478"/>
      <c r="CG53" s="478"/>
      <c r="CH53" s="478"/>
      <c r="CI53" s="478"/>
      <c r="CJ53" s="478"/>
      <c r="CK53" s="478"/>
      <c r="CL53" s="478"/>
      <c r="CM53" s="478"/>
      <c r="CN53" s="478"/>
      <c r="CO53" s="478"/>
      <c r="CP53" s="478"/>
      <c r="CQ53" s="478"/>
      <c r="CR53" s="478"/>
      <c r="CS53" s="478"/>
      <c r="CT53" s="478"/>
      <c r="CU53" s="478"/>
      <c r="CV53" s="478"/>
      <c r="CW53" s="478"/>
      <c r="CX53" s="1181"/>
      <c r="CY53" s="478"/>
      <c r="CZ53" s="478"/>
    </row>
    <row r="54" spans="1:104" ht="49.5" customHeight="1" x14ac:dyDescent="0.2">
      <c r="A54" s="1836"/>
      <c r="B54" s="1842"/>
      <c r="C54" s="475"/>
      <c r="D54" s="475"/>
      <c r="E54" s="476"/>
      <c r="F54" s="476"/>
      <c r="G54" s="476"/>
      <c r="H54" s="476"/>
      <c r="I54" s="476"/>
      <c r="J54" s="476"/>
      <c r="K54" s="476"/>
      <c r="L54" s="476"/>
      <c r="M54" s="476"/>
      <c r="N54" s="476"/>
      <c r="O54" s="476"/>
      <c r="P54" s="476"/>
      <c r="Q54" s="476"/>
      <c r="R54" s="476"/>
      <c r="S54" s="476"/>
      <c r="T54" s="1844" t="s">
        <v>1396</v>
      </c>
      <c r="U54" s="475" t="s">
        <v>1397</v>
      </c>
      <c r="V54" s="477" t="s">
        <v>1398</v>
      </c>
      <c r="W54" s="897" t="s">
        <v>1399</v>
      </c>
      <c r="X54" s="1696">
        <v>40000000000</v>
      </c>
      <c r="Y54" s="709">
        <v>40000000000</v>
      </c>
      <c r="Z54" s="709">
        <v>10000000000</v>
      </c>
      <c r="AA54" s="709">
        <v>10000000000</v>
      </c>
      <c r="AB54" s="172">
        <v>0.25</v>
      </c>
      <c r="AC54" s="172">
        <v>0.25</v>
      </c>
      <c r="AD54" s="172">
        <f>AA54/X54</f>
        <v>0.25</v>
      </c>
      <c r="AE54" s="709">
        <v>10000000000</v>
      </c>
      <c r="AF54" s="696">
        <f>24853745054</f>
        <v>24853745054</v>
      </c>
      <c r="AG54" s="696">
        <f>24853745054</f>
        <v>24853745054</v>
      </c>
      <c r="AH54" s="1697">
        <f>+AG54</f>
        <v>24853745054</v>
      </c>
      <c r="AI54" s="124">
        <v>1</v>
      </c>
      <c r="AJ54" s="1696">
        <v>26285786147</v>
      </c>
      <c r="AK54" s="124">
        <f>+AJ54/X54</f>
        <v>0.65714465367499997</v>
      </c>
      <c r="AL54" s="709">
        <v>10000000000</v>
      </c>
      <c r="AM54" s="1698">
        <v>798610870</v>
      </c>
      <c r="AN54" s="1699"/>
      <c r="AO54" s="1698">
        <v>4260818508</v>
      </c>
      <c r="AP54" s="1699"/>
      <c r="AQ54" s="1698">
        <v>4227867310</v>
      </c>
      <c r="AR54" s="1699"/>
      <c r="AS54" s="1698">
        <v>1021228945</v>
      </c>
      <c r="AT54" s="1699"/>
      <c r="AU54" s="1698">
        <f>+AM54+AO54+AQ54+AS54</f>
        <v>10308525633</v>
      </c>
      <c r="AV54" s="1700">
        <v>1</v>
      </c>
      <c r="AW54" s="1696">
        <v>34364319318</v>
      </c>
      <c r="AX54" s="1701">
        <f>AW54/X54</f>
        <v>0.85910798295000002</v>
      </c>
      <c r="AY54" s="709">
        <v>10000000000</v>
      </c>
      <c r="AZ54" s="1702">
        <v>7846835220</v>
      </c>
      <c r="BA54" s="1702"/>
      <c r="BB54" s="1702">
        <v>2634943195</v>
      </c>
      <c r="BC54" s="1702"/>
      <c r="BD54" s="1703">
        <v>10000000000</v>
      </c>
      <c r="BE54" s="1178"/>
      <c r="BF54" s="1704">
        <v>3413224513</v>
      </c>
      <c r="BG54" s="1178"/>
      <c r="BH54" s="1704">
        <f>+AZ54+BD54+BF54</f>
        <v>21260059733</v>
      </c>
      <c r="BI54" s="951">
        <v>1</v>
      </c>
      <c r="BJ54" s="1696">
        <f>+BH54+AW54</f>
        <v>55624379051</v>
      </c>
      <c r="BK54" s="951">
        <v>1</v>
      </c>
      <c r="BL54" s="478"/>
      <c r="BM54" s="478"/>
      <c r="BN54" s="478"/>
      <c r="BO54" s="478"/>
      <c r="BP54" s="478"/>
      <c r="BQ54" s="478"/>
      <c r="BR54" s="478"/>
      <c r="BS54" s="478"/>
      <c r="BT54" s="478"/>
      <c r="BU54" s="478"/>
      <c r="BV54" s="478"/>
      <c r="BW54" s="478"/>
      <c r="BX54" s="478"/>
      <c r="BY54" s="478"/>
      <c r="BZ54" s="478"/>
      <c r="CA54" s="478"/>
      <c r="CB54" s="478"/>
      <c r="CC54" s="478"/>
      <c r="CD54" s="478"/>
      <c r="CE54" s="478"/>
      <c r="CF54" s="478"/>
      <c r="CG54" s="478"/>
      <c r="CH54" s="478"/>
      <c r="CI54" s="478"/>
      <c r="CJ54" s="478"/>
      <c r="CK54" s="478"/>
      <c r="CL54" s="478"/>
      <c r="CM54" s="478"/>
      <c r="CN54" s="478"/>
      <c r="CO54" s="478"/>
      <c r="CP54" s="478"/>
      <c r="CQ54" s="478"/>
      <c r="CR54" s="478"/>
      <c r="CS54" s="478"/>
      <c r="CT54" s="478"/>
      <c r="CU54" s="478"/>
      <c r="CV54" s="478"/>
      <c r="CW54" s="478"/>
      <c r="CX54" s="1180"/>
      <c r="CY54" s="478"/>
      <c r="CZ54" s="478"/>
    </row>
    <row r="55" spans="1:104" ht="49.5" customHeight="1" x14ac:dyDescent="0.2">
      <c r="A55" s="1836"/>
      <c r="B55" s="1842"/>
      <c r="C55" s="475"/>
      <c r="D55" s="475"/>
      <c r="E55" s="476"/>
      <c r="F55" s="476"/>
      <c r="G55" s="476"/>
      <c r="H55" s="476"/>
      <c r="I55" s="476"/>
      <c r="J55" s="476"/>
      <c r="K55" s="476"/>
      <c r="L55" s="476"/>
      <c r="M55" s="476"/>
      <c r="N55" s="476"/>
      <c r="O55" s="476"/>
      <c r="P55" s="476"/>
      <c r="Q55" s="476"/>
      <c r="R55" s="476"/>
      <c r="S55" s="476"/>
      <c r="T55" s="1845"/>
      <c r="U55" s="475" t="s">
        <v>1400</v>
      </c>
      <c r="V55" s="477" t="s">
        <v>1401</v>
      </c>
      <c r="W55" s="897" t="s">
        <v>1402</v>
      </c>
      <c r="X55" s="898">
        <v>50</v>
      </c>
      <c r="Y55" s="966">
        <v>50</v>
      </c>
      <c r="Z55" s="966">
        <v>20</v>
      </c>
      <c r="AA55" s="966">
        <v>20</v>
      </c>
      <c r="AB55" s="900">
        <f>+Y55/X55</f>
        <v>1</v>
      </c>
      <c r="AC55" s="900">
        <f>+Z55/X55</f>
        <v>0.4</v>
      </c>
      <c r="AD55" s="900">
        <f>AA55/X55</f>
        <v>0.4</v>
      </c>
      <c r="AE55" s="966">
        <v>0</v>
      </c>
      <c r="AF55" s="966">
        <v>96</v>
      </c>
      <c r="AG55" s="909">
        <v>96</v>
      </c>
      <c r="AH55" s="903">
        <v>96</v>
      </c>
      <c r="AI55" s="899">
        <v>1</v>
      </c>
      <c r="AJ55" s="903">
        <v>10</v>
      </c>
      <c r="AK55" s="899">
        <f>+AJ55/X55</f>
        <v>0.2</v>
      </c>
      <c r="AL55" s="966">
        <v>20</v>
      </c>
      <c r="AM55" s="898">
        <v>2</v>
      </c>
      <c r="AN55" s="898"/>
      <c r="AO55" s="898">
        <v>8</v>
      </c>
      <c r="AP55" s="898"/>
      <c r="AQ55" s="898"/>
      <c r="AR55" s="898"/>
      <c r="AS55" s="898">
        <v>11</v>
      </c>
      <c r="AT55" s="898"/>
      <c r="AU55" s="898">
        <f>+AS55</f>
        <v>11</v>
      </c>
      <c r="AV55" s="951">
        <f>AU55/AL55</f>
        <v>0.55000000000000004</v>
      </c>
      <c r="AW55" s="903">
        <v>19</v>
      </c>
      <c r="AX55" s="907">
        <f>AW55/X55</f>
        <v>0.38</v>
      </c>
      <c r="AY55" s="898">
        <v>20</v>
      </c>
      <c r="AZ55" s="898">
        <v>4</v>
      </c>
      <c r="BA55" s="898"/>
      <c r="BB55" s="898"/>
      <c r="BC55" s="898"/>
      <c r="BD55" s="898">
        <v>0</v>
      </c>
      <c r="BE55" s="898"/>
      <c r="BF55" s="898">
        <v>3</v>
      </c>
      <c r="BG55" s="898"/>
      <c r="BH55" s="898">
        <f>+BD55+BF55+AZ55</f>
        <v>7</v>
      </c>
      <c r="BI55" s="951">
        <f>+BH55/AY55</f>
        <v>0.35</v>
      </c>
      <c r="BJ55" s="903">
        <f>+AW55+BH55</f>
        <v>26</v>
      </c>
      <c r="BK55" s="951">
        <f>BJ55/X55</f>
        <v>0.52</v>
      </c>
      <c r="BL55" s="478"/>
      <c r="BM55" s="478"/>
      <c r="BN55" s="478"/>
      <c r="BO55" s="478"/>
      <c r="BP55" s="478"/>
      <c r="BQ55" s="478"/>
      <c r="BR55" s="478"/>
      <c r="BS55" s="478"/>
      <c r="BT55" s="478"/>
      <c r="BU55" s="478"/>
      <c r="BV55" s="478"/>
      <c r="BW55" s="478"/>
      <c r="BX55" s="478"/>
      <c r="BY55" s="478"/>
      <c r="BZ55" s="478"/>
      <c r="CA55" s="478"/>
      <c r="CB55" s="478"/>
      <c r="CC55" s="478"/>
      <c r="CD55" s="478"/>
      <c r="CE55" s="478"/>
      <c r="CF55" s="478"/>
      <c r="CG55" s="478"/>
      <c r="CH55" s="478"/>
      <c r="CI55" s="478"/>
      <c r="CJ55" s="478"/>
      <c r="CK55" s="478"/>
      <c r="CL55" s="478"/>
      <c r="CM55" s="478"/>
      <c r="CN55" s="478"/>
      <c r="CO55" s="478"/>
      <c r="CP55" s="478"/>
      <c r="CQ55" s="478"/>
      <c r="CR55" s="478"/>
      <c r="CS55" s="478"/>
      <c r="CT55" s="478"/>
      <c r="CU55" s="478"/>
      <c r="CV55" s="478"/>
      <c r="CW55" s="478"/>
      <c r="CX55" s="1179"/>
      <c r="CY55" s="478"/>
      <c r="CZ55" s="478"/>
    </row>
    <row r="56" spans="1:104" ht="64.5" customHeight="1" x14ac:dyDescent="0.2">
      <c r="A56" s="1836"/>
      <c r="B56" s="1842"/>
      <c r="C56" s="475"/>
      <c r="D56" s="475"/>
      <c r="E56" s="476"/>
      <c r="F56" s="476"/>
      <c r="G56" s="476"/>
      <c r="H56" s="476"/>
      <c r="I56" s="476"/>
      <c r="J56" s="476"/>
      <c r="K56" s="476"/>
      <c r="L56" s="476"/>
      <c r="M56" s="476"/>
      <c r="N56" s="476"/>
      <c r="O56" s="476"/>
      <c r="P56" s="476"/>
      <c r="Q56" s="476"/>
      <c r="R56" s="476"/>
      <c r="S56" s="476"/>
      <c r="T56" s="1845"/>
      <c r="U56" s="475" t="s">
        <v>1403</v>
      </c>
      <c r="V56" s="477" t="s">
        <v>1404</v>
      </c>
      <c r="W56" s="897" t="s">
        <v>1405</v>
      </c>
      <c r="X56" s="898">
        <v>1</v>
      </c>
      <c r="Y56" s="966">
        <v>1</v>
      </c>
      <c r="Z56" s="966">
        <v>1</v>
      </c>
      <c r="AA56" s="966">
        <v>1</v>
      </c>
      <c r="AB56" s="900">
        <v>0.25</v>
      </c>
      <c r="AC56" s="900">
        <v>0.25</v>
      </c>
      <c r="AD56" s="900"/>
      <c r="AE56" s="966">
        <v>0</v>
      </c>
      <c r="AF56" s="966">
        <v>0</v>
      </c>
      <c r="AG56" s="898">
        <v>0</v>
      </c>
      <c r="AH56" s="964">
        <v>0</v>
      </c>
      <c r="AI56" s="899">
        <f>+AH56/Y56</f>
        <v>0</v>
      </c>
      <c r="AJ56" s="964">
        <v>0</v>
      </c>
      <c r="AK56" s="899">
        <f>+AJ56/X56</f>
        <v>0</v>
      </c>
      <c r="AL56" s="966">
        <v>1</v>
      </c>
      <c r="AM56" s="898">
        <v>0</v>
      </c>
      <c r="AN56" s="898"/>
      <c r="AO56" s="898">
        <v>0</v>
      </c>
      <c r="AP56" s="898"/>
      <c r="AQ56" s="898"/>
      <c r="AR56" s="898"/>
      <c r="AS56" s="898">
        <v>0.8</v>
      </c>
      <c r="AT56" s="898"/>
      <c r="AU56" s="898">
        <v>1</v>
      </c>
      <c r="AV56" s="951">
        <f>AU56/AL56</f>
        <v>1</v>
      </c>
      <c r="AW56" s="903">
        <f>AU56+AJ56</f>
        <v>1</v>
      </c>
      <c r="AX56" s="907">
        <f>AW56/X56</f>
        <v>1</v>
      </c>
      <c r="AY56" s="898">
        <v>1</v>
      </c>
      <c r="AZ56" s="898">
        <v>0</v>
      </c>
      <c r="BA56" s="898"/>
      <c r="BB56" s="898">
        <v>1</v>
      </c>
      <c r="BC56" s="898"/>
      <c r="BD56" s="898"/>
      <c r="BE56" s="898"/>
      <c r="BF56" s="898"/>
      <c r="BG56" s="898"/>
      <c r="BH56" s="898">
        <f>+BB56</f>
        <v>1</v>
      </c>
      <c r="BI56" s="951">
        <v>1</v>
      </c>
      <c r="BJ56" s="903">
        <f>BH56+AW56</f>
        <v>2</v>
      </c>
      <c r="BK56" s="951">
        <v>1</v>
      </c>
      <c r="BL56" s="478"/>
      <c r="BM56" s="478"/>
      <c r="BN56" s="478"/>
      <c r="BO56" s="478"/>
      <c r="BP56" s="478"/>
      <c r="BQ56" s="478"/>
      <c r="BR56" s="478"/>
      <c r="BS56" s="478"/>
      <c r="BT56" s="478"/>
      <c r="BU56" s="478"/>
      <c r="BV56" s="478"/>
      <c r="BW56" s="478"/>
      <c r="BX56" s="478"/>
      <c r="BY56" s="478"/>
      <c r="BZ56" s="478"/>
      <c r="CA56" s="478"/>
      <c r="CB56" s="478"/>
      <c r="CC56" s="478"/>
      <c r="CD56" s="478"/>
      <c r="CE56" s="478"/>
      <c r="CF56" s="478"/>
      <c r="CG56" s="478"/>
      <c r="CH56" s="478"/>
      <c r="CI56" s="478"/>
      <c r="CJ56" s="478"/>
      <c r="CK56" s="478"/>
      <c r="CL56" s="478"/>
      <c r="CM56" s="478"/>
      <c r="CN56" s="478"/>
      <c r="CO56" s="478"/>
      <c r="CP56" s="478"/>
      <c r="CQ56" s="478"/>
      <c r="CR56" s="478"/>
      <c r="CS56" s="478"/>
      <c r="CT56" s="478"/>
      <c r="CU56" s="478"/>
      <c r="CV56" s="478"/>
      <c r="CW56" s="478"/>
      <c r="CX56" s="478"/>
      <c r="CY56" s="478"/>
      <c r="CZ56" s="478"/>
    </row>
    <row r="57" spans="1:104" ht="14.25" customHeight="1" x14ac:dyDescent="0.2">
      <c r="A57" s="1836"/>
      <c r="B57" s="1842"/>
      <c r="C57" s="475"/>
      <c r="D57" s="475"/>
      <c r="E57" s="476"/>
      <c r="F57" s="476"/>
      <c r="G57" s="476"/>
      <c r="H57" s="476"/>
      <c r="I57" s="476"/>
      <c r="J57" s="476"/>
      <c r="K57" s="476"/>
      <c r="L57" s="476"/>
      <c r="M57" s="476"/>
      <c r="N57" s="476"/>
      <c r="O57" s="476"/>
      <c r="P57" s="476"/>
      <c r="Q57" s="476"/>
      <c r="R57" s="476"/>
      <c r="S57" s="476"/>
      <c r="T57" s="1846"/>
      <c r="U57" s="481"/>
      <c r="V57" s="481"/>
      <c r="W57" s="910"/>
      <c r="X57" s="911"/>
      <c r="Y57" s="911"/>
      <c r="Z57" s="911"/>
      <c r="AA57" s="911"/>
      <c r="AB57" s="912">
        <f>AVERAGE(AB54:AB56)</f>
        <v>0.5</v>
      </c>
      <c r="AC57" s="912">
        <f>AVERAGE(AC54:AC56)</f>
        <v>0.3</v>
      </c>
      <c r="AD57" s="912">
        <f>AVERAGE(AD54:AD56)</f>
        <v>0.32500000000000001</v>
      </c>
      <c r="AE57" s="911"/>
      <c r="AF57" s="911"/>
      <c r="AG57" s="911"/>
      <c r="AH57" s="911"/>
      <c r="AI57" s="924">
        <f>AVERAGE(AI54:AI56)</f>
        <v>0.66666666666666663</v>
      </c>
      <c r="AJ57" s="911"/>
      <c r="AK57" s="924">
        <f>AVERAGE(AK54:AK56)</f>
        <v>0.28571488455833333</v>
      </c>
      <c r="AL57" s="911"/>
      <c r="AM57" s="965"/>
      <c r="AN57" s="965"/>
      <c r="AO57" s="965"/>
      <c r="AP57" s="965"/>
      <c r="AQ57" s="965"/>
      <c r="AR57" s="965"/>
      <c r="AS57" s="965"/>
      <c r="AT57" s="965"/>
      <c r="AU57" s="965"/>
      <c r="AV57" s="912">
        <f>AVERAGE(AV54:AV56)</f>
        <v>0.85</v>
      </c>
      <c r="AW57" s="1007"/>
      <c r="AX57" s="1008">
        <f>AVERAGE(AX54:AX56)</f>
        <v>0.74636932765000008</v>
      </c>
      <c r="AY57" s="1005"/>
      <c r="AZ57" s="1005"/>
      <c r="BA57" s="1005"/>
      <c r="BB57" s="1005"/>
      <c r="BC57" s="1005"/>
      <c r="BD57" s="1005"/>
      <c r="BE57" s="1005"/>
      <c r="BF57" s="1005"/>
      <c r="BG57" s="1005"/>
      <c r="BH57" s="1005"/>
      <c r="BI57" s="1008">
        <f>AVERAGE(BI54:BI56)</f>
        <v>0.78333333333333333</v>
      </c>
      <c r="BJ57" s="1005"/>
      <c r="BK57" s="1008">
        <f>AVERAGE(BK54:BK56)</f>
        <v>0.84</v>
      </c>
      <c r="BL57" s="478"/>
      <c r="BM57" s="478"/>
      <c r="BN57" s="478"/>
      <c r="BO57" s="478"/>
      <c r="BP57" s="478"/>
      <c r="BQ57" s="478"/>
      <c r="BR57" s="478"/>
      <c r="BS57" s="478"/>
      <c r="BT57" s="478"/>
      <c r="BU57" s="478"/>
      <c r="BV57" s="478"/>
      <c r="BW57" s="478"/>
      <c r="BX57" s="478"/>
      <c r="BY57" s="478"/>
      <c r="BZ57" s="478"/>
      <c r="CA57" s="478"/>
      <c r="CB57" s="478"/>
      <c r="CC57" s="478"/>
      <c r="CD57" s="478"/>
      <c r="CE57" s="478"/>
      <c r="CF57" s="478"/>
      <c r="CG57" s="478"/>
      <c r="CH57" s="478"/>
      <c r="CI57" s="478"/>
      <c r="CJ57" s="478"/>
      <c r="CK57" s="478"/>
      <c r="CL57" s="478"/>
      <c r="CM57" s="478"/>
      <c r="CN57" s="478"/>
      <c r="CO57" s="478"/>
      <c r="CP57" s="478"/>
      <c r="CQ57" s="478"/>
      <c r="CR57" s="478"/>
      <c r="CS57" s="478"/>
      <c r="CT57" s="478"/>
      <c r="CU57" s="478"/>
      <c r="CV57" s="478"/>
      <c r="CW57" s="478"/>
      <c r="CX57" s="478"/>
      <c r="CY57" s="478"/>
      <c r="CZ57" s="478"/>
    </row>
    <row r="58" spans="1:104" ht="14.25" customHeight="1" x14ac:dyDescent="0.2">
      <c r="A58" s="1836"/>
      <c r="B58" s="1843"/>
      <c r="C58" s="475"/>
      <c r="D58" s="475"/>
      <c r="E58" s="476"/>
      <c r="F58" s="476"/>
      <c r="G58" s="476"/>
      <c r="H58" s="476"/>
      <c r="I58" s="476"/>
      <c r="J58" s="476"/>
      <c r="K58" s="476"/>
      <c r="L58" s="476"/>
      <c r="M58" s="476"/>
      <c r="N58" s="476"/>
      <c r="O58" s="476"/>
      <c r="P58" s="476"/>
      <c r="Q58" s="476"/>
      <c r="R58" s="476"/>
      <c r="S58" s="476"/>
      <c r="T58" s="492"/>
      <c r="U58" s="493"/>
      <c r="V58" s="493"/>
      <c r="W58" s="967"/>
      <c r="X58" s="968"/>
      <c r="Y58" s="968"/>
      <c r="Z58" s="968"/>
      <c r="AA58" s="968"/>
      <c r="AB58" s="969">
        <f>+(AB11+AB15+AB19+AC24+AB29+AB33+AB36+AB40+AB45+AB47+AB53+AB57)/9</f>
        <v>0.22721743663855876</v>
      </c>
      <c r="AC58" s="969">
        <f>+(AC11+AC15+AC19+AC24+AC29+AC33+AC36+AC40+AC45+AC47+AC53+AC57)/9</f>
        <v>0.45837400837180819</v>
      </c>
      <c r="AD58" s="969">
        <f>+(AD11+AD15+AD19+AD24+AD29+AD33+AD36+AD40+AD45+AD47+AD53+AD57)/12</f>
        <v>0.38605324966618287</v>
      </c>
      <c r="AE58" s="968"/>
      <c r="AF58" s="968"/>
      <c r="AG58" s="968"/>
      <c r="AH58" s="968"/>
      <c r="AI58" s="970">
        <f>+(AI11+AI15+AI19+AI24+AI29+AI33+AI36+AI40+AI45+AI47+AI53+AI57)/9</f>
        <v>0.60837037037037034</v>
      </c>
      <c r="AJ58" s="968"/>
      <c r="AK58" s="970">
        <f>+(AK11+AK15+AK19+AK24+AK29+AK33+AK36+AK40+AK45+AK47+AK53+AK57)/11</f>
        <v>0.14372951195754824</v>
      </c>
      <c r="AL58" s="968"/>
      <c r="AM58" s="971"/>
      <c r="AN58" s="971"/>
      <c r="AO58" s="971"/>
      <c r="AP58" s="971"/>
      <c r="AQ58" s="971"/>
      <c r="AR58" s="971"/>
      <c r="AS58" s="971"/>
      <c r="AT58" s="971"/>
      <c r="AU58" s="971"/>
      <c r="AV58" s="972">
        <f>+(AV11+AV15+AV19+AV24+AV29+AV33+AV36+AV40+AV45+AV47+AV53+AV57)/12</f>
        <v>0.67704309786459771</v>
      </c>
      <c r="AW58" s="1006"/>
      <c r="AX58" s="973">
        <f>+(AX11+AX15+AX19+AX24+AX29+AX33+AX36+AX40+AX45+AX47+AX53+AX57)/12</f>
        <v>0.3624751314955918</v>
      </c>
      <c r="AY58" s="1000"/>
      <c r="AZ58" s="1000"/>
      <c r="BA58" s="1000"/>
      <c r="BB58" s="1000"/>
      <c r="BC58" s="1000"/>
      <c r="BD58" s="1000"/>
      <c r="BE58" s="1000"/>
      <c r="BF58" s="1000"/>
      <c r="BG58" s="1000"/>
      <c r="BH58" s="1000"/>
      <c r="BI58" s="973">
        <f>+(BI11+BI15+BI19+BI24+BI29+BI33+BI36+BI40+BI45+BI47+BI53+BI57)/12</f>
        <v>0.68381489635427994</v>
      </c>
      <c r="BJ58" s="1000"/>
      <c r="BK58" s="973">
        <f>+(BK11+BK15+BK19+BK24+BK29+BK33+BK36+BK40+BK45+BK47+BK53+BK57)/12</f>
        <v>0.64909546343523228</v>
      </c>
      <c r="BL58" s="478"/>
      <c r="BM58" s="478"/>
      <c r="BN58" s="478"/>
      <c r="BO58" s="478"/>
      <c r="BP58" s="478"/>
      <c r="BQ58" s="478"/>
      <c r="BR58" s="478"/>
      <c r="BS58" s="478"/>
      <c r="BT58" s="478"/>
      <c r="BU58" s="478"/>
      <c r="BV58" s="478"/>
      <c r="BW58" s="478"/>
      <c r="BX58" s="478"/>
      <c r="BY58" s="478"/>
      <c r="BZ58" s="478"/>
      <c r="CA58" s="478"/>
      <c r="CB58" s="478"/>
      <c r="CC58" s="478"/>
      <c r="CD58" s="478"/>
      <c r="CE58" s="478"/>
      <c r="CF58" s="478"/>
      <c r="CG58" s="478"/>
      <c r="CH58" s="478"/>
      <c r="CI58" s="478"/>
      <c r="CJ58" s="478"/>
      <c r="CK58" s="478"/>
      <c r="CL58" s="478"/>
      <c r="CM58" s="478"/>
      <c r="CN58" s="478"/>
      <c r="CO58" s="478"/>
      <c r="CP58" s="478"/>
      <c r="CQ58" s="478"/>
      <c r="CR58" s="478"/>
      <c r="CS58" s="478"/>
      <c r="CT58" s="478"/>
      <c r="CU58" s="478"/>
      <c r="CV58" s="478"/>
      <c r="CW58" s="478"/>
      <c r="CX58" s="478"/>
      <c r="CY58" s="478"/>
      <c r="CZ58" s="478"/>
    </row>
    <row r="59" spans="1:104" ht="63" customHeight="1" x14ac:dyDescent="0.2">
      <c r="A59" s="1836"/>
      <c r="B59" s="1838" t="s">
        <v>1406</v>
      </c>
      <c r="C59" s="475" t="s">
        <v>1407</v>
      </c>
      <c r="D59" s="475" t="s">
        <v>1408</v>
      </c>
      <c r="E59" s="476"/>
      <c r="F59" s="476"/>
      <c r="G59" s="476"/>
      <c r="H59" s="476"/>
      <c r="I59" s="476"/>
      <c r="J59" s="476"/>
      <c r="K59" s="476"/>
      <c r="L59" s="476"/>
      <c r="M59" s="476"/>
      <c r="N59" s="476"/>
      <c r="O59" s="476"/>
      <c r="P59" s="476"/>
      <c r="Q59" s="476"/>
      <c r="R59" s="476"/>
      <c r="S59" s="476"/>
      <c r="T59" s="1844" t="s">
        <v>1409</v>
      </c>
      <c r="U59" s="475" t="s">
        <v>1410</v>
      </c>
      <c r="V59" s="477" t="s">
        <v>1411</v>
      </c>
      <c r="W59" s="897" t="s">
        <v>1412</v>
      </c>
      <c r="X59" s="898">
        <v>4</v>
      </c>
      <c r="Y59" s="898" t="s">
        <v>177</v>
      </c>
      <c r="Z59" s="938">
        <v>1</v>
      </c>
      <c r="AA59" s="938">
        <v>1</v>
      </c>
      <c r="AB59" s="899"/>
      <c r="AC59" s="899">
        <v>0.33</v>
      </c>
      <c r="AD59" s="899">
        <v>0.25</v>
      </c>
      <c r="AE59" s="898"/>
      <c r="AF59" s="898"/>
      <c r="AG59" s="909">
        <v>1</v>
      </c>
      <c r="AH59" s="898"/>
      <c r="AI59" s="898"/>
      <c r="AJ59" s="898">
        <v>1</v>
      </c>
      <c r="AK59" s="898"/>
      <c r="AL59" s="974">
        <v>1</v>
      </c>
      <c r="AM59" s="898">
        <v>0.25</v>
      </c>
      <c r="AN59" s="898"/>
      <c r="AO59" s="898">
        <v>0.25</v>
      </c>
      <c r="AP59" s="898"/>
      <c r="AQ59" s="898">
        <v>0.25</v>
      </c>
      <c r="AR59" s="898"/>
      <c r="AS59" s="898">
        <v>0.25</v>
      </c>
      <c r="AT59" s="898"/>
      <c r="AU59" s="898">
        <f>+AM59+AO59+AQ59+AS59</f>
        <v>1</v>
      </c>
      <c r="AV59" s="951">
        <f>AU59/AL59</f>
        <v>1</v>
      </c>
      <c r="AW59" s="975">
        <f>AU59+AJ59</f>
        <v>2</v>
      </c>
      <c r="AX59" s="907">
        <f>+AW59/X59</f>
        <v>0.5</v>
      </c>
      <c r="AY59" s="898">
        <v>1</v>
      </c>
      <c r="AZ59" s="898">
        <v>0.1</v>
      </c>
      <c r="BA59" s="898"/>
      <c r="BB59" s="898">
        <v>0</v>
      </c>
      <c r="BC59" s="898"/>
      <c r="BD59" s="898">
        <v>0.9</v>
      </c>
      <c r="BE59" s="1220" t="s">
        <v>2236</v>
      </c>
      <c r="BF59" s="898">
        <v>1</v>
      </c>
      <c r="BG59" s="898"/>
      <c r="BH59" s="898">
        <f>AZ59+BD59</f>
        <v>1</v>
      </c>
      <c r="BI59" s="899">
        <f>BH59/AY59</f>
        <v>1</v>
      </c>
      <c r="BJ59" s="975">
        <f>BH59+AW59</f>
        <v>3</v>
      </c>
      <c r="BK59" s="951">
        <f>BJ59/X59</f>
        <v>0.75</v>
      </c>
      <c r="BL59" s="478"/>
      <c r="BM59" s="478"/>
      <c r="BN59" s="478"/>
      <c r="BO59" s="478"/>
      <c r="BP59" s="478"/>
      <c r="BQ59" s="478"/>
      <c r="BR59" s="478"/>
      <c r="BS59" s="478"/>
      <c r="BT59" s="478"/>
      <c r="BU59" s="478"/>
      <c r="BV59" s="478"/>
      <c r="BW59" s="478"/>
      <c r="BX59" s="478"/>
      <c r="BY59" s="478"/>
      <c r="BZ59" s="478"/>
      <c r="CA59" s="478"/>
      <c r="CB59" s="478"/>
      <c r="CC59" s="478"/>
      <c r="CD59" s="478"/>
      <c r="CE59" s="478"/>
      <c r="CF59" s="478"/>
      <c r="CG59" s="478"/>
      <c r="CH59" s="478"/>
      <c r="CI59" s="478"/>
      <c r="CJ59" s="478"/>
      <c r="CK59" s="478"/>
      <c r="CL59" s="478"/>
      <c r="CM59" s="478"/>
      <c r="CN59" s="478"/>
      <c r="CO59" s="478"/>
      <c r="CP59" s="478"/>
      <c r="CQ59" s="478"/>
      <c r="CR59" s="478"/>
      <c r="CS59" s="478"/>
      <c r="CT59" s="478"/>
      <c r="CU59" s="478"/>
      <c r="CV59" s="478"/>
      <c r="CW59" s="478"/>
      <c r="CX59" s="478"/>
      <c r="CY59" s="478"/>
      <c r="CZ59" s="478"/>
    </row>
    <row r="60" spans="1:104" ht="69.75" customHeight="1" x14ac:dyDescent="0.2">
      <c r="A60" s="1836"/>
      <c r="B60" s="1839"/>
      <c r="C60" s="475"/>
      <c r="D60" s="475"/>
      <c r="E60" s="476"/>
      <c r="F60" s="476"/>
      <c r="G60" s="476"/>
      <c r="H60" s="476"/>
      <c r="I60" s="476"/>
      <c r="J60" s="476"/>
      <c r="K60" s="476"/>
      <c r="L60" s="476"/>
      <c r="M60" s="476"/>
      <c r="N60" s="476"/>
      <c r="O60" s="476"/>
      <c r="P60" s="476"/>
      <c r="Q60" s="476"/>
      <c r="R60" s="476"/>
      <c r="S60" s="476"/>
      <c r="T60" s="1845"/>
      <c r="U60" s="475" t="s">
        <v>1413</v>
      </c>
      <c r="V60" s="477" t="s">
        <v>1411</v>
      </c>
      <c r="W60" s="1262" t="s">
        <v>2303</v>
      </c>
      <c r="X60" s="898">
        <v>4</v>
      </c>
      <c r="Y60" s="898">
        <v>1</v>
      </c>
      <c r="Z60" s="938">
        <v>1</v>
      </c>
      <c r="AA60" s="938">
        <v>1</v>
      </c>
      <c r="AB60" s="899">
        <v>0.25</v>
      </c>
      <c r="AC60" s="899">
        <v>0.33</v>
      </c>
      <c r="AD60" s="899">
        <v>0.25</v>
      </c>
      <c r="AE60" s="898">
        <v>0</v>
      </c>
      <c r="AF60" s="898">
        <v>0</v>
      </c>
      <c r="AG60" s="898">
        <v>0</v>
      </c>
      <c r="AH60" s="898">
        <v>0</v>
      </c>
      <c r="AI60" s="898">
        <v>0</v>
      </c>
      <c r="AJ60" s="898">
        <v>0</v>
      </c>
      <c r="AK60" s="898">
        <v>0</v>
      </c>
      <c r="AL60" s="974">
        <v>1</v>
      </c>
      <c r="AM60" s="898">
        <v>0.25</v>
      </c>
      <c r="AN60" s="898"/>
      <c r="AO60" s="898">
        <v>0.25</v>
      </c>
      <c r="AP60" s="898"/>
      <c r="AQ60" s="898">
        <v>0.25</v>
      </c>
      <c r="AR60" s="898"/>
      <c r="AS60" s="898">
        <v>0.15</v>
      </c>
      <c r="AT60" s="898"/>
      <c r="AU60" s="898">
        <f>+AM60+AO60+AQ60+AS60</f>
        <v>0.9</v>
      </c>
      <c r="AV60" s="951">
        <f>AU60/AL60</f>
        <v>0.9</v>
      </c>
      <c r="AW60" s="898">
        <v>1</v>
      </c>
      <c r="AX60" s="907">
        <f>AW60/X60</f>
        <v>0.25</v>
      </c>
      <c r="AY60" s="898">
        <v>1</v>
      </c>
      <c r="AZ60" s="898">
        <v>0.1</v>
      </c>
      <c r="BA60" s="898"/>
      <c r="BB60" s="898">
        <v>0.4</v>
      </c>
      <c r="BC60" s="898"/>
      <c r="BD60" s="898">
        <v>0.1</v>
      </c>
      <c r="BE60" s="898"/>
      <c r="BF60" s="898">
        <v>0.4</v>
      </c>
      <c r="BG60" s="898"/>
      <c r="BH60" s="898">
        <f>AZ60+BB60+BD60+BF60</f>
        <v>1</v>
      </c>
      <c r="BI60" s="899">
        <f>BH60/AY60</f>
        <v>1</v>
      </c>
      <c r="BJ60" s="898">
        <f>BH60+AW60</f>
        <v>2</v>
      </c>
      <c r="BK60" s="951">
        <f>BJ60/X60</f>
        <v>0.5</v>
      </c>
      <c r="BL60" s="478"/>
      <c r="BM60" s="478"/>
      <c r="BN60" s="478"/>
      <c r="BO60" s="478"/>
      <c r="BP60" s="478"/>
      <c r="BQ60" s="478"/>
      <c r="BR60" s="478"/>
      <c r="BS60" s="478"/>
      <c r="BT60" s="478"/>
      <c r="BU60" s="478"/>
      <c r="BV60" s="478"/>
      <c r="BW60" s="478"/>
      <c r="BX60" s="478"/>
      <c r="BY60" s="478"/>
      <c r="BZ60" s="478"/>
      <c r="CA60" s="478"/>
      <c r="CB60" s="478"/>
      <c r="CC60" s="478"/>
      <c r="CD60" s="478"/>
      <c r="CE60" s="478"/>
      <c r="CF60" s="478"/>
      <c r="CG60" s="478"/>
      <c r="CH60" s="478"/>
      <c r="CI60" s="478"/>
      <c r="CJ60" s="478"/>
      <c r="CK60" s="478"/>
      <c r="CL60" s="478"/>
      <c r="CM60" s="478"/>
      <c r="CN60" s="478"/>
      <c r="CO60" s="478"/>
      <c r="CP60" s="478"/>
      <c r="CQ60" s="478"/>
      <c r="CR60" s="478"/>
      <c r="CS60" s="478"/>
      <c r="CT60" s="478"/>
      <c r="CU60" s="478"/>
      <c r="CV60" s="478"/>
      <c r="CW60" s="478"/>
      <c r="CX60" s="478"/>
      <c r="CY60" s="478"/>
      <c r="CZ60" s="478"/>
    </row>
    <row r="61" spans="1:104" ht="49.5" customHeight="1" x14ac:dyDescent="0.2">
      <c r="A61" s="1836"/>
      <c r="B61" s="1839"/>
      <c r="C61" s="475"/>
      <c r="D61" s="475"/>
      <c r="E61" s="476"/>
      <c r="F61" s="476"/>
      <c r="G61" s="476"/>
      <c r="H61" s="476"/>
      <c r="I61" s="476"/>
      <c r="J61" s="476"/>
      <c r="K61" s="476"/>
      <c r="L61" s="476"/>
      <c r="M61" s="476"/>
      <c r="N61" s="476"/>
      <c r="O61" s="476"/>
      <c r="P61" s="476"/>
      <c r="Q61" s="476"/>
      <c r="R61" s="476"/>
      <c r="S61" s="476"/>
      <c r="T61" s="1845"/>
      <c r="U61" s="475" t="s">
        <v>1414</v>
      </c>
      <c r="V61" s="477" t="s">
        <v>1411</v>
      </c>
      <c r="W61" s="897" t="s">
        <v>1415</v>
      </c>
      <c r="X61" s="898">
        <v>1</v>
      </c>
      <c r="Y61" s="898" t="s">
        <v>177</v>
      </c>
      <c r="Z61" s="938" t="s">
        <v>177</v>
      </c>
      <c r="AA61" s="938">
        <v>1</v>
      </c>
      <c r="AB61" s="898"/>
      <c r="AC61" s="899"/>
      <c r="AD61" s="899">
        <v>1</v>
      </c>
      <c r="AE61" s="898"/>
      <c r="AF61" s="898"/>
      <c r="AG61" s="898"/>
      <c r="AH61" s="898"/>
      <c r="AI61" s="898"/>
      <c r="AJ61" s="898"/>
      <c r="AK61" s="898"/>
      <c r="AL61" s="974" t="s">
        <v>177</v>
      </c>
      <c r="AM61" s="943"/>
      <c r="AN61" s="943"/>
      <c r="AO61" s="898">
        <v>0</v>
      </c>
      <c r="AP61" s="943"/>
      <c r="AQ61" s="943"/>
      <c r="AR61" s="943"/>
      <c r="AS61" s="943"/>
      <c r="AT61" s="943"/>
      <c r="AU61" s="943"/>
      <c r="AV61" s="943"/>
      <c r="AW61" s="943"/>
      <c r="AX61" s="976"/>
      <c r="AY61" s="898">
        <v>1</v>
      </c>
      <c r="AZ61" s="898">
        <v>0</v>
      </c>
      <c r="BA61" s="898"/>
      <c r="BB61" s="898">
        <v>0</v>
      </c>
      <c r="BC61" s="898"/>
      <c r="BD61" s="898">
        <v>0</v>
      </c>
      <c r="BE61" s="898">
        <v>0</v>
      </c>
      <c r="BF61" s="898">
        <v>0</v>
      </c>
      <c r="BG61" s="898"/>
      <c r="BH61" s="898">
        <v>0</v>
      </c>
      <c r="BI61" s="951">
        <v>0</v>
      </c>
      <c r="BJ61" s="898">
        <v>0</v>
      </c>
      <c r="BK61" s="899">
        <v>0</v>
      </c>
      <c r="BL61" s="478"/>
      <c r="BM61" s="478"/>
      <c r="BN61" s="478"/>
      <c r="BO61" s="478"/>
      <c r="BP61" s="478"/>
      <c r="BQ61" s="478"/>
      <c r="BR61" s="478"/>
      <c r="BS61" s="478"/>
      <c r="BT61" s="478"/>
      <c r="BU61" s="478"/>
      <c r="BV61" s="478"/>
      <c r="BW61" s="478"/>
      <c r="BX61" s="478"/>
      <c r="BY61" s="478"/>
      <c r="BZ61" s="478"/>
      <c r="CA61" s="478"/>
      <c r="CB61" s="478"/>
      <c r="CC61" s="478"/>
      <c r="CD61" s="478"/>
      <c r="CE61" s="478"/>
      <c r="CF61" s="478"/>
      <c r="CG61" s="478"/>
      <c r="CH61" s="478"/>
      <c r="CI61" s="478"/>
      <c r="CJ61" s="478"/>
      <c r="CK61" s="478"/>
      <c r="CL61" s="478"/>
      <c r="CM61" s="478"/>
      <c r="CN61" s="478"/>
      <c r="CO61" s="478"/>
      <c r="CP61" s="478"/>
      <c r="CQ61" s="478"/>
      <c r="CR61" s="478"/>
      <c r="CS61" s="478"/>
      <c r="CT61" s="478"/>
      <c r="CU61" s="478"/>
      <c r="CV61" s="478"/>
      <c r="CW61" s="478"/>
      <c r="CX61" s="478"/>
      <c r="CY61" s="478"/>
      <c r="CZ61" s="478"/>
    </row>
    <row r="62" spans="1:104" ht="48" customHeight="1" x14ac:dyDescent="0.2">
      <c r="A62" s="1836"/>
      <c r="B62" s="1839"/>
      <c r="C62" s="475"/>
      <c r="D62" s="475"/>
      <c r="E62" s="476"/>
      <c r="F62" s="476"/>
      <c r="G62" s="476"/>
      <c r="H62" s="476"/>
      <c r="I62" s="476"/>
      <c r="J62" s="476"/>
      <c r="K62" s="476"/>
      <c r="L62" s="476"/>
      <c r="M62" s="476"/>
      <c r="N62" s="476"/>
      <c r="O62" s="476"/>
      <c r="P62" s="476"/>
      <c r="Q62" s="476"/>
      <c r="R62" s="476"/>
      <c r="S62" s="476"/>
      <c r="T62" s="1845"/>
      <c r="U62" s="475" t="s">
        <v>1416</v>
      </c>
      <c r="V62" s="477" t="s">
        <v>1411</v>
      </c>
      <c r="W62" s="897" t="s">
        <v>1417</v>
      </c>
      <c r="X62" s="898">
        <v>1</v>
      </c>
      <c r="Y62" s="898">
        <v>0.25</v>
      </c>
      <c r="Z62" s="938">
        <v>0.25</v>
      </c>
      <c r="AA62" s="938"/>
      <c r="AB62" s="899">
        <f>+Y62</f>
        <v>0.25</v>
      </c>
      <c r="AC62" s="899">
        <f>+Z62/X62</f>
        <v>0.25</v>
      </c>
      <c r="AD62" s="899"/>
      <c r="AE62" s="898">
        <v>0</v>
      </c>
      <c r="AF62" s="898">
        <v>0</v>
      </c>
      <c r="AG62" s="898">
        <v>0</v>
      </c>
      <c r="AH62" s="898">
        <v>0</v>
      </c>
      <c r="AI62" s="899">
        <v>0</v>
      </c>
      <c r="AJ62" s="898">
        <v>0</v>
      </c>
      <c r="AK62" s="899">
        <v>0</v>
      </c>
      <c r="AL62" s="974">
        <v>0.25</v>
      </c>
      <c r="AM62" s="898">
        <v>0.25</v>
      </c>
      <c r="AN62" s="898"/>
      <c r="AO62" s="898">
        <v>0.25</v>
      </c>
      <c r="AP62" s="898"/>
      <c r="AQ62" s="898">
        <v>6.25E-2</v>
      </c>
      <c r="AR62" s="898"/>
      <c r="AS62" s="898">
        <v>6.25E-2</v>
      </c>
      <c r="AT62" s="898"/>
      <c r="AU62" s="898">
        <f>AM62</f>
        <v>0.25</v>
      </c>
      <c r="AV62" s="951">
        <f>AU62/AL62</f>
        <v>1</v>
      </c>
      <c r="AW62" s="898">
        <v>1</v>
      </c>
      <c r="AX62" s="907">
        <f>AW62/X62</f>
        <v>1</v>
      </c>
      <c r="AY62" s="898"/>
      <c r="AZ62" s="898"/>
      <c r="BA62" s="898"/>
      <c r="BB62" s="898"/>
      <c r="BC62" s="898"/>
      <c r="BD62" s="898"/>
      <c r="BE62" s="898"/>
      <c r="BF62" s="898">
        <v>0</v>
      </c>
      <c r="BG62" s="898"/>
      <c r="BH62" s="898"/>
      <c r="BI62" s="898"/>
      <c r="BJ62" s="898"/>
      <c r="BK62" s="951">
        <f>AX62</f>
        <v>1</v>
      </c>
      <c r="BL62" s="478"/>
      <c r="BM62" s="478"/>
      <c r="BN62" s="478"/>
      <c r="BO62" s="478"/>
      <c r="BP62" s="478"/>
      <c r="BQ62" s="478"/>
      <c r="BR62" s="478"/>
      <c r="BS62" s="478"/>
      <c r="BT62" s="478"/>
      <c r="BU62" s="478"/>
      <c r="BV62" s="478"/>
      <c r="BW62" s="478"/>
      <c r="BX62" s="478"/>
      <c r="BY62" s="478"/>
      <c r="BZ62" s="478"/>
      <c r="CA62" s="478"/>
      <c r="CB62" s="478"/>
      <c r="CC62" s="478"/>
      <c r="CD62" s="478"/>
      <c r="CE62" s="478"/>
      <c r="CF62" s="478"/>
      <c r="CG62" s="478"/>
      <c r="CH62" s="478"/>
      <c r="CI62" s="478"/>
      <c r="CJ62" s="478"/>
      <c r="CK62" s="478"/>
      <c r="CL62" s="478"/>
      <c r="CM62" s="478"/>
      <c r="CN62" s="478"/>
      <c r="CO62" s="478"/>
      <c r="CP62" s="478"/>
      <c r="CQ62" s="478"/>
      <c r="CR62" s="478"/>
      <c r="CS62" s="478"/>
      <c r="CT62" s="478"/>
      <c r="CU62" s="478"/>
      <c r="CV62" s="478"/>
      <c r="CW62" s="478"/>
      <c r="CX62" s="478"/>
      <c r="CY62" s="478"/>
      <c r="CZ62" s="478"/>
    </row>
    <row r="63" spans="1:104" ht="14.25" customHeight="1" x14ac:dyDescent="0.2">
      <c r="A63" s="1836"/>
      <c r="B63" s="1839"/>
      <c r="C63" s="475"/>
      <c r="D63" s="475"/>
      <c r="E63" s="476"/>
      <c r="F63" s="476"/>
      <c r="G63" s="476"/>
      <c r="H63" s="476"/>
      <c r="I63" s="476"/>
      <c r="J63" s="476"/>
      <c r="K63" s="476"/>
      <c r="L63" s="476"/>
      <c r="M63" s="476"/>
      <c r="N63" s="476"/>
      <c r="O63" s="476"/>
      <c r="P63" s="476"/>
      <c r="Q63" s="476"/>
      <c r="R63" s="476"/>
      <c r="S63" s="476"/>
      <c r="T63" s="1846"/>
      <c r="U63" s="481"/>
      <c r="V63" s="481"/>
      <c r="W63" s="910"/>
      <c r="X63" s="911"/>
      <c r="Y63" s="911"/>
      <c r="Z63" s="911"/>
      <c r="AA63" s="911"/>
      <c r="AB63" s="924">
        <f>AVERAGE(AB59:AB62)</f>
        <v>0.25</v>
      </c>
      <c r="AC63" s="912">
        <f>AVERAGE(AC59:AC62)</f>
        <v>0.30333333333333334</v>
      </c>
      <c r="AD63" s="912">
        <f>AVERAGE(AD59:AD62)</f>
        <v>0.5</v>
      </c>
      <c r="AE63" s="911"/>
      <c r="AF63" s="911"/>
      <c r="AG63" s="911"/>
      <c r="AH63" s="911"/>
      <c r="AI63" s="924">
        <f>AVERAGE(AI62)</f>
        <v>0</v>
      </c>
      <c r="AJ63" s="924"/>
      <c r="AK63" s="924">
        <f>AVERAGE(AK62)</f>
        <v>0</v>
      </c>
      <c r="AL63" s="911"/>
      <c r="AM63" s="977"/>
      <c r="AN63" s="914"/>
      <c r="AO63" s="914"/>
      <c r="AP63" s="914"/>
      <c r="AQ63" s="914"/>
      <c r="AR63" s="914"/>
      <c r="AS63" s="914"/>
      <c r="AT63" s="914"/>
      <c r="AU63" s="977"/>
      <c r="AV63" s="978">
        <f>AVERAGE(AV59:AV62)</f>
        <v>0.96666666666666667</v>
      </c>
      <c r="AW63" s="978"/>
      <c r="AX63" s="979">
        <f>AVERAGE(AX62)</f>
        <v>1</v>
      </c>
      <c r="AY63" s="1005"/>
      <c r="AZ63" s="1005"/>
      <c r="BA63" s="1005"/>
      <c r="BB63" s="1005"/>
      <c r="BC63" s="1005"/>
      <c r="BD63" s="1005"/>
      <c r="BE63" s="1005"/>
      <c r="BF63" s="1005"/>
      <c r="BG63" s="1005"/>
      <c r="BH63" s="1005"/>
      <c r="BI63" s="1692">
        <f>AVERAGE(BI59:BI62)</f>
        <v>0.66666666666666663</v>
      </c>
      <c r="BJ63" s="1693"/>
      <c r="BK63" s="1692">
        <f>AVERAGE(BK59:BK62)</f>
        <v>0.5625</v>
      </c>
      <c r="BL63" s="478"/>
      <c r="BM63" s="478"/>
      <c r="BN63" s="478"/>
      <c r="BO63" s="478"/>
      <c r="BP63" s="478"/>
      <c r="BQ63" s="478"/>
      <c r="BR63" s="478"/>
      <c r="BS63" s="478"/>
      <c r="BT63" s="478"/>
      <c r="BU63" s="478"/>
      <c r="BV63" s="478"/>
      <c r="BW63" s="478"/>
      <c r="BX63" s="478"/>
      <c r="BY63" s="478"/>
      <c r="BZ63" s="478"/>
      <c r="CA63" s="478"/>
      <c r="CB63" s="478"/>
      <c r="CC63" s="478"/>
      <c r="CD63" s="478"/>
      <c r="CE63" s="478"/>
      <c r="CF63" s="478"/>
      <c r="CG63" s="478"/>
      <c r="CH63" s="478"/>
      <c r="CI63" s="478"/>
      <c r="CJ63" s="478"/>
      <c r="CK63" s="478"/>
      <c r="CL63" s="478"/>
      <c r="CM63" s="478"/>
      <c r="CN63" s="478"/>
      <c r="CO63" s="478"/>
      <c r="CP63" s="478"/>
      <c r="CQ63" s="478"/>
      <c r="CR63" s="478"/>
      <c r="CS63" s="478"/>
      <c r="CT63" s="478"/>
      <c r="CU63" s="478"/>
      <c r="CV63" s="478"/>
      <c r="CW63" s="478"/>
      <c r="CX63" s="478"/>
      <c r="CY63" s="478"/>
      <c r="CZ63" s="478"/>
    </row>
    <row r="64" spans="1:104" ht="87.75" customHeight="1" x14ac:dyDescent="0.2">
      <c r="A64" s="1836"/>
      <c r="B64" s="1839"/>
      <c r="C64" s="475"/>
      <c r="D64" s="475"/>
      <c r="E64" s="476"/>
      <c r="F64" s="476"/>
      <c r="G64" s="476"/>
      <c r="H64" s="476"/>
      <c r="I64" s="476"/>
      <c r="J64" s="476"/>
      <c r="K64" s="476"/>
      <c r="L64" s="476"/>
      <c r="M64" s="476"/>
      <c r="N64" s="476"/>
      <c r="O64" s="476"/>
      <c r="P64" s="476"/>
      <c r="Q64" s="476"/>
      <c r="R64" s="476"/>
      <c r="S64" s="476"/>
      <c r="T64" s="1844" t="s">
        <v>1418</v>
      </c>
      <c r="U64" s="475" t="s">
        <v>1419</v>
      </c>
      <c r="V64" s="477" t="s">
        <v>1339</v>
      </c>
      <c r="W64" s="897" t="s">
        <v>1420</v>
      </c>
      <c r="X64" s="898">
        <v>1</v>
      </c>
      <c r="Y64" s="980">
        <v>0.25</v>
      </c>
      <c r="Z64" s="980">
        <v>0.25</v>
      </c>
      <c r="AA64" s="998"/>
      <c r="AB64" s="981"/>
      <c r="AC64" s="981">
        <f>+Z64/X64</f>
        <v>0.25</v>
      </c>
      <c r="AD64" s="997"/>
      <c r="AE64" s="898">
        <v>0</v>
      </c>
      <c r="AF64" s="898">
        <v>0</v>
      </c>
      <c r="AG64" s="898">
        <v>0</v>
      </c>
      <c r="AH64" s="898">
        <v>0</v>
      </c>
      <c r="AI64" s="899"/>
      <c r="AJ64" s="898"/>
      <c r="AK64" s="898"/>
      <c r="AL64" s="980">
        <v>0.25</v>
      </c>
      <c r="AM64" s="898">
        <v>0</v>
      </c>
      <c r="AN64" s="898"/>
      <c r="AO64" s="898">
        <v>6.25E-2</v>
      </c>
      <c r="AP64" s="898"/>
      <c r="AQ64" s="898">
        <v>6.25E-2</v>
      </c>
      <c r="AR64" s="898"/>
      <c r="AS64" s="898">
        <v>0.125</v>
      </c>
      <c r="AT64" s="898"/>
      <c r="AU64" s="898">
        <f>+AO64+AS64+AQ64</f>
        <v>0.25</v>
      </c>
      <c r="AV64" s="951">
        <f>+AU64/AL64</f>
        <v>1</v>
      </c>
      <c r="AW64" s="982">
        <f>AU64+AJ64</f>
        <v>0.25</v>
      </c>
      <c r="AX64" s="907">
        <f>AW64/X64</f>
        <v>0.25</v>
      </c>
      <c r="AY64" s="905"/>
      <c r="AZ64" s="905"/>
      <c r="BA64" s="905"/>
      <c r="BB64" s="905"/>
      <c r="BC64" s="905"/>
      <c r="BD64" s="905"/>
      <c r="BE64" s="905"/>
      <c r="BF64" s="905"/>
      <c r="BG64" s="905"/>
      <c r="BH64" s="905"/>
      <c r="BI64" s="905"/>
      <c r="BJ64" s="898">
        <v>1</v>
      </c>
      <c r="BK64" s="951">
        <f>+BJ64</f>
        <v>1</v>
      </c>
      <c r="BL64" s="478"/>
      <c r="BM64" s="478"/>
      <c r="BN64" s="478"/>
      <c r="BO64" s="478"/>
      <c r="BP64" s="478"/>
      <c r="BQ64" s="478"/>
      <c r="BR64" s="478"/>
      <c r="BS64" s="478"/>
      <c r="BT64" s="478"/>
      <c r="BU64" s="478"/>
      <c r="BV64" s="478"/>
      <c r="BW64" s="478"/>
      <c r="BX64" s="478"/>
      <c r="BY64" s="478"/>
      <c r="BZ64" s="478"/>
      <c r="CA64" s="478"/>
      <c r="CB64" s="478"/>
      <c r="CC64" s="478"/>
      <c r="CD64" s="478"/>
      <c r="CE64" s="478"/>
      <c r="CF64" s="478"/>
      <c r="CG64" s="478"/>
      <c r="CH64" s="478"/>
      <c r="CI64" s="478"/>
      <c r="CJ64" s="478"/>
      <c r="CK64" s="478"/>
      <c r="CL64" s="478"/>
      <c r="CM64" s="478"/>
      <c r="CN64" s="478"/>
      <c r="CO64" s="478"/>
      <c r="CP64" s="478"/>
      <c r="CQ64" s="478"/>
      <c r="CR64" s="478"/>
      <c r="CS64" s="478"/>
      <c r="CT64" s="478"/>
      <c r="CU64" s="478"/>
      <c r="CV64" s="478"/>
      <c r="CW64" s="478"/>
      <c r="CX64" s="478"/>
      <c r="CY64" s="478"/>
      <c r="CZ64" s="478"/>
    </row>
    <row r="65" spans="1:104" ht="60.75" customHeight="1" x14ac:dyDescent="0.2">
      <c r="A65" s="1836"/>
      <c r="B65" s="1839"/>
      <c r="C65" s="475"/>
      <c r="D65" s="475"/>
      <c r="E65" s="476"/>
      <c r="F65" s="476"/>
      <c r="G65" s="476"/>
      <c r="H65" s="476"/>
      <c r="I65" s="476"/>
      <c r="J65" s="476"/>
      <c r="K65" s="476"/>
      <c r="L65" s="476"/>
      <c r="M65" s="476"/>
      <c r="N65" s="476"/>
      <c r="O65" s="476"/>
      <c r="P65" s="476"/>
      <c r="Q65" s="476"/>
      <c r="R65" s="476"/>
      <c r="S65" s="476"/>
      <c r="T65" s="1845"/>
      <c r="U65" s="475" t="s">
        <v>1421</v>
      </c>
      <c r="V65" s="477" t="s">
        <v>1339</v>
      </c>
      <c r="W65" s="897" t="s">
        <v>1422</v>
      </c>
      <c r="X65" s="898">
        <v>1</v>
      </c>
      <c r="Y65" s="980" t="s">
        <v>177</v>
      </c>
      <c r="Z65" s="980">
        <v>1</v>
      </c>
      <c r="AA65" s="998"/>
      <c r="AB65" s="981"/>
      <c r="AC65" s="981">
        <v>0.33</v>
      </c>
      <c r="AD65" s="997"/>
      <c r="AE65" s="898"/>
      <c r="AF65" s="898"/>
      <c r="AG65" s="898"/>
      <c r="AH65" s="898"/>
      <c r="AI65" s="899"/>
      <c r="AJ65" s="898"/>
      <c r="AK65" s="898"/>
      <c r="AL65" s="980">
        <v>1</v>
      </c>
      <c r="AM65" s="898">
        <v>0</v>
      </c>
      <c r="AN65" s="898"/>
      <c r="AO65" s="898">
        <v>0.25</v>
      </c>
      <c r="AP65" s="898"/>
      <c r="AQ65" s="898">
        <v>0.25</v>
      </c>
      <c r="AR65" s="898"/>
      <c r="AS65" s="898">
        <v>0.2</v>
      </c>
      <c r="AT65" s="898"/>
      <c r="AU65" s="898">
        <f>AM65+AO65+AQ65+AS65</f>
        <v>0.7</v>
      </c>
      <c r="AV65" s="951">
        <f>AU65/AL65</f>
        <v>0.7</v>
      </c>
      <c r="AW65" s="898">
        <f>+AK65+AU65</f>
        <v>0.7</v>
      </c>
      <c r="AX65" s="907">
        <f>AW65</f>
        <v>0.7</v>
      </c>
      <c r="AY65" s="905"/>
      <c r="AZ65" s="905"/>
      <c r="BA65" s="905"/>
      <c r="BB65" s="905"/>
      <c r="BC65" s="905"/>
      <c r="BD65" s="905"/>
      <c r="BE65" s="905"/>
      <c r="BF65" s="905"/>
      <c r="BG65" s="905"/>
      <c r="BH65" s="905"/>
      <c r="BI65" s="905"/>
      <c r="BJ65" s="898">
        <v>1</v>
      </c>
      <c r="BK65" s="951">
        <f>+BJ65</f>
        <v>1</v>
      </c>
      <c r="BL65" s="478"/>
      <c r="BM65" s="478"/>
      <c r="BN65" s="478"/>
      <c r="BO65" s="478"/>
      <c r="BP65" s="478"/>
      <c r="BQ65" s="478"/>
      <c r="BR65" s="478"/>
      <c r="BS65" s="478"/>
      <c r="BT65" s="478"/>
      <c r="BU65" s="478"/>
      <c r="BV65" s="478"/>
      <c r="BW65" s="478"/>
      <c r="BX65" s="478"/>
      <c r="BY65" s="478"/>
      <c r="BZ65" s="478"/>
      <c r="CA65" s="478"/>
      <c r="CB65" s="478"/>
      <c r="CC65" s="478"/>
      <c r="CD65" s="478"/>
      <c r="CE65" s="478"/>
      <c r="CF65" s="478"/>
      <c r="CG65" s="478"/>
      <c r="CH65" s="478"/>
      <c r="CI65" s="478"/>
      <c r="CJ65" s="478"/>
      <c r="CK65" s="478"/>
      <c r="CL65" s="478"/>
      <c r="CM65" s="478"/>
      <c r="CN65" s="478"/>
      <c r="CO65" s="478"/>
      <c r="CP65" s="478"/>
      <c r="CQ65" s="478"/>
      <c r="CR65" s="478"/>
      <c r="CS65" s="478"/>
      <c r="CT65" s="478"/>
      <c r="CU65" s="478"/>
      <c r="CV65" s="478"/>
      <c r="CW65" s="478"/>
      <c r="CX65" s="478"/>
      <c r="CY65" s="478"/>
      <c r="CZ65" s="478"/>
    </row>
    <row r="66" spans="1:104" ht="51" customHeight="1" x14ac:dyDescent="0.2">
      <c r="A66" s="1836"/>
      <c r="B66" s="1839"/>
      <c r="C66" s="475"/>
      <c r="D66" s="475"/>
      <c r="E66" s="476"/>
      <c r="F66" s="476"/>
      <c r="G66" s="476"/>
      <c r="H66" s="476"/>
      <c r="I66" s="476"/>
      <c r="J66" s="476"/>
      <c r="K66" s="476"/>
      <c r="L66" s="476"/>
      <c r="M66" s="476"/>
      <c r="N66" s="476"/>
      <c r="O66" s="476"/>
      <c r="P66" s="476"/>
      <c r="Q66" s="476"/>
      <c r="R66" s="476"/>
      <c r="S66" s="476"/>
      <c r="T66" s="1846"/>
      <c r="U66" s="475" t="s">
        <v>1423</v>
      </c>
      <c r="V66" s="477" t="s">
        <v>1339</v>
      </c>
      <c r="W66" s="897" t="s">
        <v>1424</v>
      </c>
      <c r="X66" s="898">
        <v>1</v>
      </c>
      <c r="Y66" s="981">
        <v>0.5</v>
      </c>
      <c r="Z66" s="981">
        <v>0.5</v>
      </c>
      <c r="AA66" s="997"/>
      <c r="AB66" s="981">
        <v>0.5</v>
      </c>
      <c r="AC66" s="981">
        <f>+Z66/X66</f>
        <v>0.5</v>
      </c>
      <c r="AD66" s="997"/>
      <c r="AE66" s="898">
        <v>0</v>
      </c>
      <c r="AF66" s="898">
        <v>0</v>
      </c>
      <c r="AG66" s="898">
        <v>0</v>
      </c>
      <c r="AH66" s="898">
        <v>0</v>
      </c>
      <c r="AI66" s="899">
        <v>0</v>
      </c>
      <c r="AJ66" s="898"/>
      <c r="AK66" s="921"/>
      <c r="AL66" s="980">
        <v>1</v>
      </c>
      <c r="AM66" s="898">
        <v>0.25</v>
      </c>
      <c r="AN66" s="898"/>
      <c r="AO66" s="898">
        <v>0.25</v>
      </c>
      <c r="AP66" s="898"/>
      <c r="AQ66" s="898">
        <v>0.25</v>
      </c>
      <c r="AR66" s="898"/>
      <c r="AS66" s="898">
        <v>0.25</v>
      </c>
      <c r="AT66" s="898"/>
      <c r="AU66" s="898">
        <f>AM66+AO66+AQ66+AS66</f>
        <v>1</v>
      </c>
      <c r="AV66" s="951">
        <f>AU66/AL66</f>
        <v>1</v>
      </c>
      <c r="AW66" s="951">
        <f>AU66+AJ66</f>
        <v>1</v>
      </c>
      <c r="AX66" s="907">
        <f>AW66/X66</f>
        <v>1</v>
      </c>
      <c r="AY66" s="905"/>
      <c r="AZ66" s="905"/>
      <c r="BA66" s="905"/>
      <c r="BB66" s="905"/>
      <c r="BC66" s="905"/>
      <c r="BD66" s="905"/>
      <c r="BE66" s="905"/>
      <c r="BF66" s="905"/>
      <c r="BG66" s="905"/>
      <c r="BH66" s="905"/>
      <c r="BI66" s="905"/>
      <c r="BJ66" s="905"/>
      <c r="BK66" s="951">
        <f>AX66</f>
        <v>1</v>
      </c>
      <c r="BL66" s="478"/>
      <c r="BM66" s="478"/>
      <c r="BN66" s="478"/>
      <c r="BO66" s="478"/>
      <c r="BP66" s="478"/>
      <c r="BQ66" s="478"/>
      <c r="BR66" s="478"/>
      <c r="BS66" s="478"/>
      <c r="BT66" s="478"/>
      <c r="BU66" s="478"/>
      <c r="BV66" s="478"/>
      <c r="BW66" s="478"/>
      <c r="BX66" s="478"/>
      <c r="BY66" s="478"/>
      <c r="BZ66" s="478"/>
      <c r="CA66" s="478"/>
      <c r="CB66" s="478"/>
      <c r="CC66" s="478"/>
      <c r="CD66" s="478"/>
      <c r="CE66" s="478"/>
      <c r="CF66" s="478"/>
      <c r="CG66" s="478"/>
      <c r="CH66" s="478"/>
      <c r="CI66" s="478"/>
      <c r="CJ66" s="478"/>
      <c r="CK66" s="478"/>
      <c r="CL66" s="478"/>
      <c r="CM66" s="478"/>
      <c r="CN66" s="478"/>
      <c r="CO66" s="478"/>
      <c r="CP66" s="478"/>
      <c r="CQ66" s="478"/>
      <c r="CR66" s="478"/>
      <c r="CS66" s="478"/>
      <c r="CT66" s="478"/>
      <c r="CU66" s="478"/>
      <c r="CV66" s="478"/>
      <c r="CW66" s="478"/>
      <c r="CX66" s="478"/>
      <c r="CY66" s="478"/>
      <c r="CZ66" s="478"/>
    </row>
    <row r="67" spans="1:104" ht="14.25" customHeight="1" x14ac:dyDescent="0.2">
      <c r="A67" s="1836"/>
      <c r="B67" s="1839"/>
      <c r="C67" s="475"/>
      <c r="D67" s="475"/>
      <c r="E67" s="476"/>
      <c r="F67" s="476"/>
      <c r="G67" s="476"/>
      <c r="H67" s="476"/>
      <c r="I67" s="476"/>
      <c r="J67" s="476"/>
      <c r="K67" s="476"/>
      <c r="L67" s="476"/>
      <c r="M67" s="476"/>
      <c r="N67" s="476"/>
      <c r="O67" s="476"/>
      <c r="P67" s="476"/>
      <c r="Q67" s="476"/>
      <c r="R67" s="476"/>
      <c r="S67" s="476"/>
      <c r="T67" s="494"/>
      <c r="U67" s="481"/>
      <c r="V67" s="481"/>
      <c r="W67" s="910"/>
      <c r="X67" s="911"/>
      <c r="Y67" s="911"/>
      <c r="Z67" s="911"/>
      <c r="AA67" s="911"/>
      <c r="AB67" s="912">
        <f>AVERAGE(AB64:AB66)</f>
        <v>0.5</v>
      </c>
      <c r="AC67" s="912">
        <f>AVERAGE(AC64:AC66)</f>
        <v>0.36000000000000004</v>
      </c>
      <c r="AD67" s="912">
        <v>0</v>
      </c>
      <c r="AE67" s="911"/>
      <c r="AF67" s="911"/>
      <c r="AG67" s="911"/>
      <c r="AH67" s="911"/>
      <c r="AI67" s="924">
        <v>0</v>
      </c>
      <c r="AJ67" s="911"/>
      <c r="AK67" s="911"/>
      <c r="AL67" s="911"/>
      <c r="AM67" s="905"/>
      <c r="AN67" s="905"/>
      <c r="AO67" s="905"/>
      <c r="AP67" s="905"/>
      <c r="AQ67" s="905"/>
      <c r="AR67" s="905"/>
      <c r="AS67" s="905"/>
      <c r="AT67" s="905"/>
      <c r="AU67" s="905"/>
      <c r="AV67" s="983">
        <f>AVERAGE(AV64:AV66)</f>
        <v>0.9</v>
      </c>
      <c r="AW67" s="1002"/>
      <c r="AX67" s="1003">
        <f>AVERAGE(AX64:AX66)</f>
        <v>0.65</v>
      </c>
      <c r="AY67" s="1004"/>
      <c r="AZ67" s="1004"/>
      <c r="BA67" s="1004"/>
      <c r="BB67" s="1004"/>
      <c r="BC67" s="1004"/>
      <c r="BD67" s="1004"/>
      <c r="BE67" s="1004"/>
      <c r="BF67" s="1004"/>
      <c r="BG67" s="1004"/>
      <c r="BH67" s="1004"/>
      <c r="BI67" s="1004"/>
      <c r="BJ67" s="1004"/>
      <c r="BK67" s="1003">
        <f>AVERAGE(BK64:BK66)</f>
        <v>1</v>
      </c>
      <c r="BL67" s="478"/>
      <c r="BM67" s="478"/>
      <c r="BN67" s="478"/>
      <c r="BO67" s="478"/>
      <c r="BP67" s="478"/>
      <c r="BQ67" s="478"/>
      <c r="BR67" s="478"/>
      <c r="BS67" s="478"/>
      <c r="BT67" s="478"/>
      <c r="BU67" s="478"/>
      <c r="BV67" s="478"/>
      <c r="BW67" s="478"/>
      <c r="BX67" s="478"/>
      <c r="BY67" s="478"/>
      <c r="BZ67" s="478"/>
      <c r="CA67" s="478"/>
      <c r="CB67" s="478"/>
      <c r="CC67" s="478"/>
      <c r="CD67" s="478"/>
      <c r="CE67" s="478"/>
      <c r="CF67" s="478"/>
      <c r="CG67" s="478"/>
      <c r="CH67" s="478"/>
      <c r="CI67" s="478"/>
      <c r="CJ67" s="478"/>
      <c r="CK67" s="478"/>
      <c r="CL67" s="478"/>
      <c r="CM67" s="478"/>
      <c r="CN67" s="478"/>
      <c r="CO67" s="478"/>
      <c r="CP67" s="478"/>
      <c r="CQ67" s="478"/>
      <c r="CR67" s="478"/>
      <c r="CS67" s="478"/>
      <c r="CT67" s="478"/>
      <c r="CU67" s="478"/>
      <c r="CV67" s="478"/>
      <c r="CW67" s="478"/>
      <c r="CX67" s="478"/>
      <c r="CY67" s="478"/>
      <c r="CZ67" s="478"/>
    </row>
    <row r="68" spans="1:104" ht="80.25" customHeight="1" x14ac:dyDescent="0.2">
      <c r="A68" s="1836"/>
      <c r="B68" s="1839"/>
      <c r="C68" s="475"/>
      <c r="D68" s="475"/>
      <c r="E68" s="476"/>
      <c r="F68" s="476"/>
      <c r="G68" s="476"/>
      <c r="H68" s="476"/>
      <c r="I68" s="476"/>
      <c r="J68" s="476"/>
      <c r="K68" s="476"/>
      <c r="L68" s="476"/>
      <c r="M68" s="476"/>
      <c r="N68" s="476"/>
      <c r="O68" s="476"/>
      <c r="P68" s="476"/>
      <c r="Q68" s="476"/>
      <c r="R68" s="476"/>
      <c r="S68" s="476"/>
      <c r="T68" s="1844" t="s">
        <v>1425</v>
      </c>
      <c r="U68" s="475" t="s">
        <v>1426</v>
      </c>
      <c r="V68" s="477" t="s">
        <v>1427</v>
      </c>
      <c r="W68" s="939" t="s">
        <v>1428</v>
      </c>
      <c r="X68" s="898">
        <v>2500</v>
      </c>
      <c r="Y68" s="898">
        <v>500</v>
      </c>
      <c r="Z68" s="898">
        <v>650</v>
      </c>
      <c r="AA68" s="898">
        <v>500</v>
      </c>
      <c r="AB68" s="899">
        <f>+Y68/X68</f>
        <v>0.2</v>
      </c>
      <c r="AC68" s="899">
        <f>+Z68/X68</f>
        <v>0.26</v>
      </c>
      <c r="AD68" s="899">
        <f>AA68/X68</f>
        <v>0.2</v>
      </c>
      <c r="AE68" s="898">
        <v>30</v>
      </c>
      <c r="AF68" s="898">
        <v>300</v>
      </c>
      <c r="AG68" s="898">
        <v>380</v>
      </c>
      <c r="AH68" s="898">
        <f>+AG68</f>
        <v>380</v>
      </c>
      <c r="AI68" s="899">
        <f>+AH68/Y68</f>
        <v>0.76</v>
      </c>
      <c r="AJ68" s="898">
        <f>+AH68</f>
        <v>380</v>
      </c>
      <c r="AK68" s="902">
        <f>+AJ68/X68</f>
        <v>0.152</v>
      </c>
      <c r="AL68" s="898">
        <v>650</v>
      </c>
      <c r="AM68" s="898">
        <v>50</v>
      </c>
      <c r="AN68" s="898"/>
      <c r="AO68" s="898">
        <v>59</v>
      </c>
      <c r="AP68" s="898"/>
      <c r="AQ68" s="898">
        <v>281</v>
      </c>
      <c r="AR68" s="898"/>
      <c r="AS68" s="898">
        <v>1063</v>
      </c>
      <c r="AT68" s="898"/>
      <c r="AU68" s="898">
        <f>+AO68+AQ68+AM68+AS68</f>
        <v>1453</v>
      </c>
      <c r="AV68" s="899">
        <f>+AU68/AL68</f>
        <v>2.2353846153846155</v>
      </c>
      <c r="AW68" s="903">
        <f>+AU68+AJ68</f>
        <v>1833</v>
      </c>
      <c r="AX68" s="904">
        <f>+AW68/X68</f>
        <v>0.73319999999999996</v>
      </c>
      <c r="AY68" s="898">
        <f>AA68</f>
        <v>500</v>
      </c>
      <c r="AZ68" s="898">
        <v>34</v>
      </c>
      <c r="BA68" s="898"/>
      <c r="BB68" s="898">
        <v>113</v>
      </c>
      <c r="BC68" s="898"/>
      <c r="BD68" s="898">
        <v>396</v>
      </c>
      <c r="BE68" s="898"/>
      <c r="BF68" s="898">
        <v>245</v>
      </c>
      <c r="BG68" s="898"/>
      <c r="BH68" s="898">
        <f>AZ68+BB68+BD68+BF68</f>
        <v>788</v>
      </c>
      <c r="BI68" s="951">
        <v>1</v>
      </c>
      <c r="BJ68" s="903">
        <f>BH68+AW68</f>
        <v>2621</v>
      </c>
      <c r="BK68" s="951">
        <v>1</v>
      </c>
      <c r="BL68" s="478"/>
      <c r="BM68" s="478"/>
      <c r="BN68" s="478"/>
      <c r="BO68" s="478"/>
      <c r="BP68" s="478"/>
      <c r="BQ68" s="478"/>
      <c r="BR68" s="478"/>
      <c r="BS68" s="478"/>
      <c r="BT68" s="478"/>
      <c r="BU68" s="478"/>
      <c r="BV68" s="478"/>
      <c r="BW68" s="478"/>
      <c r="BX68" s="478"/>
      <c r="BY68" s="478"/>
      <c r="BZ68" s="478"/>
      <c r="CA68" s="478"/>
      <c r="CB68" s="478"/>
      <c r="CC68" s="478"/>
      <c r="CD68" s="478"/>
      <c r="CE68" s="478"/>
      <c r="CF68" s="478"/>
      <c r="CG68" s="478"/>
      <c r="CH68" s="478"/>
      <c r="CI68" s="478"/>
      <c r="CJ68" s="478"/>
      <c r="CK68" s="478"/>
      <c r="CL68" s="478"/>
      <c r="CM68" s="478"/>
      <c r="CN68" s="478"/>
      <c r="CO68" s="478"/>
      <c r="CP68" s="478"/>
      <c r="CQ68" s="478"/>
      <c r="CR68" s="478"/>
      <c r="CS68" s="478"/>
      <c r="CT68" s="478"/>
      <c r="CU68" s="478"/>
      <c r="CV68" s="478"/>
      <c r="CW68" s="478"/>
      <c r="CX68" s="478"/>
      <c r="CY68" s="478"/>
      <c r="CZ68" s="478"/>
    </row>
    <row r="69" spans="1:104" ht="46.5" customHeight="1" x14ac:dyDescent="0.2">
      <c r="A69" s="1836"/>
      <c r="B69" s="1839"/>
      <c r="C69" s="475"/>
      <c r="D69" s="475"/>
      <c r="E69" s="476"/>
      <c r="F69" s="476"/>
      <c r="G69" s="476"/>
      <c r="H69" s="476"/>
      <c r="I69" s="476"/>
      <c r="J69" s="476"/>
      <c r="K69" s="476"/>
      <c r="L69" s="476"/>
      <c r="M69" s="476"/>
      <c r="N69" s="476"/>
      <c r="O69" s="476"/>
      <c r="P69" s="476"/>
      <c r="Q69" s="476"/>
      <c r="R69" s="476"/>
      <c r="S69" s="476"/>
      <c r="T69" s="1845"/>
      <c r="U69" s="475" t="s">
        <v>1429</v>
      </c>
      <c r="V69" s="477" t="s">
        <v>201</v>
      </c>
      <c r="W69" s="1218" t="s">
        <v>1430</v>
      </c>
      <c r="X69" s="898">
        <v>500</v>
      </c>
      <c r="Y69" s="898">
        <v>100</v>
      </c>
      <c r="Z69" s="898">
        <v>150</v>
      </c>
      <c r="AA69" s="898">
        <v>62</v>
      </c>
      <c r="AB69" s="899">
        <f>+Y69/X69</f>
        <v>0.2</v>
      </c>
      <c r="AC69" s="899">
        <f>+Z69/X69</f>
        <v>0.3</v>
      </c>
      <c r="AD69" s="899">
        <f>AA69/X69</f>
        <v>0.124</v>
      </c>
      <c r="AE69" s="898">
        <v>0</v>
      </c>
      <c r="AF69" s="898">
        <v>100</v>
      </c>
      <c r="AG69" s="898">
        <v>150</v>
      </c>
      <c r="AH69" s="898">
        <f>+AG69</f>
        <v>150</v>
      </c>
      <c r="AI69" s="899">
        <v>1</v>
      </c>
      <c r="AJ69" s="898">
        <f>+AH69</f>
        <v>150</v>
      </c>
      <c r="AK69" s="902">
        <f>+AJ69/X69</f>
        <v>0.3</v>
      </c>
      <c r="AL69" s="898">
        <v>150</v>
      </c>
      <c r="AM69" s="898">
        <v>2</v>
      </c>
      <c r="AN69" s="898"/>
      <c r="AO69" s="898">
        <v>7</v>
      </c>
      <c r="AP69" s="898"/>
      <c r="AQ69" s="898">
        <v>100</v>
      </c>
      <c r="AR69" s="898"/>
      <c r="AS69" s="898">
        <v>179</v>
      </c>
      <c r="AT69" s="898"/>
      <c r="AU69" s="898">
        <f>+AM69+AO69+AQ69+AS69</f>
        <v>288</v>
      </c>
      <c r="AV69" s="899">
        <f>+AU69/AL69</f>
        <v>1.92</v>
      </c>
      <c r="AW69" s="903">
        <f>+AU69+AJ69</f>
        <v>438</v>
      </c>
      <c r="AX69" s="904">
        <f>+AW69/X69</f>
        <v>0.876</v>
      </c>
      <c r="AY69" s="898">
        <f>AA69</f>
        <v>62</v>
      </c>
      <c r="AZ69" s="898">
        <v>5</v>
      </c>
      <c r="BA69" s="898"/>
      <c r="BB69" s="898">
        <v>55</v>
      </c>
      <c r="BC69" s="898"/>
      <c r="BD69" s="898">
        <v>464</v>
      </c>
      <c r="BE69" s="1378" t="s">
        <v>2200</v>
      </c>
      <c r="BF69" s="898">
        <v>176</v>
      </c>
      <c r="BG69" s="898"/>
      <c r="BH69" s="898">
        <f>AZ69+BB69+BD69+BF69</f>
        <v>700</v>
      </c>
      <c r="BI69" s="951">
        <v>1</v>
      </c>
      <c r="BJ69" s="903">
        <f>BH69+AW69</f>
        <v>1138</v>
      </c>
      <c r="BK69" s="951">
        <v>1</v>
      </c>
      <c r="BL69" s="478"/>
      <c r="BM69" s="478"/>
      <c r="BN69" s="478"/>
      <c r="BO69" s="478"/>
      <c r="BP69" s="478"/>
      <c r="BQ69" s="478"/>
      <c r="BR69" s="478"/>
      <c r="BS69" s="478"/>
      <c r="BT69" s="478"/>
      <c r="BU69" s="478"/>
      <c r="BV69" s="478"/>
      <c r="BW69" s="478"/>
      <c r="BX69" s="478"/>
      <c r="BY69" s="478"/>
      <c r="BZ69" s="478"/>
      <c r="CA69" s="478"/>
      <c r="CB69" s="478"/>
      <c r="CC69" s="478"/>
      <c r="CD69" s="478"/>
      <c r="CE69" s="478"/>
      <c r="CF69" s="478"/>
      <c r="CG69" s="478"/>
      <c r="CH69" s="478"/>
      <c r="CI69" s="478"/>
      <c r="CJ69" s="478"/>
      <c r="CK69" s="478"/>
      <c r="CL69" s="478"/>
      <c r="CM69" s="478"/>
      <c r="CN69" s="478"/>
      <c r="CO69" s="478"/>
      <c r="CP69" s="478"/>
      <c r="CQ69" s="478"/>
      <c r="CR69" s="478"/>
      <c r="CS69" s="478"/>
      <c r="CT69" s="478"/>
      <c r="CU69" s="478"/>
      <c r="CV69" s="478"/>
      <c r="CW69" s="478"/>
      <c r="CX69" s="478"/>
      <c r="CY69" s="478"/>
      <c r="CZ69" s="478"/>
    </row>
    <row r="70" spans="1:104" ht="50.25" customHeight="1" x14ac:dyDescent="0.2">
      <c r="A70" s="1836"/>
      <c r="B70" s="1839"/>
      <c r="C70" s="475"/>
      <c r="D70" s="475"/>
      <c r="E70" s="476"/>
      <c r="F70" s="476"/>
      <c r="G70" s="476"/>
      <c r="H70" s="476"/>
      <c r="I70" s="476"/>
      <c r="J70" s="476"/>
      <c r="K70" s="476"/>
      <c r="L70" s="476"/>
      <c r="M70" s="476"/>
      <c r="N70" s="476"/>
      <c r="O70" s="476"/>
      <c r="P70" s="476"/>
      <c r="Q70" s="476"/>
      <c r="R70" s="476"/>
      <c r="S70" s="476"/>
      <c r="T70" s="1846"/>
      <c r="U70" s="481"/>
      <c r="V70" s="481"/>
      <c r="W70" s="910"/>
      <c r="X70" s="911"/>
      <c r="Y70" s="911"/>
      <c r="Z70" s="911"/>
      <c r="AA70" s="911"/>
      <c r="AB70" s="912">
        <f>AVERAGE(AB68:AB69)</f>
        <v>0.2</v>
      </c>
      <c r="AC70" s="912">
        <f>AVERAGE(AC68:AC69)</f>
        <v>0.28000000000000003</v>
      </c>
      <c r="AD70" s="912">
        <f>AVERAGE(AD68:AD69)</f>
        <v>0.16200000000000001</v>
      </c>
      <c r="AE70" s="911"/>
      <c r="AF70" s="911"/>
      <c r="AG70" s="911"/>
      <c r="AH70" s="911"/>
      <c r="AI70" s="912">
        <f>AVERAGE(AI68:AI69)</f>
        <v>0.88</v>
      </c>
      <c r="AJ70" s="911"/>
      <c r="AK70" s="913">
        <f>AVERAGE(AK68:AK69)</f>
        <v>0.22599999999999998</v>
      </c>
      <c r="AL70" s="911"/>
      <c r="AM70" s="905"/>
      <c r="AN70" s="905"/>
      <c r="AO70" s="905"/>
      <c r="AP70" s="905"/>
      <c r="AQ70" s="905"/>
      <c r="AR70" s="905"/>
      <c r="AS70" s="905"/>
      <c r="AT70" s="905"/>
      <c r="AU70" s="905"/>
      <c r="AV70" s="913">
        <f>AVERAGE(AV68:AV69)</f>
        <v>2.0776923076923079</v>
      </c>
      <c r="AW70" s="905"/>
      <c r="AX70" s="920">
        <f>AVERAGE(AX68:AX69)</f>
        <v>0.80459999999999998</v>
      </c>
      <c r="AY70" s="905"/>
      <c r="AZ70" s="905"/>
      <c r="BA70" s="905"/>
      <c r="BB70" s="905"/>
      <c r="BC70" s="905"/>
      <c r="BD70" s="905"/>
      <c r="BE70" s="905"/>
      <c r="BF70" s="905"/>
      <c r="BG70" s="905"/>
      <c r="BH70" s="905"/>
      <c r="BI70" s="920">
        <f>AVERAGE(BI68:BI69)</f>
        <v>1</v>
      </c>
      <c r="BJ70" s="905"/>
      <c r="BK70" s="920">
        <f>AVERAGE(BK68:BK69)</f>
        <v>1</v>
      </c>
      <c r="BL70" s="478"/>
      <c r="BM70" s="478"/>
      <c r="BN70" s="478"/>
      <c r="BO70" s="478"/>
      <c r="BP70" s="478"/>
      <c r="BQ70" s="478"/>
      <c r="BR70" s="478"/>
      <c r="BS70" s="478"/>
      <c r="BT70" s="478"/>
      <c r="BU70" s="478"/>
      <c r="BV70" s="478"/>
      <c r="BW70" s="478"/>
      <c r="BX70" s="478"/>
      <c r="BY70" s="478"/>
      <c r="BZ70" s="478"/>
      <c r="CA70" s="478"/>
      <c r="CB70" s="478"/>
      <c r="CC70" s="478"/>
      <c r="CD70" s="478"/>
      <c r="CE70" s="478"/>
      <c r="CF70" s="478"/>
      <c r="CG70" s="478"/>
      <c r="CH70" s="478"/>
      <c r="CI70" s="478"/>
      <c r="CJ70" s="478"/>
      <c r="CK70" s="478"/>
      <c r="CL70" s="478"/>
      <c r="CM70" s="478"/>
      <c r="CN70" s="478"/>
      <c r="CO70" s="478"/>
      <c r="CP70" s="478"/>
      <c r="CQ70" s="478"/>
      <c r="CR70" s="478"/>
      <c r="CS70" s="478"/>
      <c r="CT70" s="478"/>
      <c r="CU70" s="478"/>
      <c r="CV70" s="478"/>
      <c r="CW70" s="478"/>
      <c r="CX70" s="478"/>
      <c r="CY70" s="478"/>
      <c r="CZ70" s="478"/>
    </row>
    <row r="71" spans="1:104" ht="27.75" customHeight="1" x14ac:dyDescent="0.2">
      <c r="A71" s="1836"/>
      <c r="B71" s="1840"/>
      <c r="C71" s="475"/>
      <c r="D71" s="493"/>
      <c r="E71" s="496"/>
      <c r="F71" s="496"/>
      <c r="G71" s="496"/>
      <c r="H71" s="496"/>
      <c r="I71" s="496"/>
      <c r="J71" s="496"/>
      <c r="K71" s="496"/>
      <c r="L71" s="496"/>
      <c r="M71" s="496"/>
      <c r="N71" s="496"/>
      <c r="O71" s="496"/>
      <c r="P71" s="496"/>
      <c r="Q71" s="496"/>
      <c r="R71" s="496"/>
      <c r="S71" s="496"/>
      <c r="T71" s="492"/>
      <c r="U71" s="493"/>
      <c r="V71" s="493"/>
      <c r="W71" s="967"/>
      <c r="X71" s="968"/>
      <c r="Y71" s="968"/>
      <c r="Z71" s="968"/>
      <c r="AA71" s="968"/>
      <c r="AB71" s="969">
        <f>+(AB70+AB67+AB63)/3</f>
        <v>0.31666666666666665</v>
      </c>
      <c r="AC71" s="969">
        <f>+(AC70+AC67+AC63)/3</f>
        <v>0.31444444444444447</v>
      </c>
      <c r="AD71" s="969">
        <f>+(AD70+AD67+AD63)/3</f>
        <v>0.22066666666666668</v>
      </c>
      <c r="AE71" s="968"/>
      <c r="AF71" s="968"/>
      <c r="AG71" s="968"/>
      <c r="AH71" s="968"/>
      <c r="AI71" s="970">
        <f>+(AI70+AI67+AI63)/3</f>
        <v>0.29333333333333333</v>
      </c>
      <c r="AJ71" s="968"/>
      <c r="AK71" s="984">
        <f>+(AK70+AK67+AK63)/3</f>
        <v>7.5333333333333322E-2</v>
      </c>
      <c r="AL71" s="985"/>
      <c r="AM71" s="1001"/>
      <c r="AN71" s="1001"/>
      <c r="AO71" s="1001"/>
      <c r="AP71" s="1001"/>
      <c r="AQ71" s="1001"/>
      <c r="AR71" s="1001"/>
      <c r="AS71" s="1001"/>
      <c r="AT71" s="1001"/>
      <c r="AU71" s="1001"/>
      <c r="AV71" s="984">
        <f>+(AV70+AV67+AV63)/3</f>
        <v>1.314786324786325</v>
      </c>
      <c r="AW71" s="1001"/>
      <c r="AX71" s="986">
        <f>+(AX70+AX67+AX63)/3</f>
        <v>0.81820000000000004</v>
      </c>
      <c r="AY71" s="1000"/>
      <c r="AZ71" s="1000"/>
      <c r="BA71" s="1000"/>
      <c r="BB71" s="1000"/>
      <c r="BC71" s="1000"/>
      <c r="BD71" s="1000"/>
      <c r="BE71" s="1000"/>
      <c r="BF71" s="1000"/>
      <c r="BG71" s="1000"/>
      <c r="BH71" s="1000"/>
      <c r="BI71" s="986">
        <f>+(BI70+BI67+BI63)/2</f>
        <v>0.83333333333333326</v>
      </c>
      <c r="BJ71" s="1000"/>
      <c r="BK71" s="986">
        <f>+(BK70+BK67+BK63)/3</f>
        <v>0.85416666666666663</v>
      </c>
      <c r="BL71" s="478"/>
      <c r="BM71" s="478"/>
      <c r="BN71" s="478"/>
      <c r="BO71" s="478"/>
      <c r="BP71" s="478"/>
      <c r="BQ71" s="478"/>
      <c r="BR71" s="478"/>
      <c r="BS71" s="478"/>
      <c r="BT71" s="478"/>
      <c r="BU71" s="478"/>
      <c r="BV71" s="478"/>
      <c r="BW71" s="478"/>
      <c r="BX71" s="478"/>
      <c r="BY71" s="478"/>
      <c r="BZ71" s="478"/>
      <c r="CA71" s="478"/>
      <c r="CB71" s="478"/>
      <c r="CC71" s="478"/>
      <c r="CD71" s="478"/>
      <c r="CE71" s="478"/>
      <c r="CF71" s="478"/>
      <c r="CG71" s="478"/>
      <c r="CH71" s="478"/>
      <c r="CI71" s="478"/>
      <c r="CJ71" s="478"/>
      <c r="CK71" s="478"/>
      <c r="CL71" s="478"/>
      <c r="CM71" s="478"/>
      <c r="CN71" s="478"/>
      <c r="CO71" s="478"/>
      <c r="CP71" s="478"/>
      <c r="CQ71" s="478"/>
      <c r="CR71" s="478"/>
      <c r="CS71" s="478"/>
      <c r="CT71" s="478"/>
      <c r="CU71" s="478"/>
      <c r="CV71" s="478"/>
      <c r="CW71" s="478"/>
      <c r="CX71" s="478"/>
      <c r="CY71" s="478"/>
      <c r="CZ71" s="478"/>
    </row>
    <row r="72" spans="1:104" ht="69.75" customHeight="1" x14ac:dyDescent="0.2">
      <c r="A72" s="1836"/>
      <c r="B72" s="1841" t="s">
        <v>1431</v>
      </c>
      <c r="C72" s="475" t="s">
        <v>1432</v>
      </c>
      <c r="D72" s="475" t="s">
        <v>1433</v>
      </c>
      <c r="E72" s="476"/>
      <c r="F72" s="476"/>
      <c r="G72" s="476"/>
      <c r="H72" s="476"/>
      <c r="I72" s="476"/>
      <c r="J72" s="476"/>
      <c r="K72" s="476"/>
      <c r="L72" s="476"/>
      <c r="M72" s="476"/>
      <c r="N72" s="476"/>
      <c r="O72" s="476"/>
      <c r="P72" s="476"/>
      <c r="Q72" s="476"/>
      <c r="R72" s="476"/>
      <c r="S72" s="476"/>
      <c r="T72" s="1844" t="s">
        <v>1434</v>
      </c>
      <c r="U72" s="482" t="s">
        <v>1435</v>
      </c>
      <c r="V72" s="485">
        <v>3207999</v>
      </c>
      <c r="W72" s="919" t="s">
        <v>1436</v>
      </c>
      <c r="X72" s="898">
        <v>3207999</v>
      </c>
      <c r="Y72" s="909">
        <v>867115</v>
      </c>
      <c r="Z72" s="909">
        <v>1300673</v>
      </c>
      <c r="AA72" s="909">
        <v>2081076</v>
      </c>
      <c r="AB72" s="987">
        <f>+Y72/X72</f>
        <v>0.27029777752424489</v>
      </c>
      <c r="AC72" s="987">
        <f>+Z72/X72</f>
        <v>0.40544682214676503</v>
      </c>
      <c r="AD72" s="987"/>
      <c r="AE72" s="898"/>
      <c r="AF72" s="898"/>
      <c r="AG72" s="898">
        <v>123123</v>
      </c>
      <c r="AH72" s="898">
        <f>+AG72</f>
        <v>123123</v>
      </c>
      <c r="AI72" s="899">
        <f>+AH72/Y72</f>
        <v>0.14199154668065944</v>
      </c>
      <c r="AJ72" s="903">
        <v>934447</v>
      </c>
      <c r="AK72" s="902">
        <f>+AJ72/X72</f>
        <v>0.29128656212174631</v>
      </c>
      <c r="AL72" s="909">
        <v>1300673</v>
      </c>
      <c r="AM72" s="903">
        <v>403398</v>
      </c>
      <c r="AN72" s="898"/>
      <c r="AO72" s="903">
        <v>444549</v>
      </c>
      <c r="AP72" s="898"/>
      <c r="AQ72" s="903">
        <v>444549</v>
      </c>
      <c r="AR72" s="898"/>
      <c r="AS72" s="903">
        <v>726863</v>
      </c>
      <c r="AT72" s="898"/>
      <c r="AU72" s="903">
        <f>AM72+AO72+AQ72+AS72</f>
        <v>2019359</v>
      </c>
      <c r="AV72" s="951">
        <v>1</v>
      </c>
      <c r="AW72" s="903">
        <f>AU72+AJ72</f>
        <v>2953806</v>
      </c>
      <c r="AX72" s="907">
        <f>AW72/X72</f>
        <v>0.92076275584873934</v>
      </c>
      <c r="AY72" s="898">
        <v>2081076</v>
      </c>
      <c r="AZ72" s="898">
        <v>591799</v>
      </c>
      <c r="BA72" s="898"/>
      <c r="BB72" s="898">
        <v>926498</v>
      </c>
      <c r="BC72" s="898"/>
      <c r="BD72" s="898">
        <v>982783</v>
      </c>
      <c r="BE72" s="898"/>
      <c r="BF72" s="1706">
        <v>963739</v>
      </c>
      <c r="BG72" s="898"/>
      <c r="BH72" s="1707">
        <f>+BF72</f>
        <v>963739</v>
      </c>
      <c r="BI72" s="951">
        <v>1</v>
      </c>
      <c r="BJ72" s="903">
        <f>+BH72+AW72</f>
        <v>3917545</v>
      </c>
      <c r="BK72" s="944">
        <f>IFERROR(IF((+BJ72/X72)&gt;100%,100%,(+BJ72/X72)),"NP")</f>
        <v>1</v>
      </c>
      <c r="BL72" s="478"/>
      <c r="BM72" s="478"/>
      <c r="BN72" s="478"/>
      <c r="BO72" s="478"/>
      <c r="BP72" s="478"/>
      <c r="BQ72" s="478"/>
      <c r="BR72" s="478"/>
      <c r="BS72" s="478"/>
      <c r="BT72" s="478"/>
      <c r="BU72" s="478"/>
      <c r="BV72" s="478"/>
      <c r="BW72" s="478"/>
      <c r="BX72" s="478"/>
      <c r="BY72" s="478"/>
      <c r="BZ72" s="478"/>
      <c r="CA72" s="478"/>
      <c r="CB72" s="478"/>
      <c r="CC72" s="478"/>
      <c r="CD72" s="478"/>
      <c r="CE72" s="478"/>
      <c r="CF72" s="478"/>
      <c r="CG72" s="478"/>
      <c r="CH72" s="478"/>
      <c r="CI72" s="478"/>
      <c r="CJ72" s="478"/>
      <c r="CK72" s="478"/>
      <c r="CL72" s="478"/>
      <c r="CM72" s="478"/>
      <c r="CN72" s="478"/>
      <c r="CO72" s="478"/>
      <c r="CP72" s="478"/>
      <c r="CQ72" s="478"/>
      <c r="CR72" s="478"/>
      <c r="CS72" s="478"/>
      <c r="CT72" s="478"/>
      <c r="CU72" s="478"/>
      <c r="CV72" s="478"/>
      <c r="CW72" s="478"/>
      <c r="CX72" s="478"/>
      <c r="CY72" s="478"/>
      <c r="CZ72" s="478"/>
    </row>
    <row r="73" spans="1:104" ht="51" customHeight="1" x14ac:dyDescent="0.2">
      <c r="A73" s="1836"/>
      <c r="B73" s="1842"/>
      <c r="C73" s="475"/>
      <c r="D73" s="475"/>
      <c r="E73" s="476"/>
      <c r="F73" s="476"/>
      <c r="G73" s="476"/>
      <c r="H73" s="476"/>
      <c r="I73" s="476"/>
      <c r="J73" s="476"/>
      <c r="K73" s="476"/>
      <c r="L73" s="476"/>
      <c r="M73" s="476"/>
      <c r="N73" s="476"/>
      <c r="O73" s="476"/>
      <c r="P73" s="476"/>
      <c r="Q73" s="476"/>
      <c r="R73" s="476"/>
      <c r="S73" s="476"/>
      <c r="T73" s="1846"/>
      <c r="U73" s="484"/>
      <c r="V73" s="497"/>
      <c r="W73" s="918"/>
      <c r="X73" s="911"/>
      <c r="Y73" s="911"/>
      <c r="Z73" s="911"/>
      <c r="AA73" s="911"/>
      <c r="AB73" s="924">
        <f>+AB72</f>
        <v>0.27029777752424489</v>
      </c>
      <c r="AC73" s="924">
        <f>+AC72</f>
        <v>0.40544682214676503</v>
      </c>
      <c r="AD73" s="924">
        <f>+AD72</f>
        <v>0</v>
      </c>
      <c r="AE73" s="911"/>
      <c r="AF73" s="911"/>
      <c r="AG73" s="911"/>
      <c r="AH73" s="911"/>
      <c r="AI73" s="912">
        <f>+AI72</f>
        <v>0.14199154668065944</v>
      </c>
      <c r="AJ73" s="932"/>
      <c r="AK73" s="913">
        <f>+AK72</f>
        <v>0.29128656212174631</v>
      </c>
      <c r="AL73" s="911"/>
      <c r="AM73" s="898"/>
      <c r="AN73" s="898"/>
      <c r="AO73" s="898"/>
      <c r="AP73" s="898"/>
      <c r="AQ73" s="898"/>
      <c r="AR73" s="898"/>
      <c r="AS73" s="898"/>
      <c r="AT73" s="898"/>
      <c r="AU73" s="898"/>
      <c r="AV73" s="913">
        <f>+AV72</f>
        <v>1</v>
      </c>
      <c r="AW73" s="913"/>
      <c r="AX73" s="920">
        <f>+AX72</f>
        <v>0.92076275584873934</v>
      </c>
      <c r="AY73" s="898"/>
      <c r="AZ73" s="898"/>
      <c r="BA73" s="898"/>
      <c r="BB73" s="898"/>
      <c r="BC73" s="898"/>
      <c r="BD73" s="898"/>
      <c r="BE73" s="898"/>
      <c r="BF73" s="898"/>
      <c r="BG73" s="898"/>
      <c r="BH73" s="898"/>
      <c r="BI73" s="920">
        <f>+BI72</f>
        <v>1</v>
      </c>
      <c r="BJ73" s="898"/>
      <c r="BK73" s="920">
        <f>+BK72</f>
        <v>1</v>
      </c>
      <c r="BL73" s="478"/>
      <c r="BM73" s="478"/>
      <c r="BN73" s="478"/>
      <c r="BO73" s="478"/>
      <c r="BP73" s="478"/>
      <c r="BQ73" s="478"/>
      <c r="BR73" s="478"/>
      <c r="BS73" s="478"/>
      <c r="BT73" s="478"/>
      <c r="BU73" s="478"/>
      <c r="BV73" s="478"/>
      <c r="BW73" s="478"/>
      <c r="BX73" s="478"/>
      <c r="BY73" s="478"/>
      <c r="BZ73" s="478"/>
      <c r="CA73" s="478"/>
      <c r="CB73" s="478"/>
      <c r="CC73" s="478"/>
      <c r="CD73" s="478"/>
      <c r="CE73" s="478"/>
      <c r="CF73" s="478"/>
      <c r="CG73" s="478"/>
      <c r="CH73" s="478"/>
      <c r="CI73" s="478"/>
      <c r="CJ73" s="478"/>
      <c r="CK73" s="478"/>
      <c r="CL73" s="478"/>
      <c r="CM73" s="478"/>
      <c r="CN73" s="478"/>
      <c r="CO73" s="478"/>
      <c r="CP73" s="478"/>
      <c r="CQ73" s="478"/>
      <c r="CR73" s="478"/>
      <c r="CS73" s="478"/>
      <c r="CT73" s="478"/>
      <c r="CU73" s="478"/>
      <c r="CV73" s="478"/>
      <c r="CW73" s="478"/>
      <c r="CX73" s="478"/>
      <c r="CY73" s="478"/>
      <c r="CZ73" s="478"/>
    </row>
    <row r="74" spans="1:104" ht="70.5" customHeight="1" x14ac:dyDescent="0.2">
      <c r="A74" s="1836"/>
      <c r="B74" s="1842"/>
      <c r="C74" s="475"/>
      <c r="D74" s="475"/>
      <c r="E74" s="476"/>
      <c r="F74" s="476"/>
      <c r="G74" s="476"/>
      <c r="H74" s="476"/>
      <c r="I74" s="476"/>
      <c r="J74" s="476"/>
      <c r="K74" s="476"/>
      <c r="L74" s="476"/>
      <c r="M74" s="476"/>
      <c r="N74" s="476"/>
      <c r="O74" s="476"/>
      <c r="P74" s="476"/>
      <c r="Q74" s="476"/>
      <c r="R74" s="476"/>
      <c r="S74" s="476"/>
      <c r="T74" s="1844" t="s">
        <v>1437</v>
      </c>
      <c r="U74" s="475" t="s">
        <v>1438</v>
      </c>
      <c r="V74" s="477" t="s">
        <v>1439</v>
      </c>
      <c r="W74" s="939" t="s">
        <v>1440</v>
      </c>
      <c r="X74" s="898">
        <v>18</v>
      </c>
      <c r="Y74" s="909">
        <v>10</v>
      </c>
      <c r="Z74" s="909">
        <v>13</v>
      </c>
      <c r="AA74" s="909">
        <v>15</v>
      </c>
      <c r="AB74" s="987">
        <v>0.25</v>
      </c>
      <c r="AC74" s="987">
        <v>0.25</v>
      </c>
      <c r="AD74" s="987"/>
      <c r="AE74" s="898"/>
      <c r="AF74" s="898"/>
      <c r="AG74" s="898">
        <v>1</v>
      </c>
      <c r="AH74" s="898">
        <f>+AG74</f>
        <v>1</v>
      </c>
      <c r="AI74" s="899">
        <f>+AH74/Y74</f>
        <v>0.1</v>
      </c>
      <c r="AJ74" s="898">
        <f>+AH74</f>
        <v>1</v>
      </c>
      <c r="AK74" s="902">
        <f>+AJ74/X74</f>
        <v>5.5555555555555552E-2</v>
      </c>
      <c r="AL74" s="909">
        <v>13</v>
      </c>
      <c r="AM74" s="898">
        <v>1</v>
      </c>
      <c r="AN74" s="898"/>
      <c r="AO74" s="898">
        <v>11</v>
      </c>
      <c r="AP74" s="898"/>
      <c r="AQ74" s="898"/>
      <c r="AR74" s="898"/>
      <c r="AS74" s="898">
        <v>1</v>
      </c>
      <c r="AT74" s="898"/>
      <c r="AU74" s="898">
        <f>AM74+AO74+AS74</f>
        <v>13</v>
      </c>
      <c r="AV74" s="899">
        <v>1</v>
      </c>
      <c r="AW74" s="898">
        <f>+AU74+AJ74</f>
        <v>14</v>
      </c>
      <c r="AX74" s="904">
        <f>+AW74/X74</f>
        <v>0.77777777777777779</v>
      </c>
      <c r="AY74" s="898">
        <v>15</v>
      </c>
      <c r="AZ74" s="898">
        <v>19</v>
      </c>
      <c r="BA74" s="898"/>
      <c r="BB74" s="898">
        <v>19</v>
      </c>
      <c r="BC74" s="898"/>
      <c r="BD74" s="898">
        <v>19</v>
      </c>
      <c r="BE74" s="898"/>
      <c r="BF74" s="898">
        <v>20</v>
      </c>
      <c r="BG74" s="898"/>
      <c r="BH74" s="898">
        <f>+BF74</f>
        <v>20</v>
      </c>
      <c r="BI74" s="944">
        <f>IFERROR(IF((+BH74/AY74)&gt;100%,100%,(+BH74/AY74)),"NP")</f>
        <v>1</v>
      </c>
      <c r="BJ74" s="898">
        <f>BH74+AW74</f>
        <v>34</v>
      </c>
      <c r="BK74" s="944">
        <f>IFERROR(IF((+BJ74/X74)&gt;100%,100%,(+BJ74/X74)),"NP")</f>
        <v>1</v>
      </c>
      <c r="BL74" s="478"/>
      <c r="BM74" s="478"/>
      <c r="BN74" s="478"/>
      <c r="BO74" s="478"/>
      <c r="BP74" s="478"/>
      <c r="BQ74" s="478"/>
      <c r="BR74" s="478"/>
      <c r="BS74" s="478"/>
      <c r="BT74" s="478"/>
      <c r="BU74" s="478"/>
      <c r="BV74" s="478"/>
      <c r="BW74" s="478"/>
      <c r="BX74" s="478"/>
      <c r="BY74" s="478"/>
      <c r="BZ74" s="478"/>
      <c r="CA74" s="478"/>
      <c r="CB74" s="478"/>
      <c r="CC74" s="478"/>
      <c r="CD74" s="478"/>
      <c r="CE74" s="478"/>
      <c r="CF74" s="478"/>
      <c r="CG74" s="478"/>
      <c r="CH74" s="478"/>
      <c r="CI74" s="478"/>
      <c r="CJ74" s="478"/>
      <c r="CK74" s="478"/>
      <c r="CL74" s="478"/>
      <c r="CM74" s="478"/>
      <c r="CN74" s="478"/>
      <c r="CO74" s="478"/>
      <c r="CP74" s="478"/>
      <c r="CQ74" s="478"/>
      <c r="CR74" s="478"/>
      <c r="CS74" s="478"/>
      <c r="CT74" s="478"/>
      <c r="CU74" s="478"/>
      <c r="CV74" s="478"/>
      <c r="CW74" s="478"/>
      <c r="CX74" s="478"/>
      <c r="CY74" s="478"/>
      <c r="CZ74" s="478"/>
    </row>
    <row r="75" spans="1:104" ht="14.25" customHeight="1" x14ac:dyDescent="0.2">
      <c r="A75" s="1836"/>
      <c r="B75" s="1842"/>
      <c r="C75" s="475"/>
      <c r="D75" s="475"/>
      <c r="E75" s="476"/>
      <c r="F75" s="476"/>
      <c r="G75" s="476"/>
      <c r="H75" s="476"/>
      <c r="I75" s="476"/>
      <c r="J75" s="476"/>
      <c r="K75" s="476"/>
      <c r="L75" s="476"/>
      <c r="M75" s="476"/>
      <c r="N75" s="476"/>
      <c r="O75" s="476"/>
      <c r="P75" s="476"/>
      <c r="Q75" s="476"/>
      <c r="R75" s="476"/>
      <c r="S75" s="476"/>
      <c r="T75" s="1846"/>
      <c r="U75" s="481"/>
      <c r="V75" s="481"/>
      <c r="W75" s="910"/>
      <c r="X75" s="911"/>
      <c r="Y75" s="911"/>
      <c r="Z75" s="911"/>
      <c r="AA75" s="911"/>
      <c r="AB75" s="924">
        <f>+AB74</f>
        <v>0.25</v>
      </c>
      <c r="AC75" s="924">
        <f>+AC74</f>
        <v>0.25</v>
      </c>
      <c r="AD75" s="924">
        <f>+AD74</f>
        <v>0</v>
      </c>
      <c r="AE75" s="911"/>
      <c r="AF75" s="911"/>
      <c r="AG75" s="911"/>
      <c r="AH75" s="911"/>
      <c r="AI75" s="912">
        <f>+AI74</f>
        <v>0.1</v>
      </c>
      <c r="AJ75" s="932"/>
      <c r="AK75" s="913">
        <f>+AK74</f>
        <v>5.5555555555555552E-2</v>
      </c>
      <c r="AL75" s="911"/>
      <c r="AM75" s="898"/>
      <c r="AN75" s="898"/>
      <c r="AO75" s="898"/>
      <c r="AP75" s="898"/>
      <c r="AQ75" s="898"/>
      <c r="AR75" s="898"/>
      <c r="AS75" s="898"/>
      <c r="AT75" s="898"/>
      <c r="AU75" s="898"/>
      <c r="AV75" s="913">
        <f>+AV74</f>
        <v>1</v>
      </c>
      <c r="AW75" s="1473"/>
      <c r="AX75" s="920">
        <f>+AX74</f>
        <v>0.77777777777777779</v>
      </c>
      <c r="AY75" s="898"/>
      <c r="AZ75" s="898"/>
      <c r="BA75" s="898"/>
      <c r="BB75" s="898"/>
      <c r="BC75" s="898"/>
      <c r="BD75" s="898"/>
      <c r="BE75" s="898"/>
      <c r="BF75" s="898"/>
      <c r="BG75" s="898"/>
      <c r="BH75" s="898"/>
      <c r="BI75" s="920">
        <f>+BI74</f>
        <v>1</v>
      </c>
      <c r="BJ75" s="898"/>
      <c r="BK75" s="920">
        <f>+BK74</f>
        <v>1</v>
      </c>
      <c r="BL75" s="478"/>
      <c r="BM75" s="478"/>
      <c r="BN75" s="478"/>
      <c r="BO75" s="478"/>
      <c r="BP75" s="478"/>
      <c r="BQ75" s="478"/>
      <c r="BR75" s="478"/>
      <c r="BS75" s="478"/>
      <c r="BT75" s="478"/>
      <c r="BU75" s="478"/>
      <c r="BV75" s="478"/>
      <c r="BW75" s="478"/>
      <c r="BX75" s="478"/>
      <c r="BY75" s="478"/>
      <c r="BZ75" s="478"/>
      <c r="CA75" s="478"/>
      <c r="CB75" s="478"/>
      <c r="CC75" s="478"/>
      <c r="CD75" s="478"/>
      <c r="CE75" s="478"/>
      <c r="CF75" s="478"/>
      <c r="CG75" s="478"/>
      <c r="CH75" s="478"/>
      <c r="CI75" s="478"/>
      <c r="CJ75" s="478"/>
      <c r="CK75" s="478"/>
      <c r="CL75" s="478"/>
      <c r="CM75" s="478"/>
      <c r="CN75" s="478"/>
      <c r="CO75" s="478"/>
      <c r="CP75" s="478"/>
      <c r="CQ75" s="478"/>
      <c r="CR75" s="478"/>
      <c r="CS75" s="478"/>
      <c r="CT75" s="478"/>
      <c r="CU75" s="478"/>
      <c r="CV75" s="478"/>
      <c r="CW75" s="478"/>
      <c r="CX75" s="478"/>
      <c r="CY75" s="478"/>
      <c r="CZ75" s="478"/>
    </row>
    <row r="76" spans="1:104" ht="66.75" customHeight="1" x14ac:dyDescent="0.2">
      <c r="A76" s="1836"/>
      <c r="B76" s="1842"/>
      <c r="C76" s="475"/>
      <c r="D76" s="475"/>
      <c r="E76" s="476"/>
      <c r="F76" s="476"/>
      <c r="G76" s="476"/>
      <c r="H76" s="476"/>
      <c r="I76" s="476"/>
      <c r="J76" s="476"/>
      <c r="K76" s="476"/>
      <c r="L76" s="476"/>
      <c r="M76" s="476"/>
      <c r="N76" s="476"/>
      <c r="O76" s="476"/>
      <c r="P76" s="476"/>
      <c r="Q76" s="476"/>
      <c r="R76" s="476"/>
      <c r="S76" s="476"/>
      <c r="T76" s="1844" t="s">
        <v>1441</v>
      </c>
      <c r="U76" s="482" t="s">
        <v>1442</v>
      </c>
      <c r="V76" s="483">
        <v>0</v>
      </c>
      <c r="W76" s="919" t="s">
        <v>1443</v>
      </c>
      <c r="X76" s="898">
        <v>4</v>
      </c>
      <c r="Y76" s="988">
        <v>1</v>
      </c>
      <c r="Z76" s="988">
        <v>4</v>
      </c>
      <c r="AA76" s="988">
        <v>3</v>
      </c>
      <c r="AB76" s="987">
        <f>+Y76/X76</f>
        <v>0.25</v>
      </c>
      <c r="AC76" s="987">
        <v>0.25</v>
      </c>
      <c r="AD76" s="987"/>
      <c r="AE76" s="898"/>
      <c r="AF76" s="898"/>
      <c r="AG76" s="989">
        <v>1</v>
      </c>
      <c r="AH76" s="898">
        <f>+AG76</f>
        <v>1</v>
      </c>
      <c r="AI76" s="899">
        <f>+AH76/Y76</f>
        <v>1</v>
      </c>
      <c r="AJ76" s="898">
        <f>+AH76</f>
        <v>1</v>
      </c>
      <c r="AK76" s="902">
        <f>+AJ76/X76</f>
        <v>0.25</v>
      </c>
      <c r="AL76" s="988">
        <v>4</v>
      </c>
      <c r="AM76" s="898">
        <v>0</v>
      </c>
      <c r="AN76" s="898"/>
      <c r="AO76" s="898">
        <v>0</v>
      </c>
      <c r="AP76" s="898"/>
      <c r="AQ76" s="898"/>
      <c r="AR76" s="898"/>
      <c r="AS76" s="898">
        <v>1</v>
      </c>
      <c r="AT76" s="898"/>
      <c r="AU76" s="898">
        <f>+AS76</f>
        <v>1</v>
      </c>
      <c r="AV76" s="951">
        <f>AU76/AL76</f>
        <v>0.25</v>
      </c>
      <c r="AW76" s="898">
        <f>+AU76+AJ76</f>
        <v>2</v>
      </c>
      <c r="AX76" s="907">
        <f>AW76/X76</f>
        <v>0.5</v>
      </c>
      <c r="AY76" s="898">
        <v>3</v>
      </c>
      <c r="AZ76" s="898">
        <v>3</v>
      </c>
      <c r="BA76" s="898"/>
      <c r="BB76" s="898">
        <v>1</v>
      </c>
      <c r="BC76" s="898"/>
      <c r="BD76" s="898">
        <v>1</v>
      </c>
      <c r="BE76" s="1485" t="s">
        <v>2200</v>
      </c>
      <c r="BF76" s="898">
        <v>2</v>
      </c>
      <c r="BG76" s="898"/>
      <c r="BH76" s="898">
        <f>AZ76+BF76</f>
        <v>5</v>
      </c>
      <c r="BI76" s="951">
        <v>1</v>
      </c>
      <c r="BJ76" s="898">
        <f>BH76+AW76</f>
        <v>7</v>
      </c>
      <c r="BK76" s="944">
        <f>IFERROR(IF((+BJ76/X76)&gt;100%,100%,(+BJ76/X76)),"NP")</f>
        <v>1</v>
      </c>
      <c r="BL76" s="478"/>
      <c r="BM76" s="478"/>
      <c r="BN76" s="478"/>
      <c r="BO76" s="478"/>
      <c r="BP76" s="478"/>
      <c r="BQ76" s="478"/>
      <c r="BR76" s="478"/>
      <c r="BS76" s="478"/>
      <c r="BT76" s="478"/>
      <c r="BU76" s="478"/>
      <c r="BV76" s="478"/>
      <c r="BW76" s="478"/>
      <c r="BX76" s="478"/>
      <c r="BY76" s="478"/>
      <c r="BZ76" s="478"/>
      <c r="CA76" s="478"/>
      <c r="CB76" s="478"/>
      <c r="CC76" s="478"/>
      <c r="CD76" s="478"/>
      <c r="CE76" s="478"/>
      <c r="CF76" s="478"/>
      <c r="CG76" s="478"/>
      <c r="CH76" s="478"/>
      <c r="CI76" s="478"/>
      <c r="CJ76" s="478"/>
      <c r="CK76" s="478"/>
      <c r="CL76" s="478"/>
      <c r="CM76" s="478"/>
      <c r="CN76" s="478"/>
      <c r="CO76" s="478"/>
      <c r="CP76" s="478"/>
      <c r="CQ76" s="478"/>
      <c r="CR76" s="478"/>
      <c r="CS76" s="478"/>
      <c r="CT76" s="478"/>
      <c r="CU76" s="478"/>
      <c r="CV76" s="478"/>
      <c r="CW76" s="478"/>
      <c r="CX76" s="478"/>
      <c r="CY76" s="478"/>
      <c r="CZ76" s="478"/>
    </row>
    <row r="77" spans="1:104" ht="51.75" customHeight="1" x14ac:dyDescent="0.2">
      <c r="A77" s="1836"/>
      <c r="B77" s="1842"/>
      <c r="C77" s="475"/>
      <c r="D77" s="475"/>
      <c r="E77" s="476"/>
      <c r="F77" s="476"/>
      <c r="G77" s="476"/>
      <c r="H77" s="476"/>
      <c r="I77" s="476"/>
      <c r="J77" s="476"/>
      <c r="K77" s="476"/>
      <c r="L77" s="476"/>
      <c r="M77" s="476"/>
      <c r="N77" s="476"/>
      <c r="O77" s="476"/>
      <c r="P77" s="476"/>
      <c r="Q77" s="476"/>
      <c r="R77" s="476"/>
      <c r="S77" s="476"/>
      <c r="T77" s="1845"/>
      <c r="U77" s="482" t="s">
        <v>1444</v>
      </c>
      <c r="V77" s="483">
        <v>5</v>
      </c>
      <c r="W77" s="919" t="s">
        <v>1445</v>
      </c>
      <c r="X77" s="898">
        <v>5</v>
      </c>
      <c r="Y77" s="988">
        <v>4</v>
      </c>
      <c r="Z77" s="988">
        <v>4</v>
      </c>
      <c r="AA77" s="988">
        <v>5</v>
      </c>
      <c r="AB77" s="987">
        <v>0.25</v>
      </c>
      <c r="AC77" s="987">
        <v>0.25</v>
      </c>
      <c r="AD77" s="987"/>
      <c r="AE77" s="898"/>
      <c r="AF77" s="898"/>
      <c r="AG77" s="989">
        <v>4</v>
      </c>
      <c r="AH77" s="898">
        <f>+AG77</f>
        <v>4</v>
      </c>
      <c r="AI77" s="899">
        <f>+AH77/Y77</f>
        <v>1</v>
      </c>
      <c r="AJ77" s="898">
        <f>+AH77</f>
        <v>4</v>
      </c>
      <c r="AK77" s="902">
        <f>+AJ77/X77</f>
        <v>0.8</v>
      </c>
      <c r="AL77" s="988">
        <v>4</v>
      </c>
      <c r="AM77" s="898">
        <v>0</v>
      </c>
      <c r="AN77" s="898"/>
      <c r="AO77" s="898">
        <v>4</v>
      </c>
      <c r="AP77" s="898"/>
      <c r="AQ77" s="898"/>
      <c r="AR77" s="898"/>
      <c r="AS77" s="898">
        <v>4</v>
      </c>
      <c r="AT77" s="898"/>
      <c r="AU77" s="898">
        <f>AM77+AO77</f>
        <v>4</v>
      </c>
      <c r="AV77" s="951">
        <f>AU77/AL77</f>
        <v>1</v>
      </c>
      <c r="AW77" s="898">
        <f>+AU77</f>
        <v>4</v>
      </c>
      <c r="AX77" s="907">
        <f>+AW77/X77</f>
        <v>0.8</v>
      </c>
      <c r="AY77" s="898">
        <v>5</v>
      </c>
      <c r="AZ77" s="898">
        <v>4</v>
      </c>
      <c r="BA77" s="898"/>
      <c r="BB77" s="898">
        <v>0</v>
      </c>
      <c r="BC77" s="898"/>
      <c r="BD77" s="898">
        <v>4</v>
      </c>
      <c r="BE77" s="1485"/>
      <c r="BF77" s="898">
        <v>5</v>
      </c>
      <c r="BG77" s="898"/>
      <c r="BH77" s="898">
        <v>5</v>
      </c>
      <c r="BI77" s="951">
        <f>BH77/AY77</f>
        <v>1</v>
      </c>
      <c r="BJ77" s="898">
        <f>BH77+AW77</f>
        <v>9</v>
      </c>
      <c r="BK77" s="951">
        <v>1</v>
      </c>
      <c r="BL77" s="478"/>
      <c r="BM77" s="478"/>
      <c r="BN77" s="478"/>
      <c r="BO77" s="478"/>
      <c r="BP77" s="478"/>
      <c r="BQ77" s="478"/>
      <c r="BR77" s="478"/>
      <c r="BS77" s="478"/>
      <c r="BT77" s="478"/>
      <c r="BU77" s="478"/>
      <c r="BV77" s="478"/>
      <c r="BW77" s="478"/>
      <c r="BX77" s="478"/>
      <c r="BY77" s="478"/>
      <c r="BZ77" s="478"/>
      <c r="CA77" s="478"/>
      <c r="CB77" s="478"/>
      <c r="CC77" s="478"/>
      <c r="CD77" s="478"/>
      <c r="CE77" s="478"/>
      <c r="CF77" s="478"/>
      <c r="CG77" s="478"/>
      <c r="CH77" s="478"/>
      <c r="CI77" s="478"/>
      <c r="CJ77" s="478"/>
      <c r="CK77" s="478"/>
      <c r="CL77" s="478"/>
      <c r="CM77" s="478"/>
      <c r="CN77" s="478"/>
      <c r="CO77" s="478"/>
      <c r="CP77" s="478"/>
      <c r="CQ77" s="478"/>
      <c r="CR77" s="478"/>
      <c r="CS77" s="478"/>
      <c r="CT77" s="478"/>
      <c r="CU77" s="478"/>
      <c r="CV77" s="478"/>
      <c r="CW77" s="478"/>
      <c r="CX77" s="478"/>
      <c r="CY77" s="478"/>
      <c r="CZ77" s="478"/>
    </row>
    <row r="78" spans="1:104" ht="73.5" customHeight="1" x14ac:dyDescent="0.2">
      <c r="A78" s="1836"/>
      <c r="B78" s="1842"/>
      <c r="C78" s="475"/>
      <c r="D78" s="475"/>
      <c r="E78" s="476"/>
      <c r="F78" s="476"/>
      <c r="G78" s="476"/>
      <c r="H78" s="476"/>
      <c r="I78" s="476"/>
      <c r="J78" s="476"/>
      <c r="K78" s="476"/>
      <c r="L78" s="476"/>
      <c r="M78" s="476"/>
      <c r="N78" s="476"/>
      <c r="O78" s="476"/>
      <c r="P78" s="476"/>
      <c r="Q78" s="476"/>
      <c r="R78" s="476"/>
      <c r="S78" s="476"/>
      <c r="T78" s="1845"/>
      <c r="U78" s="482" t="s">
        <v>1446</v>
      </c>
      <c r="V78" s="483">
        <v>3</v>
      </c>
      <c r="W78" s="919" t="s">
        <v>1447</v>
      </c>
      <c r="X78" s="898">
        <v>3</v>
      </c>
      <c r="Y78" s="988">
        <v>1</v>
      </c>
      <c r="Z78" s="988">
        <v>3</v>
      </c>
      <c r="AA78" s="988">
        <v>3</v>
      </c>
      <c r="AB78" s="987">
        <v>0.25</v>
      </c>
      <c r="AC78" s="987">
        <v>0.25</v>
      </c>
      <c r="AD78" s="987"/>
      <c r="AE78" s="898"/>
      <c r="AF78" s="898"/>
      <c r="AG78" s="989">
        <v>1</v>
      </c>
      <c r="AH78" s="898">
        <f>+AG78</f>
        <v>1</v>
      </c>
      <c r="AI78" s="899">
        <f>+AH78/Y78</f>
        <v>1</v>
      </c>
      <c r="AJ78" s="898">
        <f>+AH78</f>
        <v>1</v>
      </c>
      <c r="AK78" s="902">
        <f>+AJ78/X78</f>
        <v>0.33333333333333331</v>
      </c>
      <c r="AL78" s="988">
        <v>3</v>
      </c>
      <c r="AM78" s="898">
        <v>3</v>
      </c>
      <c r="AN78" s="898"/>
      <c r="AO78" s="898">
        <v>3</v>
      </c>
      <c r="AP78" s="898"/>
      <c r="AQ78" s="898"/>
      <c r="AR78" s="898"/>
      <c r="AS78" s="898">
        <v>3</v>
      </c>
      <c r="AT78" s="898"/>
      <c r="AU78" s="898">
        <f>AM78+AO78</f>
        <v>6</v>
      </c>
      <c r="AV78" s="951">
        <v>1</v>
      </c>
      <c r="AW78" s="898">
        <f>AU78+AJ78</f>
        <v>7</v>
      </c>
      <c r="AX78" s="907">
        <v>1</v>
      </c>
      <c r="AY78" s="898">
        <v>3</v>
      </c>
      <c r="AZ78" s="898">
        <v>2</v>
      </c>
      <c r="BA78" s="898"/>
      <c r="BB78" s="898">
        <v>1</v>
      </c>
      <c r="BC78" s="898"/>
      <c r="BD78" s="898">
        <v>1</v>
      </c>
      <c r="BE78" s="1485"/>
      <c r="BF78" s="898">
        <v>1</v>
      </c>
      <c r="BG78" s="898"/>
      <c r="BH78" s="898">
        <f>+AZ78+BB78</f>
        <v>3</v>
      </c>
      <c r="BI78" s="951">
        <f>BH78/AY78</f>
        <v>1</v>
      </c>
      <c r="BJ78" s="898">
        <f>BH78+AW78</f>
        <v>10</v>
      </c>
      <c r="BK78" s="951">
        <v>1</v>
      </c>
      <c r="BL78" s="478"/>
      <c r="BM78" s="478"/>
      <c r="BN78" s="478"/>
      <c r="BO78" s="478"/>
      <c r="BP78" s="478"/>
      <c r="BQ78" s="478"/>
      <c r="BR78" s="478"/>
      <c r="BS78" s="478"/>
      <c r="BT78" s="478"/>
      <c r="BU78" s="478"/>
      <c r="BV78" s="478"/>
      <c r="BW78" s="478"/>
      <c r="BX78" s="478"/>
      <c r="BY78" s="478"/>
      <c r="BZ78" s="478"/>
      <c r="CA78" s="478"/>
      <c r="CB78" s="478"/>
      <c r="CC78" s="478"/>
      <c r="CD78" s="478"/>
      <c r="CE78" s="478"/>
      <c r="CF78" s="478"/>
      <c r="CG78" s="478"/>
      <c r="CH78" s="478"/>
      <c r="CI78" s="478"/>
      <c r="CJ78" s="478"/>
      <c r="CK78" s="478"/>
      <c r="CL78" s="478"/>
      <c r="CM78" s="478"/>
      <c r="CN78" s="478"/>
      <c r="CO78" s="478"/>
      <c r="CP78" s="478"/>
      <c r="CQ78" s="478"/>
      <c r="CR78" s="478"/>
      <c r="CS78" s="478"/>
      <c r="CT78" s="478"/>
      <c r="CU78" s="478"/>
      <c r="CV78" s="478"/>
      <c r="CW78" s="478"/>
      <c r="CX78" s="478"/>
      <c r="CY78" s="478"/>
      <c r="CZ78" s="478"/>
    </row>
    <row r="79" spans="1:104" ht="69" customHeight="1" x14ac:dyDescent="0.2">
      <c r="A79" s="1836"/>
      <c r="B79" s="1842"/>
      <c r="C79" s="475"/>
      <c r="D79" s="475"/>
      <c r="E79" s="476"/>
      <c r="F79" s="476"/>
      <c r="G79" s="476"/>
      <c r="H79" s="476"/>
      <c r="I79" s="476"/>
      <c r="J79" s="476"/>
      <c r="K79" s="476"/>
      <c r="L79" s="476"/>
      <c r="M79" s="476"/>
      <c r="N79" s="476"/>
      <c r="O79" s="476"/>
      <c r="P79" s="476"/>
      <c r="Q79" s="476"/>
      <c r="R79" s="476"/>
      <c r="S79" s="476"/>
      <c r="T79" s="1845"/>
      <c r="U79" s="482" t="s">
        <v>1448</v>
      </c>
      <c r="V79" s="483">
        <v>250</v>
      </c>
      <c r="W79" s="919" t="s">
        <v>1449</v>
      </c>
      <c r="X79" s="898">
        <v>400</v>
      </c>
      <c r="Y79" s="988">
        <v>50</v>
      </c>
      <c r="Z79" s="988">
        <v>150</v>
      </c>
      <c r="AA79" s="988">
        <v>300</v>
      </c>
      <c r="AB79" s="987" t="s">
        <v>177</v>
      </c>
      <c r="AC79" s="987">
        <f>+Z79/X79</f>
        <v>0.375</v>
      </c>
      <c r="AD79" s="987"/>
      <c r="AE79" s="898"/>
      <c r="AF79" s="898"/>
      <c r="AG79" s="989"/>
      <c r="AH79" s="898"/>
      <c r="AI79" s="898"/>
      <c r="AJ79" s="898"/>
      <c r="AK79" s="898"/>
      <c r="AL79" s="988">
        <v>150</v>
      </c>
      <c r="AM79" s="898">
        <v>0</v>
      </c>
      <c r="AN79" s="898"/>
      <c r="AO79" s="898">
        <v>0</v>
      </c>
      <c r="AP79" s="898"/>
      <c r="AQ79" s="898"/>
      <c r="AR79" s="898"/>
      <c r="AS79" s="898">
        <v>425</v>
      </c>
      <c r="AT79" s="898"/>
      <c r="AU79" s="898">
        <f>+AS79</f>
        <v>425</v>
      </c>
      <c r="AV79" s="951">
        <v>1</v>
      </c>
      <c r="AW79" s="898">
        <f>AU79+AJ79</f>
        <v>425</v>
      </c>
      <c r="AX79" s="907">
        <v>1</v>
      </c>
      <c r="AY79" s="898">
        <v>300</v>
      </c>
      <c r="AZ79" s="898">
        <v>0</v>
      </c>
      <c r="BA79" s="898"/>
      <c r="BB79" s="898">
        <v>282</v>
      </c>
      <c r="BC79" s="898"/>
      <c r="BD79" s="898">
        <v>904</v>
      </c>
      <c r="BE79" s="898"/>
      <c r="BF79" s="898">
        <v>604</v>
      </c>
      <c r="BG79" s="898"/>
      <c r="BH79" s="898">
        <f>+BF79+BB79+BD79</f>
        <v>1790</v>
      </c>
      <c r="BI79" s="951">
        <v>1</v>
      </c>
      <c r="BJ79" s="898">
        <f>+BH79+AW79</f>
        <v>2215</v>
      </c>
      <c r="BK79" s="944">
        <f>IFERROR(IF((+BJ79/X79)&gt;100%,100%,(+BJ79/X79)),"NP")</f>
        <v>1</v>
      </c>
      <c r="BL79" s="478"/>
      <c r="BM79" s="478"/>
      <c r="BN79" s="478"/>
      <c r="BO79" s="478"/>
      <c r="BP79" s="478"/>
      <c r="BQ79" s="478"/>
      <c r="BR79" s="478"/>
      <c r="BS79" s="478"/>
      <c r="BT79" s="478"/>
      <c r="BU79" s="478"/>
      <c r="BV79" s="478"/>
      <c r="BW79" s="478"/>
      <c r="BX79" s="478"/>
      <c r="BY79" s="478"/>
      <c r="BZ79" s="478"/>
      <c r="CA79" s="478"/>
      <c r="CB79" s="478"/>
      <c r="CC79" s="478"/>
      <c r="CD79" s="478"/>
      <c r="CE79" s="478"/>
      <c r="CF79" s="478"/>
      <c r="CG79" s="478"/>
      <c r="CH79" s="478"/>
      <c r="CI79" s="478"/>
      <c r="CJ79" s="478"/>
      <c r="CK79" s="478"/>
      <c r="CL79" s="478"/>
      <c r="CM79" s="478"/>
      <c r="CN79" s="478"/>
      <c r="CO79" s="478"/>
      <c r="CP79" s="478"/>
      <c r="CQ79" s="478"/>
      <c r="CR79" s="478"/>
      <c r="CS79" s="478"/>
      <c r="CT79" s="478"/>
      <c r="CU79" s="478"/>
      <c r="CV79" s="478"/>
      <c r="CW79" s="478"/>
      <c r="CX79" s="478"/>
      <c r="CY79" s="478"/>
      <c r="CZ79" s="478"/>
    </row>
    <row r="80" spans="1:104" ht="14.25" customHeight="1" x14ac:dyDescent="0.2">
      <c r="A80" s="1836"/>
      <c r="B80" s="1842"/>
      <c r="C80" s="475"/>
      <c r="D80" s="475"/>
      <c r="E80" s="476"/>
      <c r="F80" s="476"/>
      <c r="G80" s="476"/>
      <c r="H80" s="476"/>
      <c r="I80" s="476"/>
      <c r="J80" s="476"/>
      <c r="K80" s="476"/>
      <c r="L80" s="476"/>
      <c r="M80" s="476"/>
      <c r="N80" s="476"/>
      <c r="O80" s="476"/>
      <c r="P80" s="476"/>
      <c r="Q80" s="476"/>
      <c r="R80" s="476"/>
      <c r="S80" s="476"/>
      <c r="T80" s="1846"/>
      <c r="U80" s="484"/>
      <c r="V80" s="484"/>
      <c r="W80" s="918"/>
      <c r="X80" s="911"/>
      <c r="Y80" s="911"/>
      <c r="Z80" s="911"/>
      <c r="AA80" s="911"/>
      <c r="AB80" s="924">
        <f>+AVERAGE(AB76:AB79)</f>
        <v>0.25</v>
      </c>
      <c r="AC80" s="924">
        <f>+AVERAGE(AC76:AC79)</f>
        <v>0.28125</v>
      </c>
      <c r="AD80" s="912">
        <f>+AD79</f>
        <v>0</v>
      </c>
      <c r="AE80" s="911"/>
      <c r="AF80" s="911"/>
      <c r="AG80" s="911"/>
      <c r="AH80" s="911"/>
      <c r="AI80" s="912">
        <f>+AVERAGE(AI76:AI79)</f>
        <v>1</v>
      </c>
      <c r="AJ80" s="932"/>
      <c r="AK80" s="912">
        <f>+AVERAGE(AK76:AK79)</f>
        <v>0.46111111111111108</v>
      </c>
      <c r="AL80" s="911"/>
      <c r="AM80" s="911"/>
      <c r="AN80" s="914"/>
      <c r="AO80" s="914"/>
      <c r="AP80" s="914"/>
      <c r="AQ80" s="914"/>
      <c r="AR80" s="914"/>
      <c r="AS80" s="914"/>
      <c r="AT80" s="914"/>
      <c r="AU80" s="911"/>
      <c r="AV80" s="912">
        <f>+AVERAGE(AV76:AV79)</f>
        <v>0.8125</v>
      </c>
      <c r="AW80" s="912"/>
      <c r="AX80" s="954">
        <f>+AVERAGE(AX76:AX79)</f>
        <v>0.82499999999999996</v>
      </c>
      <c r="AY80" s="898"/>
      <c r="AZ80" s="898"/>
      <c r="BA80" s="898"/>
      <c r="BB80" s="898"/>
      <c r="BC80" s="898"/>
      <c r="BD80" s="898"/>
      <c r="BE80" s="898"/>
      <c r="BF80" s="898"/>
      <c r="BG80" s="898"/>
      <c r="BH80" s="898"/>
      <c r="BI80" s="954">
        <f>+AVERAGE(BI76:BI79)</f>
        <v>1</v>
      </c>
      <c r="BJ80" s="898"/>
      <c r="BK80" s="954">
        <f>+AVERAGE(BK76:BK79)</f>
        <v>1</v>
      </c>
      <c r="BL80" s="478"/>
      <c r="BM80" s="478"/>
      <c r="BN80" s="478"/>
      <c r="BO80" s="478"/>
      <c r="BP80" s="478"/>
      <c r="BQ80" s="478"/>
      <c r="BR80" s="478"/>
      <c r="BS80" s="478"/>
      <c r="BT80" s="478"/>
      <c r="BU80" s="478"/>
      <c r="BV80" s="478"/>
      <c r="BW80" s="478"/>
      <c r="BX80" s="478"/>
      <c r="BY80" s="478"/>
      <c r="BZ80" s="478"/>
      <c r="CA80" s="478"/>
      <c r="CB80" s="478"/>
      <c r="CC80" s="478"/>
      <c r="CD80" s="478"/>
      <c r="CE80" s="478"/>
      <c r="CF80" s="478"/>
      <c r="CG80" s="478"/>
      <c r="CH80" s="478"/>
      <c r="CI80" s="478"/>
      <c r="CJ80" s="478"/>
      <c r="CK80" s="478"/>
      <c r="CL80" s="478"/>
      <c r="CM80" s="478"/>
      <c r="CN80" s="478"/>
      <c r="CO80" s="478"/>
      <c r="CP80" s="478"/>
      <c r="CQ80" s="478"/>
      <c r="CR80" s="478"/>
      <c r="CS80" s="478"/>
      <c r="CT80" s="478"/>
      <c r="CU80" s="478"/>
      <c r="CV80" s="478"/>
      <c r="CW80" s="478"/>
      <c r="CX80" s="478"/>
      <c r="CY80" s="478"/>
      <c r="CZ80" s="478"/>
    </row>
    <row r="81" spans="1:104" ht="14.25" customHeight="1" x14ac:dyDescent="0.2">
      <c r="A81" s="1836"/>
      <c r="B81" s="1843"/>
      <c r="C81" s="493"/>
      <c r="D81" s="493"/>
      <c r="E81" s="496"/>
      <c r="F81" s="496"/>
      <c r="G81" s="496"/>
      <c r="H81" s="496"/>
      <c r="I81" s="496"/>
      <c r="J81" s="496"/>
      <c r="K81" s="496"/>
      <c r="L81" s="496"/>
      <c r="M81" s="496"/>
      <c r="N81" s="496"/>
      <c r="O81" s="496"/>
      <c r="P81" s="496"/>
      <c r="Q81" s="496"/>
      <c r="R81" s="496"/>
      <c r="S81" s="496"/>
      <c r="T81" s="492"/>
      <c r="U81" s="498"/>
      <c r="V81" s="498"/>
      <c r="W81" s="990"/>
      <c r="X81" s="968"/>
      <c r="Y81" s="968"/>
      <c r="Z81" s="968"/>
      <c r="AA81" s="968"/>
      <c r="AB81" s="969">
        <f>+(AB80+AB75+AB73)/3</f>
        <v>0.25676592584141494</v>
      </c>
      <c r="AC81" s="969">
        <f>+(AC80+AC75+AC73)/3</f>
        <v>0.31223227404892168</v>
      </c>
      <c r="AD81" s="969">
        <f>+(AD73+AD75+AD80)/3</f>
        <v>0</v>
      </c>
      <c r="AE81" s="968"/>
      <c r="AF81" s="968"/>
      <c r="AG81" s="968"/>
      <c r="AH81" s="968"/>
      <c r="AI81" s="969">
        <f>+(AI80+AI75+AI73)/3</f>
        <v>0.41399718222688647</v>
      </c>
      <c r="AJ81" s="968"/>
      <c r="AK81" s="969">
        <f>+(AK80+AK75+AK73)/3</f>
        <v>0.26931774292947097</v>
      </c>
      <c r="AL81" s="968"/>
      <c r="AM81" s="1001"/>
      <c r="AN81" s="1001"/>
      <c r="AO81" s="1001"/>
      <c r="AP81" s="1001"/>
      <c r="AQ81" s="1001"/>
      <c r="AR81" s="1001"/>
      <c r="AS81" s="1001"/>
      <c r="AT81" s="1001"/>
      <c r="AU81" s="1001"/>
      <c r="AV81" s="969">
        <f>+(AV80+AV75+AV73)/3</f>
        <v>0.9375</v>
      </c>
      <c r="AW81" s="1001"/>
      <c r="AX81" s="991">
        <f>+(AX73+AX75+AX80)/3</f>
        <v>0.84118017787550559</v>
      </c>
      <c r="AY81" s="1000"/>
      <c r="AZ81" s="1000"/>
      <c r="BA81" s="1000"/>
      <c r="BB81" s="1000"/>
      <c r="BC81" s="1000"/>
      <c r="BD81" s="1000"/>
      <c r="BE81" s="1000"/>
      <c r="BF81" s="1000"/>
      <c r="BG81" s="1000"/>
      <c r="BH81" s="1000"/>
      <c r="BI81" s="1539">
        <f>+(BI73+BI75+BI80)/3</f>
        <v>1</v>
      </c>
      <c r="BJ81" s="1000"/>
      <c r="BK81" s="991">
        <f>+(BK73+BK75+BK80)/3</f>
        <v>1</v>
      </c>
      <c r="BL81" s="478"/>
      <c r="BM81" s="478"/>
      <c r="BN81" s="478"/>
      <c r="BO81" s="478"/>
      <c r="BP81" s="478"/>
      <c r="BQ81" s="478"/>
      <c r="BR81" s="478"/>
      <c r="BS81" s="478"/>
      <c r="BT81" s="478"/>
      <c r="BU81" s="478"/>
      <c r="BV81" s="478"/>
      <c r="BW81" s="478"/>
      <c r="BX81" s="478"/>
      <c r="BY81" s="478"/>
      <c r="BZ81" s="478"/>
      <c r="CA81" s="478"/>
      <c r="CB81" s="478"/>
      <c r="CC81" s="478"/>
      <c r="CD81" s="478"/>
      <c r="CE81" s="478"/>
      <c r="CF81" s="478"/>
      <c r="CG81" s="478"/>
      <c r="CH81" s="478"/>
      <c r="CI81" s="478"/>
      <c r="CJ81" s="478"/>
      <c r="CK81" s="478"/>
      <c r="CL81" s="478"/>
      <c r="CM81" s="478"/>
      <c r="CN81" s="478"/>
      <c r="CO81" s="478"/>
      <c r="CP81" s="478"/>
      <c r="CQ81" s="478"/>
      <c r="CR81" s="478"/>
      <c r="CS81" s="478"/>
      <c r="CT81" s="478"/>
      <c r="CU81" s="478"/>
      <c r="CV81" s="478"/>
      <c r="CW81" s="478"/>
      <c r="CX81" s="478"/>
      <c r="CY81" s="478"/>
      <c r="CZ81" s="478"/>
    </row>
    <row r="82" spans="1:104" ht="64.5" customHeight="1" x14ac:dyDescent="0.2">
      <c r="A82" s="1836"/>
      <c r="B82" s="1838" t="s">
        <v>1450</v>
      </c>
      <c r="C82" s="475" t="s">
        <v>1451</v>
      </c>
      <c r="D82" s="475" t="s">
        <v>1452</v>
      </c>
      <c r="E82" s="476"/>
      <c r="F82" s="476"/>
      <c r="G82" s="476"/>
      <c r="H82" s="476"/>
      <c r="I82" s="476"/>
      <c r="J82" s="476"/>
      <c r="K82" s="476"/>
      <c r="L82" s="476"/>
      <c r="M82" s="476"/>
      <c r="N82" s="476"/>
      <c r="O82" s="476"/>
      <c r="P82" s="476"/>
      <c r="Q82" s="476"/>
      <c r="R82" s="476"/>
      <c r="S82" s="476"/>
      <c r="T82" s="1844" t="s">
        <v>1453</v>
      </c>
      <c r="U82" s="475" t="s">
        <v>1454</v>
      </c>
      <c r="V82" s="477" t="s">
        <v>201</v>
      </c>
      <c r="W82" s="939" t="s">
        <v>1455</v>
      </c>
      <c r="X82" s="898">
        <v>2</v>
      </c>
      <c r="Y82" s="899">
        <v>0.25</v>
      </c>
      <c r="Z82" s="903">
        <v>1</v>
      </c>
      <c r="AA82" s="899">
        <v>0.32</v>
      </c>
      <c r="AB82" s="899">
        <f>+Y82/X82</f>
        <v>0.125</v>
      </c>
      <c r="AC82" s="899">
        <v>0.25</v>
      </c>
      <c r="AD82" s="899">
        <f>AA82/X82</f>
        <v>0.16</v>
      </c>
      <c r="AE82" s="898">
        <v>0</v>
      </c>
      <c r="AF82" s="898">
        <v>0</v>
      </c>
      <c r="AG82" s="898">
        <v>0</v>
      </c>
      <c r="AH82" s="898">
        <v>0</v>
      </c>
      <c r="AI82" s="899">
        <v>0</v>
      </c>
      <c r="AJ82" s="898">
        <v>0</v>
      </c>
      <c r="AK82" s="899">
        <v>0</v>
      </c>
      <c r="AL82" s="992">
        <v>1</v>
      </c>
      <c r="AM82" s="898">
        <v>0</v>
      </c>
      <c r="AN82" s="898"/>
      <c r="AO82" s="898">
        <v>0</v>
      </c>
      <c r="AP82" s="898"/>
      <c r="AQ82" s="898">
        <v>0</v>
      </c>
      <c r="AR82" s="898"/>
      <c r="AS82" s="898">
        <v>0.68</v>
      </c>
      <c r="AT82" s="898"/>
      <c r="AU82" s="898">
        <f>+AS82</f>
        <v>0.68</v>
      </c>
      <c r="AV82" s="993">
        <f>AU82/AL82</f>
        <v>0.68</v>
      </c>
      <c r="AW82" s="951">
        <f>AU82/AL82</f>
        <v>0.68</v>
      </c>
      <c r="AX82" s="904">
        <f>AW82/X82</f>
        <v>0.34</v>
      </c>
      <c r="AY82" s="899">
        <v>0.32</v>
      </c>
      <c r="AZ82" s="899">
        <v>0.02</v>
      </c>
      <c r="BA82" s="898"/>
      <c r="BB82" s="898">
        <v>0.1</v>
      </c>
      <c r="BC82" s="898"/>
      <c r="BD82" s="898">
        <v>0.88</v>
      </c>
      <c r="BE82" s="898"/>
      <c r="BF82" s="899">
        <v>0</v>
      </c>
      <c r="BG82" s="898"/>
      <c r="BH82" s="899">
        <f>AZ82+BB82+BD82</f>
        <v>1</v>
      </c>
      <c r="BI82" s="944">
        <f>IFERROR(IF((+BH82/AY82)&gt;100%,100%,(+BH82/AY82)),"NP")</f>
        <v>1</v>
      </c>
      <c r="BJ82" s="944">
        <f>IFERROR(IF((+AW82+BH82)&gt;100%,100%,(+AW82+BH82)),"NP")</f>
        <v>1</v>
      </c>
      <c r="BK82" s="944">
        <f>IFERROR(IF((+BJ82/X82)&gt;100%,100%,(+BJ82/X82)),"NP")</f>
        <v>0.5</v>
      </c>
      <c r="BL82" s="478"/>
      <c r="BM82" s="478"/>
      <c r="BN82" s="478"/>
      <c r="BO82" s="478"/>
      <c r="BP82" s="478"/>
      <c r="BQ82" s="478"/>
      <c r="BR82" s="478"/>
      <c r="BS82" s="478"/>
      <c r="BT82" s="478"/>
      <c r="BU82" s="478"/>
      <c r="BV82" s="478"/>
      <c r="BW82" s="478"/>
      <c r="BX82" s="478"/>
      <c r="BY82" s="478"/>
      <c r="BZ82" s="478"/>
      <c r="CA82" s="478"/>
      <c r="CB82" s="478"/>
      <c r="CC82" s="478"/>
      <c r="CD82" s="478"/>
      <c r="CE82" s="478"/>
      <c r="CF82" s="478"/>
      <c r="CG82" s="478"/>
      <c r="CH82" s="478"/>
      <c r="CI82" s="478"/>
      <c r="CJ82" s="478"/>
      <c r="CK82" s="478"/>
      <c r="CL82" s="478"/>
      <c r="CM82" s="478"/>
      <c r="CN82" s="478"/>
      <c r="CO82" s="478"/>
      <c r="CP82" s="478"/>
      <c r="CQ82" s="478"/>
      <c r="CR82" s="478"/>
      <c r="CS82" s="478"/>
      <c r="CT82" s="478"/>
      <c r="CU82" s="478"/>
      <c r="CV82" s="478"/>
      <c r="CW82" s="478"/>
      <c r="CX82" s="478"/>
      <c r="CY82" s="478"/>
      <c r="CZ82" s="478"/>
    </row>
    <row r="83" spans="1:104" ht="48" customHeight="1" x14ac:dyDescent="0.2">
      <c r="A83" s="1836"/>
      <c r="B83" s="1839"/>
      <c r="C83" s="475"/>
      <c r="D83" s="475"/>
      <c r="E83" s="476"/>
      <c r="F83" s="476"/>
      <c r="G83" s="476"/>
      <c r="H83" s="476"/>
      <c r="I83" s="476"/>
      <c r="J83" s="476"/>
      <c r="K83" s="476"/>
      <c r="L83" s="476"/>
      <c r="M83" s="476"/>
      <c r="N83" s="476"/>
      <c r="O83" s="476"/>
      <c r="P83" s="476"/>
      <c r="Q83" s="476"/>
      <c r="R83" s="476"/>
      <c r="S83" s="476"/>
      <c r="T83" s="1845"/>
      <c r="U83" s="475" t="s">
        <v>1456</v>
      </c>
      <c r="V83" s="477">
        <v>0</v>
      </c>
      <c r="W83" s="939" t="s">
        <v>1457</v>
      </c>
      <c r="X83" s="898">
        <v>1</v>
      </c>
      <c r="Y83" s="898" t="s">
        <v>177</v>
      </c>
      <c r="Z83" s="898" t="s">
        <v>177</v>
      </c>
      <c r="AA83" s="898" t="s">
        <v>319</v>
      </c>
      <c r="AB83" s="898"/>
      <c r="AC83" s="898"/>
      <c r="AD83" s="898"/>
      <c r="AE83" s="898"/>
      <c r="AF83" s="898"/>
      <c r="AG83" s="898"/>
      <c r="AH83" s="898"/>
      <c r="AI83" s="898"/>
      <c r="AJ83" s="898"/>
      <c r="AK83" s="898"/>
      <c r="AL83" s="922" t="s">
        <v>177</v>
      </c>
      <c r="AM83" s="905"/>
      <c r="AN83" s="905"/>
      <c r="AO83" s="905"/>
      <c r="AP83" s="905"/>
      <c r="AQ83" s="905"/>
      <c r="AR83" s="905"/>
      <c r="AS83" s="905"/>
      <c r="AT83" s="905"/>
      <c r="AU83" s="905"/>
      <c r="AV83" s="914"/>
      <c r="AW83" s="914"/>
      <c r="AX83" s="1482"/>
      <c r="AY83" s="898" t="s">
        <v>177</v>
      </c>
      <c r="AZ83" s="899"/>
      <c r="BA83" s="898"/>
      <c r="BB83" s="898"/>
      <c r="BC83" s="898"/>
      <c r="BD83" s="898"/>
      <c r="BE83" s="898"/>
      <c r="BF83" s="898"/>
      <c r="BG83" s="898"/>
      <c r="BH83" s="898"/>
      <c r="BI83" s="944" t="str">
        <f>IFERROR(IF((+BH83/AY83)&gt;100%,100%,(+BH83/AY83)),"NP")</f>
        <v>NP</v>
      </c>
      <c r="BJ83" s="944"/>
      <c r="BK83" s="944"/>
      <c r="BL83" s="478"/>
      <c r="BM83" s="478"/>
      <c r="BN83" s="478"/>
      <c r="BO83" s="478"/>
      <c r="BP83" s="478"/>
      <c r="BQ83" s="478"/>
      <c r="BR83" s="478"/>
      <c r="BS83" s="478"/>
      <c r="BT83" s="478"/>
      <c r="BU83" s="478"/>
      <c r="BV83" s="478"/>
      <c r="BW83" s="478"/>
      <c r="BX83" s="478"/>
      <c r="BY83" s="478"/>
      <c r="BZ83" s="478"/>
      <c r="CA83" s="478"/>
      <c r="CB83" s="478"/>
      <c r="CC83" s="478"/>
      <c r="CD83" s="478"/>
      <c r="CE83" s="478"/>
      <c r="CF83" s="478"/>
      <c r="CG83" s="478"/>
      <c r="CH83" s="478"/>
      <c r="CI83" s="478"/>
      <c r="CJ83" s="478"/>
      <c r="CK83" s="478"/>
      <c r="CL83" s="478"/>
      <c r="CM83" s="478"/>
      <c r="CN83" s="478"/>
      <c r="CO83" s="478"/>
      <c r="CP83" s="478"/>
      <c r="CQ83" s="478"/>
      <c r="CR83" s="478"/>
      <c r="CS83" s="478"/>
      <c r="CT83" s="478"/>
      <c r="CU83" s="478"/>
      <c r="CV83" s="478"/>
      <c r="CW83" s="478"/>
      <c r="CX83" s="478"/>
      <c r="CY83" s="478"/>
      <c r="CZ83" s="478"/>
    </row>
    <row r="84" spans="1:104" ht="27" customHeight="1" x14ac:dyDescent="0.2">
      <c r="A84" s="1836"/>
      <c r="B84" s="1839"/>
      <c r="C84" s="475"/>
      <c r="D84" s="475"/>
      <c r="E84" s="476"/>
      <c r="F84" s="476"/>
      <c r="G84" s="476"/>
      <c r="H84" s="476"/>
      <c r="I84" s="476"/>
      <c r="J84" s="476"/>
      <c r="K84" s="476"/>
      <c r="L84" s="476"/>
      <c r="M84" s="476"/>
      <c r="N84" s="476"/>
      <c r="O84" s="476"/>
      <c r="P84" s="476"/>
      <c r="Q84" s="476"/>
      <c r="R84" s="476"/>
      <c r="S84" s="476"/>
      <c r="T84" s="1846"/>
      <c r="U84" s="481"/>
      <c r="V84" s="481"/>
      <c r="W84" s="910"/>
      <c r="X84" s="911"/>
      <c r="Y84" s="911"/>
      <c r="Z84" s="911"/>
      <c r="AA84" s="911"/>
      <c r="AB84" s="912">
        <f>AVERAGE(AB82:AB83)</f>
        <v>0.125</v>
      </c>
      <c r="AC84" s="912">
        <f>+AC82</f>
        <v>0.25</v>
      </c>
      <c r="AD84" s="912">
        <f>AVERAGE(AD82:AD83)</f>
        <v>0.16</v>
      </c>
      <c r="AE84" s="911"/>
      <c r="AF84" s="911"/>
      <c r="AG84" s="911"/>
      <c r="AH84" s="911"/>
      <c r="AI84" s="912">
        <f>AVERAGE(AI82:AI83)</f>
        <v>0</v>
      </c>
      <c r="AJ84" s="932"/>
      <c r="AK84" s="912">
        <f>AVERAGE(AK82:AK83)</f>
        <v>0</v>
      </c>
      <c r="AL84" s="933"/>
      <c r="AM84" s="932"/>
      <c r="AN84" s="905"/>
      <c r="AO84" s="905"/>
      <c r="AP84" s="905"/>
      <c r="AQ84" s="905"/>
      <c r="AR84" s="905"/>
      <c r="AS84" s="905"/>
      <c r="AT84" s="905"/>
      <c r="AU84" s="932"/>
      <c r="AV84" s="994">
        <f>AVERAGE(AV82:AV83)</f>
        <v>0.68</v>
      </c>
      <c r="AW84" s="932"/>
      <c r="AX84" s="954">
        <f>AVERAGE(AX82:AX83)</f>
        <v>0.34</v>
      </c>
      <c r="AY84" s="898"/>
      <c r="AZ84" s="898"/>
      <c r="BA84" s="898"/>
      <c r="BB84" s="898"/>
      <c r="BC84" s="898"/>
      <c r="BD84" s="898"/>
      <c r="BE84" s="898"/>
      <c r="BF84" s="898"/>
      <c r="BG84" s="898"/>
      <c r="BH84" s="898"/>
      <c r="BI84" s="954">
        <f>AVERAGE(BI82:BI83)</f>
        <v>1</v>
      </c>
      <c r="BJ84" s="898"/>
      <c r="BK84" s="954">
        <f>AVERAGE(BK82:BK83)</f>
        <v>0.5</v>
      </c>
      <c r="BL84" s="478"/>
      <c r="BM84" s="478"/>
      <c r="BN84" s="478"/>
      <c r="BO84" s="478"/>
      <c r="BP84" s="478"/>
      <c r="BQ84" s="478"/>
      <c r="BR84" s="478"/>
      <c r="BS84" s="478"/>
      <c r="BT84" s="478"/>
      <c r="BU84" s="478"/>
      <c r="BV84" s="478"/>
      <c r="BW84" s="478"/>
      <c r="BX84" s="478"/>
      <c r="BY84" s="478"/>
      <c r="BZ84" s="478"/>
      <c r="CA84" s="478"/>
      <c r="CB84" s="478"/>
      <c r="CC84" s="478"/>
      <c r="CD84" s="478"/>
      <c r="CE84" s="478"/>
      <c r="CF84" s="478"/>
      <c r="CG84" s="478"/>
      <c r="CH84" s="478"/>
      <c r="CI84" s="478"/>
      <c r="CJ84" s="478"/>
      <c r="CK84" s="478"/>
      <c r="CL84" s="478"/>
      <c r="CM84" s="478"/>
      <c r="CN84" s="478"/>
      <c r="CO84" s="478"/>
      <c r="CP84" s="478"/>
      <c r="CQ84" s="478"/>
      <c r="CR84" s="478"/>
      <c r="CS84" s="478"/>
      <c r="CT84" s="478"/>
      <c r="CU84" s="478"/>
      <c r="CV84" s="478"/>
      <c r="CW84" s="478"/>
      <c r="CX84" s="478"/>
      <c r="CY84" s="478"/>
      <c r="CZ84" s="478"/>
    </row>
    <row r="85" spans="1:104" ht="63" customHeight="1" x14ac:dyDescent="0.2">
      <c r="A85" s="1836"/>
      <c r="B85" s="1839"/>
      <c r="C85" s="475"/>
      <c r="D85" s="475"/>
      <c r="E85" s="476"/>
      <c r="F85" s="476"/>
      <c r="G85" s="476"/>
      <c r="H85" s="476"/>
      <c r="I85" s="476"/>
      <c r="J85" s="476"/>
      <c r="K85" s="476"/>
      <c r="L85" s="476"/>
      <c r="M85" s="476"/>
      <c r="N85" s="476"/>
      <c r="O85" s="476"/>
      <c r="P85" s="476"/>
      <c r="Q85" s="476"/>
      <c r="R85" s="476"/>
      <c r="S85" s="476"/>
      <c r="T85" s="1844" t="s">
        <v>1458</v>
      </c>
      <c r="U85" s="477" t="s">
        <v>1459</v>
      </c>
      <c r="V85" s="477" t="s">
        <v>201</v>
      </c>
      <c r="W85" s="939" t="s">
        <v>1460</v>
      </c>
      <c r="X85" s="899">
        <v>0.35</v>
      </c>
      <c r="Y85" s="898" t="s">
        <v>177</v>
      </c>
      <c r="Z85" s="899">
        <v>0.33</v>
      </c>
      <c r="AA85" s="898">
        <v>0.33</v>
      </c>
      <c r="AB85" s="898"/>
      <c r="AC85" s="899">
        <f>+X85*Z85</f>
        <v>0.11549999999999999</v>
      </c>
      <c r="AD85" s="899">
        <v>0.33</v>
      </c>
      <c r="AE85" s="898"/>
      <c r="AF85" s="898"/>
      <c r="AG85" s="898"/>
      <c r="AH85" s="898"/>
      <c r="AI85" s="899"/>
      <c r="AJ85" s="898"/>
      <c r="AK85" s="898"/>
      <c r="AL85" s="904">
        <v>0.33</v>
      </c>
      <c r="AM85" s="898">
        <v>0</v>
      </c>
      <c r="AN85" s="898"/>
      <c r="AO85" s="898">
        <v>0</v>
      </c>
      <c r="AP85" s="898"/>
      <c r="AQ85" s="898">
        <v>0</v>
      </c>
      <c r="AR85" s="898"/>
      <c r="AS85" s="898">
        <v>0.33</v>
      </c>
      <c r="AT85" s="898"/>
      <c r="AU85" s="898">
        <f>+AS85</f>
        <v>0.33</v>
      </c>
      <c r="AV85" s="993">
        <f>AU85/AL85</f>
        <v>1</v>
      </c>
      <c r="AW85" s="898">
        <f>+AU85</f>
        <v>0.33</v>
      </c>
      <c r="AX85" s="904">
        <f>+AW85</f>
        <v>0.33</v>
      </c>
      <c r="AY85" s="898">
        <v>0.33</v>
      </c>
      <c r="AZ85" s="898">
        <v>0.20599999999999999</v>
      </c>
      <c r="BA85" s="898"/>
      <c r="BB85" s="898">
        <v>0.21</v>
      </c>
      <c r="BC85" s="898"/>
      <c r="BD85" s="898">
        <v>0</v>
      </c>
      <c r="BE85" s="898"/>
      <c r="BF85" s="898">
        <v>0.55000000000000004</v>
      </c>
      <c r="BG85" s="898"/>
      <c r="BH85" s="902">
        <f>AZ85+BB8+BF85+BB85</f>
        <v>0.96599999999999997</v>
      </c>
      <c r="BI85" s="944">
        <f>IFERROR(IF((+BH85/AY85)&gt;100%,100%,(+BH85/AY85)),"NP")</f>
        <v>1</v>
      </c>
      <c r="BJ85" s="944">
        <f>IFERROR(IF((+AW85+BH85)&gt;100%,100%,(+AW85+BH85)),"NP")</f>
        <v>1</v>
      </c>
      <c r="BK85" s="944">
        <f>BJ85</f>
        <v>1</v>
      </c>
      <c r="BL85" s="478"/>
      <c r="BM85" s="478"/>
      <c r="BN85" s="478"/>
      <c r="BO85" s="478"/>
      <c r="BP85" s="478"/>
      <c r="BQ85" s="478"/>
      <c r="BR85" s="478"/>
      <c r="BS85" s="478"/>
      <c r="BT85" s="478"/>
      <c r="BU85" s="478"/>
      <c r="BV85" s="478"/>
      <c r="BW85" s="478"/>
      <c r="BX85" s="478"/>
      <c r="BY85" s="478"/>
      <c r="BZ85" s="478"/>
      <c r="CA85" s="478"/>
      <c r="CB85" s="478"/>
      <c r="CC85" s="478"/>
      <c r="CD85" s="478"/>
      <c r="CE85" s="478"/>
      <c r="CF85" s="478"/>
      <c r="CG85" s="478"/>
      <c r="CH85" s="478"/>
      <c r="CI85" s="478"/>
      <c r="CJ85" s="478"/>
      <c r="CK85" s="478"/>
      <c r="CL85" s="478"/>
      <c r="CM85" s="478"/>
      <c r="CN85" s="478"/>
      <c r="CO85" s="478"/>
      <c r="CP85" s="478"/>
      <c r="CQ85" s="478"/>
      <c r="CR85" s="478"/>
      <c r="CS85" s="478"/>
      <c r="CT85" s="478"/>
      <c r="CU85" s="478"/>
      <c r="CV85" s="478"/>
      <c r="CW85" s="478"/>
      <c r="CX85" s="478"/>
      <c r="CY85" s="478"/>
      <c r="CZ85" s="478"/>
    </row>
    <row r="86" spans="1:104" ht="51" customHeight="1" x14ac:dyDescent="0.2">
      <c r="A86" s="1836"/>
      <c r="B86" s="1839"/>
      <c r="C86" s="475"/>
      <c r="D86" s="475"/>
      <c r="E86" s="476"/>
      <c r="F86" s="476"/>
      <c r="G86" s="476"/>
      <c r="H86" s="476"/>
      <c r="I86" s="476"/>
      <c r="J86" s="476"/>
      <c r="K86" s="476"/>
      <c r="L86" s="476"/>
      <c r="M86" s="476"/>
      <c r="N86" s="476"/>
      <c r="O86" s="476"/>
      <c r="P86" s="476"/>
      <c r="Q86" s="476"/>
      <c r="R86" s="476"/>
      <c r="S86" s="476"/>
      <c r="T86" s="1846"/>
      <c r="U86" s="481"/>
      <c r="V86" s="481"/>
      <c r="W86" s="910"/>
      <c r="X86" s="911"/>
      <c r="Y86" s="911"/>
      <c r="Z86" s="911"/>
      <c r="AA86" s="911"/>
      <c r="AB86" s="911"/>
      <c r="AC86" s="924">
        <f>+AC85</f>
        <v>0.11549999999999999</v>
      </c>
      <c r="AD86" s="912">
        <f>AVERAGE(AD82:AD85)</f>
        <v>0.21666666666666667</v>
      </c>
      <c r="AE86" s="932"/>
      <c r="AF86" s="932"/>
      <c r="AG86" s="932"/>
      <c r="AH86" s="932"/>
      <c r="AI86" s="932"/>
      <c r="AJ86" s="932"/>
      <c r="AK86" s="932"/>
      <c r="AL86" s="999"/>
      <c r="AM86" s="932"/>
      <c r="AN86" s="963"/>
      <c r="AO86" s="963"/>
      <c r="AP86" s="963"/>
      <c r="AQ86" s="963"/>
      <c r="AR86" s="963"/>
      <c r="AS86" s="963"/>
      <c r="AT86" s="963"/>
      <c r="AU86" s="932"/>
      <c r="AV86" s="994">
        <f>AV85</f>
        <v>1</v>
      </c>
      <c r="AW86" s="932"/>
      <c r="AX86" s="954">
        <f>AX85</f>
        <v>0.33</v>
      </c>
      <c r="AY86" s="963"/>
      <c r="AZ86" s="963"/>
      <c r="BA86" s="963"/>
      <c r="BB86" s="963"/>
      <c r="BC86" s="963"/>
      <c r="BD86" s="963"/>
      <c r="BE86" s="963"/>
      <c r="BF86" s="963"/>
      <c r="BG86" s="963"/>
      <c r="BH86" s="963"/>
      <c r="BI86" s="954">
        <f>BI85</f>
        <v>1</v>
      </c>
      <c r="BJ86" s="963"/>
      <c r="BK86" s="954">
        <f>BK85</f>
        <v>1</v>
      </c>
      <c r="BL86" s="478"/>
      <c r="BM86" s="478"/>
      <c r="BN86" s="478"/>
      <c r="BO86" s="478"/>
      <c r="BP86" s="478"/>
      <c r="BQ86" s="478"/>
      <c r="BR86" s="478"/>
      <c r="BS86" s="478"/>
      <c r="BT86" s="478"/>
      <c r="BU86" s="478"/>
      <c r="BV86" s="478"/>
      <c r="BW86" s="478"/>
      <c r="BX86" s="478"/>
      <c r="BY86" s="478"/>
      <c r="BZ86" s="478"/>
      <c r="CA86" s="478"/>
      <c r="CB86" s="478"/>
      <c r="CC86" s="478"/>
      <c r="CD86" s="478"/>
      <c r="CE86" s="478"/>
      <c r="CF86" s="478"/>
      <c r="CG86" s="478"/>
      <c r="CH86" s="478"/>
      <c r="CI86" s="478"/>
      <c r="CJ86" s="478"/>
      <c r="CK86" s="478"/>
      <c r="CL86" s="478"/>
      <c r="CM86" s="478"/>
      <c r="CN86" s="478"/>
      <c r="CO86" s="478"/>
      <c r="CP86" s="478"/>
      <c r="CQ86" s="478"/>
      <c r="CR86" s="478"/>
      <c r="CS86" s="478"/>
      <c r="CT86" s="478"/>
      <c r="CU86" s="478"/>
      <c r="CV86" s="478"/>
      <c r="CW86" s="478"/>
      <c r="CX86" s="478"/>
      <c r="CY86" s="478"/>
      <c r="CZ86" s="478"/>
    </row>
    <row r="87" spans="1:104" ht="14.25" customHeight="1" x14ac:dyDescent="0.2">
      <c r="A87" s="1836"/>
      <c r="B87" s="1840"/>
      <c r="C87" s="493"/>
      <c r="D87" s="493"/>
      <c r="E87" s="496"/>
      <c r="F87" s="496"/>
      <c r="G87" s="496"/>
      <c r="H87" s="496"/>
      <c r="I87" s="496"/>
      <c r="J87" s="496"/>
      <c r="K87" s="496"/>
      <c r="L87" s="496"/>
      <c r="M87" s="496"/>
      <c r="N87" s="496"/>
      <c r="O87" s="496"/>
      <c r="P87" s="496"/>
      <c r="Q87" s="496"/>
      <c r="R87" s="496"/>
      <c r="S87" s="496"/>
      <c r="T87" s="492"/>
      <c r="U87" s="493"/>
      <c r="V87" s="493"/>
      <c r="W87" s="967"/>
      <c r="X87" s="968"/>
      <c r="Y87" s="968"/>
      <c r="Z87" s="968"/>
      <c r="AA87" s="968"/>
      <c r="AB87" s="969">
        <f>+(AB84+AB86)/2</f>
        <v>6.25E-2</v>
      </c>
      <c r="AC87" s="969">
        <f>+(AC84+AC86)/2</f>
        <v>0.18275</v>
      </c>
      <c r="AD87" s="969">
        <f>+(AD84+AD86)/2</f>
        <v>0.18833333333333335</v>
      </c>
      <c r="AE87" s="968"/>
      <c r="AF87" s="968"/>
      <c r="AG87" s="968"/>
      <c r="AH87" s="968"/>
      <c r="AI87" s="970">
        <f>+(AI84+AI86)/2</f>
        <v>0</v>
      </c>
      <c r="AJ87" s="970"/>
      <c r="AK87" s="970">
        <f>+(AK84+AK86)/2</f>
        <v>0</v>
      </c>
      <c r="AL87" s="995"/>
      <c r="AM87" s="905"/>
      <c r="AN87" s="905"/>
      <c r="AO87" s="905"/>
      <c r="AP87" s="905"/>
      <c r="AQ87" s="905"/>
      <c r="AR87" s="905"/>
      <c r="AS87" s="905"/>
      <c r="AT87" s="905"/>
      <c r="AU87" s="905"/>
      <c r="AV87" s="996">
        <f>+(AV84+AV86)/2</f>
        <v>0.84000000000000008</v>
      </c>
      <c r="AW87" s="970"/>
      <c r="AX87" s="926">
        <f>+(AX84+AX86)/2</f>
        <v>0.33500000000000002</v>
      </c>
      <c r="AY87" s="1000"/>
      <c r="AZ87" s="1000"/>
      <c r="BA87" s="1000"/>
      <c r="BB87" s="1000"/>
      <c r="BC87" s="1000"/>
      <c r="BD87" s="1000"/>
      <c r="BE87" s="1000"/>
      <c r="BF87" s="1000"/>
      <c r="BG87" s="1000"/>
      <c r="BH87" s="1000"/>
      <c r="BI87" s="926">
        <f>+(BI84+BI86)/2</f>
        <v>1</v>
      </c>
      <c r="BJ87" s="1000"/>
      <c r="BK87" s="926">
        <f>+(BK84+BK86)/2</f>
        <v>0.75</v>
      </c>
      <c r="BL87" s="478"/>
      <c r="BM87" s="478"/>
      <c r="BN87" s="478"/>
      <c r="BO87" s="478"/>
      <c r="BP87" s="478"/>
      <c r="BQ87" s="478"/>
      <c r="BR87" s="478"/>
      <c r="BS87" s="478"/>
      <c r="BT87" s="478"/>
      <c r="BU87" s="478"/>
      <c r="BV87" s="478"/>
      <c r="BW87" s="478"/>
      <c r="BX87" s="478"/>
      <c r="BY87" s="478"/>
      <c r="BZ87" s="478"/>
      <c r="CA87" s="478"/>
      <c r="CB87" s="478"/>
      <c r="CC87" s="478"/>
      <c r="CD87" s="478"/>
      <c r="CE87" s="478"/>
      <c r="CF87" s="478"/>
      <c r="CG87" s="478"/>
      <c r="CH87" s="478"/>
      <c r="CI87" s="478"/>
      <c r="CJ87" s="478"/>
      <c r="CK87" s="478"/>
      <c r="CL87" s="478"/>
      <c r="CM87" s="478"/>
      <c r="CN87" s="478"/>
      <c r="CO87" s="478"/>
      <c r="CP87" s="478"/>
      <c r="CQ87" s="478"/>
      <c r="CR87" s="478"/>
      <c r="CS87" s="478"/>
      <c r="CT87" s="478"/>
      <c r="CU87" s="478"/>
      <c r="CV87" s="478"/>
      <c r="CW87" s="478"/>
      <c r="CX87" s="478"/>
      <c r="CY87" s="478"/>
      <c r="CZ87" s="478"/>
    </row>
    <row r="88" spans="1:104" ht="14.25" customHeight="1" x14ac:dyDescent="0.2">
      <c r="A88" s="1837"/>
      <c r="B88" s="499"/>
      <c r="C88" s="500"/>
      <c r="D88" s="500"/>
      <c r="E88" s="500"/>
      <c r="F88" s="500"/>
      <c r="G88" s="500"/>
      <c r="H88" s="500"/>
      <c r="I88" s="500"/>
      <c r="J88" s="500"/>
      <c r="K88" s="500"/>
      <c r="L88" s="500"/>
      <c r="M88" s="500"/>
      <c r="N88" s="500"/>
      <c r="O88" s="500"/>
      <c r="P88" s="500"/>
      <c r="Q88" s="500"/>
      <c r="R88" s="500"/>
      <c r="S88" s="500"/>
      <c r="T88" s="501"/>
      <c r="U88" s="500"/>
      <c r="V88" s="500"/>
      <c r="W88" s="502"/>
      <c r="X88" s="503"/>
      <c r="Y88" s="503"/>
      <c r="Z88" s="503"/>
      <c r="AA88" s="503"/>
      <c r="AB88" s="503"/>
      <c r="AC88" s="503"/>
      <c r="AD88" s="503"/>
      <c r="AE88" s="503"/>
      <c r="AF88" s="503"/>
      <c r="AG88" s="503"/>
      <c r="AH88" s="503"/>
      <c r="AI88" s="503"/>
      <c r="AJ88" s="503"/>
      <c r="AK88" s="503"/>
      <c r="AL88" s="503"/>
      <c r="AM88" s="478"/>
      <c r="AN88" s="478"/>
      <c r="AO88" s="478"/>
      <c r="AP88" s="478"/>
      <c r="AQ88" s="478"/>
      <c r="AR88" s="478"/>
      <c r="AS88" s="478"/>
      <c r="AT88" s="478"/>
      <c r="AU88" s="478"/>
      <c r="AV88" s="478"/>
      <c r="AW88" s="478"/>
      <c r="AX88" s="478"/>
      <c r="AY88" s="478"/>
      <c r="AZ88" s="478"/>
      <c r="BA88" s="478"/>
      <c r="BB88" s="478"/>
      <c r="BC88" s="478"/>
      <c r="BD88" s="478"/>
      <c r="BE88" s="478"/>
      <c r="BF88" s="478"/>
      <c r="BG88" s="478"/>
      <c r="BH88" s="478"/>
      <c r="BI88" s="478"/>
      <c r="BJ88" s="478"/>
      <c r="BK88" s="478"/>
      <c r="BL88" s="478"/>
      <c r="BM88" s="478"/>
      <c r="BN88" s="478"/>
      <c r="BO88" s="478"/>
      <c r="BP88" s="478"/>
      <c r="BQ88" s="478"/>
      <c r="BR88" s="478"/>
      <c r="BS88" s="478"/>
      <c r="BT88" s="478"/>
      <c r="BU88" s="478"/>
      <c r="BV88" s="478"/>
      <c r="BW88" s="478"/>
      <c r="BX88" s="478"/>
      <c r="BY88" s="478"/>
      <c r="BZ88" s="478"/>
      <c r="CA88" s="478"/>
      <c r="CB88" s="478"/>
      <c r="CC88" s="478"/>
      <c r="CD88" s="478"/>
      <c r="CE88" s="478"/>
      <c r="CF88" s="478"/>
      <c r="CG88" s="478"/>
      <c r="CH88" s="478"/>
      <c r="CI88" s="478"/>
      <c r="CJ88" s="478"/>
      <c r="CK88" s="478"/>
      <c r="CL88" s="478"/>
      <c r="CM88" s="478"/>
      <c r="CN88" s="478"/>
      <c r="CO88" s="478"/>
      <c r="CP88" s="478"/>
      <c r="CQ88" s="478"/>
      <c r="CR88" s="478"/>
      <c r="CS88" s="478"/>
      <c r="CT88" s="478"/>
      <c r="CU88" s="478"/>
      <c r="CV88" s="478"/>
      <c r="CW88" s="478"/>
      <c r="CX88" s="478"/>
      <c r="CY88" s="478"/>
      <c r="CZ88" s="478"/>
    </row>
    <row r="89" spans="1:104" ht="14.25" customHeight="1" x14ac:dyDescent="0.2">
      <c r="A89" s="478"/>
      <c r="B89" s="504"/>
      <c r="C89" s="478"/>
      <c r="D89" s="478"/>
      <c r="E89" s="478"/>
      <c r="F89" s="478"/>
      <c r="G89" s="478"/>
      <c r="H89" s="478"/>
      <c r="I89" s="478"/>
      <c r="J89" s="478"/>
      <c r="K89" s="478"/>
      <c r="L89" s="478"/>
      <c r="M89" s="478"/>
      <c r="N89" s="478"/>
      <c r="O89" s="478"/>
      <c r="P89" s="478"/>
      <c r="Q89" s="478"/>
      <c r="R89" s="478"/>
      <c r="S89" s="478"/>
      <c r="T89" s="505"/>
      <c r="U89" s="478"/>
      <c r="V89" s="478"/>
      <c r="W89" s="506"/>
      <c r="X89" s="507"/>
      <c r="Y89" s="507"/>
      <c r="Z89" s="507"/>
      <c r="AA89" s="507"/>
      <c r="AB89" s="507"/>
      <c r="AC89" s="507"/>
      <c r="AD89" s="507"/>
      <c r="AE89" s="507"/>
      <c r="AF89" s="507"/>
      <c r="AG89" s="507"/>
      <c r="AH89" s="507"/>
      <c r="AI89" s="507"/>
      <c r="AJ89" s="507"/>
      <c r="AK89" s="507"/>
      <c r="AL89" s="478"/>
      <c r="AM89" s="478"/>
      <c r="AN89" s="478"/>
      <c r="AO89" s="478"/>
      <c r="AP89" s="478"/>
      <c r="AQ89" s="478"/>
      <c r="AR89" s="478"/>
      <c r="AS89" s="478"/>
      <c r="AT89" s="478"/>
      <c r="AU89" s="478"/>
      <c r="AV89" s="478"/>
      <c r="AW89" s="478"/>
      <c r="AX89" s="478"/>
      <c r="AY89" s="478"/>
      <c r="AZ89" s="478"/>
      <c r="BA89" s="478"/>
      <c r="BB89" s="478"/>
      <c r="BC89" s="478"/>
      <c r="BD89" s="478"/>
      <c r="BE89" s="478"/>
      <c r="BF89" s="478"/>
      <c r="BG89" s="478"/>
      <c r="BH89" s="478"/>
      <c r="BI89" s="478"/>
      <c r="BJ89" s="478"/>
      <c r="BK89" s="478"/>
      <c r="BL89" s="478"/>
      <c r="BM89" s="478"/>
      <c r="BN89" s="478"/>
      <c r="BO89" s="478"/>
      <c r="BP89" s="478"/>
      <c r="BQ89" s="478"/>
      <c r="BR89" s="478"/>
      <c r="BS89" s="478"/>
      <c r="BT89" s="478"/>
      <c r="BU89" s="478"/>
      <c r="BV89" s="478"/>
      <c r="BW89" s="478"/>
      <c r="BX89" s="478"/>
      <c r="BY89" s="478"/>
      <c r="BZ89" s="478"/>
      <c r="CA89" s="478"/>
      <c r="CB89" s="478"/>
      <c r="CC89" s="478"/>
      <c r="CD89" s="478"/>
      <c r="CE89" s="478"/>
      <c r="CF89" s="478"/>
      <c r="CG89" s="478"/>
      <c r="CH89" s="478"/>
      <c r="CI89" s="478"/>
      <c r="CJ89" s="478"/>
      <c r="CK89" s="478"/>
      <c r="CL89" s="478"/>
      <c r="CM89" s="478"/>
      <c r="CN89" s="478"/>
      <c r="CO89" s="478"/>
      <c r="CP89" s="478"/>
      <c r="CQ89" s="478"/>
      <c r="CR89" s="478"/>
      <c r="CS89" s="478"/>
      <c r="CT89" s="478"/>
      <c r="CU89" s="478"/>
      <c r="CV89" s="478"/>
      <c r="CW89" s="478"/>
      <c r="CX89" s="478"/>
      <c r="CY89" s="478"/>
      <c r="CZ89" s="478"/>
    </row>
    <row r="90" spans="1:104" ht="14.25" customHeight="1" x14ac:dyDescent="0.2">
      <c r="A90" s="478"/>
      <c r="B90" s="504"/>
      <c r="C90" s="478"/>
      <c r="D90" s="478"/>
      <c r="E90" s="478"/>
      <c r="F90" s="478"/>
      <c r="G90" s="478"/>
      <c r="H90" s="478"/>
      <c r="I90" s="478"/>
      <c r="J90" s="478"/>
      <c r="K90" s="478"/>
      <c r="L90" s="478"/>
      <c r="M90" s="478"/>
      <c r="N90" s="478"/>
      <c r="O90" s="478"/>
      <c r="P90" s="478"/>
      <c r="Q90" s="478"/>
      <c r="R90" s="478"/>
      <c r="S90" s="478"/>
      <c r="T90" s="505"/>
      <c r="U90" s="478"/>
      <c r="V90" s="478"/>
      <c r="W90" s="506"/>
      <c r="X90" s="507"/>
      <c r="Y90" s="507"/>
      <c r="Z90" s="507"/>
      <c r="AA90" s="507"/>
      <c r="AB90" s="507"/>
      <c r="AC90" s="507"/>
      <c r="AD90" s="507"/>
      <c r="AE90" s="507"/>
      <c r="AF90" s="507"/>
      <c r="AG90" s="507"/>
      <c r="AH90" s="507"/>
      <c r="AI90" s="507"/>
      <c r="AJ90" s="507"/>
      <c r="AK90" s="507"/>
      <c r="AL90" s="478"/>
      <c r="AM90" s="478"/>
      <c r="AN90" s="478"/>
      <c r="AO90" s="478"/>
      <c r="AP90" s="478"/>
      <c r="AQ90" s="478"/>
      <c r="AR90" s="478"/>
      <c r="AS90" s="478"/>
      <c r="AT90" s="478"/>
      <c r="AU90" s="478"/>
      <c r="AV90" s="478"/>
      <c r="AW90" s="478"/>
      <c r="AX90" s="478"/>
      <c r="AY90" s="478"/>
      <c r="AZ90" s="478"/>
      <c r="BA90" s="478"/>
      <c r="BB90" s="478"/>
      <c r="BC90" s="478"/>
      <c r="BD90" s="478"/>
      <c r="BE90" s="478"/>
      <c r="BF90" s="478"/>
      <c r="BG90" s="478"/>
      <c r="BH90" s="478"/>
      <c r="BI90" s="478"/>
      <c r="BJ90" s="478"/>
      <c r="BK90" s="478"/>
      <c r="BL90" s="478"/>
      <c r="BM90" s="478"/>
      <c r="BN90" s="478"/>
      <c r="BO90" s="478"/>
      <c r="BP90" s="478"/>
      <c r="BQ90" s="478"/>
      <c r="BR90" s="478"/>
      <c r="BS90" s="478"/>
      <c r="BT90" s="478"/>
      <c r="BU90" s="478"/>
      <c r="BV90" s="478"/>
      <c r="BW90" s="478"/>
      <c r="BX90" s="478"/>
      <c r="BY90" s="478"/>
      <c r="BZ90" s="478"/>
      <c r="CA90" s="478"/>
      <c r="CB90" s="478"/>
      <c r="CC90" s="478"/>
      <c r="CD90" s="478"/>
      <c r="CE90" s="478"/>
      <c r="CF90" s="478"/>
      <c r="CG90" s="478"/>
      <c r="CH90" s="478"/>
      <c r="CI90" s="478"/>
      <c r="CJ90" s="478"/>
      <c r="CK90" s="478"/>
      <c r="CL90" s="478"/>
      <c r="CM90" s="478"/>
      <c r="CN90" s="478"/>
      <c r="CO90" s="478"/>
      <c r="CP90" s="478"/>
      <c r="CQ90" s="478"/>
      <c r="CR90" s="478"/>
      <c r="CS90" s="478"/>
      <c r="CT90" s="478"/>
      <c r="CU90" s="478"/>
      <c r="CV90" s="478"/>
      <c r="CW90" s="478"/>
      <c r="CX90" s="478"/>
      <c r="CY90" s="478"/>
      <c r="CZ90" s="478"/>
    </row>
    <row r="91" spans="1:104" ht="14.25" customHeight="1" x14ac:dyDescent="0.2">
      <c r="A91" s="478"/>
      <c r="B91" s="504"/>
      <c r="C91" s="478"/>
      <c r="D91" s="478"/>
      <c r="E91" s="478"/>
      <c r="F91" s="478"/>
      <c r="G91" s="478"/>
      <c r="H91" s="478"/>
      <c r="I91" s="478"/>
      <c r="J91" s="478"/>
      <c r="K91" s="478"/>
      <c r="L91" s="478"/>
      <c r="M91" s="478"/>
      <c r="N91" s="478"/>
      <c r="O91" s="478"/>
      <c r="P91" s="478"/>
      <c r="Q91" s="478"/>
      <c r="R91" s="478"/>
      <c r="S91" s="478"/>
      <c r="T91" s="505"/>
      <c r="U91" s="478"/>
      <c r="V91" s="478"/>
      <c r="W91" s="506"/>
      <c r="X91" s="507"/>
      <c r="Y91" s="507"/>
      <c r="Z91" s="507"/>
      <c r="AA91" s="507"/>
      <c r="AB91" s="507"/>
      <c r="AC91" s="507"/>
      <c r="AD91" s="507"/>
      <c r="AE91" s="507"/>
      <c r="AF91" s="507"/>
      <c r="AG91" s="507"/>
      <c r="AH91" s="507"/>
      <c r="AI91" s="507"/>
      <c r="AJ91" s="507"/>
      <c r="AK91" s="507"/>
      <c r="AL91" s="478"/>
      <c r="AM91" s="478"/>
      <c r="AN91" s="478"/>
      <c r="AO91" s="478"/>
      <c r="AP91" s="478"/>
      <c r="AQ91" s="478"/>
      <c r="AR91" s="478"/>
      <c r="AS91" s="478"/>
      <c r="AT91" s="478"/>
      <c r="AU91" s="478"/>
      <c r="AV91" s="478"/>
      <c r="AW91" s="478"/>
      <c r="AX91" s="478"/>
      <c r="AY91" s="478"/>
      <c r="AZ91" s="478"/>
      <c r="BA91" s="478"/>
      <c r="BB91" s="478"/>
      <c r="BC91" s="478"/>
      <c r="BD91" s="478"/>
      <c r="BE91" s="478"/>
      <c r="BF91" s="478"/>
      <c r="BG91" s="478"/>
      <c r="BH91" s="478"/>
      <c r="BI91" s="478"/>
      <c r="BJ91" s="478"/>
      <c r="BK91" s="478"/>
      <c r="BL91" s="478"/>
      <c r="BM91" s="478"/>
      <c r="BN91" s="478"/>
      <c r="BO91" s="478"/>
      <c r="BP91" s="478"/>
      <c r="BQ91" s="478"/>
      <c r="BR91" s="478"/>
      <c r="BS91" s="478"/>
      <c r="BT91" s="478"/>
      <c r="BU91" s="478"/>
      <c r="BV91" s="478"/>
      <c r="BW91" s="478"/>
      <c r="BX91" s="478"/>
      <c r="BY91" s="478"/>
      <c r="BZ91" s="478"/>
      <c r="CA91" s="478"/>
      <c r="CB91" s="478"/>
      <c r="CC91" s="478"/>
      <c r="CD91" s="478"/>
      <c r="CE91" s="478"/>
      <c r="CF91" s="478"/>
      <c r="CG91" s="478"/>
      <c r="CH91" s="478"/>
      <c r="CI91" s="478"/>
      <c r="CJ91" s="478"/>
      <c r="CK91" s="478"/>
      <c r="CL91" s="478"/>
      <c r="CM91" s="478"/>
      <c r="CN91" s="478"/>
      <c r="CO91" s="478"/>
      <c r="CP91" s="478"/>
      <c r="CQ91" s="478"/>
      <c r="CR91" s="478"/>
      <c r="CS91" s="478"/>
      <c r="CT91" s="478"/>
      <c r="CU91" s="478"/>
      <c r="CV91" s="478"/>
      <c r="CW91" s="478"/>
      <c r="CX91" s="478"/>
      <c r="CY91" s="478"/>
      <c r="CZ91" s="478"/>
    </row>
    <row r="92" spans="1:104" ht="14.25" customHeight="1" x14ac:dyDescent="0.2">
      <c r="A92" s="478"/>
      <c r="B92" s="504"/>
      <c r="C92" s="478"/>
      <c r="D92" s="478"/>
      <c r="E92" s="478"/>
      <c r="F92" s="478"/>
      <c r="G92" s="478"/>
      <c r="H92" s="478"/>
      <c r="I92" s="478"/>
      <c r="J92" s="478"/>
      <c r="K92" s="478"/>
      <c r="L92" s="478"/>
      <c r="M92" s="478"/>
      <c r="N92" s="478"/>
      <c r="O92" s="478"/>
      <c r="P92" s="478"/>
      <c r="Q92" s="478"/>
      <c r="R92" s="478"/>
      <c r="S92" s="478"/>
      <c r="T92" s="505"/>
      <c r="U92" s="478"/>
      <c r="V92" s="478"/>
      <c r="W92" s="506"/>
      <c r="X92" s="507"/>
      <c r="Y92" s="507"/>
      <c r="Z92" s="507"/>
      <c r="AA92" s="507"/>
      <c r="AB92" s="507"/>
      <c r="AC92" s="507"/>
      <c r="AD92" s="507"/>
      <c r="AE92" s="507"/>
      <c r="AF92" s="507"/>
      <c r="AG92" s="507"/>
      <c r="AH92" s="507"/>
      <c r="AI92" s="507"/>
      <c r="AJ92" s="507"/>
      <c r="AK92" s="507"/>
      <c r="AL92" s="478"/>
      <c r="AM92" s="478"/>
      <c r="AN92" s="478"/>
      <c r="AO92" s="478"/>
      <c r="AP92" s="478"/>
      <c r="AQ92" s="478"/>
      <c r="AR92" s="478"/>
      <c r="AS92" s="478"/>
      <c r="AT92" s="478"/>
      <c r="AU92" s="478"/>
      <c r="AV92" s="478"/>
      <c r="AW92" s="478"/>
      <c r="AX92" s="478"/>
      <c r="AY92" s="478"/>
      <c r="AZ92" s="478"/>
      <c r="BA92" s="478"/>
      <c r="BB92" s="478"/>
      <c r="BC92" s="478"/>
      <c r="BD92" s="478"/>
      <c r="BE92" s="478"/>
      <c r="BF92" s="478"/>
      <c r="BG92" s="478"/>
      <c r="BH92" s="478"/>
      <c r="BI92" s="478"/>
      <c r="BJ92" s="478"/>
      <c r="BK92" s="478"/>
      <c r="BL92" s="478"/>
      <c r="BM92" s="478"/>
      <c r="BN92" s="478"/>
      <c r="BO92" s="478"/>
      <c r="BP92" s="478"/>
      <c r="BQ92" s="478"/>
      <c r="BR92" s="478"/>
      <c r="BS92" s="478"/>
      <c r="BT92" s="478"/>
      <c r="BU92" s="478"/>
      <c r="BV92" s="478"/>
      <c r="BW92" s="478"/>
      <c r="BX92" s="478"/>
      <c r="BY92" s="478"/>
      <c r="BZ92" s="478"/>
      <c r="CA92" s="478"/>
      <c r="CB92" s="478"/>
      <c r="CC92" s="478"/>
      <c r="CD92" s="478"/>
      <c r="CE92" s="478"/>
      <c r="CF92" s="478"/>
      <c r="CG92" s="478"/>
      <c r="CH92" s="478"/>
      <c r="CI92" s="478"/>
      <c r="CJ92" s="478"/>
      <c r="CK92" s="478"/>
      <c r="CL92" s="478"/>
      <c r="CM92" s="478"/>
      <c r="CN92" s="478"/>
      <c r="CO92" s="478"/>
      <c r="CP92" s="478"/>
      <c r="CQ92" s="478"/>
      <c r="CR92" s="478"/>
      <c r="CS92" s="478"/>
      <c r="CT92" s="478"/>
      <c r="CU92" s="478"/>
      <c r="CV92" s="478"/>
      <c r="CW92" s="478"/>
      <c r="CX92" s="478"/>
      <c r="CY92" s="478"/>
      <c r="CZ92" s="478"/>
    </row>
    <row r="93" spans="1:104" ht="14.25" customHeight="1" x14ac:dyDescent="0.2">
      <c r="A93" s="478"/>
      <c r="B93" s="504"/>
      <c r="C93" s="478"/>
      <c r="D93" s="478"/>
      <c r="E93" s="478"/>
      <c r="F93" s="478"/>
      <c r="G93" s="478"/>
      <c r="H93" s="478"/>
      <c r="I93" s="478"/>
      <c r="J93" s="478"/>
      <c r="K93" s="478"/>
      <c r="L93" s="478"/>
      <c r="M93" s="478"/>
      <c r="N93" s="478"/>
      <c r="O93" s="478"/>
      <c r="P93" s="478"/>
      <c r="Q93" s="478"/>
      <c r="R93" s="478"/>
      <c r="S93" s="478"/>
      <c r="T93" s="505"/>
      <c r="U93" s="478"/>
      <c r="V93" s="478"/>
      <c r="W93" s="506"/>
      <c r="X93" s="507"/>
      <c r="Y93" s="507"/>
      <c r="Z93" s="507"/>
      <c r="AA93" s="507"/>
      <c r="AB93" s="507"/>
      <c r="AC93" s="507"/>
      <c r="AD93" s="507"/>
      <c r="AE93" s="507"/>
      <c r="AF93" s="507"/>
      <c r="AG93" s="507"/>
      <c r="AH93" s="507"/>
      <c r="AI93" s="507"/>
      <c r="AJ93" s="507"/>
      <c r="AK93" s="507"/>
      <c r="AL93" s="478"/>
      <c r="AM93" s="478"/>
      <c r="AN93" s="478"/>
      <c r="AO93" s="478"/>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8"/>
      <c r="BM93" s="478"/>
      <c r="BN93" s="478"/>
      <c r="BO93" s="478"/>
      <c r="BP93" s="478"/>
      <c r="BQ93" s="478"/>
      <c r="BR93" s="478"/>
      <c r="BS93" s="478"/>
      <c r="BT93" s="478"/>
      <c r="BU93" s="478"/>
      <c r="BV93" s="478"/>
      <c r="BW93" s="478"/>
      <c r="BX93" s="478"/>
      <c r="BY93" s="478"/>
      <c r="BZ93" s="478"/>
      <c r="CA93" s="478"/>
      <c r="CB93" s="478"/>
      <c r="CC93" s="478"/>
      <c r="CD93" s="478"/>
      <c r="CE93" s="478"/>
      <c r="CF93" s="478"/>
      <c r="CG93" s="478"/>
      <c r="CH93" s="478"/>
      <c r="CI93" s="478"/>
      <c r="CJ93" s="478"/>
      <c r="CK93" s="478"/>
      <c r="CL93" s="478"/>
      <c r="CM93" s="478"/>
      <c r="CN93" s="478"/>
      <c r="CO93" s="478"/>
      <c r="CP93" s="478"/>
      <c r="CQ93" s="478"/>
      <c r="CR93" s="478"/>
      <c r="CS93" s="478"/>
      <c r="CT93" s="478"/>
      <c r="CU93" s="478"/>
      <c r="CV93" s="478"/>
      <c r="CW93" s="478"/>
      <c r="CX93" s="478"/>
      <c r="CY93" s="478"/>
      <c r="CZ93" s="478"/>
    </row>
    <row r="94" spans="1:104" ht="14.25" customHeight="1" x14ac:dyDescent="0.2">
      <c r="A94" s="478"/>
      <c r="B94" s="504"/>
      <c r="C94" s="478"/>
      <c r="D94" s="478"/>
      <c r="E94" s="478"/>
      <c r="F94" s="478"/>
      <c r="G94" s="478"/>
      <c r="H94" s="478"/>
      <c r="I94" s="478"/>
      <c r="J94" s="478"/>
      <c r="K94" s="478"/>
      <c r="L94" s="478"/>
      <c r="M94" s="478"/>
      <c r="N94" s="478"/>
      <c r="O94" s="478"/>
      <c r="P94" s="478"/>
      <c r="Q94" s="478"/>
      <c r="R94" s="478"/>
      <c r="S94" s="478"/>
      <c r="T94" s="505"/>
      <c r="U94" s="478"/>
      <c r="V94" s="478"/>
      <c r="W94" s="506"/>
      <c r="X94" s="507"/>
      <c r="Y94" s="507"/>
      <c r="Z94" s="507"/>
      <c r="AA94" s="507"/>
      <c r="AB94" s="507"/>
      <c r="AC94" s="507"/>
      <c r="AD94" s="507"/>
      <c r="AE94" s="507"/>
      <c r="AF94" s="507"/>
      <c r="AG94" s="507"/>
      <c r="AH94" s="507"/>
      <c r="AI94" s="507"/>
      <c r="AJ94" s="507"/>
      <c r="AK94" s="507"/>
      <c r="AL94" s="478"/>
      <c r="AM94" s="478"/>
      <c r="AN94" s="478"/>
      <c r="AO94" s="478"/>
      <c r="AP94" s="478"/>
      <c r="AQ94" s="478"/>
      <c r="AR94" s="478"/>
      <c r="AS94" s="478"/>
      <c r="AT94" s="478"/>
      <c r="AU94" s="478"/>
      <c r="AV94" s="478"/>
      <c r="AW94" s="478"/>
      <c r="AX94" s="478"/>
      <c r="AY94" s="478"/>
      <c r="AZ94" s="478"/>
      <c r="BA94" s="478"/>
      <c r="BB94" s="478"/>
      <c r="BC94" s="478"/>
      <c r="BD94" s="478"/>
      <c r="BE94" s="478"/>
      <c r="BF94" s="478"/>
      <c r="BG94" s="478"/>
      <c r="BH94" s="478"/>
      <c r="BI94" s="478"/>
      <c r="BJ94" s="478"/>
      <c r="BK94" s="478"/>
      <c r="BL94" s="478"/>
      <c r="BM94" s="478"/>
      <c r="BN94" s="478"/>
      <c r="BO94" s="478"/>
      <c r="BP94" s="478"/>
      <c r="BQ94" s="478"/>
      <c r="BR94" s="478"/>
      <c r="BS94" s="478"/>
      <c r="BT94" s="478"/>
      <c r="BU94" s="478"/>
      <c r="BV94" s="478"/>
      <c r="BW94" s="478"/>
      <c r="BX94" s="478"/>
      <c r="BY94" s="478"/>
      <c r="BZ94" s="478"/>
      <c r="CA94" s="478"/>
      <c r="CB94" s="478"/>
      <c r="CC94" s="478"/>
      <c r="CD94" s="478"/>
      <c r="CE94" s="478"/>
      <c r="CF94" s="478"/>
      <c r="CG94" s="478"/>
      <c r="CH94" s="478"/>
      <c r="CI94" s="478"/>
      <c r="CJ94" s="478"/>
      <c r="CK94" s="478"/>
      <c r="CL94" s="478"/>
      <c r="CM94" s="478"/>
      <c r="CN94" s="478"/>
      <c r="CO94" s="478"/>
      <c r="CP94" s="478"/>
      <c r="CQ94" s="478"/>
      <c r="CR94" s="478"/>
      <c r="CS94" s="478"/>
      <c r="CT94" s="478"/>
      <c r="CU94" s="478"/>
      <c r="CV94" s="478"/>
      <c r="CW94" s="478"/>
      <c r="CX94" s="478"/>
      <c r="CY94" s="478"/>
      <c r="CZ94" s="478"/>
    </row>
    <row r="95" spans="1:104" ht="14.25" customHeight="1" x14ac:dyDescent="0.2">
      <c r="A95" s="478"/>
      <c r="B95" s="504"/>
      <c r="C95" s="478"/>
      <c r="D95" s="478"/>
      <c r="E95" s="478"/>
      <c r="F95" s="478"/>
      <c r="G95" s="478"/>
      <c r="H95" s="478"/>
      <c r="I95" s="478"/>
      <c r="J95" s="478"/>
      <c r="K95" s="478"/>
      <c r="L95" s="478"/>
      <c r="M95" s="478"/>
      <c r="N95" s="478"/>
      <c r="O95" s="478"/>
      <c r="P95" s="478"/>
      <c r="Q95" s="478"/>
      <c r="R95" s="478"/>
      <c r="S95" s="478"/>
      <c r="T95" s="505"/>
      <c r="U95" s="478"/>
      <c r="V95" s="478"/>
      <c r="W95" s="506"/>
      <c r="X95" s="507"/>
      <c r="Y95" s="507"/>
      <c r="Z95" s="507"/>
      <c r="AA95" s="507"/>
      <c r="AB95" s="507"/>
      <c r="AC95" s="507"/>
      <c r="AD95" s="507"/>
      <c r="AE95" s="507"/>
      <c r="AF95" s="507"/>
      <c r="AG95" s="507"/>
      <c r="AH95" s="507"/>
      <c r="AI95" s="507"/>
      <c r="AJ95" s="507"/>
      <c r="AK95" s="507"/>
      <c r="AL95" s="478"/>
      <c r="AM95" s="478"/>
      <c r="AN95" s="478"/>
      <c r="AO95" s="478"/>
      <c r="AP95" s="478"/>
      <c r="AQ95" s="478"/>
      <c r="AR95" s="478"/>
      <c r="AS95" s="478"/>
      <c r="AT95" s="478"/>
      <c r="AU95" s="478"/>
      <c r="AV95" s="478"/>
      <c r="AW95" s="478"/>
      <c r="AX95" s="478"/>
      <c r="AY95" s="478"/>
      <c r="AZ95" s="478"/>
      <c r="BA95" s="478"/>
      <c r="BB95" s="478"/>
      <c r="BC95" s="478"/>
      <c r="BD95" s="478"/>
      <c r="BE95" s="478"/>
      <c r="BF95" s="478"/>
      <c r="BG95" s="478"/>
      <c r="BH95" s="478"/>
      <c r="BI95" s="478"/>
      <c r="BJ95" s="478"/>
      <c r="BK95" s="478"/>
      <c r="BL95" s="478"/>
      <c r="BM95" s="478"/>
      <c r="BN95" s="478"/>
      <c r="BO95" s="478"/>
      <c r="BP95" s="478"/>
      <c r="BQ95" s="478"/>
      <c r="BR95" s="478"/>
      <c r="BS95" s="478"/>
      <c r="BT95" s="478"/>
      <c r="BU95" s="478"/>
      <c r="BV95" s="478"/>
      <c r="BW95" s="478"/>
      <c r="BX95" s="478"/>
      <c r="BY95" s="478"/>
      <c r="BZ95" s="478"/>
      <c r="CA95" s="478"/>
      <c r="CB95" s="478"/>
      <c r="CC95" s="478"/>
      <c r="CD95" s="478"/>
      <c r="CE95" s="478"/>
      <c r="CF95" s="478"/>
      <c r="CG95" s="478"/>
      <c r="CH95" s="478"/>
      <c r="CI95" s="478"/>
      <c r="CJ95" s="478"/>
      <c r="CK95" s="478"/>
      <c r="CL95" s="478"/>
      <c r="CM95" s="478"/>
      <c r="CN95" s="478"/>
      <c r="CO95" s="478"/>
      <c r="CP95" s="478"/>
      <c r="CQ95" s="478"/>
      <c r="CR95" s="478"/>
      <c r="CS95" s="478"/>
      <c r="CT95" s="478"/>
      <c r="CU95" s="478"/>
      <c r="CV95" s="478"/>
      <c r="CW95" s="478"/>
      <c r="CX95" s="478"/>
      <c r="CY95" s="478"/>
      <c r="CZ95" s="478"/>
    </row>
    <row r="96" spans="1:104" ht="14.25" customHeight="1" x14ac:dyDescent="0.2">
      <c r="A96" s="478"/>
      <c r="B96" s="504"/>
      <c r="C96" s="478"/>
      <c r="D96" s="478"/>
      <c r="E96" s="478"/>
      <c r="F96" s="478"/>
      <c r="G96" s="478"/>
      <c r="H96" s="478"/>
      <c r="I96" s="478"/>
      <c r="J96" s="478"/>
      <c r="K96" s="478"/>
      <c r="L96" s="478"/>
      <c r="M96" s="478"/>
      <c r="N96" s="478"/>
      <c r="O96" s="478"/>
      <c r="P96" s="478"/>
      <c r="Q96" s="478"/>
      <c r="R96" s="478"/>
      <c r="S96" s="478"/>
      <c r="T96" s="505"/>
      <c r="U96" s="478"/>
      <c r="V96" s="478"/>
      <c r="W96" s="506"/>
      <c r="X96" s="507"/>
      <c r="Y96" s="507"/>
      <c r="Z96" s="507"/>
      <c r="AA96" s="507"/>
      <c r="AB96" s="507"/>
      <c r="AC96" s="507"/>
      <c r="AD96" s="507"/>
      <c r="AE96" s="507"/>
      <c r="AF96" s="507"/>
      <c r="AG96" s="507"/>
      <c r="AH96" s="507"/>
      <c r="AI96" s="507"/>
      <c r="AJ96" s="507"/>
      <c r="AK96" s="507"/>
      <c r="AL96" s="478"/>
      <c r="AM96" s="478"/>
      <c r="AN96" s="478"/>
      <c r="AO96" s="478"/>
      <c r="AP96" s="478"/>
      <c r="AQ96" s="478"/>
      <c r="AR96" s="478"/>
      <c r="AS96" s="478"/>
      <c r="AT96" s="478"/>
      <c r="AU96" s="478"/>
      <c r="AV96" s="478"/>
      <c r="AW96" s="478"/>
      <c r="AX96" s="478"/>
      <c r="AY96" s="478"/>
      <c r="AZ96" s="478"/>
      <c r="BA96" s="478"/>
      <c r="BB96" s="478"/>
      <c r="BC96" s="478"/>
      <c r="BD96" s="478"/>
      <c r="BE96" s="478"/>
      <c r="BF96" s="478"/>
      <c r="BG96" s="478"/>
      <c r="BH96" s="478"/>
      <c r="BI96" s="478"/>
      <c r="BJ96" s="478"/>
      <c r="BK96" s="478"/>
      <c r="BL96" s="478"/>
      <c r="BM96" s="478"/>
      <c r="BN96" s="478"/>
      <c r="BO96" s="478"/>
      <c r="BP96" s="478"/>
      <c r="BQ96" s="478"/>
      <c r="BR96" s="478"/>
      <c r="BS96" s="478"/>
      <c r="BT96" s="478"/>
      <c r="BU96" s="478"/>
      <c r="BV96" s="478"/>
      <c r="BW96" s="478"/>
      <c r="BX96" s="478"/>
      <c r="BY96" s="478"/>
      <c r="BZ96" s="478"/>
      <c r="CA96" s="478"/>
      <c r="CB96" s="478"/>
      <c r="CC96" s="478"/>
      <c r="CD96" s="478"/>
      <c r="CE96" s="478"/>
      <c r="CF96" s="478"/>
      <c r="CG96" s="478"/>
      <c r="CH96" s="478"/>
      <c r="CI96" s="478"/>
      <c r="CJ96" s="478"/>
      <c r="CK96" s="478"/>
      <c r="CL96" s="478"/>
      <c r="CM96" s="478"/>
      <c r="CN96" s="478"/>
      <c r="CO96" s="478"/>
      <c r="CP96" s="478"/>
      <c r="CQ96" s="478"/>
      <c r="CR96" s="478"/>
      <c r="CS96" s="478"/>
      <c r="CT96" s="478"/>
      <c r="CU96" s="478"/>
      <c r="CV96" s="478"/>
      <c r="CW96" s="478"/>
      <c r="CX96" s="478"/>
      <c r="CY96" s="478"/>
      <c r="CZ96" s="478"/>
    </row>
    <row r="97" spans="1:104" ht="14.25" customHeight="1" x14ac:dyDescent="0.2">
      <c r="A97" s="478"/>
      <c r="B97" s="504"/>
      <c r="C97" s="478"/>
      <c r="D97" s="478"/>
      <c r="E97" s="478"/>
      <c r="F97" s="478"/>
      <c r="G97" s="478"/>
      <c r="H97" s="478"/>
      <c r="I97" s="478"/>
      <c r="J97" s="478"/>
      <c r="K97" s="478"/>
      <c r="L97" s="478"/>
      <c r="M97" s="478"/>
      <c r="N97" s="478"/>
      <c r="O97" s="478"/>
      <c r="P97" s="478"/>
      <c r="Q97" s="478"/>
      <c r="R97" s="478"/>
      <c r="S97" s="478"/>
      <c r="T97" s="505"/>
      <c r="U97" s="478"/>
      <c r="V97" s="478"/>
      <c r="W97" s="506"/>
      <c r="X97" s="507"/>
      <c r="Y97" s="507"/>
      <c r="Z97" s="507"/>
      <c r="AA97" s="507"/>
      <c r="AB97" s="507"/>
      <c r="AC97" s="507"/>
      <c r="AD97" s="507"/>
      <c r="AE97" s="507"/>
      <c r="AF97" s="507"/>
      <c r="AG97" s="507"/>
      <c r="AH97" s="507"/>
      <c r="AI97" s="507"/>
      <c r="AJ97" s="507"/>
      <c r="AK97" s="507"/>
      <c r="AL97" s="478"/>
      <c r="AM97" s="478"/>
      <c r="AN97" s="478"/>
      <c r="AO97" s="478"/>
      <c r="AP97" s="478"/>
      <c r="AQ97" s="478"/>
      <c r="AR97" s="478"/>
      <c r="AS97" s="478"/>
      <c r="AT97" s="478"/>
      <c r="AU97" s="478"/>
      <c r="AV97" s="478"/>
      <c r="AW97" s="478"/>
      <c r="AX97" s="478"/>
      <c r="AY97" s="478"/>
      <c r="AZ97" s="478"/>
      <c r="BA97" s="478"/>
      <c r="BB97" s="478"/>
      <c r="BC97" s="478"/>
      <c r="BD97" s="478"/>
      <c r="BE97" s="478"/>
      <c r="BF97" s="478"/>
      <c r="BG97" s="478"/>
      <c r="BH97" s="478"/>
      <c r="BI97" s="478"/>
      <c r="BJ97" s="478"/>
      <c r="BK97" s="478"/>
      <c r="BL97" s="478"/>
      <c r="BM97" s="478"/>
      <c r="BN97" s="478"/>
      <c r="BO97" s="478"/>
      <c r="BP97" s="478"/>
      <c r="BQ97" s="478"/>
      <c r="BR97" s="478"/>
      <c r="BS97" s="478"/>
      <c r="BT97" s="478"/>
      <c r="BU97" s="478"/>
      <c r="BV97" s="478"/>
      <c r="BW97" s="478"/>
      <c r="BX97" s="478"/>
      <c r="BY97" s="478"/>
      <c r="BZ97" s="478"/>
      <c r="CA97" s="478"/>
      <c r="CB97" s="478"/>
      <c r="CC97" s="478"/>
      <c r="CD97" s="478"/>
      <c r="CE97" s="478"/>
      <c r="CF97" s="478"/>
      <c r="CG97" s="478"/>
      <c r="CH97" s="478"/>
      <c r="CI97" s="478"/>
      <c r="CJ97" s="478"/>
      <c r="CK97" s="478"/>
      <c r="CL97" s="478"/>
      <c r="CM97" s="478"/>
      <c r="CN97" s="478"/>
      <c r="CO97" s="478"/>
      <c r="CP97" s="478"/>
      <c r="CQ97" s="478"/>
      <c r="CR97" s="478"/>
      <c r="CS97" s="478"/>
      <c r="CT97" s="478"/>
      <c r="CU97" s="478"/>
      <c r="CV97" s="478"/>
      <c r="CW97" s="478"/>
      <c r="CX97" s="478"/>
      <c r="CY97" s="478"/>
      <c r="CZ97" s="478"/>
    </row>
    <row r="98" spans="1:104" ht="14.25" customHeight="1" x14ac:dyDescent="0.2">
      <c r="A98" s="478"/>
      <c r="B98" s="504"/>
      <c r="C98" s="478"/>
      <c r="D98" s="478"/>
      <c r="E98" s="478"/>
      <c r="F98" s="478"/>
      <c r="G98" s="478"/>
      <c r="H98" s="478"/>
      <c r="I98" s="478"/>
      <c r="J98" s="478"/>
      <c r="K98" s="478"/>
      <c r="L98" s="478"/>
      <c r="M98" s="478"/>
      <c r="N98" s="478"/>
      <c r="O98" s="478"/>
      <c r="P98" s="478"/>
      <c r="Q98" s="478"/>
      <c r="R98" s="478"/>
      <c r="S98" s="478"/>
      <c r="T98" s="505"/>
      <c r="U98" s="478"/>
      <c r="V98" s="478"/>
      <c r="W98" s="506"/>
      <c r="X98" s="507"/>
      <c r="Y98" s="507"/>
      <c r="Z98" s="507"/>
      <c r="AA98" s="507"/>
      <c r="AB98" s="507"/>
      <c r="AC98" s="507"/>
      <c r="AD98" s="507"/>
      <c r="AE98" s="507"/>
      <c r="AF98" s="507"/>
      <c r="AG98" s="507"/>
      <c r="AH98" s="507"/>
      <c r="AI98" s="507"/>
      <c r="AJ98" s="507"/>
      <c r="AK98" s="507"/>
      <c r="AL98" s="478"/>
      <c r="AM98" s="478"/>
      <c r="AN98" s="478"/>
      <c r="AO98" s="478"/>
      <c r="AP98" s="478"/>
      <c r="AQ98" s="478"/>
      <c r="AR98" s="478"/>
      <c r="AS98" s="478"/>
      <c r="AT98" s="478"/>
      <c r="AU98" s="478"/>
      <c r="AV98" s="478"/>
      <c r="AW98" s="478"/>
      <c r="AX98" s="478"/>
      <c r="AY98" s="478"/>
      <c r="AZ98" s="478"/>
      <c r="BA98" s="478"/>
      <c r="BB98" s="478"/>
      <c r="BC98" s="478"/>
      <c r="BD98" s="478"/>
      <c r="BE98" s="478"/>
      <c r="BF98" s="478"/>
      <c r="BG98" s="478"/>
      <c r="BH98" s="478"/>
      <c r="BI98" s="478"/>
      <c r="BJ98" s="478"/>
      <c r="BK98" s="478"/>
      <c r="BL98" s="478"/>
      <c r="BM98" s="478"/>
      <c r="BN98" s="478"/>
      <c r="BO98" s="478"/>
      <c r="BP98" s="478"/>
      <c r="BQ98" s="478"/>
      <c r="BR98" s="478"/>
      <c r="BS98" s="478"/>
      <c r="BT98" s="478"/>
      <c r="BU98" s="478"/>
      <c r="BV98" s="478"/>
      <c r="BW98" s="478"/>
      <c r="BX98" s="478"/>
      <c r="BY98" s="478"/>
      <c r="BZ98" s="478"/>
      <c r="CA98" s="478"/>
      <c r="CB98" s="478"/>
      <c r="CC98" s="478"/>
      <c r="CD98" s="478"/>
      <c r="CE98" s="478"/>
      <c r="CF98" s="478"/>
      <c r="CG98" s="478"/>
      <c r="CH98" s="478"/>
      <c r="CI98" s="478"/>
      <c r="CJ98" s="478"/>
      <c r="CK98" s="478"/>
      <c r="CL98" s="478"/>
      <c r="CM98" s="478"/>
      <c r="CN98" s="478"/>
      <c r="CO98" s="478"/>
      <c r="CP98" s="478"/>
      <c r="CQ98" s="478"/>
      <c r="CR98" s="478"/>
      <c r="CS98" s="478"/>
      <c r="CT98" s="478"/>
      <c r="CU98" s="478"/>
      <c r="CV98" s="478"/>
      <c r="CW98" s="478"/>
      <c r="CX98" s="478"/>
      <c r="CY98" s="478"/>
      <c r="CZ98" s="478"/>
    </row>
    <row r="99" spans="1:104" ht="14.25" customHeight="1" x14ac:dyDescent="0.2">
      <c r="A99" s="478"/>
      <c r="B99" s="504"/>
      <c r="C99" s="478"/>
      <c r="D99" s="478"/>
      <c r="E99" s="478"/>
      <c r="F99" s="478"/>
      <c r="G99" s="478"/>
      <c r="H99" s="478"/>
      <c r="I99" s="478"/>
      <c r="J99" s="478"/>
      <c r="K99" s="478"/>
      <c r="L99" s="478"/>
      <c r="M99" s="478"/>
      <c r="N99" s="478"/>
      <c r="O99" s="478"/>
      <c r="P99" s="478"/>
      <c r="Q99" s="478"/>
      <c r="R99" s="478"/>
      <c r="S99" s="478"/>
      <c r="T99" s="505"/>
      <c r="U99" s="478"/>
      <c r="V99" s="478"/>
      <c r="W99" s="506"/>
      <c r="X99" s="507"/>
      <c r="Y99" s="507"/>
      <c r="Z99" s="507"/>
      <c r="AA99" s="507"/>
      <c r="AB99" s="507"/>
      <c r="AC99" s="507"/>
      <c r="AD99" s="507"/>
      <c r="AE99" s="507"/>
      <c r="AF99" s="507"/>
      <c r="AG99" s="507"/>
      <c r="AH99" s="507"/>
      <c r="AI99" s="507"/>
      <c r="AJ99" s="507"/>
      <c r="AK99" s="507"/>
      <c r="AL99" s="478"/>
      <c r="AM99" s="478"/>
      <c r="AN99" s="478"/>
      <c r="AO99" s="478"/>
      <c r="AP99" s="478"/>
      <c r="AQ99" s="478"/>
      <c r="AR99" s="478"/>
      <c r="AS99" s="478"/>
      <c r="AT99" s="478"/>
      <c r="AU99" s="478"/>
      <c r="AV99" s="478"/>
      <c r="AW99" s="478"/>
      <c r="AX99" s="478"/>
      <c r="AY99" s="478"/>
      <c r="AZ99" s="478"/>
      <c r="BA99" s="478"/>
      <c r="BB99" s="478"/>
      <c r="BC99" s="478"/>
      <c r="BD99" s="478"/>
      <c r="BE99" s="478"/>
      <c r="BF99" s="478"/>
      <c r="BG99" s="478"/>
      <c r="BH99" s="478"/>
      <c r="BI99" s="478"/>
      <c r="BJ99" s="478"/>
      <c r="BK99" s="478"/>
      <c r="BL99" s="478"/>
      <c r="BM99" s="478"/>
      <c r="BN99" s="478"/>
      <c r="BO99" s="478"/>
      <c r="BP99" s="478"/>
      <c r="BQ99" s="478"/>
      <c r="BR99" s="478"/>
      <c r="BS99" s="478"/>
      <c r="BT99" s="478"/>
      <c r="BU99" s="478"/>
      <c r="BV99" s="478"/>
      <c r="BW99" s="478"/>
      <c r="BX99" s="478"/>
      <c r="BY99" s="478"/>
      <c r="BZ99" s="478"/>
      <c r="CA99" s="478"/>
      <c r="CB99" s="478"/>
      <c r="CC99" s="478"/>
      <c r="CD99" s="478"/>
      <c r="CE99" s="478"/>
      <c r="CF99" s="478"/>
      <c r="CG99" s="478"/>
      <c r="CH99" s="478"/>
      <c r="CI99" s="478"/>
      <c r="CJ99" s="478"/>
      <c r="CK99" s="478"/>
      <c r="CL99" s="478"/>
      <c r="CM99" s="478"/>
      <c r="CN99" s="478"/>
      <c r="CO99" s="478"/>
      <c r="CP99" s="478"/>
      <c r="CQ99" s="478"/>
      <c r="CR99" s="478"/>
      <c r="CS99" s="478"/>
      <c r="CT99" s="478"/>
      <c r="CU99" s="478"/>
      <c r="CV99" s="478"/>
      <c r="CW99" s="478"/>
      <c r="CX99" s="478"/>
      <c r="CY99" s="478"/>
      <c r="CZ99" s="478"/>
    </row>
    <row r="100" spans="1:104" ht="14.25" customHeight="1" x14ac:dyDescent="0.2">
      <c r="A100" s="478"/>
      <c r="B100" s="504"/>
      <c r="C100" s="478"/>
      <c r="D100" s="478"/>
      <c r="E100" s="478"/>
      <c r="F100" s="478"/>
      <c r="G100" s="478"/>
      <c r="H100" s="478"/>
      <c r="I100" s="478"/>
      <c r="J100" s="478"/>
      <c r="K100" s="478"/>
      <c r="L100" s="478"/>
      <c r="M100" s="478"/>
      <c r="N100" s="478"/>
      <c r="O100" s="478"/>
      <c r="P100" s="478"/>
      <c r="Q100" s="478"/>
      <c r="R100" s="478"/>
      <c r="S100" s="478"/>
      <c r="T100" s="505"/>
      <c r="U100" s="478"/>
      <c r="V100" s="478"/>
      <c r="W100" s="506"/>
      <c r="X100" s="507"/>
      <c r="Y100" s="507"/>
      <c r="Z100" s="507"/>
      <c r="AA100" s="507"/>
      <c r="AB100" s="507"/>
      <c r="AC100" s="507"/>
      <c r="AD100" s="507"/>
      <c r="AE100" s="507"/>
      <c r="AF100" s="507"/>
      <c r="AG100" s="507"/>
      <c r="AH100" s="507"/>
      <c r="AI100" s="507"/>
      <c r="AJ100" s="507"/>
      <c r="AK100" s="507"/>
      <c r="AL100" s="478"/>
      <c r="AM100" s="478"/>
      <c r="AN100" s="478"/>
      <c r="AO100" s="478"/>
      <c r="AP100" s="478"/>
      <c r="AQ100" s="478"/>
      <c r="AR100" s="478"/>
      <c r="AS100" s="478"/>
      <c r="AT100" s="478"/>
      <c r="AU100" s="478"/>
      <c r="AV100" s="478"/>
      <c r="AW100" s="478"/>
      <c r="AX100" s="478"/>
      <c r="AY100" s="478"/>
      <c r="AZ100" s="478"/>
      <c r="BA100" s="478"/>
      <c r="BB100" s="478"/>
      <c r="BC100" s="478"/>
      <c r="BD100" s="478"/>
      <c r="BE100" s="478"/>
      <c r="BF100" s="478"/>
      <c r="BG100" s="478"/>
      <c r="BH100" s="478"/>
      <c r="BI100" s="478"/>
      <c r="BJ100" s="478"/>
      <c r="BK100" s="478"/>
      <c r="BL100" s="478"/>
      <c r="BM100" s="478"/>
      <c r="BN100" s="478"/>
      <c r="BO100" s="478"/>
      <c r="BP100" s="478"/>
      <c r="BQ100" s="478"/>
      <c r="BR100" s="478"/>
      <c r="BS100" s="478"/>
      <c r="BT100" s="478"/>
      <c r="BU100" s="478"/>
      <c r="BV100" s="478"/>
      <c r="BW100" s="478"/>
      <c r="BX100" s="478"/>
      <c r="BY100" s="478"/>
      <c r="BZ100" s="478"/>
      <c r="CA100" s="478"/>
      <c r="CB100" s="478"/>
      <c r="CC100" s="478"/>
      <c r="CD100" s="478"/>
      <c r="CE100" s="478"/>
      <c r="CF100" s="478"/>
      <c r="CG100" s="478"/>
      <c r="CH100" s="478"/>
      <c r="CI100" s="478"/>
      <c r="CJ100" s="478"/>
      <c r="CK100" s="478"/>
      <c r="CL100" s="478"/>
      <c r="CM100" s="478"/>
      <c r="CN100" s="478"/>
      <c r="CO100" s="478"/>
      <c r="CP100" s="478"/>
      <c r="CQ100" s="478"/>
      <c r="CR100" s="478"/>
      <c r="CS100" s="478"/>
      <c r="CT100" s="478"/>
      <c r="CU100" s="478"/>
      <c r="CV100" s="478"/>
      <c r="CW100" s="478"/>
      <c r="CX100" s="478"/>
      <c r="CY100" s="478"/>
      <c r="CZ100" s="478"/>
    </row>
    <row r="101" spans="1:104" ht="14.25" customHeight="1" x14ac:dyDescent="0.2">
      <c r="A101" s="478"/>
      <c r="B101" s="504"/>
      <c r="C101" s="478"/>
      <c r="D101" s="478"/>
      <c r="E101" s="478"/>
      <c r="F101" s="478"/>
      <c r="G101" s="478"/>
      <c r="H101" s="478"/>
      <c r="I101" s="478"/>
      <c r="J101" s="478"/>
      <c r="K101" s="478"/>
      <c r="L101" s="478"/>
      <c r="M101" s="478"/>
      <c r="N101" s="478"/>
      <c r="O101" s="478"/>
      <c r="P101" s="478"/>
      <c r="Q101" s="478"/>
      <c r="R101" s="478"/>
      <c r="S101" s="478"/>
      <c r="T101" s="505"/>
      <c r="U101" s="478"/>
      <c r="V101" s="478"/>
      <c r="W101" s="506"/>
      <c r="X101" s="507"/>
      <c r="Y101" s="507"/>
      <c r="Z101" s="507"/>
      <c r="AA101" s="507"/>
      <c r="AB101" s="507"/>
      <c r="AC101" s="507"/>
      <c r="AD101" s="507"/>
      <c r="AE101" s="507"/>
      <c r="AF101" s="507"/>
      <c r="AG101" s="507"/>
      <c r="AH101" s="507"/>
      <c r="AI101" s="507"/>
      <c r="AJ101" s="507"/>
      <c r="AK101" s="507"/>
      <c r="AL101" s="478"/>
      <c r="AM101" s="478"/>
      <c r="AN101" s="478"/>
      <c r="AO101" s="478"/>
      <c r="AP101" s="478"/>
      <c r="AQ101" s="478"/>
      <c r="AR101" s="478"/>
      <c r="AS101" s="478"/>
      <c r="AT101" s="478"/>
      <c r="AU101" s="478"/>
      <c r="AV101" s="478"/>
      <c r="AW101" s="478"/>
      <c r="AX101" s="478"/>
      <c r="AY101" s="478"/>
      <c r="AZ101" s="478"/>
      <c r="BA101" s="478"/>
      <c r="BB101" s="478"/>
      <c r="BC101" s="478"/>
      <c r="BD101" s="478"/>
      <c r="BE101" s="478"/>
      <c r="BF101" s="478"/>
      <c r="BG101" s="478"/>
      <c r="BH101" s="478"/>
      <c r="BI101" s="478"/>
      <c r="BJ101" s="478"/>
      <c r="BK101" s="478"/>
      <c r="BL101" s="478"/>
      <c r="BM101" s="478"/>
      <c r="BN101" s="478"/>
      <c r="BO101" s="478"/>
      <c r="BP101" s="478"/>
      <c r="BQ101" s="478"/>
      <c r="BR101" s="478"/>
      <c r="BS101" s="478"/>
      <c r="BT101" s="478"/>
      <c r="BU101" s="478"/>
      <c r="BV101" s="478"/>
      <c r="BW101" s="478"/>
      <c r="BX101" s="478"/>
      <c r="BY101" s="478"/>
      <c r="BZ101" s="478"/>
      <c r="CA101" s="478"/>
      <c r="CB101" s="478"/>
      <c r="CC101" s="478"/>
      <c r="CD101" s="478"/>
      <c r="CE101" s="478"/>
      <c r="CF101" s="478"/>
      <c r="CG101" s="478"/>
      <c r="CH101" s="478"/>
      <c r="CI101" s="478"/>
      <c r="CJ101" s="478"/>
      <c r="CK101" s="478"/>
      <c r="CL101" s="478"/>
      <c r="CM101" s="478"/>
      <c r="CN101" s="478"/>
      <c r="CO101" s="478"/>
      <c r="CP101" s="478"/>
      <c r="CQ101" s="478"/>
      <c r="CR101" s="478"/>
      <c r="CS101" s="478"/>
      <c r="CT101" s="478"/>
      <c r="CU101" s="478"/>
      <c r="CV101" s="478"/>
      <c r="CW101" s="478"/>
      <c r="CX101" s="478"/>
      <c r="CY101" s="478"/>
      <c r="CZ101" s="478"/>
    </row>
    <row r="102" spans="1:104" ht="14.25" customHeight="1" x14ac:dyDescent="0.2">
      <c r="A102" s="478"/>
      <c r="B102" s="504"/>
      <c r="C102" s="478"/>
      <c r="D102" s="478"/>
      <c r="E102" s="478"/>
      <c r="F102" s="478"/>
      <c r="G102" s="478"/>
      <c r="H102" s="478"/>
      <c r="I102" s="478"/>
      <c r="J102" s="478"/>
      <c r="K102" s="478"/>
      <c r="L102" s="478"/>
      <c r="M102" s="478"/>
      <c r="N102" s="478"/>
      <c r="O102" s="478"/>
      <c r="P102" s="478"/>
      <c r="Q102" s="478"/>
      <c r="R102" s="478"/>
      <c r="S102" s="478"/>
      <c r="T102" s="505"/>
      <c r="U102" s="478"/>
      <c r="V102" s="478"/>
      <c r="W102" s="506"/>
      <c r="X102" s="507"/>
      <c r="Y102" s="507"/>
      <c r="Z102" s="507"/>
      <c r="AA102" s="507"/>
      <c r="AB102" s="507"/>
      <c r="AC102" s="507"/>
      <c r="AD102" s="507"/>
      <c r="AE102" s="507"/>
      <c r="AF102" s="507"/>
      <c r="AG102" s="507"/>
      <c r="AH102" s="507"/>
      <c r="AI102" s="507"/>
      <c r="AJ102" s="507"/>
      <c r="AK102" s="507"/>
      <c r="AL102" s="478"/>
      <c r="AM102" s="478"/>
      <c r="AN102" s="478"/>
      <c r="AO102" s="478"/>
      <c r="AP102" s="478"/>
      <c r="AQ102" s="478"/>
      <c r="AR102" s="478"/>
      <c r="AS102" s="478"/>
      <c r="AT102" s="478"/>
      <c r="AU102" s="478"/>
      <c r="AV102" s="478"/>
      <c r="AW102" s="478"/>
      <c r="AX102" s="478"/>
      <c r="AY102" s="478"/>
      <c r="AZ102" s="478"/>
      <c r="BA102" s="478"/>
      <c r="BB102" s="478"/>
      <c r="BC102" s="478"/>
      <c r="BD102" s="478"/>
      <c r="BE102" s="478"/>
      <c r="BF102" s="478"/>
      <c r="BG102" s="478"/>
      <c r="BH102" s="478"/>
      <c r="BI102" s="478"/>
      <c r="BJ102" s="478"/>
      <c r="BK102" s="478"/>
      <c r="BL102" s="478"/>
      <c r="BM102" s="478"/>
      <c r="BN102" s="478"/>
      <c r="BO102" s="478"/>
      <c r="BP102" s="478"/>
      <c r="BQ102" s="478"/>
      <c r="BR102" s="478"/>
      <c r="BS102" s="478"/>
      <c r="BT102" s="478"/>
      <c r="BU102" s="478"/>
      <c r="BV102" s="478"/>
      <c r="BW102" s="478"/>
      <c r="BX102" s="478"/>
      <c r="BY102" s="478"/>
      <c r="BZ102" s="478"/>
      <c r="CA102" s="478"/>
      <c r="CB102" s="478"/>
      <c r="CC102" s="478"/>
      <c r="CD102" s="478"/>
      <c r="CE102" s="478"/>
      <c r="CF102" s="478"/>
      <c r="CG102" s="478"/>
      <c r="CH102" s="478"/>
      <c r="CI102" s="478"/>
      <c r="CJ102" s="478"/>
      <c r="CK102" s="478"/>
      <c r="CL102" s="478"/>
      <c r="CM102" s="478"/>
      <c r="CN102" s="478"/>
      <c r="CO102" s="478"/>
      <c r="CP102" s="478"/>
      <c r="CQ102" s="478"/>
      <c r="CR102" s="478"/>
      <c r="CS102" s="478"/>
      <c r="CT102" s="478"/>
      <c r="CU102" s="478"/>
      <c r="CV102" s="478"/>
      <c r="CW102" s="478"/>
      <c r="CX102" s="478"/>
      <c r="CY102" s="478"/>
      <c r="CZ102" s="478"/>
    </row>
    <row r="103" spans="1:104" ht="14.25" customHeight="1" x14ac:dyDescent="0.2">
      <c r="A103" s="478"/>
      <c r="B103" s="504"/>
      <c r="C103" s="478"/>
      <c r="D103" s="478"/>
      <c r="E103" s="478"/>
      <c r="F103" s="478"/>
      <c r="G103" s="478"/>
      <c r="H103" s="478"/>
      <c r="I103" s="478"/>
      <c r="J103" s="478"/>
      <c r="K103" s="478"/>
      <c r="L103" s="478"/>
      <c r="M103" s="478"/>
      <c r="N103" s="478"/>
      <c r="O103" s="478"/>
      <c r="P103" s="478"/>
      <c r="Q103" s="478"/>
      <c r="R103" s="478"/>
      <c r="S103" s="478"/>
      <c r="T103" s="505"/>
      <c r="U103" s="478"/>
      <c r="V103" s="478"/>
      <c r="W103" s="506"/>
      <c r="X103" s="507"/>
      <c r="Y103" s="507"/>
      <c r="Z103" s="507"/>
      <c r="AA103" s="507"/>
      <c r="AB103" s="507"/>
      <c r="AC103" s="507"/>
      <c r="AD103" s="507"/>
      <c r="AE103" s="507"/>
      <c r="AF103" s="507"/>
      <c r="AG103" s="507"/>
      <c r="AH103" s="507"/>
      <c r="AI103" s="507"/>
      <c r="AJ103" s="507"/>
      <c r="AK103" s="507"/>
      <c r="AL103" s="478"/>
      <c r="AM103" s="478"/>
      <c r="AN103" s="478"/>
      <c r="AO103" s="478"/>
      <c r="AP103" s="478"/>
      <c r="AQ103" s="478"/>
      <c r="AR103" s="478"/>
      <c r="AS103" s="478"/>
      <c r="AT103" s="478"/>
      <c r="AU103" s="478"/>
      <c r="AV103" s="478"/>
      <c r="AW103" s="478"/>
      <c r="AX103" s="478"/>
      <c r="AY103" s="478"/>
      <c r="AZ103" s="478"/>
      <c r="BA103" s="478"/>
      <c r="BB103" s="478"/>
      <c r="BC103" s="478"/>
      <c r="BD103" s="478"/>
      <c r="BE103" s="478"/>
      <c r="BF103" s="478"/>
      <c r="BG103" s="478"/>
      <c r="BH103" s="478"/>
      <c r="BI103" s="478"/>
      <c r="BJ103" s="478"/>
      <c r="BK103" s="478"/>
      <c r="BL103" s="478"/>
      <c r="BM103" s="478"/>
      <c r="BN103" s="478"/>
      <c r="BO103" s="478"/>
      <c r="BP103" s="478"/>
      <c r="BQ103" s="478"/>
      <c r="BR103" s="478"/>
      <c r="BS103" s="478"/>
      <c r="BT103" s="478"/>
      <c r="BU103" s="478"/>
      <c r="BV103" s="478"/>
      <c r="BW103" s="478"/>
      <c r="BX103" s="478"/>
      <c r="BY103" s="478"/>
      <c r="BZ103" s="478"/>
      <c r="CA103" s="478"/>
      <c r="CB103" s="478"/>
      <c r="CC103" s="478"/>
      <c r="CD103" s="478"/>
      <c r="CE103" s="478"/>
      <c r="CF103" s="478"/>
      <c r="CG103" s="478"/>
      <c r="CH103" s="478"/>
      <c r="CI103" s="478"/>
      <c r="CJ103" s="478"/>
      <c r="CK103" s="478"/>
      <c r="CL103" s="478"/>
      <c r="CM103" s="478"/>
      <c r="CN103" s="478"/>
      <c r="CO103" s="478"/>
      <c r="CP103" s="478"/>
      <c r="CQ103" s="478"/>
      <c r="CR103" s="478"/>
      <c r="CS103" s="478"/>
      <c r="CT103" s="478"/>
      <c r="CU103" s="478"/>
      <c r="CV103" s="478"/>
      <c r="CW103" s="478"/>
      <c r="CX103" s="478"/>
      <c r="CY103" s="478"/>
      <c r="CZ103" s="478"/>
    </row>
    <row r="104" spans="1:104" ht="14.25" customHeight="1" x14ac:dyDescent="0.2">
      <c r="A104" s="478"/>
      <c r="B104" s="504"/>
      <c r="C104" s="478"/>
      <c r="D104" s="478"/>
      <c r="E104" s="478"/>
      <c r="F104" s="478"/>
      <c r="G104" s="478"/>
      <c r="H104" s="478"/>
      <c r="I104" s="478"/>
      <c r="J104" s="478"/>
      <c r="K104" s="478"/>
      <c r="L104" s="478"/>
      <c r="M104" s="478"/>
      <c r="N104" s="478"/>
      <c r="O104" s="478"/>
      <c r="P104" s="478"/>
      <c r="Q104" s="478"/>
      <c r="R104" s="478"/>
      <c r="S104" s="478"/>
      <c r="T104" s="505"/>
      <c r="U104" s="478"/>
      <c r="V104" s="478"/>
      <c r="W104" s="506"/>
      <c r="X104" s="507"/>
      <c r="Y104" s="507"/>
      <c r="Z104" s="507"/>
      <c r="AA104" s="507"/>
      <c r="AB104" s="507"/>
      <c r="AC104" s="507"/>
      <c r="AD104" s="507"/>
      <c r="AE104" s="507"/>
      <c r="AF104" s="507"/>
      <c r="AG104" s="507"/>
      <c r="AH104" s="507"/>
      <c r="AI104" s="507"/>
      <c r="AJ104" s="507"/>
      <c r="AK104" s="507"/>
      <c r="AL104" s="478"/>
      <c r="AM104" s="478"/>
      <c r="AN104" s="478"/>
      <c r="AO104" s="478"/>
      <c r="AP104" s="478"/>
      <c r="AQ104" s="478"/>
      <c r="AR104" s="478"/>
      <c r="AS104" s="478"/>
      <c r="AT104" s="478"/>
      <c r="AU104" s="478"/>
      <c r="AV104" s="478"/>
      <c r="AW104" s="478"/>
      <c r="AX104" s="478"/>
      <c r="AY104" s="478"/>
      <c r="AZ104" s="478"/>
      <c r="BA104" s="478"/>
      <c r="BB104" s="478"/>
      <c r="BC104" s="478"/>
      <c r="BD104" s="478"/>
      <c r="BE104" s="478"/>
      <c r="BF104" s="478"/>
      <c r="BG104" s="478"/>
      <c r="BH104" s="478"/>
      <c r="BI104" s="478"/>
      <c r="BJ104" s="478"/>
      <c r="BK104" s="478"/>
      <c r="BL104" s="478"/>
      <c r="BM104" s="478"/>
      <c r="BN104" s="478"/>
      <c r="BO104" s="478"/>
      <c r="BP104" s="478"/>
      <c r="BQ104" s="478"/>
      <c r="BR104" s="478"/>
      <c r="BS104" s="478"/>
      <c r="BT104" s="478"/>
      <c r="BU104" s="478"/>
      <c r="BV104" s="478"/>
      <c r="BW104" s="478"/>
      <c r="BX104" s="478"/>
      <c r="BY104" s="478"/>
      <c r="BZ104" s="478"/>
      <c r="CA104" s="478"/>
      <c r="CB104" s="478"/>
      <c r="CC104" s="478"/>
      <c r="CD104" s="478"/>
      <c r="CE104" s="478"/>
      <c r="CF104" s="478"/>
      <c r="CG104" s="478"/>
      <c r="CH104" s="478"/>
      <c r="CI104" s="478"/>
      <c r="CJ104" s="478"/>
      <c r="CK104" s="478"/>
      <c r="CL104" s="478"/>
      <c r="CM104" s="478"/>
      <c r="CN104" s="478"/>
      <c r="CO104" s="478"/>
      <c r="CP104" s="478"/>
      <c r="CQ104" s="478"/>
      <c r="CR104" s="478"/>
      <c r="CS104" s="478"/>
      <c r="CT104" s="478"/>
      <c r="CU104" s="478"/>
      <c r="CV104" s="478"/>
      <c r="CW104" s="478"/>
      <c r="CX104" s="478"/>
      <c r="CY104" s="478"/>
      <c r="CZ104" s="478"/>
    </row>
    <row r="105" spans="1:104" ht="14.25" customHeight="1" x14ac:dyDescent="0.2">
      <c r="A105" s="478"/>
      <c r="B105" s="504"/>
      <c r="C105" s="478"/>
      <c r="D105" s="478"/>
      <c r="E105" s="478"/>
      <c r="F105" s="478"/>
      <c r="G105" s="478"/>
      <c r="H105" s="478"/>
      <c r="I105" s="478"/>
      <c r="J105" s="478"/>
      <c r="K105" s="478"/>
      <c r="L105" s="478"/>
      <c r="M105" s="478"/>
      <c r="N105" s="478"/>
      <c r="O105" s="478"/>
      <c r="P105" s="478"/>
      <c r="Q105" s="478"/>
      <c r="R105" s="478"/>
      <c r="S105" s="478"/>
      <c r="T105" s="505"/>
      <c r="U105" s="478"/>
      <c r="V105" s="478"/>
      <c r="W105" s="506"/>
      <c r="X105" s="507"/>
      <c r="Y105" s="507"/>
      <c r="Z105" s="507"/>
      <c r="AA105" s="507"/>
      <c r="AB105" s="507"/>
      <c r="AC105" s="507"/>
      <c r="AD105" s="507"/>
      <c r="AE105" s="507"/>
      <c r="AF105" s="507"/>
      <c r="AG105" s="507"/>
      <c r="AH105" s="507"/>
      <c r="AI105" s="507"/>
      <c r="AJ105" s="507"/>
      <c r="AK105" s="507"/>
      <c r="AL105" s="478"/>
      <c r="AM105" s="478"/>
      <c r="AN105" s="478"/>
      <c r="AO105" s="478"/>
      <c r="AP105" s="478"/>
      <c r="AQ105" s="478"/>
      <c r="AR105" s="478"/>
      <c r="AS105" s="478"/>
      <c r="AT105" s="478"/>
      <c r="AU105" s="478"/>
      <c r="AV105" s="478"/>
      <c r="AW105" s="478"/>
      <c r="AX105" s="478"/>
      <c r="AY105" s="478"/>
      <c r="AZ105" s="478"/>
      <c r="BA105" s="478"/>
      <c r="BB105" s="478"/>
      <c r="BC105" s="478"/>
      <c r="BD105" s="478"/>
      <c r="BE105" s="478"/>
      <c r="BF105" s="478"/>
      <c r="BG105" s="478"/>
      <c r="BH105" s="478"/>
      <c r="BI105" s="478"/>
      <c r="BJ105" s="478"/>
      <c r="BK105" s="478"/>
      <c r="BL105" s="478"/>
      <c r="BM105" s="478"/>
      <c r="BN105" s="478"/>
      <c r="BO105" s="478"/>
      <c r="BP105" s="478"/>
      <c r="BQ105" s="478"/>
      <c r="BR105" s="478"/>
      <c r="BS105" s="478"/>
      <c r="BT105" s="478"/>
      <c r="BU105" s="478"/>
      <c r="BV105" s="478"/>
      <c r="BW105" s="478"/>
      <c r="BX105" s="478"/>
      <c r="BY105" s="478"/>
      <c r="BZ105" s="478"/>
      <c r="CA105" s="478"/>
      <c r="CB105" s="478"/>
      <c r="CC105" s="478"/>
      <c r="CD105" s="478"/>
      <c r="CE105" s="478"/>
      <c r="CF105" s="478"/>
      <c r="CG105" s="478"/>
      <c r="CH105" s="478"/>
      <c r="CI105" s="478"/>
      <c r="CJ105" s="478"/>
      <c r="CK105" s="478"/>
      <c r="CL105" s="478"/>
      <c r="CM105" s="478"/>
      <c r="CN105" s="478"/>
      <c r="CO105" s="478"/>
      <c r="CP105" s="478"/>
      <c r="CQ105" s="478"/>
      <c r="CR105" s="478"/>
      <c r="CS105" s="478"/>
      <c r="CT105" s="478"/>
      <c r="CU105" s="478"/>
      <c r="CV105" s="478"/>
      <c r="CW105" s="478"/>
      <c r="CX105" s="478"/>
      <c r="CY105" s="478"/>
      <c r="CZ105" s="478"/>
    </row>
    <row r="106" spans="1:104" ht="14.25" customHeight="1" x14ac:dyDescent="0.2">
      <c r="A106" s="478"/>
      <c r="B106" s="504"/>
      <c r="C106" s="478"/>
      <c r="D106" s="478"/>
      <c r="E106" s="478"/>
      <c r="F106" s="478"/>
      <c r="G106" s="478"/>
      <c r="H106" s="478"/>
      <c r="I106" s="478"/>
      <c r="J106" s="478"/>
      <c r="K106" s="478"/>
      <c r="L106" s="478"/>
      <c r="M106" s="478"/>
      <c r="N106" s="478"/>
      <c r="O106" s="478"/>
      <c r="P106" s="478"/>
      <c r="Q106" s="478"/>
      <c r="R106" s="478"/>
      <c r="S106" s="478"/>
      <c r="T106" s="505"/>
      <c r="U106" s="478"/>
      <c r="V106" s="478"/>
      <c r="W106" s="506"/>
      <c r="X106" s="507"/>
      <c r="Y106" s="507"/>
      <c r="Z106" s="507"/>
      <c r="AA106" s="507"/>
      <c r="AB106" s="507"/>
      <c r="AC106" s="507"/>
      <c r="AD106" s="507"/>
      <c r="AE106" s="507"/>
      <c r="AF106" s="507"/>
      <c r="AG106" s="507"/>
      <c r="AH106" s="507"/>
      <c r="AI106" s="507"/>
      <c r="AJ106" s="507"/>
      <c r="AK106" s="507"/>
      <c r="AL106" s="478"/>
      <c r="AM106" s="478"/>
      <c r="AN106" s="478"/>
      <c r="AO106" s="478"/>
      <c r="AP106" s="478"/>
      <c r="AQ106" s="478"/>
      <c r="AR106" s="478"/>
      <c r="AS106" s="478"/>
      <c r="AT106" s="478"/>
      <c r="AU106" s="478"/>
      <c r="AV106" s="478"/>
      <c r="AW106" s="478"/>
      <c r="AX106" s="478"/>
      <c r="AY106" s="478"/>
      <c r="AZ106" s="478"/>
      <c r="BA106" s="478"/>
      <c r="BB106" s="478"/>
      <c r="BC106" s="478"/>
      <c r="BD106" s="478"/>
      <c r="BE106" s="478"/>
      <c r="BF106" s="478"/>
      <c r="BG106" s="478"/>
      <c r="BH106" s="478"/>
      <c r="BI106" s="478"/>
      <c r="BJ106" s="478"/>
      <c r="BK106" s="478"/>
      <c r="BL106" s="478"/>
      <c r="BM106" s="478"/>
      <c r="BN106" s="478"/>
      <c r="BO106" s="478"/>
      <c r="BP106" s="478"/>
      <c r="BQ106" s="478"/>
      <c r="BR106" s="478"/>
      <c r="BS106" s="478"/>
      <c r="BT106" s="478"/>
      <c r="BU106" s="478"/>
      <c r="BV106" s="478"/>
      <c r="BW106" s="478"/>
      <c r="BX106" s="478"/>
      <c r="BY106" s="478"/>
      <c r="BZ106" s="478"/>
      <c r="CA106" s="478"/>
      <c r="CB106" s="478"/>
      <c r="CC106" s="478"/>
      <c r="CD106" s="478"/>
      <c r="CE106" s="478"/>
      <c r="CF106" s="478"/>
      <c r="CG106" s="478"/>
      <c r="CH106" s="478"/>
      <c r="CI106" s="478"/>
      <c r="CJ106" s="478"/>
      <c r="CK106" s="478"/>
      <c r="CL106" s="478"/>
      <c r="CM106" s="478"/>
      <c r="CN106" s="478"/>
      <c r="CO106" s="478"/>
      <c r="CP106" s="478"/>
      <c r="CQ106" s="478"/>
      <c r="CR106" s="478"/>
      <c r="CS106" s="478"/>
      <c r="CT106" s="478"/>
      <c r="CU106" s="478"/>
      <c r="CV106" s="478"/>
      <c r="CW106" s="478"/>
      <c r="CX106" s="478"/>
      <c r="CY106" s="478"/>
      <c r="CZ106" s="478"/>
    </row>
    <row r="107" spans="1:104" ht="14.25" customHeight="1" x14ac:dyDescent="0.2">
      <c r="A107" s="478"/>
      <c r="B107" s="504"/>
      <c r="C107" s="478"/>
      <c r="D107" s="478"/>
      <c r="E107" s="478"/>
      <c r="F107" s="478"/>
      <c r="G107" s="478"/>
      <c r="H107" s="478"/>
      <c r="I107" s="478"/>
      <c r="J107" s="478"/>
      <c r="K107" s="478"/>
      <c r="L107" s="478"/>
      <c r="M107" s="478"/>
      <c r="N107" s="478"/>
      <c r="O107" s="478"/>
      <c r="P107" s="478"/>
      <c r="Q107" s="478"/>
      <c r="R107" s="478"/>
      <c r="S107" s="478"/>
      <c r="T107" s="505"/>
      <c r="U107" s="478"/>
      <c r="V107" s="478"/>
      <c r="W107" s="506"/>
      <c r="X107" s="507"/>
      <c r="Y107" s="507"/>
      <c r="Z107" s="507"/>
      <c r="AA107" s="507"/>
      <c r="AB107" s="507"/>
      <c r="AC107" s="507"/>
      <c r="AD107" s="507"/>
      <c r="AE107" s="507"/>
      <c r="AF107" s="507"/>
      <c r="AG107" s="507"/>
      <c r="AH107" s="507"/>
      <c r="AI107" s="507"/>
      <c r="AJ107" s="507"/>
      <c r="AK107" s="507"/>
      <c r="AL107" s="478"/>
      <c r="AM107" s="478"/>
      <c r="AN107" s="478"/>
      <c r="AO107" s="478"/>
      <c r="AP107" s="478"/>
      <c r="AQ107" s="478"/>
      <c r="AR107" s="478"/>
      <c r="AS107" s="478"/>
      <c r="AT107" s="478"/>
      <c r="AU107" s="478"/>
      <c r="AV107" s="478"/>
      <c r="AW107" s="478"/>
      <c r="AX107" s="478"/>
      <c r="AY107" s="478"/>
      <c r="AZ107" s="478"/>
      <c r="BA107" s="478"/>
      <c r="BB107" s="478"/>
      <c r="BC107" s="478"/>
      <c r="BD107" s="478"/>
      <c r="BE107" s="478"/>
      <c r="BF107" s="478"/>
      <c r="BG107" s="478"/>
      <c r="BH107" s="478"/>
      <c r="BI107" s="478"/>
      <c r="BJ107" s="478"/>
      <c r="BK107" s="478"/>
      <c r="BL107" s="478"/>
      <c r="BM107" s="478"/>
      <c r="BN107" s="478"/>
      <c r="BO107" s="478"/>
      <c r="BP107" s="478"/>
      <c r="BQ107" s="478"/>
      <c r="BR107" s="478"/>
      <c r="BS107" s="478"/>
      <c r="BT107" s="478"/>
      <c r="BU107" s="478"/>
      <c r="BV107" s="478"/>
      <c r="BW107" s="478"/>
      <c r="BX107" s="478"/>
      <c r="BY107" s="478"/>
      <c r="BZ107" s="478"/>
      <c r="CA107" s="478"/>
      <c r="CB107" s="478"/>
      <c r="CC107" s="478"/>
      <c r="CD107" s="478"/>
      <c r="CE107" s="478"/>
      <c r="CF107" s="478"/>
      <c r="CG107" s="478"/>
      <c r="CH107" s="478"/>
      <c r="CI107" s="478"/>
      <c r="CJ107" s="478"/>
      <c r="CK107" s="478"/>
      <c r="CL107" s="478"/>
      <c r="CM107" s="478"/>
      <c r="CN107" s="478"/>
      <c r="CO107" s="478"/>
      <c r="CP107" s="478"/>
      <c r="CQ107" s="478"/>
      <c r="CR107" s="478"/>
      <c r="CS107" s="478"/>
      <c r="CT107" s="478"/>
      <c r="CU107" s="478"/>
      <c r="CV107" s="478"/>
      <c r="CW107" s="478"/>
      <c r="CX107" s="478"/>
      <c r="CY107" s="478"/>
      <c r="CZ107" s="478"/>
    </row>
    <row r="108" spans="1:104" ht="14.25" customHeight="1" x14ac:dyDescent="0.2">
      <c r="A108" s="478"/>
      <c r="B108" s="504"/>
      <c r="C108" s="478"/>
      <c r="D108" s="478"/>
      <c r="E108" s="478"/>
      <c r="F108" s="478"/>
      <c r="G108" s="478"/>
      <c r="H108" s="478"/>
      <c r="I108" s="478"/>
      <c r="J108" s="478"/>
      <c r="K108" s="478"/>
      <c r="L108" s="478"/>
      <c r="M108" s="478"/>
      <c r="N108" s="478"/>
      <c r="O108" s="478"/>
      <c r="P108" s="478"/>
      <c r="Q108" s="478"/>
      <c r="R108" s="478"/>
      <c r="S108" s="478"/>
      <c r="T108" s="505"/>
      <c r="U108" s="478"/>
      <c r="V108" s="478"/>
      <c r="W108" s="506"/>
      <c r="X108" s="507"/>
      <c r="Y108" s="507"/>
      <c r="Z108" s="507"/>
      <c r="AA108" s="507"/>
      <c r="AB108" s="507"/>
      <c r="AC108" s="507"/>
      <c r="AD108" s="507"/>
      <c r="AE108" s="507"/>
      <c r="AF108" s="507"/>
      <c r="AG108" s="507"/>
      <c r="AH108" s="507"/>
      <c r="AI108" s="507"/>
      <c r="AJ108" s="507"/>
      <c r="AK108" s="507"/>
      <c r="AL108" s="478"/>
      <c r="AM108" s="478"/>
      <c r="AN108" s="478"/>
      <c r="AO108" s="478"/>
      <c r="AP108" s="478"/>
      <c r="AQ108" s="478"/>
      <c r="AR108" s="478"/>
      <c r="AS108" s="478"/>
      <c r="AT108" s="478"/>
      <c r="AU108" s="478"/>
      <c r="AV108" s="478"/>
      <c r="AW108" s="478"/>
      <c r="AX108" s="478"/>
      <c r="AY108" s="478"/>
      <c r="AZ108" s="478"/>
      <c r="BA108" s="478"/>
      <c r="BB108" s="478"/>
      <c r="BC108" s="478"/>
      <c r="BD108" s="478"/>
      <c r="BE108" s="478"/>
      <c r="BF108" s="478"/>
      <c r="BG108" s="478"/>
      <c r="BH108" s="478"/>
      <c r="BI108" s="478"/>
      <c r="BJ108" s="478"/>
      <c r="BK108" s="478"/>
      <c r="BL108" s="478"/>
      <c r="BM108" s="478"/>
      <c r="BN108" s="478"/>
      <c r="BO108" s="478"/>
      <c r="BP108" s="478"/>
      <c r="BQ108" s="478"/>
      <c r="BR108" s="478"/>
      <c r="BS108" s="478"/>
      <c r="BT108" s="478"/>
      <c r="BU108" s="478"/>
      <c r="BV108" s="478"/>
      <c r="BW108" s="478"/>
      <c r="BX108" s="478"/>
      <c r="BY108" s="478"/>
      <c r="BZ108" s="478"/>
      <c r="CA108" s="478"/>
      <c r="CB108" s="478"/>
      <c r="CC108" s="478"/>
      <c r="CD108" s="478"/>
      <c r="CE108" s="478"/>
      <c r="CF108" s="478"/>
      <c r="CG108" s="478"/>
      <c r="CH108" s="478"/>
      <c r="CI108" s="478"/>
      <c r="CJ108" s="478"/>
      <c r="CK108" s="478"/>
      <c r="CL108" s="478"/>
      <c r="CM108" s="478"/>
      <c r="CN108" s="478"/>
      <c r="CO108" s="478"/>
      <c r="CP108" s="478"/>
      <c r="CQ108" s="478"/>
      <c r="CR108" s="478"/>
      <c r="CS108" s="478"/>
      <c r="CT108" s="478"/>
      <c r="CU108" s="478"/>
      <c r="CV108" s="478"/>
      <c r="CW108" s="478"/>
      <c r="CX108" s="478"/>
      <c r="CY108" s="478"/>
      <c r="CZ108" s="478"/>
    </row>
    <row r="109" spans="1:104" ht="14.25" customHeight="1" x14ac:dyDescent="0.2">
      <c r="A109" s="478"/>
      <c r="B109" s="504"/>
      <c r="C109" s="478"/>
      <c r="D109" s="478"/>
      <c r="E109" s="478"/>
      <c r="F109" s="478"/>
      <c r="G109" s="478"/>
      <c r="H109" s="478"/>
      <c r="I109" s="478"/>
      <c r="J109" s="478"/>
      <c r="K109" s="478"/>
      <c r="L109" s="478"/>
      <c r="M109" s="478"/>
      <c r="N109" s="478"/>
      <c r="O109" s="478"/>
      <c r="P109" s="478"/>
      <c r="Q109" s="478"/>
      <c r="R109" s="478"/>
      <c r="S109" s="478"/>
      <c r="T109" s="505"/>
      <c r="U109" s="478"/>
      <c r="V109" s="478"/>
      <c r="W109" s="506"/>
      <c r="X109" s="507"/>
      <c r="Y109" s="507"/>
      <c r="Z109" s="507"/>
      <c r="AA109" s="507"/>
      <c r="AB109" s="507"/>
      <c r="AC109" s="507"/>
      <c r="AD109" s="507"/>
      <c r="AE109" s="507"/>
      <c r="AF109" s="507"/>
      <c r="AG109" s="507"/>
      <c r="AH109" s="507"/>
      <c r="AI109" s="507"/>
      <c r="AJ109" s="507"/>
      <c r="AK109" s="507"/>
      <c r="AL109" s="478"/>
      <c r="AM109" s="478"/>
      <c r="AN109" s="478"/>
      <c r="AO109" s="478"/>
      <c r="AP109" s="478"/>
      <c r="AQ109" s="478"/>
      <c r="AR109" s="478"/>
      <c r="AS109" s="478"/>
      <c r="AT109" s="478"/>
      <c r="AU109" s="478"/>
      <c r="AV109" s="478"/>
      <c r="AW109" s="478"/>
      <c r="AX109" s="478"/>
      <c r="AY109" s="478"/>
      <c r="AZ109" s="478"/>
      <c r="BA109" s="478"/>
      <c r="BB109" s="478"/>
      <c r="BC109" s="478"/>
      <c r="BD109" s="478"/>
      <c r="BE109" s="478"/>
      <c r="BF109" s="478"/>
      <c r="BG109" s="478"/>
      <c r="BH109" s="478"/>
      <c r="BI109" s="478"/>
      <c r="BJ109" s="478"/>
      <c r="BK109" s="478"/>
      <c r="BL109" s="478"/>
      <c r="BM109" s="478"/>
      <c r="BN109" s="478"/>
      <c r="BO109" s="478"/>
      <c r="BP109" s="478"/>
      <c r="BQ109" s="478"/>
      <c r="BR109" s="478"/>
      <c r="BS109" s="478"/>
      <c r="BT109" s="478"/>
      <c r="BU109" s="478"/>
      <c r="BV109" s="478"/>
      <c r="BW109" s="478"/>
      <c r="BX109" s="478"/>
      <c r="BY109" s="478"/>
      <c r="BZ109" s="478"/>
      <c r="CA109" s="478"/>
      <c r="CB109" s="478"/>
      <c r="CC109" s="478"/>
      <c r="CD109" s="478"/>
      <c r="CE109" s="478"/>
      <c r="CF109" s="478"/>
      <c r="CG109" s="478"/>
      <c r="CH109" s="478"/>
      <c r="CI109" s="478"/>
      <c r="CJ109" s="478"/>
      <c r="CK109" s="478"/>
      <c r="CL109" s="478"/>
      <c r="CM109" s="478"/>
      <c r="CN109" s="478"/>
      <c r="CO109" s="478"/>
      <c r="CP109" s="478"/>
      <c r="CQ109" s="478"/>
      <c r="CR109" s="478"/>
      <c r="CS109" s="478"/>
      <c r="CT109" s="478"/>
      <c r="CU109" s="478"/>
      <c r="CV109" s="478"/>
      <c r="CW109" s="478"/>
      <c r="CX109" s="478"/>
      <c r="CY109" s="478"/>
      <c r="CZ109" s="478"/>
    </row>
    <row r="110" spans="1:104" ht="14.25" customHeight="1" x14ac:dyDescent="0.2">
      <c r="A110" s="478"/>
      <c r="B110" s="504"/>
      <c r="C110" s="478"/>
      <c r="D110" s="478"/>
      <c r="E110" s="478"/>
      <c r="F110" s="478"/>
      <c r="G110" s="478"/>
      <c r="H110" s="478"/>
      <c r="I110" s="478"/>
      <c r="J110" s="478"/>
      <c r="K110" s="478"/>
      <c r="L110" s="478"/>
      <c r="M110" s="478"/>
      <c r="N110" s="478"/>
      <c r="O110" s="478"/>
      <c r="P110" s="478"/>
      <c r="Q110" s="478"/>
      <c r="R110" s="478"/>
      <c r="S110" s="478"/>
      <c r="T110" s="505"/>
      <c r="U110" s="478"/>
      <c r="V110" s="478"/>
      <c r="W110" s="506"/>
      <c r="X110" s="507"/>
      <c r="Y110" s="507"/>
      <c r="Z110" s="507"/>
      <c r="AA110" s="507"/>
      <c r="AB110" s="507"/>
      <c r="AC110" s="507"/>
      <c r="AD110" s="507"/>
      <c r="AE110" s="507"/>
      <c r="AF110" s="507"/>
      <c r="AG110" s="507"/>
      <c r="AH110" s="507"/>
      <c r="AI110" s="507"/>
      <c r="AJ110" s="507"/>
      <c r="AK110" s="507"/>
      <c r="AL110" s="478"/>
      <c r="AM110" s="478"/>
      <c r="AN110" s="478"/>
      <c r="AO110" s="478"/>
      <c r="AP110" s="478"/>
      <c r="AQ110" s="478"/>
      <c r="AR110" s="478"/>
      <c r="AS110" s="478"/>
      <c r="AT110" s="478"/>
      <c r="AU110" s="478"/>
      <c r="AV110" s="478"/>
      <c r="AW110" s="478"/>
      <c r="AX110" s="478"/>
      <c r="AY110" s="478"/>
      <c r="AZ110" s="478"/>
      <c r="BA110" s="478"/>
      <c r="BB110" s="478"/>
      <c r="BC110" s="478"/>
      <c r="BD110" s="478"/>
      <c r="BE110" s="478"/>
      <c r="BF110" s="478"/>
      <c r="BG110" s="478"/>
      <c r="BH110" s="478"/>
      <c r="BI110" s="478"/>
      <c r="BJ110" s="478"/>
      <c r="BK110" s="478"/>
      <c r="BL110" s="478"/>
      <c r="BM110" s="478"/>
      <c r="BN110" s="478"/>
      <c r="BO110" s="478"/>
      <c r="BP110" s="478"/>
      <c r="BQ110" s="478"/>
      <c r="BR110" s="478"/>
      <c r="BS110" s="478"/>
      <c r="BT110" s="478"/>
      <c r="BU110" s="478"/>
      <c r="BV110" s="478"/>
      <c r="BW110" s="478"/>
      <c r="BX110" s="478"/>
      <c r="BY110" s="478"/>
      <c r="BZ110" s="478"/>
      <c r="CA110" s="478"/>
      <c r="CB110" s="478"/>
      <c r="CC110" s="478"/>
      <c r="CD110" s="478"/>
      <c r="CE110" s="478"/>
      <c r="CF110" s="478"/>
      <c r="CG110" s="478"/>
      <c r="CH110" s="478"/>
      <c r="CI110" s="478"/>
      <c r="CJ110" s="478"/>
      <c r="CK110" s="478"/>
      <c r="CL110" s="478"/>
      <c r="CM110" s="478"/>
      <c r="CN110" s="478"/>
      <c r="CO110" s="478"/>
      <c r="CP110" s="478"/>
      <c r="CQ110" s="478"/>
      <c r="CR110" s="478"/>
      <c r="CS110" s="478"/>
      <c r="CT110" s="478"/>
      <c r="CU110" s="478"/>
      <c r="CV110" s="478"/>
      <c r="CW110" s="478"/>
      <c r="CX110" s="478"/>
      <c r="CY110" s="478"/>
      <c r="CZ110" s="478"/>
    </row>
    <row r="111" spans="1:104" ht="14.25" customHeight="1" x14ac:dyDescent="0.2">
      <c r="A111" s="478"/>
      <c r="B111" s="504"/>
      <c r="C111" s="478"/>
      <c r="D111" s="478"/>
      <c r="E111" s="478"/>
      <c r="F111" s="478"/>
      <c r="G111" s="478"/>
      <c r="H111" s="478"/>
      <c r="I111" s="478"/>
      <c r="J111" s="478"/>
      <c r="K111" s="478"/>
      <c r="L111" s="478"/>
      <c r="M111" s="478"/>
      <c r="N111" s="478"/>
      <c r="O111" s="478"/>
      <c r="P111" s="478"/>
      <c r="Q111" s="478"/>
      <c r="R111" s="478"/>
      <c r="S111" s="478"/>
      <c r="T111" s="505"/>
      <c r="U111" s="478"/>
      <c r="V111" s="478"/>
      <c r="W111" s="506"/>
      <c r="X111" s="507"/>
      <c r="Y111" s="507"/>
      <c r="Z111" s="507"/>
      <c r="AA111" s="507"/>
      <c r="AB111" s="507"/>
      <c r="AC111" s="507"/>
      <c r="AD111" s="507"/>
      <c r="AE111" s="507"/>
      <c r="AF111" s="507"/>
      <c r="AG111" s="507"/>
      <c r="AH111" s="507"/>
      <c r="AI111" s="507"/>
      <c r="AJ111" s="507"/>
      <c r="AK111" s="507"/>
      <c r="AL111" s="478"/>
      <c r="AM111" s="478"/>
      <c r="AN111" s="478"/>
      <c r="AO111" s="478"/>
      <c r="AP111" s="478"/>
      <c r="AQ111" s="478"/>
      <c r="AR111" s="478"/>
      <c r="AS111" s="478"/>
      <c r="AT111" s="478"/>
      <c r="AU111" s="478"/>
      <c r="AV111" s="478"/>
      <c r="AW111" s="478"/>
      <c r="AX111" s="478"/>
      <c r="AY111" s="478"/>
      <c r="AZ111" s="478"/>
      <c r="BA111" s="478"/>
      <c r="BB111" s="478"/>
      <c r="BC111" s="478"/>
      <c r="BD111" s="478"/>
      <c r="BE111" s="478"/>
      <c r="BF111" s="478"/>
      <c r="BG111" s="478"/>
      <c r="BH111" s="478"/>
      <c r="BI111" s="478"/>
      <c r="BJ111" s="478"/>
      <c r="BK111" s="478"/>
      <c r="BL111" s="478"/>
      <c r="BM111" s="478"/>
      <c r="BN111" s="478"/>
      <c r="BO111" s="478"/>
      <c r="BP111" s="478"/>
      <c r="BQ111" s="478"/>
      <c r="BR111" s="478"/>
      <c r="BS111" s="478"/>
      <c r="BT111" s="478"/>
      <c r="BU111" s="478"/>
      <c r="BV111" s="478"/>
      <c r="BW111" s="478"/>
      <c r="BX111" s="478"/>
      <c r="BY111" s="478"/>
      <c r="BZ111" s="478"/>
      <c r="CA111" s="478"/>
      <c r="CB111" s="478"/>
      <c r="CC111" s="478"/>
      <c r="CD111" s="478"/>
      <c r="CE111" s="478"/>
      <c r="CF111" s="478"/>
      <c r="CG111" s="478"/>
      <c r="CH111" s="478"/>
      <c r="CI111" s="478"/>
      <c r="CJ111" s="478"/>
      <c r="CK111" s="478"/>
      <c r="CL111" s="478"/>
      <c r="CM111" s="478"/>
      <c r="CN111" s="478"/>
      <c r="CO111" s="478"/>
      <c r="CP111" s="478"/>
      <c r="CQ111" s="478"/>
      <c r="CR111" s="478"/>
      <c r="CS111" s="478"/>
      <c r="CT111" s="478"/>
      <c r="CU111" s="478"/>
      <c r="CV111" s="478"/>
      <c r="CW111" s="478"/>
      <c r="CX111" s="478"/>
      <c r="CY111" s="478"/>
      <c r="CZ111" s="478"/>
    </row>
    <row r="112" spans="1:104" ht="14.25" customHeight="1" x14ac:dyDescent="0.2">
      <c r="A112" s="478"/>
      <c r="B112" s="504"/>
      <c r="C112" s="478"/>
      <c r="D112" s="478"/>
      <c r="E112" s="478"/>
      <c r="F112" s="478"/>
      <c r="G112" s="478"/>
      <c r="H112" s="478"/>
      <c r="I112" s="478"/>
      <c r="J112" s="478"/>
      <c r="K112" s="478"/>
      <c r="L112" s="478"/>
      <c r="M112" s="478"/>
      <c r="N112" s="478"/>
      <c r="O112" s="478"/>
      <c r="P112" s="478"/>
      <c r="Q112" s="478"/>
      <c r="R112" s="478"/>
      <c r="S112" s="478"/>
      <c r="T112" s="505"/>
      <c r="U112" s="478"/>
      <c r="V112" s="478"/>
      <c r="W112" s="506"/>
      <c r="X112" s="507"/>
      <c r="Y112" s="507"/>
      <c r="Z112" s="507"/>
      <c r="AA112" s="507"/>
      <c r="AB112" s="507"/>
      <c r="AC112" s="507"/>
      <c r="AD112" s="507"/>
      <c r="AE112" s="507"/>
      <c r="AF112" s="507"/>
      <c r="AG112" s="507"/>
      <c r="AH112" s="507"/>
      <c r="AI112" s="507"/>
      <c r="AJ112" s="507"/>
      <c r="AK112" s="507"/>
      <c r="AL112" s="478"/>
      <c r="AM112" s="478"/>
      <c r="AN112" s="478"/>
      <c r="AO112" s="478"/>
      <c r="AP112" s="478"/>
      <c r="AQ112" s="478"/>
      <c r="AR112" s="478"/>
      <c r="AS112" s="478"/>
      <c r="AT112" s="478"/>
      <c r="AU112" s="478"/>
      <c r="AV112" s="478"/>
      <c r="AW112" s="478"/>
      <c r="AX112" s="478"/>
      <c r="AY112" s="478"/>
      <c r="AZ112" s="478"/>
      <c r="BA112" s="478"/>
      <c r="BB112" s="478"/>
      <c r="BC112" s="478"/>
      <c r="BD112" s="478"/>
      <c r="BE112" s="478"/>
      <c r="BF112" s="478"/>
      <c r="BG112" s="478"/>
      <c r="BH112" s="478"/>
      <c r="BI112" s="478"/>
      <c r="BJ112" s="478"/>
      <c r="BK112" s="478"/>
      <c r="BL112" s="478"/>
      <c r="BM112" s="478"/>
      <c r="BN112" s="478"/>
      <c r="BO112" s="478"/>
      <c r="BP112" s="478"/>
      <c r="BQ112" s="478"/>
      <c r="BR112" s="478"/>
      <c r="BS112" s="478"/>
      <c r="BT112" s="478"/>
      <c r="BU112" s="478"/>
      <c r="BV112" s="478"/>
      <c r="BW112" s="478"/>
      <c r="BX112" s="478"/>
      <c r="BY112" s="478"/>
      <c r="BZ112" s="478"/>
      <c r="CA112" s="478"/>
      <c r="CB112" s="478"/>
      <c r="CC112" s="478"/>
      <c r="CD112" s="478"/>
      <c r="CE112" s="478"/>
      <c r="CF112" s="478"/>
      <c r="CG112" s="478"/>
      <c r="CH112" s="478"/>
      <c r="CI112" s="478"/>
      <c r="CJ112" s="478"/>
      <c r="CK112" s="478"/>
      <c r="CL112" s="478"/>
      <c r="CM112" s="478"/>
      <c r="CN112" s="478"/>
      <c r="CO112" s="478"/>
      <c r="CP112" s="478"/>
      <c r="CQ112" s="478"/>
      <c r="CR112" s="478"/>
      <c r="CS112" s="478"/>
      <c r="CT112" s="478"/>
      <c r="CU112" s="478"/>
      <c r="CV112" s="478"/>
      <c r="CW112" s="478"/>
      <c r="CX112" s="478"/>
      <c r="CY112" s="478"/>
      <c r="CZ112" s="478"/>
    </row>
    <row r="113" spans="1:104" ht="14.25" customHeight="1" x14ac:dyDescent="0.2">
      <c r="A113" s="478"/>
      <c r="B113" s="504"/>
      <c r="C113" s="478"/>
      <c r="D113" s="478"/>
      <c r="E113" s="478"/>
      <c r="F113" s="478"/>
      <c r="G113" s="478"/>
      <c r="H113" s="478"/>
      <c r="I113" s="478"/>
      <c r="J113" s="478"/>
      <c r="K113" s="478"/>
      <c r="L113" s="478"/>
      <c r="M113" s="478"/>
      <c r="N113" s="478"/>
      <c r="O113" s="478"/>
      <c r="P113" s="478"/>
      <c r="Q113" s="478"/>
      <c r="R113" s="478"/>
      <c r="S113" s="478"/>
      <c r="T113" s="505"/>
      <c r="U113" s="478"/>
      <c r="V113" s="478"/>
      <c r="W113" s="506"/>
      <c r="X113" s="507"/>
      <c r="Y113" s="507"/>
      <c r="Z113" s="507"/>
      <c r="AA113" s="507"/>
      <c r="AB113" s="507"/>
      <c r="AC113" s="507"/>
      <c r="AD113" s="507"/>
      <c r="AE113" s="507"/>
      <c r="AF113" s="507"/>
      <c r="AG113" s="507"/>
      <c r="AH113" s="507"/>
      <c r="AI113" s="507"/>
      <c r="AJ113" s="507"/>
      <c r="AK113" s="507"/>
      <c r="AL113" s="478"/>
      <c r="AM113" s="478"/>
      <c r="AN113" s="478"/>
      <c r="AO113" s="478"/>
      <c r="AP113" s="478"/>
      <c r="AQ113" s="478"/>
      <c r="AR113" s="478"/>
      <c r="AS113" s="478"/>
      <c r="AT113" s="478"/>
      <c r="AU113" s="478"/>
      <c r="AV113" s="478"/>
      <c r="AW113" s="478"/>
      <c r="AX113" s="478"/>
      <c r="AY113" s="478"/>
      <c r="AZ113" s="478"/>
      <c r="BA113" s="478"/>
      <c r="BB113" s="478"/>
      <c r="BC113" s="478"/>
      <c r="BD113" s="478"/>
      <c r="BE113" s="478"/>
      <c r="BF113" s="478"/>
      <c r="BG113" s="478"/>
      <c r="BH113" s="478"/>
      <c r="BI113" s="478"/>
      <c r="BJ113" s="478"/>
      <c r="BK113" s="478"/>
      <c r="BL113" s="478"/>
      <c r="BM113" s="478"/>
      <c r="BN113" s="478"/>
      <c r="BO113" s="478"/>
      <c r="BP113" s="478"/>
      <c r="BQ113" s="478"/>
      <c r="BR113" s="478"/>
      <c r="BS113" s="478"/>
      <c r="BT113" s="478"/>
      <c r="BU113" s="478"/>
      <c r="BV113" s="478"/>
      <c r="BW113" s="478"/>
      <c r="BX113" s="478"/>
      <c r="BY113" s="478"/>
      <c r="BZ113" s="478"/>
      <c r="CA113" s="478"/>
      <c r="CB113" s="478"/>
      <c r="CC113" s="478"/>
      <c r="CD113" s="478"/>
      <c r="CE113" s="478"/>
      <c r="CF113" s="478"/>
      <c r="CG113" s="478"/>
      <c r="CH113" s="478"/>
      <c r="CI113" s="478"/>
      <c r="CJ113" s="478"/>
      <c r="CK113" s="478"/>
      <c r="CL113" s="478"/>
      <c r="CM113" s="478"/>
      <c r="CN113" s="478"/>
      <c r="CO113" s="478"/>
      <c r="CP113" s="478"/>
      <c r="CQ113" s="478"/>
      <c r="CR113" s="478"/>
      <c r="CS113" s="478"/>
      <c r="CT113" s="478"/>
      <c r="CU113" s="478"/>
      <c r="CV113" s="478"/>
      <c r="CW113" s="478"/>
      <c r="CX113" s="478"/>
      <c r="CY113" s="478"/>
      <c r="CZ113" s="478"/>
    </row>
    <row r="114" spans="1:104" ht="14.25" customHeight="1" x14ac:dyDescent="0.2">
      <c r="A114" s="478"/>
      <c r="B114" s="504"/>
      <c r="C114" s="478"/>
      <c r="D114" s="478"/>
      <c r="E114" s="478"/>
      <c r="F114" s="478"/>
      <c r="G114" s="478"/>
      <c r="H114" s="478"/>
      <c r="I114" s="478"/>
      <c r="J114" s="478"/>
      <c r="K114" s="478"/>
      <c r="L114" s="478"/>
      <c r="M114" s="478"/>
      <c r="N114" s="478"/>
      <c r="O114" s="478"/>
      <c r="P114" s="478"/>
      <c r="Q114" s="478"/>
      <c r="R114" s="478"/>
      <c r="S114" s="478"/>
      <c r="T114" s="505"/>
      <c r="U114" s="478"/>
      <c r="V114" s="478"/>
      <c r="W114" s="506"/>
      <c r="X114" s="507"/>
      <c r="Y114" s="507"/>
      <c r="Z114" s="507"/>
      <c r="AA114" s="507"/>
      <c r="AB114" s="507"/>
      <c r="AC114" s="507"/>
      <c r="AD114" s="507"/>
      <c r="AE114" s="507"/>
      <c r="AF114" s="507"/>
      <c r="AG114" s="507"/>
      <c r="AH114" s="507"/>
      <c r="AI114" s="507"/>
      <c r="AJ114" s="507"/>
      <c r="AK114" s="507"/>
      <c r="AL114" s="478"/>
      <c r="AM114" s="478"/>
      <c r="AN114" s="478"/>
      <c r="AO114" s="478"/>
      <c r="AP114" s="478"/>
      <c r="AQ114" s="478"/>
      <c r="AR114" s="478"/>
      <c r="AS114" s="478"/>
      <c r="AT114" s="478"/>
      <c r="AU114" s="478"/>
      <c r="AV114" s="478"/>
      <c r="AW114" s="478"/>
      <c r="AX114" s="478"/>
      <c r="AY114" s="478"/>
      <c r="AZ114" s="478"/>
      <c r="BA114" s="478"/>
      <c r="BB114" s="478"/>
      <c r="BC114" s="478"/>
      <c r="BD114" s="478"/>
      <c r="BE114" s="478"/>
      <c r="BF114" s="478"/>
      <c r="BG114" s="478"/>
      <c r="BH114" s="478"/>
      <c r="BI114" s="478"/>
      <c r="BJ114" s="478"/>
      <c r="BK114" s="478"/>
      <c r="BL114" s="478"/>
      <c r="BM114" s="478"/>
      <c r="BN114" s="478"/>
      <c r="BO114" s="478"/>
      <c r="BP114" s="478"/>
      <c r="BQ114" s="478"/>
      <c r="BR114" s="478"/>
      <c r="BS114" s="478"/>
      <c r="BT114" s="478"/>
      <c r="BU114" s="478"/>
      <c r="BV114" s="478"/>
      <c r="BW114" s="478"/>
      <c r="BX114" s="478"/>
      <c r="BY114" s="478"/>
      <c r="BZ114" s="478"/>
      <c r="CA114" s="478"/>
      <c r="CB114" s="478"/>
      <c r="CC114" s="478"/>
      <c r="CD114" s="478"/>
      <c r="CE114" s="478"/>
      <c r="CF114" s="478"/>
      <c r="CG114" s="478"/>
      <c r="CH114" s="478"/>
      <c r="CI114" s="478"/>
      <c r="CJ114" s="478"/>
      <c r="CK114" s="478"/>
      <c r="CL114" s="478"/>
      <c r="CM114" s="478"/>
      <c r="CN114" s="478"/>
      <c r="CO114" s="478"/>
      <c r="CP114" s="478"/>
      <c r="CQ114" s="478"/>
      <c r="CR114" s="478"/>
      <c r="CS114" s="478"/>
      <c r="CT114" s="478"/>
      <c r="CU114" s="478"/>
      <c r="CV114" s="478"/>
      <c r="CW114" s="478"/>
      <c r="CX114" s="478"/>
      <c r="CY114" s="478"/>
      <c r="CZ114" s="478"/>
    </row>
    <row r="115" spans="1:104" ht="14.25" customHeight="1" x14ac:dyDescent="0.2">
      <c r="A115" s="478"/>
      <c r="B115" s="504"/>
      <c r="C115" s="478"/>
      <c r="D115" s="478"/>
      <c r="E115" s="478"/>
      <c r="F115" s="478"/>
      <c r="G115" s="478"/>
      <c r="H115" s="478"/>
      <c r="I115" s="478"/>
      <c r="J115" s="478"/>
      <c r="K115" s="478"/>
      <c r="L115" s="478"/>
      <c r="M115" s="478"/>
      <c r="N115" s="478"/>
      <c r="O115" s="478"/>
      <c r="P115" s="478"/>
      <c r="Q115" s="478"/>
      <c r="R115" s="478"/>
      <c r="S115" s="478"/>
      <c r="T115" s="505"/>
      <c r="U115" s="478"/>
      <c r="V115" s="478"/>
      <c r="W115" s="506"/>
      <c r="X115" s="507"/>
      <c r="Y115" s="507"/>
      <c r="Z115" s="507"/>
      <c r="AA115" s="507"/>
      <c r="AB115" s="507"/>
      <c r="AC115" s="507"/>
      <c r="AD115" s="507"/>
      <c r="AE115" s="507"/>
      <c r="AF115" s="507"/>
      <c r="AG115" s="507"/>
      <c r="AH115" s="507"/>
      <c r="AI115" s="507"/>
      <c r="AJ115" s="507"/>
      <c r="AK115" s="507"/>
      <c r="AL115" s="478"/>
      <c r="AM115" s="478"/>
      <c r="AN115" s="478"/>
      <c r="AO115" s="478"/>
      <c r="AP115" s="478"/>
      <c r="AQ115" s="478"/>
      <c r="AR115" s="478"/>
      <c r="AS115" s="478"/>
      <c r="AT115" s="478"/>
      <c r="AU115" s="478"/>
      <c r="AV115" s="478"/>
      <c r="AW115" s="478"/>
      <c r="AX115" s="478"/>
      <c r="AY115" s="478"/>
      <c r="AZ115" s="478"/>
      <c r="BA115" s="478"/>
      <c r="BB115" s="478"/>
      <c r="BC115" s="478"/>
      <c r="BD115" s="478"/>
      <c r="BE115" s="478"/>
      <c r="BF115" s="478"/>
      <c r="BG115" s="478"/>
      <c r="BH115" s="478"/>
      <c r="BI115" s="478"/>
      <c r="BJ115" s="478"/>
      <c r="BK115" s="478"/>
      <c r="BL115" s="478"/>
      <c r="BM115" s="478"/>
      <c r="BN115" s="478"/>
      <c r="BO115" s="478"/>
      <c r="BP115" s="478"/>
      <c r="BQ115" s="478"/>
      <c r="BR115" s="478"/>
      <c r="BS115" s="478"/>
      <c r="BT115" s="478"/>
      <c r="BU115" s="478"/>
      <c r="BV115" s="478"/>
      <c r="BW115" s="478"/>
      <c r="BX115" s="478"/>
      <c r="BY115" s="478"/>
      <c r="BZ115" s="478"/>
      <c r="CA115" s="478"/>
      <c r="CB115" s="478"/>
      <c r="CC115" s="478"/>
      <c r="CD115" s="478"/>
      <c r="CE115" s="478"/>
      <c r="CF115" s="478"/>
      <c r="CG115" s="478"/>
      <c r="CH115" s="478"/>
      <c r="CI115" s="478"/>
      <c r="CJ115" s="478"/>
      <c r="CK115" s="478"/>
      <c r="CL115" s="478"/>
      <c r="CM115" s="478"/>
      <c r="CN115" s="478"/>
      <c r="CO115" s="478"/>
      <c r="CP115" s="478"/>
      <c r="CQ115" s="478"/>
      <c r="CR115" s="478"/>
      <c r="CS115" s="478"/>
      <c r="CT115" s="478"/>
      <c r="CU115" s="478"/>
      <c r="CV115" s="478"/>
      <c r="CW115" s="478"/>
      <c r="CX115" s="478"/>
      <c r="CY115" s="478"/>
      <c r="CZ115" s="478"/>
    </row>
    <row r="116" spans="1:104" ht="14.25" customHeight="1" x14ac:dyDescent="0.2">
      <c r="A116" s="478"/>
      <c r="B116" s="504"/>
      <c r="C116" s="478"/>
      <c r="D116" s="478"/>
      <c r="E116" s="478"/>
      <c r="F116" s="478"/>
      <c r="G116" s="478"/>
      <c r="H116" s="478"/>
      <c r="I116" s="478"/>
      <c r="J116" s="478"/>
      <c r="K116" s="478"/>
      <c r="L116" s="478"/>
      <c r="M116" s="478"/>
      <c r="N116" s="478"/>
      <c r="O116" s="478"/>
      <c r="P116" s="478"/>
      <c r="Q116" s="478"/>
      <c r="R116" s="478"/>
      <c r="S116" s="478"/>
      <c r="T116" s="505"/>
      <c r="U116" s="478"/>
      <c r="V116" s="478"/>
      <c r="W116" s="506"/>
      <c r="X116" s="507"/>
      <c r="Y116" s="507"/>
      <c r="Z116" s="507"/>
      <c r="AA116" s="507"/>
      <c r="AB116" s="507"/>
      <c r="AC116" s="507"/>
      <c r="AD116" s="507"/>
      <c r="AE116" s="507"/>
      <c r="AF116" s="507"/>
      <c r="AG116" s="507"/>
      <c r="AH116" s="507"/>
      <c r="AI116" s="507"/>
      <c r="AJ116" s="507"/>
      <c r="AK116" s="507"/>
      <c r="AL116" s="478"/>
      <c r="AM116" s="478"/>
      <c r="AN116" s="478"/>
      <c r="AO116" s="478"/>
      <c r="AP116" s="478"/>
      <c r="AQ116" s="478"/>
      <c r="AR116" s="478"/>
      <c r="AS116" s="478"/>
      <c r="AT116" s="478"/>
      <c r="AU116" s="478"/>
      <c r="AV116" s="478"/>
      <c r="AW116" s="478"/>
      <c r="AX116" s="478"/>
      <c r="AY116" s="478"/>
      <c r="AZ116" s="478"/>
      <c r="BA116" s="478"/>
      <c r="BB116" s="478"/>
      <c r="BC116" s="478"/>
      <c r="BD116" s="478"/>
      <c r="BE116" s="478"/>
      <c r="BF116" s="478"/>
      <c r="BG116" s="478"/>
      <c r="BH116" s="478"/>
      <c r="BI116" s="478"/>
      <c r="BJ116" s="478"/>
      <c r="BK116" s="478"/>
      <c r="BL116" s="478"/>
      <c r="BM116" s="478"/>
      <c r="BN116" s="478"/>
      <c r="BO116" s="478"/>
      <c r="BP116" s="478"/>
      <c r="BQ116" s="478"/>
      <c r="BR116" s="478"/>
      <c r="BS116" s="478"/>
      <c r="BT116" s="478"/>
      <c r="BU116" s="478"/>
      <c r="BV116" s="478"/>
      <c r="BW116" s="478"/>
      <c r="BX116" s="478"/>
      <c r="BY116" s="478"/>
      <c r="BZ116" s="478"/>
      <c r="CA116" s="478"/>
      <c r="CB116" s="478"/>
      <c r="CC116" s="478"/>
      <c r="CD116" s="478"/>
      <c r="CE116" s="478"/>
      <c r="CF116" s="478"/>
      <c r="CG116" s="478"/>
      <c r="CH116" s="478"/>
      <c r="CI116" s="478"/>
      <c r="CJ116" s="478"/>
      <c r="CK116" s="478"/>
      <c r="CL116" s="478"/>
      <c r="CM116" s="478"/>
      <c r="CN116" s="478"/>
      <c r="CO116" s="478"/>
      <c r="CP116" s="478"/>
      <c r="CQ116" s="478"/>
      <c r="CR116" s="478"/>
      <c r="CS116" s="478"/>
      <c r="CT116" s="478"/>
      <c r="CU116" s="478"/>
      <c r="CV116" s="478"/>
      <c r="CW116" s="478"/>
      <c r="CX116" s="478"/>
      <c r="CY116" s="478"/>
      <c r="CZ116" s="478"/>
    </row>
    <row r="117" spans="1:104" ht="14.25" customHeight="1" x14ac:dyDescent="0.2">
      <c r="A117" s="478"/>
      <c r="B117" s="504"/>
      <c r="C117" s="478"/>
      <c r="D117" s="478"/>
      <c r="E117" s="478"/>
      <c r="F117" s="478"/>
      <c r="G117" s="478"/>
      <c r="H117" s="478"/>
      <c r="I117" s="478"/>
      <c r="J117" s="478"/>
      <c r="K117" s="478"/>
      <c r="L117" s="478"/>
      <c r="M117" s="478"/>
      <c r="N117" s="478"/>
      <c r="O117" s="478"/>
      <c r="P117" s="478"/>
      <c r="Q117" s="478"/>
      <c r="R117" s="478"/>
      <c r="S117" s="478"/>
      <c r="T117" s="505"/>
      <c r="U117" s="478"/>
      <c r="V117" s="478"/>
      <c r="W117" s="506"/>
      <c r="X117" s="507"/>
      <c r="Y117" s="507"/>
      <c r="Z117" s="507"/>
      <c r="AA117" s="507"/>
      <c r="AB117" s="507"/>
      <c r="AC117" s="507"/>
      <c r="AD117" s="507"/>
      <c r="AE117" s="507"/>
      <c r="AF117" s="507"/>
      <c r="AG117" s="507"/>
      <c r="AH117" s="507"/>
      <c r="AI117" s="507"/>
      <c r="AJ117" s="507"/>
      <c r="AK117" s="507"/>
      <c r="AL117" s="478"/>
      <c r="AM117" s="478"/>
      <c r="AN117" s="478"/>
      <c r="AO117" s="478"/>
      <c r="AP117" s="478"/>
      <c r="AQ117" s="478"/>
      <c r="AR117" s="478"/>
      <c r="AS117" s="478"/>
      <c r="AT117" s="478"/>
      <c r="AU117" s="478"/>
      <c r="AV117" s="478"/>
      <c r="AW117" s="478"/>
      <c r="AX117" s="478"/>
      <c r="AY117" s="478"/>
      <c r="AZ117" s="478"/>
      <c r="BA117" s="478"/>
      <c r="BB117" s="478"/>
      <c r="BC117" s="478"/>
      <c r="BD117" s="478"/>
      <c r="BE117" s="478"/>
      <c r="BF117" s="478"/>
      <c r="BG117" s="478"/>
      <c r="BH117" s="478"/>
      <c r="BI117" s="478"/>
      <c r="BJ117" s="478"/>
      <c r="BK117" s="478"/>
      <c r="BL117" s="478"/>
      <c r="BM117" s="478"/>
      <c r="BN117" s="478"/>
      <c r="BO117" s="478"/>
      <c r="BP117" s="478"/>
      <c r="BQ117" s="478"/>
      <c r="BR117" s="478"/>
      <c r="BS117" s="478"/>
      <c r="BT117" s="478"/>
      <c r="BU117" s="478"/>
      <c r="BV117" s="478"/>
      <c r="BW117" s="478"/>
      <c r="BX117" s="478"/>
      <c r="BY117" s="478"/>
      <c r="BZ117" s="478"/>
      <c r="CA117" s="478"/>
      <c r="CB117" s="478"/>
      <c r="CC117" s="478"/>
      <c r="CD117" s="478"/>
      <c r="CE117" s="478"/>
      <c r="CF117" s="478"/>
      <c r="CG117" s="478"/>
      <c r="CH117" s="478"/>
      <c r="CI117" s="478"/>
      <c r="CJ117" s="478"/>
      <c r="CK117" s="478"/>
      <c r="CL117" s="478"/>
      <c r="CM117" s="478"/>
      <c r="CN117" s="478"/>
      <c r="CO117" s="478"/>
      <c r="CP117" s="478"/>
      <c r="CQ117" s="478"/>
      <c r="CR117" s="478"/>
      <c r="CS117" s="478"/>
      <c r="CT117" s="478"/>
      <c r="CU117" s="478"/>
      <c r="CV117" s="478"/>
      <c r="CW117" s="478"/>
      <c r="CX117" s="478"/>
      <c r="CY117" s="478"/>
      <c r="CZ117" s="478"/>
    </row>
    <row r="118" spans="1:104" ht="14.25" customHeight="1" x14ac:dyDescent="0.2">
      <c r="A118" s="478"/>
      <c r="B118" s="504"/>
      <c r="C118" s="478"/>
      <c r="D118" s="478"/>
      <c r="E118" s="478"/>
      <c r="F118" s="478"/>
      <c r="G118" s="478"/>
      <c r="H118" s="478"/>
      <c r="I118" s="478"/>
      <c r="J118" s="478"/>
      <c r="K118" s="478"/>
      <c r="L118" s="478"/>
      <c r="M118" s="478"/>
      <c r="N118" s="478"/>
      <c r="O118" s="478"/>
      <c r="P118" s="478"/>
      <c r="Q118" s="478"/>
      <c r="R118" s="478"/>
      <c r="S118" s="478"/>
      <c r="T118" s="505"/>
      <c r="U118" s="478"/>
      <c r="V118" s="478"/>
      <c r="W118" s="506"/>
      <c r="X118" s="507"/>
      <c r="Y118" s="507"/>
      <c r="Z118" s="507"/>
      <c r="AA118" s="507"/>
      <c r="AB118" s="507"/>
      <c r="AC118" s="507"/>
      <c r="AD118" s="507"/>
      <c r="AE118" s="507"/>
      <c r="AF118" s="507"/>
      <c r="AG118" s="507"/>
      <c r="AH118" s="507"/>
      <c r="AI118" s="507"/>
      <c r="AJ118" s="507"/>
      <c r="AK118" s="507"/>
      <c r="AL118" s="478"/>
      <c r="AM118" s="478"/>
      <c r="AN118" s="478"/>
      <c r="AO118" s="478"/>
      <c r="AP118" s="478"/>
      <c r="AQ118" s="478"/>
      <c r="AR118" s="478"/>
      <c r="AS118" s="478"/>
      <c r="AT118" s="478"/>
      <c r="AU118" s="478"/>
      <c r="AV118" s="478"/>
      <c r="AW118" s="478"/>
      <c r="AX118" s="478"/>
      <c r="AY118" s="478"/>
      <c r="AZ118" s="478"/>
      <c r="BA118" s="478"/>
      <c r="BB118" s="478"/>
      <c r="BC118" s="478"/>
      <c r="BD118" s="478"/>
      <c r="BE118" s="478"/>
      <c r="BF118" s="478"/>
      <c r="BG118" s="478"/>
      <c r="BH118" s="478"/>
      <c r="BI118" s="478"/>
      <c r="BJ118" s="478"/>
      <c r="BK118" s="478"/>
      <c r="BL118" s="478"/>
      <c r="BM118" s="478"/>
      <c r="BN118" s="478"/>
      <c r="BO118" s="478"/>
      <c r="BP118" s="478"/>
      <c r="BQ118" s="478"/>
      <c r="BR118" s="478"/>
      <c r="BS118" s="478"/>
      <c r="BT118" s="478"/>
      <c r="BU118" s="478"/>
      <c r="BV118" s="478"/>
      <c r="BW118" s="478"/>
      <c r="BX118" s="478"/>
      <c r="BY118" s="478"/>
      <c r="BZ118" s="478"/>
      <c r="CA118" s="478"/>
      <c r="CB118" s="478"/>
      <c r="CC118" s="478"/>
      <c r="CD118" s="478"/>
      <c r="CE118" s="478"/>
      <c r="CF118" s="478"/>
      <c r="CG118" s="478"/>
      <c r="CH118" s="478"/>
      <c r="CI118" s="478"/>
      <c r="CJ118" s="478"/>
      <c r="CK118" s="478"/>
      <c r="CL118" s="478"/>
      <c r="CM118" s="478"/>
      <c r="CN118" s="478"/>
      <c r="CO118" s="478"/>
      <c r="CP118" s="478"/>
      <c r="CQ118" s="478"/>
      <c r="CR118" s="478"/>
      <c r="CS118" s="478"/>
      <c r="CT118" s="478"/>
      <c r="CU118" s="478"/>
      <c r="CV118" s="478"/>
      <c r="CW118" s="478"/>
      <c r="CX118" s="478"/>
      <c r="CY118" s="478"/>
      <c r="CZ118" s="478"/>
    </row>
    <row r="119" spans="1:104" ht="14.25" customHeight="1" x14ac:dyDescent="0.2">
      <c r="A119" s="478"/>
      <c r="B119" s="504"/>
      <c r="C119" s="478"/>
      <c r="D119" s="478"/>
      <c r="E119" s="478"/>
      <c r="F119" s="478"/>
      <c r="G119" s="478"/>
      <c r="H119" s="478"/>
      <c r="I119" s="478"/>
      <c r="J119" s="478"/>
      <c r="K119" s="478"/>
      <c r="L119" s="478"/>
      <c r="M119" s="478"/>
      <c r="N119" s="478"/>
      <c r="O119" s="478"/>
      <c r="P119" s="478"/>
      <c r="Q119" s="478"/>
      <c r="R119" s="478"/>
      <c r="S119" s="478"/>
      <c r="T119" s="505"/>
      <c r="U119" s="478"/>
      <c r="V119" s="478"/>
      <c r="W119" s="506"/>
      <c r="X119" s="507"/>
      <c r="Y119" s="507"/>
      <c r="Z119" s="507"/>
      <c r="AA119" s="507"/>
      <c r="AB119" s="507"/>
      <c r="AC119" s="507"/>
      <c r="AD119" s="507"/>
      <c r="AE119" s="507"/>
      <c r="AF119" s="507"/>
      <c r="AG119" s="507"/>
      <c r="AH119" s="507"/>
      <c r="AI119" s="507"/>
      <c r="AJ119" s="507"/>
      <c r="AK119" s="507"/>
      <c r="AL119" s="478"/>
      <c r="AM119" s="478"/>
      <c r="AN119" s="478"/>
      <c r="AO119" s="478"/>
      <c r="AP119" s="478"/>
      <c r="AQ119" s="478"/>
      <c r="AR119" s="478"/>
      <c r="AS119" s="478"/>
      <c r="AT119" s="478"/>
      <c r="AU119" s="478"/>
      <c r="AV119" s="478"/>
      <c r="AW119" s="478"/>
      <c r="AX119" s="478"/>
      <c r="AY119" s="478"/>
      <c r="AZ119" s="478"/>
      <c r="BA119" s="478"/>
      <c r="BB119" s="478"/>
      <c r="BC119" s="478"/>
      <c r="BD119" s="478"/>
      <c r="BE119" s="478"/>
      <c r="BF119" s="478"/>
      <c r="BG119" s="478"/>
      <c r="BH119" s="478"/>
      <c r="BI119" s="478"/>
      <c r="BJ119" s="478"/>
      <c r="BK119" s="478"/>
      <c r="BL119" s="478"/>
      <c r="BM119" s="478"/>
      <c r="BN119" s="478"/>
      <c r="BO119" s="478"/>
      <c r="BP119" s="478"/>
      <c r="BQ119" s="478"/>
      <c r="BR119" s="478"/>
      <c r="BS119" s="478"/>
      <c r="BT119" s="478"/>
      <c r="BU119" s="478"/>
      <c r="BV119" s="478"/>
      <c r="BW119" s="478"/>
      <c r="BX119" s="478"/>
      <c r="BY119" s="478"/>
      <c r="BZ119" s="478"/>
      <c r="CA119" s="478"/>
      <c r="CB119" s="478"/>
      <c r="CC119" s="478"/>
      <c r="CD119" s="478"/>
      <c r="CE119" s="478"/>
      <c r="CF119" s="478"/>
      <c r="CG119" s="478"/>
      <c r="CH119" s="478"/>
      <c r="CI119" s="478"/>
      <c r="CJ119" s="478"/>
      <c r="CK119" s="478"/>
      <c r="CL119" s="478"/>
      <c r="CM119" s="478"/>
      <c r="CN119" s="478"/>
      <c r="CO119" s="478"/>
      <c r="CP119" s="478"/>
      <c r="CQ119" s="478"/>
      <c r="CR119" s="478"/>
      <c r="CS119" s="478"/>
      <c r="CT119" s="478"/>
      <c r="CU119" s="478"/>
      <c r="CV119" s="478"/>
      <c r="CW119" s="478"/>
      <c r="CX119" s="478"/>
      <c r="CY119" s="478"/>
      <c r="CZ119" s="478"/>
    </row>
    <row r="120" spans="1:104" ht="14.25" customHeight="1" x14ac:dyDescent="0.2">
      <c r="A120" s="478"/>
      <c r="B120" s="504"/>
      <c r="C120" s="478"/>
      <c r="D120" s="478"/>
      <c r="E120" s="478"/>
      <c r="F120" s="478"/>
      <c r="G120" s="478"/>
      <c r="H120" s="478"/>
      <c r="I120" s="478"/>
      <c r="J120" s="478"/>
      <c r="K120" s="478"/>
      <c r="L120" s="478"/>
      <c r="M120" s="478"/>
      <c r="N120" s="478"/>
      <c r="O120" s="478"/>
      <c r="P120" s="478"/>
      <c r="Q120" s="478"/>
      <c r="R120" s="478"/>
      <c r="S120" s="478"/>
      <c r="T120" s="505"/>
      <c r="U120" s="478"/>
      <c r="V120" s="478"/>
      <c r="W120" s="506"/>
      <c r="X120" s="507"/>
      <c r="Y120" s="507"/>
      <c r="Z120" s="507"/>
      <c r="AA120" s="507"/>
      <c r="AB120" s="507"/>
      <c r="AC120" s="507"/>
      <c r="AD120" s="507"/>
      <c r="AE120" s="507"/>
      <c r="AF120" s="507"/>
      <c r="AG120" s="507"/>
      <c r="AH120" s="507"/>
      <c r="AI120" s="507"/>
      <c r="AJ120" s="507"/>
      <c r="AK120" s="507"/>
      <c r="AL120" s="478"/>
      <c r="AM120" s="478"/>
      <c r="AN120" s="478"/>
      <c r="AO120" s="478"/>
      <c r="AP120" s="478"/>
      <c r="AQ120" s="478"/>
      <c r="AR120" s="478"/>
      <c r="AS120" s="478"/>
      <c r="AT120" s="478"/>
      <c r="AU120" s="478"/>
      <c r="AV120" s="478"/>
      <c r="AW120" s="478"/>
      <c r="AX120" s="478"/>
      <c r="AY120" s="478"/>
      <c r="AZ120" s="478"/>
      <c r="BA120" s="478"/>
      <c r="BB120" s="478"/>
      <c r="BC120" s="478"/>
      <c r="BD120" s="478"/>
      <c r="BE120" s="478"/>
      <c r="BF120" s="478"/>
      <c r="BG120" s="478"/>
      <c r="BH120" s="478"/>
      <c r="BI120" s="478"/>
      <c r="BJ120" s="478"/>
      <c r="BK120" s="478"/>
      <c r="BL120" s="478"/>
      <c r="BM120" s="478"/>
      <c r="BN120" s="478"/>
      <c r="BO120" s="478"/>
      <c r="BP120" s="478"/>
      <c r="BQ120" s="478"/>
      <c r="BR120" s="478"/>
      <c r="BS120" s="478"/>
      <c r="BT120" s="478"/>
      <c r="BU120" s="478"/>
      <c r="BV120" s="478"/>
      <c r="BW120" s="478"/>
      <c r="BX120" s="478"/>
      <c r="BY120" s="478"/>
      <c r="BZ120" s="478"/>
      <c r="CA120" s="478"/>
      <c r="CB120" s="478"/>
      <c r="CC120" s="478"/>
      <c r="CD120" s="478"/>
      <c r="CE120" s="478"/>
      <c r="CF120" s="478"/>
      <c r="CG120" s="478"/>
      <c r="CH120" s="478"/>
      <c r="CI120" s="478"/>
      <c r="CJ120" s="478"/>
      <c r="CK120" s="478"/>
      <c r="CL120" s="478"/>
      <c r="CM120" s="478"/>
      <c r="CN120" s="478"/>
      <c r="CO120" s="478"/>
      <c r="CP120" s="478"/>
      <c r="CQ120" s="478"/>
      <c r="CR120" s="478"/>
      <c r="CS120" s="478"/>
      <c r="CT120" s="478"/>
      <c r="CU120" s="478"/>
      <c r="CV120" s="478"/>
      <c r="CW120" s="478"/>
      <c r="CX120" s="478"/>
      <c r="CY120" s="478"/>
      <c r="CZ120" s="478"/>
    </row>
    <row r="121" spans="1:104" ht="14.25" customHeight="1" x14ac:dyDescent="0.2">
      <c r="A121" s="478"/>
      <c r="B121" s="504"/>
      <c r="C121" s="478"/>
      <c r="D121" s="478"/>
      <c r="E121" s="478"/>
      <c r="F121" s="478"/>
      <c r="G121" s="478"/>
      <c r="H121" s="478"/>
      <c r="I121" s="478"/>
      <c r="J121" s="478"/>
      <c r="K121" s="478"/>
      <c r="L121" s="478"/>
      <c r="M121" s="478"/>
      <c r="N121" s="478"/>
      <c r="O121" s="478"/>
      <c r="P121" s="478"/>
      <c r="Q121" s="478"/>
      <c r="R121" s="478"/>
      <c r="S121" s="478"/>
      <c r="T121" s="505"/>
      <c r="U121" s="478"/>
      <c r="V121" s="478"/>
      <c r="W121" s="506"/>
      <c r="X121" s="507"/>
      <c r="Y121" s="507"/>
      <c r="Z121" s="507"/>
      <c r="AA121" s="507"/>
      <c r="AB121" s="507"/>
      <c r="AC121" s="507"/>
      <c r="AD121" s="507"/>
      <c r="AE121" s="507"/>
      <c r="AF121" s="507"/>
      <c r="AG121" s="507"/>
      <c r="AH121" s="507"/>
      <c r="AI121" s="507"/>
      <c r="AJ121" s="507"/>
      <c r="AK121" s="507"/>
      <c r="AL121" s="478"/>
      <c r="AM121" s="478"/>
      <c r="AN121" s="478"/>
      <c r="AO121" s="478"/>
      <c r="AP121" s="478"/>
      <c r="AQ121" s="478"/>
      <c r="AR121" s="478"/>
      <c r="AS121" s="478"/>
      <c r="AT121" s="478"/>
      <c r="AU121" s="478"/>
      <c r="AV121" s="478"/>
      <c r="AW121" s="478"/>
      <c r="AX121" s="478"/>
      <c r="AY121" s="478"/>
      <c r="AZ121" s="478"/>
      <c r="BA121" s="478"/>
      <c r="BB121" s="478"/>
      <c r="BC121" s="478"/>
      <c r="BD121" s="478"/>
      <c r="BE121" s="478"/>
      <c r="BF121" s="478"/>
      <c r="BG121" s="478"/>
      <c r="BH121" s="478"/>
      <c r="BI121" s="478"/>
      <c r="BJ121" s="478"/>
      <c r="BK121" s="478"/>
      <c r="BL121" s="478"/>
      <c r="BM121" s="478"/>
      <c r="BN121" s="478"/>
      <c r="BO121" s="478"/>
      <c r="BP121" s="478"/>
      <c r="BQ121" s="478"/>
      <c r="BR121" s="478"/>
      <c r="BS121" s="478"/>
      <c r="BT121" s="478"/>
      <c r="BU121" s="478"/>
      <c r="BV121" s="478"/>
      <c r="BW121" s="478"/>
      <c r="BX121" s="478"/>
      <c r="BY121" s="478"/>
      <c r="BZ121" s="478"/>
      <c r="CA121" s="478"/>
      <c r="CB121" s="478"/>
      <c r="CC121" s="478"/>
      <c r="CD121" s="478"/>
      <c r="CE121" s="478"/>
      <c r="CF121" s="478"/>
      <c r="CG121" s="478"/>
      <c r="CH121" s="478"/>
      <c r="CI121" s="478"/>
      <c r="CJ121" s="478"/>
      <c r="CK121" s="478"/>
      <c r="CL121" s="478"/>
      <c r="CM121" s="478"/>
      <c r="CN121" s="478"/>
      <c r="CO121" s="478"/>
      <c r="CP121" s="478"/>
      <c r="CQ121" s="478"/>
      <c r="CR121" s="478"/>
      <c r="CS121" s="478"/>
      <c r="CT121" s="478"/>
      <c r="CU121" s="478"/>
      <c r="CV121" s="478"/>
      <c r="CW121" s="478"/>
      <c r="CX121" s="478"/>
      <c r="CY121" s="478"/>
      <c r="CZ121" s="478"/>
    </row>
    <row r="122" spans="1:104" ht="14.25" customHeight="1" x14ac:dyDescent="0.2">
      <c r="A122" s="478"/>
      <c r="B122" s="504"/>
      <c r="C122" s="478"/>
      <c r="D122" s="478"/>
      <c r="E122" s="478"/>
      <c r="F122" s="478"/>
      <c r="G122" s="478"/>
      <c r="H122" s="478"/>
      <c r="I122" s="478"/>
      <c r="J122" s="478"/>
      <c r="K122" s="478"/>
      <c r="L122" s="478"/>
      <c r="M122" s="478"/>
      <c r="N122" s="478"/>
      <c r="O122" s="478"/>
      <c r="P122" s="478"/>
      <c r="Q122" s="478"/>
      <c r="R122" s="478"/>
      <c r="S122" s="478"/>
      <c r="T122" s="505"/>
      <c r="U122" s="478"/>
      <c r="V122" s="478"/>
      <c r="W122" s="506"/>
      <c r="X122" s="507"/>
      <c r="Y122" s="507"/>
      <c r="Z122" s="507"/>
      <c r="AA122" s="507"/>
      <c r="AB122" s="507"/>
      <c r="AC122" s="507"/>
      <c r="AD122" s="507"/>
      <c r="AE122" s="507"/>
      <c r="AF122" s="507"/>
      <c r="AG122" s="507"/>
      <c r="AH122" s="507"/>
      <c r="AI122" s="507"/>
      <c r="AJ122" s="507"/>
      <c r="AK122" s="507"/>
      <c r="AL122" s="478"/>
      <c r="AM122" s="478"/>
      <c r="AN122" s="478"/>
      <c r="AO122" s="478"/>
      <c r="AP122" s="478"/>
      <c r="AQ122" s="478"/>
      <c r="AR122" s="478"/>
      <c r="AS122" s="478"/>
      <c r="AT122" s="478"/>
      <c r="AU122" s="478"/>
      <c r="AV122" s="478"/>
      <c r="AW122" s="478"/>
      <c r="AX122" s="478"/>
      <c r="AY122" s="478"/>
      <c r="AZ122" s="478"/>
      <c r="BA122" s="478"/>
      <c r="BB122" s="478"/>
      <c r="BC122" s="478"/>
      <c r="BD122" s="478"/>
      <c r="BE122" s="478"/>
      <c r="BF122" s="478"/>
      <c r="BG122" s="478"/>
      <c r="BH122" s="478"/>
      <c r="BI122" s="478"/>
      <c r="BJ122" s="478"/>
      <c r="BK122" s="478"/>
      <c r="BL122" s="478"/>
      <c r="BM122" s="478"/>
      <c r="BN122" s="478"/>
      <c r="BO122" s="478"/>
      <c r="BP122" s="478"/>
      <c r="BQ122" s="478"/>
      <c r="BR122" s="478"/>
      <c r="BS122" s="478"/>
      <c r="BT122" s="478"/>
      <c r="BU122" s="478"/>
      <c r="BV122" s="478"/>
      <c r="BW122" s="478"/>
      <c r="BX122" s="478"/>
      <c r="BY122" s="478"/>
      <c r="BZ122" s="478"/>
      <c r="CA122" s="478"/>
      <c r="CB122" s="478"/>
      <c r="CC122" s="478"/>
      <c r="CD122" s="478"/>
      <c r="CE122" s="478"/>
      <c r="CF122" s="478"/>
      <c r="CG122" s="478"/>
      <c r="CH122" s="478"/>
      <c r="CI122" s="478"/>
      <c r="CJ122" s="478"/>
      <c r="CK122" s="478"/>
      <c r="CL122" s="478"/>
      <c r="CM122" s="478"/>
      <c r="CN122" s="478"/>
      <c r="CO122" s="478"/>
      <c r="CP122" s="478"/>
      <c r="CQ122" s="478"/>
      <c r="CR122" s="478"/>
      <c r="CS122" s="478"/>
      <c r="CT122" s="478"/>
      <c r="CU122" s="478"/>
      <c r="CV122" s="478"/>
      <c r="CW122" s="478"/>
      <c r="CX122" s="478"/>
      <c r="CY122" s="478"/>
      <c r="CZ122" s="478"/>
    </row>
    <row r="123" spans="1:104" ht="14.25" customHeight="1" x14ac:dyDescent="0.2">
      <c r="A123" s="478"/>
      <c r="B123" s="504"/>
      <c r="C123" s="478"/>
      <c r="D123" s="478"/>
      <c r="E123" s="478"/>
      <c r="F123" s="478"/>
      <c r="G123" s="478"/>
      <c r="H123" s="478"/>
      <c r="I123" s="478"/>
      <c r="J123" s="478"/>
      <c r="K123" s="478"/>
      <c r="L123" s="478"/>
      <c r="M123" s="478"/>
      <c r="N123" s="478"/>
      <c r="O123" s="478"/>
      <c r="P123" s="478"/>
      <c r="Q123" s="478"/>
      <c r="R123" s="478"/>
      <c r="S123" s="478"/>
      <c r="T123" s="505"/>
      <c r="U123" s="478"/>
      <c r="V123" s="478"/>
      <c r="W123" s="506"/>
      <c r="X123" s="507"/>
      <c r="Y123" s="507"/>
      <c r="Z123" s="507"/>
      <c r="AA123" s="507"/>
      <c r="AB123" s="507"/>
      <c r="AC123" s="507"/>
      <c r="AD123" s="507"/>
      <c r="AE123" s="507"/>
      <c r="AF123" s="507"/>
      <c r="AG123" s="507"/>
      <c r="AH123" s="507"/>
      <c r="AI123" s="507"/>
      <c r="AJ123" s="507"/>
      <c r="AK123" s="507"/>
      <c r="AL123" s="478"/>
      <c r="AM123" s="478"/>
      <c r="AN123" s="478"/>
      <c r="AO123" s="478"/>
      <c r="AP123" s="478"/>
      <c r="AQ123" s="478"/>
      <c r="AR123" s="478"/>
      <c r="AS123" s="478"/>
      <c r="AT123" s="478"/>
      <c r="AU123" s="478"/>
      <c r="AV123" s="478"/>
      <c r="AW123" s="478"/>
      <c r="AX123" s="478"/>
      <c r="AY123" s="478"/>
      <c r="AZ123" s="478"/>
      <c r="BA123" s="478"/>
      <c r="BB123" s="478"/>
      <c r="BC123" s="478"/>
      <c r="BD123" s="478"/>
      <c r="BE123" s="478"/>
      <c r="BF123" s="478"/>
      <c r="BG123" s="478"/>
      <c r="BH123" s="478"/>
      <c r="BI123" s="478"/>
      <c r="BJ123" s="478"/>
      <c r="BK123" s="478"/>
      <c r="BL123" s="478"/>
      <c r="BM123" s="478"/>
      <c r="BN123" s="478"/>
      <c r="BO123" s="478"/>
      <c r="BP123" s="478"/>
      <c r="BQ123" s="478"/>
      <c r="BR123" s="478"/>
      <c r="BS123" s="478"/>
      <c r="BT123" s="478"/>
      <c r="BU123" s="478"/>
      <c r="BV123" s="478"/>
      <c r="BW123" s="478"/>
      <c r="BX123" s="478"/>
      <c r="BY123" s="478"/>
      <c r="BZ123" s="478"/>
      <c r="CA123" s="478"/>
      <c r="CB123" s="478"/>
      <c r="CC123" s="478"/>
      <c r="CD123" s="478"/>
      <c r="CE123" s="478"/>
      <c r="CF123" s="478"/>
      <c r="CG123" s="478"/>
      <c r="CH123" s="478"/>
      <c r="CI123" s="478"/>
      <c r="CJ123" s="478"/>
      <c r="CK123" s="478"/>
      <c r="CL123" s="478"/>
      <c r="CM123" s="478"/>
      <c r="CN123" s="478"/>
      <c r="CO123" s="478"/>
      <c r="CP123" s="478"/>
      <c r="CQ123" s="478"/>
      <c r="CR123" s="478"/>
      <c r="CS123" s="478"/>
      <c r="CT123" s="478"/>
      <c r="CU123" s="478"/>
      <c r="CV123" s="478"/>
      <c r="CW123" s="478"/>
      <c r="CX123" s="478"/>
      <c r="CY123" s="478"/>
      <c r="CZ123" s="478"/>
    </row>
    <row r="124" spans="1:104" ht="14.25" customHeight="1" x14ac:dyDescent="0.2">
      <c r="A124" s="478"/>
      <c r="B124" s="504"/>
      <c r="C124" s="478"/>
      <c r="D124" s="478"/>
      <c r="E124" s="478"/>
      <c r="F124" s="478"/>
      <c r="G124" s="478"/>
      <c r="H124" s="478"/>
      <c r="I124" s="478"/>
      <c r="J124" s="478"/>
      <c r="K124" s="478"/>
      <c r="L124" s="478"/>
      <c r="M124" s="478"/>
      <c r="N124" s="478"/>
      <c r="O124" s="478"/>
      <c r="P124" s="478"/>
      <c r="Q124" s="478"/>
      <c r="R124" s="478"/>
      <c r="S124" s="478"/>
      <c r="T124" s="505"/>
      <c r="U124" s="478"/>
      <c r="V124" s="478"/>
      <c r="W124" s="506"/>
      <c r="X124" s="507"/>
      <c r="Y124" s="507"/>
      <c r="Z124" s="507"/>
      <c r="AA124" s="507"/>
      <c r="AB124" s="507"/>
      <c r="AC124" s="507"/>
      <c r="AD124" s="507"/>
      <c r="AE124" s="507"/>
      <c r="AF124" s="507"/>
      <c r="AG124" s="507"/>
      <c r="AH124" s="507"/>
      <c r="AI124" s="507"/>
      <c r="AJ124" s="507"/>
      <c r="AK124" s="507"/>
      <c r="AL124" s="478"/>
      <c r="AM124" s="478"/>
      <c r="AN124" s="478"/>
      <c r="AO124" s="478"/>
      <c r="AP124" s="478"/>
      <c r="AQ124" s="478"/>
      <c r="AR124" s="478"/>
      <c r="AS124" s="478"/>
      <c r="AT124" s="478"/>
      <c r="AU124" s="478"/>
      <c r="AV124" s="478"/>
      <c r="AW124" s="478"/>
      <c r="AX124" s="478"/>
      <c r="AY124" s="478"/>
      <c r="AZ124" s="478"/>
      <c r="BA124" s="478"/>
      <c r="BB124" s="478"/>
      <c r="BC124" s="478"/>
      <c r="BD124" s="478"/>
      <c r="BE124" s="478"/>
      <c r="BF124" s="478"/>
      <c r="BG124" s="478"/>
      <c r="BH124" s="478"/>
      <c r="BI124" s="478"/>
      <c r="BJ124" s="478"/>
      <c r="BK124" s="478"/>
      <c r="BL124" s="478"/>
      <c r="BM124" s="478"/>
      <c r="BN124" s="478"/>
      <c r="BO124" s="478"/>
      <c r="BP124" s="478"/>
      <c r="BQ124" s="478"/>
      <c r="BR124" s="478"/>
      <c r="BS124" s="478"/>
      <c r="BT124" s="478"/>
      <c r="BU124" s="478"/>
      <c r="BV124" s="478"/>
      <c r="BW124" s="478"/>
      <c r="BX124" s="478"/>
      <c r="BY124" s="478"/>
      <c r="BZ124" s="478"/>
      <c r="CA124" s="478"/>
      <c r="CB124" s="478"/>
      <c r="CC124" s="478"/>
      <c r="CD124" s="478"/>
      <c r="CE124" s="478"/>
      <c r="CF124" s="478"/>
      <c r="CG124" s="478"/>
      <c r="CH124" s="478"/>
      <c r="CI124" s="478"/>
      <c r="CJ124" s="478"/>
      <c r="CK124" s="478"/>
      <c r="CL124" s="478"/>
      <c r="CM124" s="478"/>
      <c r="CN124" s="478"/>
      <c r="CO124" s="478"/>
      <c r="CP124" s="478"/>
      <c r="CQ124" s="478"/>
      <c r="CR124" s="478"/>
      <c r="CS124" s="478"/>
      <c r="CT124" s="478"/>
      <c r="CU124" s="478"/>
      <c r="CV124" s="478"/>
      <c r="CW124" s="478"/>
      <c r="CX124" s="478"/>
      <c r="CY124" s="478"/>
      <c r="CZ124" s="478"/>
    </row>
    <row r="125" spans="1:104" ht="14.25" customHeight="1" x14ac:dyDescent="0.2">
      <c r="A125" s="478"/>
      <c r="B125" s="504"/>
      <c r="C125" s="478"/>
      <c r="D125" s="478"/>
      <c r="E125" s="478"/>
      <c r="F125" s="478"/>
      <c r="G125" s="478"/>
      <c r="H125" s="478"/>
      <c r="I125" s="478"/>
      <c r="J125" s="478"/>
      <c r="K125" s="478"/>
      <c r="L125" s="478"/>
      <c r="M125" s="478"/>
      <c r="N125" s="478"/>
      <c r="O125" s="478"/>
      <c r="P125" s="478"/>
      <c r="Q125" s="478"/>
      <c r="R125" s="478"/>
      <c r="S125" s="478"/>
      <c r="T125" s="505"/>
      <c r="U125" s="478"/>
      <c r="V125" s="478"/>
      <c r="W125" s="506"/>
      <c r="X125" s="507"/>
      <c r="Y125" s="507"/>
      <c r="Z125" s="507"/>
      <c r="AA125" s="507"/>
      <c r="AB125" s="507"/>
      <c r="AC125" s="507"/>
      <c r="AD125" s="507"/>
      <c r="AE125" s="507"/>
      <c r="AF125" s="507"/>
      <c r="AG125" s="507"/>
      <c r="AH125" s="507"/>
      <c r="AI125" s="507"/>
      <c r="AJ125" s="507"/>
      <c r="AK125" s="507"/>
      <c r="AL125" s="478"/>
      <c r="AM125" s="478"/>
      <c r="AN125" s="478"/>
      <c r="AO125" s="478"/>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8"/>
      <c r="BM125" s="478"/>
      <c r="BN125" s="478"/>
      <c r="BO125" s="478"/>
      <c r="BP125" s="478"/>
      <c r="BQ125" s="478"/>
      <c r="BR125" s="478"/>
      <c r="BS125" s="478"/>
      <c r="BT125" s="478"/>
      <c r="BU125" s="478"/>
      <c r="BV125" s="478"/>
      <c r="BW125" s="478"/>
      <c r="BX125" s="478"/>
      <c r="BY125" s="478"/>
      <c r="BZ125" s="478"/>
      <c r="CA125" s="478"/>
      <c r="CB125" s="478"/>
      <c r="CC125" s="478"/>
      <c r="CD125" s="478"/>
      <c r="CE125" s="478"/>
      <c r="CF125" s="478"/>
      <c r="CG125" s="478"/>
      <c r="CH125" s="478"/>
      <c r="CI125" s="478"/>
      <c r="CJ125" s="478"/>
      <c r="CK125" s="478"/>
      <c r="CL125" s="478"/>
      <c r="CM125" s="478"/>
      <c r="CN125" s="478"/>
      <c r="CO125" s="478"/>
      <c r="CP125" s="478"/>
      <c r="CQ125" s="478"/>
      <c r="CR125" s="478"/>
      <c r="CS125" s="478"/>
      <c r="CT125" s="478"/>
      <c r="CU125" s="478"/>
      <c r="CV125" s="478"/>
      <c r="CW125" s="478"/>
      <c r="CX125" s="478"/>
      <c r="CY125" s="478"/>
      <c r="CZ125" s="478"/>
    </row>
    <row r="126" spans="1:104" ht="14.25" customHeight="1" x14ac:dyDescent="0.2">
      <c r="A126" s="478"/>
      <c r="B126" s="504"/>
      <c r="C126" s="478"/>
      <c r="D126" s="478"/>
      <c r="E126" s="478"/>
      <c r="F126" s="478"/>
      <c r="G126" s="478"/>
      <c r="H126" s="478"/>
      <c r="I126" s="478"/>
      <c r="J126" s="478"/>
      <c r="K126" s="478"/>
      <c r="L126" s="478"/>
      <c r="M126" s="478"/>
      <c r="N126" s="478"/>
      <c r="O126" s="478"/>
      <c r="P126" s="478"/>
      <c r="Q126" s="478"/>
      <c r="R126" s="478"/>
      <c r="S126" s="478"/>
      <c r="T126" s="505"/>
      <c r="U126" s="478"/>
      <c r="V126" s="478"/>
      <c r="W126" s="506"/>
      <c r="X126" s="507"/>
      <c r="Y126" s="507"/>
      <c r="Z126" s="507"/>
      <c r="AA126" s="507"/>
      <c r="AB126" s="507"/>
      <c r="AC126" s="507"/>
      <c r="AD126" s="507"/>
      <c r="AE126" s="507"/>
      <c r="AF126" s="507"/>
      <c r="AG126" s="507"/>
      <c r="AH126" s="507"/>
      <c r="AI126" s="507"/>
      <c r="AJ126" s="507"/>
      <c r="AK126" s="507"/>
      <c r="AL126" s="478"/>
      <c r="AM126" s="478"/>
      <c r="AN126" s="478"/>
      <c r="AO126" s="478"/>
      <c r="AP126" s="478"/>
      <c r="AQ126" s="478"/>
      <c r="AR126" s="478"/>
      <c r="AS126" s="478"/>
      <c r="AT126" s="478"/>
      <c r="AU126" s="478"/>
      <c r="AV126" s="478"/>
      <c r="AW126" s="478"/>
      <c r="AX126" s="478"/>
      <c r="AY126" s="478"/>
      <c r="AZ126" s="478"/>
      <c r="BA126" s="478"/>
      <c r="BB126" s="478"/>
      <c r="BC126" s="478"/>
      <c r="BD126" s="478"/>
      <c r="BE126" s="478"/>
      <c r="BF126" s="478"/>
      <c r="BG126" s="478"/>
      <c r="BH126" s="478"/>
      <c r="BI126" s="478"/>
      <c r="BJ126" s="478"/>
      <c r="BK126" s="478"/>
      <c r="BL126" s="478"/>
      <c r="BM126" s="478"/>
      <c r="BN126" s="478"/>
      <c r="BO126" s="478"/>
      <c r="BP126" s="478"/>
      <c r="BQ126" s="478"/>
      <c r="BR126" s="478"/>
      <c r="BS126" s="478"/>
      <c r="BT126" s="478"/>
      <c r="BU126" s="478"/>
      <c r="BV126" s="478"/>
      <c r="BW126" s="478"/>
      <c r="BX126" s="478"/>
      <c r="BY126" s="478"/>
      <c r="BZ126" s="478"/>
      <c r="CA126" s="478"/>
      <c r="CB126" s="478"/>
      <c r="CC126" s="478"/>
      <c r="CD126" s="478"/>
      <c r="CE126" s="478"/>
      <c r="CF126" s="478"/>
      <c r="CG126" s="478"/>
      <c r="CH126" s="478"/>
      <c r="CI126" s="478"/>
      <c r="CJ126" s="478"/>
      <c r="CK126" s="478"/>
      <c r="CL126" s="478"/>
      <c r="CM126" s="478"/>
      <c r="CN126" s="478"/>
      <c r="CO126" s="478"/>
      <c r="CP126" s="478"/>
      <c r="CQ126" s="478"/>
      <c r="CR126" s="478"/>
      <c r="CS126" s="478"/>
      <c r="CT126" s="478"/>
      <c r="CU126" s="478"/>
      <c r="CV126" s="478"/>
      <c r="CW126" s="478"/>
      <c r="CX126" s="478"/>
      <c r="CY126" s="478"/>
      <c r="CZ126" s="478"/>
    </row>
    <row r="127" spans="1:104" ht="14.25" customHeight="1" x14ac:dyDescent="0.2">
      <c r="A127" s="478"/>
      <c r="B127" s="504"/>
      <c r="C127" s="478"/>
      <c r="D127" s="478"/>
      <c r="E127" s="478"/>
      <c r="F127" s="478"/>
      <c r="G127" s="478"/>
      <c r="H127" s="478"/>
      <c r="I127" s="478"/>
      <c r="J127" s="478"/>
      <c r="K127" s="478"/>
      <c r="L127" s="478"/>
      <c r="M127" s="478"/>
      <c r="N127" s="478"/>
      <c r="O127" s="478"/>
      <c r="P127" s="478"/>
      <c r="Q127" s="478"/>
      <c r="R127" s="478"/>
      <c r="S127" s="478"/>
      <c r="T127" s="505"/>
      <c r="U127" s="478"/>
      <c r="V127" s="478"/>
      <c r="W127" s="506"/>
      <c r="X127" s="507"/>
      <c r="Y127" s="507"/>
      <c r="Z127" s="507"/>
      <c r="AA127" s="507"/>
      <c r="AB127" s="507"/>
      <c r="AC127" s="507"/>
      <c r="AD127" s="507"/>
      <c r="AE127" s="507"/>
      <c r="AF127" s="507"/>
      <c r="AG127" s="507"/>
      <c r="AH127" s="507"/>
      <c r="AI127" s="507"/>
      <c r="AJ127" s="507"/>
      <c r="AK127" s="507"/>
      <c r="AL127" s="478"/>
      <c r="AM127" s="478"/>
      <c r="AN127" s="478"/>
      <c r="AO127" s="478"/>
      <c r="AP127" s="478"/>
      <c r="AQ127" s="478"/>
      <c r="AR127" s="478"/>
      <c r="AS127" s="478"/>
      <c r="AT127" s="478"/>
      <c r="AU127" s="478"/>
      <c r="AV127" s="478"/>
      <c r="AW127" s="478"/>
      <c r="AX127" s="478"/>
      <c r="AY127" s="478"/>
      <c r="AZ127" s="478"/>
      <c r="BA127" s="478"/>
      <c r="BB127" s="478"/>
      <c r="BC127" s="478"/>
      <c r="BD127" s="478"/>
      <c r="BE127" s="478"/>
      <c r="BF127" s="478"/>
      <c r="BG127" s="478"/>
      <c r="BH127" s="478"/>
      <c r="BI127" s="478"/>
      <c r="BJ127" s="478"/>
      <c r="BK127" s="478"/>
      <c r="BL127" s="478"/>
      <c r="BM127" s="478"/>
      <c r="BN127" s="478"/>
      <c r="BO127" s="478"/>
      <c r="BP127" s="478"/>
      <c r="BQ127" s="478"/>
      <c r="BR127" s="478"/>
      <c r="BS127" s="478"/>
      <c r="BT127" s="478"/>
      <c r="BU127" s="478"/>
      <c r="BV127" s="478"/>
      <c r="BW127" s="478"/>
      <c r="BX127" s="478"/>
      <c r="BY127" s="478"/>
      <c r="BZ127" s="478"/>
      <c r="CA127" s="478"/>
      <c r="CB127" s="478"/>
      <c r="CC127" s="478"/>
      <c r="CD127" s="478"/>
      <c r="CE127" s="478"/>
      <c r="CF127" s="478"/>
      <c r="CG127" s="478"/>
      <c r="CH127" s="478"/>
      <c r="CI127" s="478"/>
      <c r="CJ127" s="478"/>
      <c r="CK127" s="478"/>
      <c r="CL127" s="478"/>
      <c r="CM127" s="478"/>
      <c r="CN127" s="478"/>
      <c r="CO127" s="478"/>
      <c r="CP127" s="478"/>
      <c r="CQ127" s="478"/>
      <c r="CR127" s="478"/>
      <c r="CS127" s="478"/>
      <c r="CT127" s="478"/>
      <c r="CU127" s="478"/>
      <c r="CV127" s="478"/>
      <c r="CW127" s="478"/>
      <c r="CX127" s="478"/>
      <c r="CY127" s="478"/>
      <c r="CZ127" s="478"/>
    </row>
    <row r="128" spans="1:104" ht="14.25" customHeight="1" x14ac:dyDescent="0.2">
      <c r="A128" s="478"/>
      <c r="B128" s="504"/>
      <c r="C128" s="478"/>
      <c r="D128" s="478"/>
      <c r="E128" s="478"/>
      <c r="F128" s="478"/>
      <c r="G128" s="478"/>
      <c r="H128" s="478"/>
      <c r="I128" s="478"/>
      <c r="J128" s="478"/>
      <c r="K128" s="478"/>
      <c r="L128" s="478"/>
      <c r="M128" s="478"/>
      <c r="N128" s="478"/>
      <c r="O128" s="478"/>
      <c r="P128" s="478"/>
      <c r="Q128" s="478"/>
      <c r="R128" s="478"/>
      <c r="S128" s="478"/>
      <c r="T128" s="505"/>
      <c r="U128" s="478"/>
      <c r="V128" s="478"/>
      <c r="W128" s="506"/>
      <c r="X128" s="507"/>
      <c r="Y128" s="507"/>
      <c r="Z128" s="507"/>
      <c r="AA128" s="507"/>
      <c r="AB128" s="507"/>
      <c r="AC128" s="507"/>
      <c r="AD128" s="507"/>
      <c r="AE128" s="507"/>
      <c r="AF128" s="507"/>
      <c r="AG128" s="507"/>
      <c r="AH128" s="507"/>
      <c r="AI128" s="507"/>
      <c r="AJ128" s="507"/>
      <c r="AK128" s="507"/>
      <c r="AL128" s="478"/>
      <c r="AM128" s="478"/>
      <c r="AN128" s="478"/>
      <c r="AO128" s="478"/>
      <c r="AP128" s="478"/>
      <c r="AQ128" s="478"/>
      <c r="AR128" s="478"/>
      <c r="AS128" s="478"/>
      <c r="AT128" s="478"/>
      <c r="AU128" s="478"/>
      <c r="AV128" s="478"/>
      <c r="AW128" s="478"/>
      <c r="AX128" s="478"/>
      <c r="AY128" s="478"/>
      <c r="AZ128" s="478"/>
      <c r="BA128" s="478"/>
      <c r="BB128" s="478"/>
      <c r="BC128" s="478"/>
      <c r="BD128" s="478"/>
      <c r="BE128" s="478"/>
      <c r="BF128" s="478"/>
      <c r="BG128" s="478"/>
      <c r="BH128" s="478"/>
      <c r="BI128" s="478"/>
      <c r="BJ128" s="478"/>
      <c r="BK128" s="478"/>
      <c r="BL128" s="478"/>
      <c r="BM128" s="478"/>
      <c r="BN128" s="478"/>
      <c r="BO128" s="478"/>
      <c r="BP128" s="478"/>
      <c r="BQ128" s="478"/>
      <c r="BR128" s="478"/>
      <c r="BS128" s="478"/>
      <c r="BT128" s="478"/>
      <c r="BU128" s="478"/>
      <c r="BV128" s="478"/>
      <c r="BW128" s="478"/>
      <c r="BX128" s="478"/>
      <c r="BY128" s="478"/>
      <c r="BZ128" s="478"/>
      <c r="CA128" s="478"/>
      <c r="CB128" s="478"/>
      <c r="CC128" s="478"/>
      <c r="CD128" s="478"/>
      <c r="CE128" s="478"/>
      <c r="CF128" s="478"/>
      <c r="CG128" s="478"/>
      <c r="CH128" s="478"/>
      <c r="CI128" s="478"/>
      <c r="CJ128" s="478"/>
      <c r="CK128" s="478"/>
      <c r="CL128" s="478"/>
      <c r="CM128" s="478"/>
      <c r="CN128" s="478"/>
      <c r="CO128" s="478"/>
      <c r="CP128" s="478"/>
      <c r="CQ128" s="478"/>
      <c r="CR128" s="478"/>
      <c r="CS128" s="478"/>
      <c r="CT128" s="478"/>
      <c r="CU128" s="478"/>
      <c r="CV128" s="478"/>
      <c r="CW128" s="478"/>
      <c r="CX128" s="478"/>
      <c r="CY128" s="478"/>
      <c r="CZ128" s="478"/>
    </row>
    <row r="129" spans="1:104" ht="14.25" customHeight="1" x14ac:dyDescent="0.2">
      <c r="A129" s="478"/>
      <c r="B129" s="504"/>
      <c r="C129" s="478"/>
      <c r="D129" s="478"/>
      <c r="E129" s="478"/>
      <c r="F129" s="478"/>
      <c r="G129" s="478"/>
      <c r="H129" s="478"/>
      <c r="I129" s="478"/>
      <c r="J129" s="478"/>
      <c r="K129" s="478"/>
      <c r="L129" s="478"/>
      <c r="M129" s="478"/>
      <c r="N129" s="478"/>
      <c r="O129" s="478"/>
      <c r="P129" s="478"/>
      <c r="Q129" s="478"/>
      <c r="R129" s="478"/>
      <c r="S129" s="478"/>
      <c r="T129" s="505"/>
      <c r="U129" s="478"/>
      <c r="V129" s="478"/>
      <c r="W129" s="506"/>
      <c r="X129" s="507"/>
      <c r="Y129" s="507"/>
      <c r="Z129" s="507"/>
      <c r="AA129" s="507"/>
      <c r="AB129" s="507"/>
      <c r="AC129" s="507"/>
      <c r="AD129" s="507"/>
      <c r="AE129" s="507"/>
      <c r="AF129" s="507"/>
      <c r="AG129" s="507"/>
      <c r="AH129" s="507"/>
      <c r="AI129" s="507"/>
      <c r="AJ129" s="507"/>
      <c r="AK129" s="507"/>
      <c r="AL129" s="478"/>
      <c r="AM129" s="478"/>
      <c r="AN129" s="478"/>
      <c r="AO129" s="478"/>
      <c r="AP129" s="478"/>
      <c r="AQ129" s="478"/>
      <c r="AR129" s="478"/>
      <c r="AS129" s="478"/>
      <c r="AT129" s="478"/>
      <c r="AU129" s="478"/>
      <c r="AV129" s="478"/>
      <c r="AW129" s="478"/>
      <c r="AX129" s="478"/>
      <c r="AY129" s="478"/>
      <c r="AZ129" s="478"/>
      <c r="BA129" s="478"/>
      <c r="BB129" s="478"/>
      <c r="BC129" s="478"/>
      <c r="BD129" s="478"/>
      <c r="BE129" s="478"/>
      <c r="BF129" s="478"/>
      <c r="BG129" s="478"/>
      <c r="BH129" s="478"/>
      <c r="BI129" s="478"/>
      <c r="BJ129" s="478"/>
      <c r="BK129" s="478"/>
      <c r="BL129" s="478"/>
      <c r="BM129" s="478"/>
      <c r="BN129" s="478"/>
      <c r="BO129" s="478"/>
      <c r="BP129" s="478"/>
      <c r="BQ129" s="478"/>
      <c r="BR129" s="478"/>
      <c r="BS129" s="478"/>
      <c r="BT129" s="478"/>
      <c r="BU129" s="478"/>
      <c r="BV129" s="478"/>
      <c r="BW129" s="478"/>
      <c r="BX129" s="478"/>
      <c r="BY129" s="478"/>
      <c r="BZ129" s="478"/>
      <c r="CA129" s="478"/>
      <c r="CB129" s="478"/>
      <c r="CC129" s="478"/>
      <c r="CD129" s="478"/>
      <c r="CE129" s="478"/>
      <c r="CF129" s="478"/>
      <c r="CG129" s="478"/>
      <c r="CH129" s="478"/>
      <c r="CI129" s="478"/>
      <c r="CJ129" s="478"/>
      <c r="CK129" s="478"/>
      <c r="CL129" s="478"/>
      <c r="CM129" s="478"/>
      <c r="CN129" s="478"/>
      <c r="CO129" s="478"/>
      <c r="CP129" s="478"/>
      <c r="CQ129" s="478"/>
      <c r="CR129" s="478"/>
      <c r="CS129" s="478"/>
      <c r="CT129" s="478"/>
      <c r="CU129" s="478"/>
      <c r="CV129" s="478"/>
      <c r="CW129" s="478"/>
      <c r="CX129" s="478"/>
      <c r="CY129" s="478"/>
      <c r="CZ129" s="478"/>
    </row>
    <row r="130" spans="1:104" ht="14.25" customHeight="1" x14ac:dyDescent="0.2">
      <c r="A130" s="478"/>
      <c r="B130" s="504"/>
      <c r="C130" s="478"/>
      <c r="D130" s="478"/>
      <c r="E130" s="478"/>
      <c r="F130" s="478"/>
      <c r="G130" s="478"/>
      <c r="H130" s="478"/>
      <c r="I130" s="478"/>
      <c r="J130" s="478"/>
      <c r="K130" s="478"/>
      <c r="L130" s="478"/>
      <c r="M130" s="478"/>
      <c r="N130" s="478"/>
      <c r="O130" s="478"/>
      <c r="P130" s="478"/>
      <c r="Q130" s="478"/>
      <c r="R130" s="478"/>
      <c r="S130" s="478"/>
      <c r="T130" s="505"/>
      <c r="U130" s="478"/>
      <c r="V130" s="478"/>
      <c r="W130" s="506"/>
      <c r="X130" s="507"/>
      <c r="Y130" s="507"/>
      <c r="Z130" s="507"/>
      <c r="AA130" s="507"/>
      <c r="AB130" s="507"/>
      <c r="AC130" s="507"/>
      <c r="AD130" s="507"/>
      <c r="AE130" s="507"/>
      <c r="AF130" s="507"/>
      <c r="AG130" s="507"/>
      <c r="AH130" s="507"/>
      <c r="AI130" s="507"/>
      <c r="AJ130" s="507"/>
      <c r="AK130" s="507"/>
      <c r="AL130" s="478"/>
      <c r="AM130" s="478"/>
      <c r="AN130" s="478"/>
      <c r="AO130" s="478"/>
      <c r="AP130" s="478"/>
      <c r="AQ130" s="478"/>
      <c r="AR130" s="478"/>
      <c r="AS130" s="478"/>
      <c r="AT130" s="478"/>
      <c r="AU130" s="478"/>
      <c r="AV130" s="478"/>
      <c r="AW130" s="478"/>
      <c r="AX130" s="478"/>
      <c r="AY130" s="478"/>
      <c r="AZ130" s="478"/>
      <c r="BA130" s="478"/>
      <c r="BB130" s="478"/>
      <c r="BC130" s="478"/>
      <c r="BD130" s="478"/>
      <c r="BE130" s="478"/>
      <c r="BF130" s="478"/>
      <c r="BG130" s="478"/>
      <c r="BH130" s="478"/>
      <c r="BI130" s="478"/>
      <c r="BJ130" s="478"/>
      <c r="BK130" s="478"/>
      <c r="BL130" s="478"/>
      <c r="BM130" s="478"/>
      <c r="BN130" s="478"/>
      <c r="BO130" s="478"/>
      <c r="BP130" s="478"/>
      <c r="BQ130" s="478"/>
      <c r="BR130" s="478"/>
      <c r="BS130" s="478"/>
      <c r="BT130" s="478"/>
      <c r="BU130" s="478"/>
      <c r="BV130" s="478"/>
      <c r="BW130" s="478"/>
      <c r="BX130" s="478"/>
      <c r="BY130" s="478"/>
      <c r="BZ130" s="478"/>
      <c r="CA130" s="478"/>
      <c r="CB130" s="478"/>
      <c r="CC130" s="478"/>
      <c r="CD130" s="478"/>
      <c r="CE130" s="478"/>
      <c r="CF130" s="478"/>
      <c r="CG130" s="478"/>
      <c r="CH130" s="478"/>
      <c r="CI130" s="478"/>
      <c r="CJ130" s="478"/>
      <c r="CK130" s="478"/>
      <c r="CL130" s="478"/>
      <c r="CM130" s="478"/>
      <c r="CN130" s="478"/>
      <c r="CO130" s="478"/>
      <c r="CP130" s="478"/>
      <c r="CQ130" s="478"/>
      <c r="CR130" s="478"/>
      <c r="CS130" s="478"/>
      <c r="CT130" s="478"/>
      <c r="CU130" s="478"/>
      <c r="CV130" s="478"/>
      <c r="CW130" s="478"/>
      <c r="CX130" s="478"/>
      <c r="CY130" s="478"/>
      <c r="CZ130" s="478"/>
    </row>
    <row r="131" spans="1:104" ht="14.25" customHeight="1" x14ac:dyDescent="0.2">
      <c r="A131" s="478"/>
      <c r="B131" s="504"/>
      <c r="C131" s="478"/>
      <c r="D131" s="478"/>
      <c r="E131" s="478"/>
      <c r="F131" s="478"/>
      <c r="G131" s="478"/>
      <c r="H131" s="478"/>
      <c r="I131" s="478"/>
      <c r="J131" s="478"/>
      <c r="K131" s="478"/>
      <c r="L131" s="478"/>
      <c r="M131" s="478"/>
      <c r="N131" s="478"/>
      <c r="O131" s="478"/>
      <c r="P131" s="478"/>
      <c r="Q131" s="478"/>
      <c r="R131" s="478"/>
      <c r="S131" s="478"/>
      <c r="T131" s="505"/>
      <c r="U131" s="478"/>
      <c r="V131" s="478"/>
      <c r="W131" s="506"/>
      <c r="X131" s="507"/>
      <c r="Y131" s="507"/>
      <c r="Z131" s="507"/>
      <c r="AA131" s="507"/>
      <c r="AB131" s="507"/>
      <c r="AC131" s="507"/>
      <c r="AD131" s="507"/>
      <c r="AE131" s="507"/>
      <c r="AF131" s="507"/>
      <c r="AG131" s="507"/>
      <c r="AH131" s="507"/>
      <c r="AI131" s="507"/>
      <c r="AJ131" s="507"/>
      <c r="AK131" s="507"/>
      <c r="AL131" s="478"/>
      <c r="AM131" s="478"/>
      <c r="AN131" s="478"/>
      <c r="AO131" s="478"/>
      <c r="AP131" s="478"/>
      <c r="AQ131" s="478"/>
      <c r="AR131" s="478"/>
      <c r="AS131" s="478"/>
      <c r="AT131" s="478"/>
      <c r="AU131" s="478"/>
      <c r="AV131" s="478"/>
      <c r="AW131" s="478"/>
      <c r="AX131" s="478"/>
      <c r="AY131" s="478"/>
      <c r="AZ131" s="478"/>
      <c r="BA131" s="478"/>
      <c r="BB131" s="478"/>
      <c r="BC131" s="478"/>
      <c r="BD131" s="478"/>
      <c r="BE131" s="478"/>
      <c r="BF131" s="478"/>
      <c r="BG131" s="478"/>
      <c r="BH131" s="478"/>
      <c r="BI131" s="478"/>
      <c r="BJ131" s="478"/>
      <c r="BK131" s="478"/>
      <c r="BL131" s="478"/>
      <c r="BM131" s="478"/>
      <c r="BN131" s="478"/>
      <c r="BO131" s="478"/>
      <c r="BP131" s="478"/>
      <c r="BQ131" s="478"/>
      <c r="BR131" s="478"/>
      <c r="BS131" s="478"/>
      <c r="BT131" s="478"/>
      <c r="BU131" s="478"/>
      <c r="BV131" s="478"/>
      <c r="BW131" s="478"/>
      <c r="BX131" s="478"/>
      <c r="BY131" s="478"/>
      <c r="BZ131" s="478"/>
      <c r="CA131" s="478"/>
      <c r="CB131" s="478"/>
      <c r="CC131" s="478"/>
      <c r="CD131" s="478"/>
      <c r="CE131" s="478"/>
      <c r="CF131" s="478"/>
      <c r="CG131" s="478"/>
      <c r="CH131" s="478"/>
      <c r="CI131" s="478"/>
      <c r="CJ131" s="478"/>
      <c r="CK131" s="478"/>
      <c r="CL131" s="478"/>
      <c r="CM131" s="478"/>
      <c r="CN131" s="478"/>
      <c r="CO131" s="478"/>
      <c r="CP131" s="478"/>
      <c r="CQ131" s="478"/>
      <c r="CR131" s="478"/>
      <c r="CS131" s="478"/>
      <c r="CT131" s="478"/>
      <c r="CU131" s="478"/>
      <c r="CV131" s="478"/>
      <c r="CW131" s="478"/>
      <c r="CX131" s="478"/>
      <c r="CY131" s="478"/>
      <c r="CZ131" s="478"/>
    </row>
    <row r="132" spans="1:104" ht="14.25" customHeight="1" x14ac:dyDescent="0.2">
      <c r="A132" s="478"/>
      <c r="B132" s="504"/>
      <c r="C132" s="478"/>
      <c r="D132" s="478"/>
      <c r="E132" s="478"/>
      <c r="F132" s="478"/>
      <c r="G132" s="478"/>
      <c r="H132" s="478"/>
      <c r="I132" s="478"/>
      <c r="J132" s="478"/>
      <c r="K132" s="478"/>
      <c r="L132" s="478"/>
      <c r="M132" s="478"/>
      <c r="N132" s="478"/>
      <c r="O132" s="478"/>
      <c r="P132" s="478"/>
      <c r="Q132" s="478"/>
      <c r="R132" s="478"/>
      <c r="S132" s="478"/>
      <c r="T132" s="505"/>
      <c r="U132" s="478"/>
      <c r="V132" s="478"/>
      <c r="W132" s="506"/>
      <c r="X132" s="507"/>
      <c r="Y132" s="507"/>
      <c r="Z132" s="507"/>
      <c r="AA132" s="507"/>
      <c r="AB132" s="507"/>
      <c r="AC132" s="507"/>
      <c r="AD132" s="507"/>
      <c r="AE132" s="507"/>
      <c r="AF132" s="507"/>
      <c r="AG132" s="507"/>
      <c r="AH132" s="507"/>
      <c r="AI132" s="507"/>
      <c r="AJ132" s="507"/>
      <c r="AK132" s="507"/>
      <c r="AL132" s="478"/>
      <c r="AM132" s="478"/>
      <c r="AN132" s="478"/>
      <c r="AO132" s="478"/>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8"/>
      <c r="BM132" s="478"/>
      <c r="BN132" s="478"/>
      <c r="BO132" s="478"/>
      <c r="BP132" s="478"/>
      <c r="BQ132" s="478"/>
      <c r="BR132" s="478"/>
      <c r="BS132" s="478"/>
      <c r="BT132" s="478"/>
      <c r="BU132" s="478"/>
      <c r="BV132" s="478"/>
      <c r="BW132" s="478"/>
      <c r="BX132" s="478"/>
      <c r="BY132" s="478"/>
      <c r="BZ132" s="478"/>
      <c r="CA132" s="478"/>
      <c r="CB132" s="478"/>
      <c r="CC132" s="478"/>
      <c r="CD132" s="478"/>
      <c r="CE132" s="478"/>
      <c r="CF132" s="478"/>
      <c r="CG132" s="478"/>
      <c r="CH132" s="478"/>
      <c r="CI132" s="478"/>
      <c r="CJ132" s="478"/>
      <c r="CK132" s="478"/>
      <c r="CL132" s="478"/>
      <c r="CM132" s="478"/>
      <c r="CN132" s="478"/>
      <c r="CO132" s="478"/>
      <c r="CP132" s="478"/>
      <c r="CQ132" s="478"/>
      <c r="CR132" s="478"/>
      <c r="CS132" s="478"/>
      <c r="CT132" s="478"/>
      <c r="CU132" s="478"/>
      <c r="CV132" s="478"/>
      <c r="CW132" s="478"/>
      <c r="CX132" s="478"/>
      <c r="CY132" s="478"/>
      <c r="CZ132" s="478"/>
    </row>
    <row r="133" spans="1:104" ht="14.25" customHeight="1" x14ac:dyDescent="0.2">
      <c r="A133" s="478"/>
      <c r="B133" s="504"/>
      <c r="C133" s="478"/>
      <c r="D133" s="478"/>
      <c r="E133" s="478"/>
      <c r="F133" s="478"/>
      <c r="G133" s="478"/>
      <c r="H133" s="478"/>
      <c r="I133" s="478"/>
      <c r="J133" s="478"/>
      <c r="K133" s="478"/>
      <c r="L133" s="478"/>
      <c r="M133" s="478"/>
      <c r="N133" s="478"/>
      <c r="O133" s="478"/>
      <c r="P133" s="478"/>
      <c r="Q133" s="478"/>
      <c r="R133" s="478"/>
      <c r="S133" s="478"/>
      <c r="T133" s="505"/>
      <c r="U133" s="478"/>
      <c r="V133" s="478"/>
      <c r="W133" s="506"/>
      <c r="X133" s="507"/>
      <c r="Y133" s="507"/>
      <c r="Z133" s="507"/>
      <c r="AA133" s="507"/>
      <c r="AB133" s="507"/>
      <c r="AC133" s="507"/>
      <c r="AD133" s="507"/>
      <c r="AE133" s="507"/>
      <c r="AF133" s="507"/>
      <c r="AG133" s="507"/>
      <c r="AH133" s="507"/>
      <c r="AI133" s="507"/>
      <c r="AJ133" s="507"/>
      <c r="AK133" s="507"/>
      <c r="AL133" s="478"/>
      <c r="AM133" s="478"/>
      <c r="AN133" s="478"/>
      <c r="AO133" s="478"/>
      <c r="AP133" s="478"/>
      <c r="AQ133" s="478"/>
      <c r="AR133" s="478"/>
      <c r="AS133" s="478"/>
      <c r="AT133" s="478"/>
      <c r="AU133" s="478"/>
      <c r="AV133" s="478"/>
      <c r="AW133" s="478"/>
      <c r="AX133" s="478"/>
      <c r="AY133" s="478"/>
      <c r="AZ133" s="478"/>
      <c r="BA133" s="478"/>
      <c r="BB133" s="478"/>
      <c r="BC133" s="478"/>
      <c r="BD133" s="478"/>
      <c r="BE133" s="478"/>
      <c r="BF133" s="478"/>
      <c r="BG133" s="478"/>
      <c r="BH133" s="478"/>
      <c r="BI133" s="478"/>
      <c r="BJ133" s="478"/>
      <c r="BK133" s="478"/>
      <c r="BL133" s="478"/>
      <c r="BM133" s="478"/>
      <c r="BN133" s="478"/>
      <c r="BO133" s="478"/>
      <c r="BP133" s="478"/>
      <c r="BQ133" s="478"/>
      <c r="BR133" s="478"/>
      <c r="BS133" s="478"/>
      <c r="BT133" s="478"/>
      <c r="BU133" s="478"/>
      <c r="BV133" s="478"/>
      <c r="BW133" s="478"/>
      <c r="BX133" s="478"/>
      <c r="BY133" s="478"/>
      <c r="BZ133" s="478"/>
      <c r="CA133" s="478"/>
      <c r="CB133" s="478"/>
      <c r="CC133" s="478"/>
      <c r="CD133" s="478"/>
      <c r="CE133" s="478"/>
      <c r="CF133" s="478"/>
      <c r="CG133" s="478"/>
      <c r="CH133" s="478"/>
      <c r="CI133" s="478"/>
      <c r="CJ133" s="478"/>
      <c r="CK133" s="478"/>
      <c r="CL133" s="478"/>
      <c r="CM133" s="478"/>
      <c r="CN133" s="478"/>
      <c r="CO133" s="478"/>
      <c r="CP133" s="478"/>
      <c r="CQ133" s="478"/>
      <c r="CR133" s="478"/>
      <c r="CS133" s="478"/>
      <c r="CT133" s="478"/>
      <c r="CU133" s="478"/>
      <c r="CV133" s="478"/>
      <c r="CW133" s="478"/>
      <c r="CX133" s="478"/>
      <c r="CY133" s="478"/>
      <c r="CZ133" s="478"/>
    </row>
    <row r="134" spans="1:104" ht="14.25" customHeight="1" x14ac:dyDescent="0.2">
      <c r="A134" s="478"/>
      <c r="B134" s="504"/>
      <c r="C134" s="478"/>
      <c r="D134" s="478"/>
      <c r="E134" s="478"/>
      <c r="F134" s="478"/>
      <c r="G134" s="478"/>
      <c r="H134" s="478"/>
      <c r="I134" s="478"/>
      <c r="J134" s="478"/>
      <c r="K134" s="478"/>
      <c r="L134" s="478"/>
      <c r="M134" s="478"/>
      <c r="N134" s="478"/>
      <c r="O134" s="478"/>
      <c r="P134" s="478"/>
      <c r="Q134" s="478"/>
      <c r="R134" s="478"/>
      <c r="S134" s="478"/>
      <c r="T134" s="505"/>
      <c r="U134" s="478"/>
      <c r="V134" s="478"/>
      <c r="W134" s="506"/>
      <c r="X134" s="507"/>
      <c r="Y134" s="507"/>
      <c r="Z134" s="507"/>
      <c r="AA134" s="507"/>
      <c r="AB134" s="507"/>
      <c r="AC134" s="507"/>
      <c r="AD134" s="507"/>
      <c r="AE134" s="507"/>
      <c r="AF134" s="507"/>
      <c r="AG134" s="507"/>
      <c r="AH134" s="507"/>
      <c r="AI134" s="507"/>
      <c r="AJ134" s="507"/>
      <c r="AK134" s="507"/>
      <c r="AL134" s="478"/>
      <c r="AM134" s="478"/>
      <c r="AN134" s="478"/>
      <c r="AO134" s="478"/>
      <c r="AP134" s="478"/>
      <c r="AQ134" s="478"/>
      <c r="AR134" s="478"/>
      <c r="AS134" s="478"/>
      <c r="AT134" s="478"/>
      <c r="AU134" s="478"/>
      <c r="AV134" s="478"/>
      <c r="AW134" s="478"/>
      <c r="AX134" s="478"/>
      <c r="AY134" s="478"/>
      <c r="AZ134" s="478"/>
      <c r="BA134" s="478"/>
      <c r="BB134" s="478"/>
      <c r="BC134" s="478"/>
      <c r="BD134" s="478"/>
      <c r="BE134" s="478"/>
      <c r="BF134" s="478"/>
      <c r="BG134" s="478"/>
      <c r="BH134" s="478"/>
      <c r="BI134" s="478"/>
      <c r="BJ134" s="478"/>
      <c r="BK134" s="478"/>
      <c r="BL134" s="478"/>
      <c r="BM134" s="478"/>
      <c r="BN134" s="478"/>
      <c r="BO134" s="478"/>
      <c r="BP134" s="478"/>
      <c r="BQ134" s="478"/>
      <c r="BR134" s="478"/>
      <c r="BS134" s="478"/>
      <c r="BT134" s="478"/>
      <c r="BU134" s="478"/>
      <c r="BV134" s="478"/>
      <c r="BW134" s="478"/>
      <c r="BX134" s="478"/>
      <c r="BY134" s="478"/>
      <c r="BZ134" s="478"/>
      <c r="CA134" s="478"/>
      <c r="CB134" s="478"/>
      <c r="CC134" s="478"/>
      <c r="CD134" s="478"/>
      <c r="CE134" s="478"/>
      <c r="CF134" s="478"/>
      <c r="CG134" s="478"/>
      <c r="CH134" s="478"/>
      <c r="CI134" s="478"/>
      <c r="CJ134" s="478"/>
      <c r="CK134" s="478"/>
      <c r="CL134" s="478"/>
      <c r="CM134" s="478"/>
      <c r="CN134" s="478"/>
      <c r="CO134" s="478"/>
      <c r="CP134" s="478"/>
      <c r="CQ134" s="478"/>
      <c r="CR134" s="478"/>
      <c r="CS134" s="478"/>
      <c r="CT134" s="478"/>
      <c r="CU134" s="478"/>
      <c r="CV134" s="478"/>
      <c r="CW134" s="478"/>
      <c r="CX134" s="478"/>
      <c r="CY134" s="478"/>
      <c r="CZ134" s="478"/>
    </row>
    <row r="135" spans="1:104" ht="14.25" customHeight="1" x14ac:dyDescent="0.2">
      <c r="A135" s="478"/>
      <c r="B135" s="504"/>
      <c r="C135" s="478"/>
      <c r="D135" s="478"/>
      <c r="E135" s="478"/>
      <c r="F135" s="478"/>
      <c r="G135" s="478"/>
      <c r="H135" s="478"/>
      <c r="I135" s="478"/>
      <c r="J135" s="478"/>
      <c r="K135" s="478"/>
      <c r="L135" s="478"/>
      <c r="M135" s="478"/>
      <c r="N135" s="478"/>
      <c r="O135" s="478"/>
      <c r="P135" s="478"/>
      <c r="Q135" s="478"/>
      <c r="R135" s="478"/>
      <c r="S135" s="478"/>
      <c r="T135" s="505"/>
      <c r="U135" s="478"/>
      <c r="V135" s="478"/>
      <c r="W135" s="506"/>
      <c r="X135" s="507"/>
      <c r="Y135" s="507"/>
      <c r="Z135" s="507"/>
      <c r="AA135" s="507"/>
      <c r="AB135" s="507"/>
      <c r="AC135" s="507"/>
      <c r="AD135" s="507"/>
      <c r="AE135" s="507"/>
      <c r="AF135" s="507"/>
      <c r="AG135" s="507"/>
      <c r="AH135" s="507"/>
      <c r="AI135" s="507"/>
      <c r="AJ135" s="507"/>
      <c r="AK135" s="507"/>
      <c r="AL135" s="478"/>
      <c r="AM135" s="478"/>
      <c r="AN135" s="478"/>
      <c r="AO135" s="478"/>
      <c r="AP135" s="478"/>
      <c r="AQ135" s="478"/>
      <c r="AR135" s="478"/>
      <c r="AS135" s="478"/>
      <c r="AT135" s="478"/>
      <c r="AU135" s="478"/>
      <c r="AV135" s="478"/>
      <c r="AW135" s="478"/>
      <c r="AX135" s="478"/>
      <c r="AY135" s="478"/>
      <c r="AZ135" s="478"/>
      <c r="BA135" s="478"/>
      <c r="BB135" s="478"/>
      <c r="BC135" s="478"/>
      <c r="BD135" s="478"/>
      <c r="BE135" s="478"/>
      <c r="BF135" s="478"/>
      <c r="BG135" s="478"/>
      <c r="BH135" s="478"/>
      <c r="BI135" s="478"/>
      <c r="BJ135" s="478"/>
      <c r="BK135" s="478"/>
      <c r="BL135" s="478"/>
      <c r="BM135" s="478"/>
      <c r="BN135" s="478"/>
      <c r="BO135" s="478"/>
      <c r="BP135" s="478"/>
      <c r="BQ135" s="478"/>
      <c r="BR135" s="478"/>
      <c r="BS135" s="478"/>
      <c r="BT135" s="478"/>
      <c r="BU135" s="478"/>
      <c r="BV135" s="478"/>
      <c r="BW135" s="478"/>
      <c r="BX135" s="478"/>
      <c r="BY135" s="478"/>
      <c r="BZ135" s="478"/>
      <c r="CA135" s="478"/>
      <c r="CB135" s="478"/>
      <c r="CC135" s="478"/>
      <c r="CD135" s="478"/>
      <c r="CE135" s="478"/>
      <c r="CF135" s="478"/>
      <c r="CG135" s="478"/>
      <c r="CH135" s="478"/>
      <c r="CI135" s="478"/>
      <c r="CJ135" s="478"/>
      <c r="CK135" s="478"/>
      <c r="CL135" s="478"/>
      <c r="CM135" s="478"/>
      <c r="CN135" s="478"/>
      <c r="CO135" s="478"/>
      <c r="CP135" s="478"/>
      <c r="CQ135" s="478"/>
      <c r="CR135" s="478"/>
      <c r="CS135" s="478"/>
      <c r="CT135" s="478"/>
      <c r="CU135" s="478"/>
      <c r="CV135" s="478"/>
      <c r="CW135" s="478"/>
      <c r="CX135" s="478"/>
      <c r="CY135" s="478"/>
      <c r="CZ135" s="478"/>
    </row>
    <row r="136" spans="1:104" ht="14.25" customHeight="1" x14ac:dyDescent="0.2">
      <c r="A136" s="478"/>
      <c r="B136" s="504"/>
      <c r="C136" s="478"/>
      <c r="D136" s="478"/>
      <c r="E136" s="478"/>
      <c r="F136" s="478"/>
      <c r="G136" s="478"/>
      <c r="H136" s="478"/>
      <c r="I136" s="478"/>
      <c r="J136" s="478"/>
      <c r="K136" s="478"/>
      <c r="L136" s="478"/>
      <c r="M136" s="478"/>
      <c r="N136" s="478"/>
      <c r="O136" s="478"/>
      <c r="P136" s="478"/>
      <c r="Q136" s="478"/>
      <c r="R136" s="478"/>
      <c r="S136" s="478"/>
      <c r="T136" s="505"/>
      <c r="U136" s="478"/>
      <c r="V136" s="478"/>
      <c r="W136" s="506"/>
      <c r="X136" s="507"/>
      <c r="Y136" s="507"/>
      <c r="Z136" s="507"/>
      <c r="AA136" s="507"/>
      <c r="AB136" s="507"/>
      <c r="AC136" s="507"/>
      <c r="AD136" s="507"/>
      <c r="AE136" s="507"/>
      <c r="AF136" s="507"/>
      <c r="AG136" s="507"/>
      <c r="AH136" s="507"/>
      <c r="AI136" s="507"/>
      <c r="AJ136" s="507"/>
      <c r="AK136" s="507"/>
      <c r="AL136" s="478"/>
      <c r="AM136" s="478"/>
      <c r="AN136" s="478"/>
      <c r="AO136" s="478"/>
      <c r="AP136" s="478"/>
      <c r="AQ136" s="478"/>
      <c r="AR136" s="478"/>
      <c r="AS136" s="478"/>
      <c r="AT136" s="478"/>
      <c r="AU136" s="478"/>
      <c r="AV136" s="478"/>
      <c r="AW136" s="478"/>
      <c r="AX136" s="478"/>
      <c r="AY136" s="478"/>
      <c r="AZ136" s="478"/>
      <c r="BA136" s="478"/>
      <c r="BB136" s="478"/>
      <c r="BC136" s="478"/>
      <c r="BD136" s="478"/>
      <c r="BE136" s="478"/>
      <c r="BF136" s="478"/>
      <c r="BG136" s="478"/>
      <c r="BH136" s="478"/>
      <c r="BI136" s="478"/>
      <c r="BJ136" s="478"/>
      <c r="BK136" s="478"/>
      <c r="BL136" s="478"/>
      <c r="BM136" s="478"/>
      <c r="BN136" s="478"/>
      <c r="BO136" s="478"/>
      <c r="BP136" s="478"/>
      <c r="BQ136" s="478"/>
      <c r="BR136" s="478"/>
      <c r="BS136" s="478"/>
      <c r="BT136" s="478"/>
      <c r="BU136" s="478"/>
      <c r="BV136" s="478"/>
      <c r="BW136" s="478"/>
      <c r="BX136" s="478"/>
      <c r="BY136" s="478"/>
      <c r="BZ136" s="478"/>
      <c r="CA136" s="478"/>
      <c r="CB136" s="478"/>
      <c r="CC136" s="478"/>
      <c r="CD136" s="478"/>
      <c r="CE136" s="478"/>
      <c r="CF136" s="478"/>
      <c r="CG136" s="478"/>
      <c r="CH136" s="478"/>
      <c r="CI136" s="478"/>
      <c r="CJ136" s="478"/>
      <c r="CK136" s="478"/>
      <c r="CL136" s="478"/>
      <c r="CM136" s="478"/>
      <c r="CN136" s="478"/>
      <c r="CO136" s="478"/>
      <c r="CP136" s="478"/>
      <c r="CQ136" s="478"/>
      <c r="CR136" s="478"/>
      <c r="CS136" s="478"/>
      <c r="CT136" s="478"/>
      <c r="CU136" s="478"/>
      <c r="CV136" s="478"/>
      <c r="CW136" s="478"/>
      <c r="CX136" s="478"/>
      <c r="CY136" s="478"/>
      <c r="CZ136" s="478"/>
    </row>
    <row r="137" spans="1:104" ht="14.25" customHeight="1" x14ac:dyDescent="0.2">
      <c r="A137" s="478"/>
      <c r="B137" s="504"/>
      <c r="C137" s="478"/>
      <c r="D137" s="478"/>
      <c r="E137" s="478"/>
      <c r="F137" s="478"/>
      <c r="G137" s="478"/>
      <c r="H137" s="478"/>
      <c r="I137" s="478"/>
      <c r="J137" s="478"/>
      <c r="K137" s="478"/>
      <c r="L137" s="478"/>
      <c r="M137" s="478"/>
      <c r="N137" s="478"/>
      <c r="O137" s="478"/>
      <c r="P137" s="478"/>
      <c r="Q137" s="478"/>
      <c r="R137" s="478"/>
      <c r="S137" s="478"/>
      <c r="T137" s="505"/>
      <c r="U137" s="478"/>
      <c r="V137" s="478"/>
      <c r="W137" s="506"/>
      <c r="X137" s="507"/>
      <c r="Y137" s="507"/>
      <c r="Z137" s="507"/>
      <c r="AA137" s="507"/>
      <c r="AB137" s="507"/>
      <c r="AC137" s="507"/>
      <c r="AD137" s="507"/>
      <c r="AE137" s="507"/>
      <c r="AF137" s="507"/>
      <c r="AG137" s="507"/>
      <c r="AH137" s="507"/>
      <c r="AI137" s="507"/>
      <c r="AJ137" s="507"/>
      <c r="AK137" s="507"/>
      <c r="AL137" s="478"/>
      <c r="AM137" s="478"/>
      <c r="AN137" s="478"/>
      <c r="AO137" s="478"/>
      <c r="AP137" s="478"/>
      <c r="AQ137" s="478"/>
      <c r="AR137" s="478"/>
      <c r="AS137" s="478"/>
      <c r="AT137" s="478"/>
      <c r="AU137" s="478"/>
      <c r="AV137" s="478"/>
      <c r="AW137" s="478"/>
      <c r="AX137" s="478"/>
      <c r="AY137" s="478"/>
      <c r="AZ137" s="478"/>
      <c r="BA137" s="478"/>
      <c r="BB137" s="478"/>
      <c r="BC137" s="478"/>
      <c r="BD137" s="478"/>
      <c r="BE137" s="478"/>
      <c r="BF137" s="478"/>
      <c r="BG137" s="478"/>
      <c r="BH137" s="478"/>
      <c r="BI137" s="478"/>
      <c r="BJ137" s="478"/>
      <c r="BK137" s="478"/>
      <c r="BL137" s="478"/>
      <c r="BM137" s="478"/>
      <c r="BN137" s="478"/>
      <c r="BO137" s="478"/>
      <c r="BP137" s="478"/>
      <c r="BQ137" s="478"/>
      <c r="BR137" s="478"/>
      <c r="BS137" s="478"/>
      <c r="BT137" s="478"/>
      <c r="BU137" s="478"/>
      <c r="BV137" s="478"/>
      <c r="BW137" s="478"/>
      <c r="BX137" s="478"/>
      <c r="BY137" s="478"/>
      <c r="BZ137" s="478"/>
      <c r="CA137" s="478"/>
      <c r="CB137" s="478"/>
      <c r="CC137" s="478"/>
      <c r="CD137" s="478"/>
      <c r="CE137" s="478"/>
      <c r="CF137" s="478"/>
      <c r="CG137" s="478"/>
      <c r="CH137" s="478"/>
      <c r="CI137" s="478"/>
      <c r="CJ137" s="478"/>
      <c r="CK137" s="478"/>
      <c r="CL137" s="478"/>
      <c r="CM137" s="478"/>
      <c r="CN137" s="478"/>
      <c r="CO137" s="478"/>
      <c r="CP137" s="478"/>
      <c r="CQ137" s="478"/>
      <c r="CR137" s="478"/>
      <c r="CS137" s="478"/>
      <c r="CT137" s="478"/>
      <c r="CU137" s="478"/>
      <c r="CV137" s="478"/>
      <c r="CW137" s="478"/>
      <c r="CX137" s="478"/>
      <c r="CY137" s="478"/>
      <c r="CZ137" s="478"/>
    </row>
    <row r="138" spans="1:104" ht="14.25" customHeight="1" x14ac:dyDescent="0.2">
      <c r="A138" s="478"/>
      <c r="B138" s="504"/>
      <c r="C138" s="478"/>
      <c r="D138" s="478"/>
      <c r="E138" s="478"/>
      <c r="F138" s="478"/>
      <c r="G138" s="478"/>
      <c r="H138" s="478"/>
      <c r="I138" s="478"/>
      <c r="J138" s="478"/>
      <c r="K138" s="478"/>
      <c r="L138" s="478"/>
      <c r="M138" s="478"/>
      <c r="N138" s="478"/>
      <c r="O138" s="478"/>
      <c r="P138" s="478"/>
      <c r="Q138" s="478"/>
      <c r="R138" s="478"/>
      <c r="S138" s="478"/>
      <c r="T138" s="505"/>
      <c r="U138" s="478"/>
      <c r="V138" s="478"/>
      <c r="W138" s="506"/>
      <c r="X138" s="507"/>
      <c r="Y138" s="507"/>
      <c r="Z138" s="507"/>
      <c r="AA138" s="507"/>
      <c r="AB138" s="507"/>
      <c r="AC138" s="507"/>
      <c r="AD138" s="507"/>
      <c r="AE138" s="507"/>
      <c r="AF138" s="507"/>
      <c r="AG138" s="507"/>
      <c r="AH138" s="507"/>
      <c r="AI138" s="507"/>
      <c r="AJ138" s="507"/>
      <c r="AK138" s="507"/>
      <c r="AL138" s="478"/>
      <c r="AM138" s="478"/>
      <c r="AN138" s="478"/>
      <c r="AO138" s="478"/>
      <c r="AP138" s="478"/>
      <c r="AQ138" s="478"/>
      <c r="AR138" s="478"/>
      <c r="AS138" s="478"/>
      <c r="AT138" s="478"/>
      <c r="AU138" s="478"/>
      <c r="AV138" s="478"/>
      <c r="AW138" s="478"/>
      <c r="AX138" s="478"/>
      <c r="AY138" s="478"/>
      <c r="AZ138" s="478"/>
      <c r="BA138" s="478"/>
      <c r="BB138" s="478"/>
      <c r="BC138" s="478"/>
      <c r="BD138" s="478"/>
      <c r="BE138" s="478"/>
      <c r="BF138" s="478"/>
      <c r="BG138" s="478"/>
      <c r="BH138" s="478"/>
      <c r="BI138" s="478"/>
      <c r="BJ138" s="478"/>
      <c r="BK138" s="478"/>
      <c r="BL138" s="478"/>
      <c r="BM138" s="478"/>
      <c r="BN138" s="478"/>
      <c r="BO138" s="478"/>
      <c r="BP138" s="478"/>
      <c r="BQ138" s="478"/>
      <c r="BR138" s="478"/>
      <c r="BS138" s="478"/>
      <c r="BT138" s="478"/>
      <c r="BU138" s="478"/>
      <c r="BV138" s="478"/>
      <c r="BW138" s="478"/>
      <c r="BX138" s="478"/>
      <c r="BY138" s="478"/>
      <c r="BZ138" s="478"/>
      <c r="CA138" s="478"/>
      <c r="CB138" s="478"/>
      <c r="CC138" s="478"/>
      <c r="CD138" s="478"/>
      <c r="CE138" s="478"/>
      <c r="CF138" s="478"/>
      <c r="CG138" s="478"/>
      <c r="CH138" s="478"/>
      <c r="CI138" s="478"/>
      <c r="CJ138" s="478"/>
      <c r="CK138" s="478"/>
      <c r="CL138" s="478"/>
      <c r="CM138" s="478"/>
      <c r="CN138" s="478"/>
      <c r="CO138" s="478"/>
      <c r="CP138" s="478"/>
      <c r="CQ138" s="478"/>
      <c r="CR138" s="478"/>
      <c r="CS138" s="478"/>
      <c r="CT138" s="478"/>
      <c r="CU138" s="478"/>
      <c r="CV138" s="478"/>
      <c r="CW138" s="478"/>
      <c r="CX138" s="478"/>
      <c r="CY138" s="478"/>
      <c r="CZ138" s="478"/>
    </row>
    <row r="139" spans="1:104" ht="14.25" customHeight="1" x14ac:dyDescent="0.2">
      <c r="A139" s="478"/>
      <c r="B139" s="504"/>
      <c r="C139" s="478"/>
      <c r="D139" s="478"/>
      <c r="E139" s="478"/>
      <c r="F139" s="478"/>
      <c r="G139" s="478"/>
      <c r="H139" s="478"/>
      <c r="I139" s="478"/>
      <c r="J139" s="478"/>
      <c r="K139" s="478"/>
      <c r="L139" s="478"/>
      <c r="M139" s="478"/>
      <c r="N139" s="478"/>
      <c r="O139" s="478"/>
      <c r="P139" s="478"/>
      <c r="Q139" s="478"/>
      <c r="R139" s="478"/>
      <c r="S139" s="478"/>
      <c r="T139" s="505"/>
      <c r="U139" s="478"/>
      <c r="V139" s="478"/>
      <c r="W139" s="506"/>
      <c r="X139" s="507"/>
      <c r="Y139" s="507"/>
      <c r="Z139" s="507"/>
      <c r="AA139" s="507"/>
      <c r="AB139" s="507"/>
      <c r="AC139" s="507"/>
      <c r="AD139" s="507"/>
      <c r="AE139" s="507"/>
      <c r="AF139" s="507"/>
      <c r="AG139" s="507"/>
      <c r="AH139" s="507"/>
      <c r="AI139" s="507"/>
      <c r="AJ139" s="507"/>
      <c r="AK139" s="507"/>
      <c r="AL139" s="478"/>
      <c r="AM139" s="478"/>
      <c r="AN139" s="478"/>
      <c r="AO139" s="478"/>
      <c r="AP139" s="478"/>
      <c r="AQ139" s="478"/>
      <c r="AR139" s="478"/>
      <c r="AS139" s="478"/>
      <c r="AT139" s="478"/>
      <c r="AU139" s="478"/>
      <c r="AV139" s="478"/>
      <c r="AW139" s="478"/>
      <c r="AX139" s="478"/>
      <c r="AY139" s="478"/>
      <c r="AZ139" s="478"/>
      <c r="BA139" s="478"/>
      <c r="BB139" s="478"/>
      <c r="BC139" s="478"/>
      <c r="BD139" s="478"/>
      <c r="BE139" s="478"/>
      <c r="BF139" s="478"/>
      <c r="BG139" s="478"/>
      <c r="BH139" s="478"/>
      <c r="BI139" s="478"/>
      <c r="BJ139" s="478"/>
      <c r="BK139" s="478"/>
      <c r="BL139" s="478"/>
      <c r="BM139" s="478"/>
      <c r="BN139" s="478"/>
      <c r="BO139" s="478"/>
      <c r="BP139" s="478"/>
      <c r="BQ139" s="478"/>
      <c r="BR139" s="478"/>
      <c r="BS139" s="478"/>
      <c r="BT139" s="478"/>
      <c r="BU139" s="478"/>
      <c r="BV139" s="478"/>
      <c r="BW139" s="478"/>
      <c r="BX139" s="478"/>
      <c r="BY139" s="478"/>
      <c r="BZ139" s="478"/>
      <c r="CA139" s="478"/>
      <c r="CB139" s="478"/>
      <c r="CC139" s="478"/>
      <c r="CD139" s="478"/>
      <c r="CE139" s="478"/>
      <c r="CF139" s="478"/>
      <c r="CG139" s="478"/>
      <c r="CH139" s="478"/>
      <c r="CI139" s="478"/>
      <c r="CJ139" s="478"/>
      <c r="CK139" s="478"/>
      <c r="CL139" s="478"/>
      <c r="CM139" s="478"/>
      <c r="CN139" s="478"/>
      <c r="CO139" s="478"/>
      <c r="CP139" s="478"/>
      <c r="CQ139" s="478"/>
      <c r="CR139" s="478"/>
      <c r="CS139" s="478"/>
      <c r="CT139" s="478"/>
      <c r="CU139" s="478"/>
      <c r="CV139" s="478"/>
      <c r="CW139" s="478"/>
      <c r="CX139" s="478"/>
      <c r="CY139" s="478"/>
      <c r="CZ139" s="478"/>
    </row>
    <row r="140" spans="1:104" ht="14.25" customHeight="1" x14ac:dyDescent="0.2">
      <c r="A140" s="478"/>
      <c r="B140" s="504"/>
      <c r="C140" s="478"/>
      <c r="D140" s="478"/>
      <c r="E140" s="478"/>
      <c r="F140" s="478"/>
      <c r="G140" s="478"/>
      <c r="H140" s="478"/>
      <c r="I140" s="478"/>
      <c r="J140" s="478"/>
      <c r="K140" s="478"/>
      <c r="L140" s="478"/>
      <c r="M140" s="478"/>
      <c r="N140" s="478"/>
      <c r="O140" s="478"/>
      <c r="P140" s="478"/>
      <c r="Q140" s="478"/>
      <c r="R140" s="478"/>
      <c r="S140" s="478"/>
      <c r="T140" s="505"/>
      <c r="U140" s="478"/>
      <c r="V140" s="478"/>
      <c r="W140" s="506"/>
      <c r="X140" s="507"/>
      <c r="Y140" s="507"/>
      <c r="Z140" s="507"/>
      <c r="AA140" s="507"/>
      <c r="AB140" s="507"/>
      <c r="AC140" s="507"/>
      <c r="AD140" s="507"/>
      <c r="AE140" s="507"/>
      <c r="AF140" s="507"/>
      <c r="AG140" s="507"/>
      <c r="AH140" s="507"/>
      <c r="AI140" s="507"/>
      <c r="AJ140" s="507"/>
      <c r="AK140" s="507"/>
      <c r="AL140" s="478"/>
      <c r="AM140" s="478"/>
      <c r="AN140" s="478"/>
      <c r="AO140" s="478"/>
      <c r="AP140" s="478"/>
      <c r="AQ140" s="478"/>
      <c r="AR140" s="478"/>
      <c r="AS140" s="478"/>
      <c r="AT140" s="478"/>
      <c r="AU140" s="478"/>
      <c r="AV140" s="478"/>
      <c r="AW140" s="478"/>
      <c r="AX140" s="478"/>
      <c r="AY140" s="478"/>
      <c r="AZ140" s="478"/>
      <c r="BA140" s="478"/>
      <c r="BB140" s="478"/>
      <c r="BC140" s="478"/>
      <c r="BD140" s="478"/>
      <c r="BE140" s="478"/>
      <c r="BF140" s="478"/>
      <c r="BG140" s="478"/>
      <c r="BH140" s="478"/>
      <c r="BI140" s="478"/>
      <c r="BJ140" s="478"/>
      <c r="BK140" s="478"/>
      <c r="BL140" s="478"/>
      <c r="BM140" s="478"/>
      <c r="BN140" s="478"/>
      <c r="BO140" s="478"/>
      <c r="BP140" s="478"/>
      <c r="BQ140" s="478"/>
      <c r="BR140" s="478"/>
      <c r="BS140" s="478"/>
      <c r="BT140" s="478"/>
      <c r="BU140" s="478"/>
      <c r="BV140" s="478"/>
      <c r="BW140" s="478"/>
      <c r="BX140" s="478"/>
      <c r="BY140" s="478"/>
      <c r="BZ140" s="478"/>
      <c r="CA140" s="478"/>
      <c r="CB140" s="478"/>
      <c r="CC140" s="478"/>
      <c r="CD140" s="478"/>
      <c r="CE140" s="478"/>
      <c r="CF140" s="478"/>
      <c r="CG140" s="478"/>
      <c r="CH140" s="478"/>
      <c r="CI140" s="478"/>
      <c r="CJ140" s="478"/>
      <c r="CK140" s="478"/>
      <c r="CL140" s="478"/>
      <c r="CM140" s="478"/>
      <c r="CN140" s="478"/>
      <c r="CO140" s="478"/>
      <c r="CP140" s="478"/>
      <c r="CQ140" s="478"/>
      <c r="CR140" s="478"/>
      <c r="CS140" s="478"/>
      <c r="CT140" s="478"/>
      <c r="CU140" s="478"/>
      <c r="CV140" s="478"/>
      <c r="CW140" s="478"/>
      <c r="CX140" s="478"/>
      <c r="CY140" s="478"/>
      <c r="CZ140" s="478"/>
    </row>
    <row r="141" spans="1:104" ht="14.25" customHeight="1" x14ac:dyDescent="0.2">
      <c r="A141" s="478"/>
      <c r="B141" s="504"/>
      <c r="C141" s="478"/>
      <c r="D141" s="478"/>
      <c r="E141" s="478"/>
      <c r="F141" s="478"/>
      <c r="G141" s="478"/>
      <c r="H141" s="478"/>
      <c r="I141" s="478"/>
      <c r="J141" s="478"/>
      <c r="K141" s="478"/>
      <c r="L141" s="478"/>
      <c r="M141" s="478"/>
      <c r="N141" s="478"/>
      <c r="O141" s="478"/>
      <c r="P141" s="478"/>
      <c r="Q141" s="478"/>
      <c r="R141" s="478"/>
      <c r="S141" s="478"/>
      <c r="T141" s="505"/>
      <c r="U141" s="478"/>
      <c r="V141" s="478"/>
      <c r="W141" s="506"/>
      <c r="X141" s="507"/>
      <c r="Y141" s="507"/>
      <c r="Z141" s="507"/>
      <c r="AA141" s="507"/>
      <c r="AB141" s="507"/>
      <c r="AC141" s="507"/>
      <c r="AD141" s="507"/>
      <c r="AE141" s="507"/>
      <c r="AF141" s="507"/>
      <c r="AG141" s="507"/>
      <c r="AH141" s="507"/>
      <c r="AI141" s="507"/>
      <c r="AJ141" s="507"/>
      <c r="AK141" s="507"/>
      <c r="AL141" s="478"/>
      <c r="AM141" s="478"/>
      <c r="AN141" s="478"/>
      <c r="AO141" s="478"/>
      <c r="AP141" s="478"/>
      <c r="AQ141" s="478"/>
      <c r="AR141" s="478"/>
      <c r="AS141" s="478"/>
      <c r="AT141" s="478"/>
      <c r="AU141" s="478"/>
      <c r="AV141" s="478"/>
      <c r="AW141" s="478"/>
      <c r="AX141" s="478"/>
      <c r="AY141" s="478"/>
      <c r="AZ141" s="478"/>
      <c r="BA141" s="478"/>
      <c r="BB141" s="478"/>
      <c r="BC141" s="478"/>
      <c r="BD141" s="478"/>
      <c r="BE141" s="478"/>
      <c r="BF141" s="478"/>
      <c r="BG141" s="478"/>
      <c r="BH141" s="478"/>
      <c r="BI141" s="478"/>
      <c r="BJ141" s="478"/>
      <c r="BK141" s="478"/>
      <c r="BL141" s="478"/>
      <c r="BM141" s="478"/>
      <c r="BN141" s="478"/>
      <c r="BO141" s="478"/>
      <c r="BP141" s="478"/>
      <c r="BQ141" s="478"/>
      <c r="BR141" s="478"/>
      <c r="BS141" s="478"/>
      <c r="BT141" s="478"/>
      <c r="BU141" s="478"/>
      <c r="BV141" s="478"/>
      <c r="BW141" s="478"/>
      <c r="BX141" s="478"/>
      <c r="BY141" s="478"/>
      <c r="BZ141" s="478"/>
      <c r="CA141" s="478"/>
      <c r="CB141" s="478"/>
      <c r="CC141" s="478"/>
      <c r="CD141" s="478"/>
      <c r="CE141" s="478"/>
      <c r="CF141" s="478"/>
      <c r="CG141" s="478"/>
      <c r="CH141" s="478"/>
      <c r="CI141" s="478"/>
      <c r="CJ141" s="478"/>
      <c r="CK141" s="478"/>
      <c r="CL141" s="478"/>
      <c r="CM141" s="478"/>
      <c r="CN141" s="478"/>
      <c r="CO141" s="478"/>
      <c r="CP141" s="478"/>
      <c r="CQ141" s="478"/>
      <c r="CR141" s="478"/>
      <c r="CS141" s="478"/>
      <c r="CT141" s="478"/>
      <c r="CU141" s="478"/>
      <c r="CV141" s="478"/>
      <c r="CW141" s="478"/>
      <c r="CX141" s="478"/>
      <c r="CY141" s="478"/>
      <c r="CZ141" s="478"/>
    </row>
    <row r="142" spans="1:104" ht="14.25" customHeight="1" x14ac:dyDescent="0.2">
      <c r="A142" s="478"/>
      <c r="B142" s="504"/>
      <c r="C142" s="478"/>
      <c r="D142" s="478"/>
      <c r="E142" s="478"/>
      <c r="F142" s="478"/>
      <c r="G142" s="478"/>
      <c r="H142" s="478"/>
      <c r="I142" s="478"/>
      <c r="J142" s="478"/>
      <c r="K142" s="478"/>
      <c r="L142" s="478"/>
      <c r="M142" s="478"/>
      <c r="N142" s="478"/>
      <c r="O142" s="478"/>
      <c r="P142" s="478"/>
      <c r="Q142" s="478"/>
      <c r="R142" s="478"/>
      <c r="S142" s="478"/>
      <c r="T142" s="505"/>
      <c r="U142" s="478"/>
      <c r="V142" s="478"/>
      <c r="W142" s="506"/>
      <c r="X142" s="507"/>
      <c r="Y142" s="507"/>
      <c r="Z142" s="507"/>
      <c r="AA142" s="507"/>
      <c r="AB142" s="507"/>
      <c r="AC142" s="507"/>
      <c r="AD142" s="507"/>
      <c r="AE142" s="507"/>
      <c r="AF142" s="507"/>
      <c r="AG142" s="507"/>
      <c r="AH142" s="507"/>
      <c r="AI142" s="507"/>
      <c r="AJ142" s="507"/>
      <c r="AK142" s="507"/>
      <c r="AL142" s="478"/>
      <c r="AM142" s="478"/>
      <c r="AN142" s="478"/>
      <c r="AO142" s="478"/>
      <c r="AP142" s="478"/>
      <c r="AQ142" s="478"/>
      <c r="AR142" s="478"/>
      <c r="AS142" s="478"/>
      <c r="AT142" s="478"/>
      <c r="AU142" s="478"/>
      <c r="AV142" s="478"/>
      <c r="AW142" s="478"/>
      <c r="AX142" s="478"/>
      <c r="AY142" s="478"/>
      <c r="AZ142" s="478"/>
      <c r="BA142" s="478"/>
      <c r="BB142" s="478"/>
      <c r="BC142" s="478"/>
      <c r="BD142" s="478"/>
      <c r="BE142" s="478"/>
      <c r="BF142" s="478"/>
      <c r="BG142" s="478"/>
      <c r="BH142" s="478"/>
      <c r="BI142" s="478"/>
      <c r="BJ142" s="478"/>
      <c r="BK142" s="478"/>
      <c r="BL142" s="478"/>
      <c r="BM142" s="478"/>
      <c r="BN142" s="478"/>
      <c r="BO142" s="478"/>
      <c r="BP142" s="478"/>
      <c r="BQ142" s="478"/>
      <c r="BR142" s="478"/>
      <c r="BS142" s="478"/>
      <c r="BT142" s="478"/>
      <c r="BU142" s="478"/>
      <c r="BV142" s="478"/>
      <c r="BW142" s="478"/>
      <c r="BX142" s="478"/>
      <c r="BY142" s="478"/>
      <c r="BZ142" s="478"/>
      <c r="CA142" s="478"/>
      <c r="CB142" s="478"/>
      <c r="CC142" s="478"/>
      <c r="CD142" s="478"/>
      <c r="CE142" s="478"/>
      <c r="CF142" s="478"/>
      <c r="CG142" s="478"/>
      <c r="CH142" s="478"/>
      <c r="CI142" s="478"/>
      <c r="CJ142" s="478"/>
      <c r="CK142" s="478"/>
      <c r="CL142" s="478"/>
      <c r="CM142" s="478"/>
      <c r="CN142" s="478"/>
      <c r="CO142" s="478"/>
      <c r="CP142" s="478"/>
      <c r="CQ142" s="478"/>
      <c r="CR142" s="478"/>
      <c r="CS142" s="478"/>
      <c r="CT142" s="478"/>
      <c r="CU142" s="478"/>
      <c r="CV142" s="478"/>
      <c r="CW142" s="478"/>
      <c r="CX142" s="478"/>
      <c r="CY142" s="478"/>
      <c r="CZ142" s="478"/>
    </row>
    <row r="143" spans="1:104" ht="14.25" customHeight="1" x14ac:dyDescent="0.2">
      <c r="A143" s="478"/>
      <c r="B143" s="504"/>
      <c r="C143" s="478"/>
      <c r="D143" s="478"/>
      <c r="E143" s="478"/>
      <c r="F143" s="478"/>
      <c r="G143" s="478"/>
      <c r="H143" s="478"/>
      <c r="I143" s="478"/>
      <c r="J143" s="478"/>
      <c r="K143" s="478"/>
      <c r="L143" s="478"/>
      <c r="M143" s="478"/>
      <c r="N143" s="478"/>
      <c r="O143" s="478"/>
      <c r="P143" s="478"/>
      <c r="Q143" s="478"/>
      <c r="R143" s="478"/>
      <c r="S143" s="478"/>
      <c r="T143" s="505"/>
      <c r="U143" s="478"/>
      <c r="V143" s="478"/>
      <c r="W143" s="506"/>
      <c r="X143" s="507"/>
      <c r="Y143" s="507"/>
      <c r="Z143" s="507"/>
      <c r="AA143" s="507"/>
      <c r="AB143" s="507"/>
      <c r="AC143" s="507"/>
      <c r="AD143" s="507"/>
      <c r="AE143" s="507"/>
      <c r="AF143" s="507"/>
      <c r="AG143" s="507"/>
      <c r="AH143" s="507"/>
      <c r="AI143" s="507"/>
      <c r="AJ143" s="507"/>
      <c r="AK143" s="507"/>
      <c r="AL143" s="478"/>
      <c r="AM143" s="478"/>
      <c r="AN143" s="478"/>
      <c r="AO143" s="478"/>
      <c r="AP143" s="478"/>
      <c r="AQ143" s="478"/>
      <c r="AR143" s="478"/>
      <c r="AS143" s="478"/>
      <c r="AT143" s="478"/>
      <c r="AU143" s="478"/>
      <c r="AV143" s="478"/>
      <c r="AW143" s="478"/>
      <c r="AX143" s="478"/>
      <c r="AY143" s="478"/>
      <c r="AZ143" s="478"/>
      <c r="BA143" s="478"/>
      <c r="BB143" s="478"/>
      <c r="BC143" s="478"/>
      <c r="BD143" s="478"/>
      <c r="BE143" s="478"/>
      <c r="BF143" s="478"/>
      <c r="BG143" s="478"/>
      <c r="BH143" s="478"/>
      <c r="BI143" s="478"/>
      <c r="BJ143" s="478"/>
      <c r="BK143" s="478"/>
      <c r="BL143" s="478"/>
      <c r="BM143" s="478"/>
      <c r="BN143" s="478"/>
      <c r="BO143" s="478"/>
      <c r="BP143" s="478"/>
      <c r="BQ143" s="478"/>
      <c r="BR143" s="478"/>
      <c r="BS143" s="478"/>
      <c r="BT143" s="478"/>
      <c r="BU143" s="478"/>
      <c r="BV143" s="478"/>
      <c r="BW143" s="478"/>
      <c r="BX143" s="478"/>
      <c r="BY143" s="478"/>
      <c r="BZ143" s="478"/>
      <c r="CA143" s="478"/>
      <c r="CB143" s="478"/>
      <c r="CC143" s="478"/>
      <c r="CD143" s="478"/>
      <c r="CE143" s="478"/>
      <c r="CF143" s="478"/>
      <c r="CG143" s="478"/>
      <c r="CH143" s="478"/>
      <c r="CI143" s="478"/>
      <c r="CJ143" s="478"/>
      <c r="CK143" s="478"/>
      <c r="CL143" s="478"/>
      <c r="CM143" s="478"/>
      <c r="CN143" s="478"/>
      <c r="CO143" s="478"/>
      <c r="CP143" s="478"/>
      <c r="CQ143" s="478"/>
      <c r="CR143" s="478"/>
      <c r="CS143" s="478"/>
      <c r="CT143" s="478"/>
      <c r="CU143" s="478"/>
      <c r="CV143" s="478"/>
      <c r="CW143" s="478"/>
      <c r="CX143" s="478"/>
      <c r="CY143" s="478"/>
      <c r="CZ143" s="478"/>
    </row>
    <row r="144" spans="1:104" ht="14.25" customHeight="1" x14ac:dyDescent="0.2">
      <c r="A144" s="478"/>
      <c r="B144" s="504"/>
      <c r="C144" s="478"/>
      <c r="D144" s="478"/>
      <c r="E144" s="478"/>
      <c r="F144" s="478"/>
      <c r="G144" s="478"/>
      <c r="H144" s="478"/>
      <c r="I144" s="478"/>
      <c r="J144" s="478"/>
      <c r="K144" s="478"/>
      <c r="L144" s="478"/>
      <c r="M144" s="478"/>
      <c r="N144" s="478"/>
      <c r="O144" s="478"/>
      <c r="P144" s="478"/>
      <c r="Q144" s="478"/>
      <c r="R144" s="478"/>
      <c r="S144" s="478"/>
      <c r="T144" s="505"/>
      <c r="U144" s="478"/>
      <c r="V144" s="478"/>
      <c r="W144" s="506"/>
      <c r="X144" s="507"/>
      <c r="Y144" s="507"/>
      <c r="Z144" s="507"/>
      <c r="AA144" s="507"/>
      <c r="AB144" s="507"/>
      <c r="AC144" s="507"/>
      <c r="AD144" s="507"/>
      <c r="AE144" s="507"/>
      <c r="AF144" s="507"/>
      <c r="AG144" s="507"/>
      <c r="AH144" s="507"/>
      <c r="AI144" s="507"/>
      <c r="AJ144" s="507"/>
      <c r="AK144" s="507"/>
      <c r="AL144" s="478"/>
      <c r="AM144" s="478"/>
      <c r="AN144" s="478"/>
      <c r="AO144" s="478"/>
      <c r="AP144" s="478"/>
      <c r="AQ144" s="478"/>
      <c r="AR144" s="478"/>
      <c r="AS144" s="478"/>
      <c r="AT144" s="478"/>
      <c r="AU144" s="478"/>
      <c r="AV144" s="478"/>
      <c r="AW144" s="478"/>
      <c r="AX144" s="478"/>
      <c r="AY144" s="478"/>
      <c r="AZ144" s="478"/>
      <c r="BA144" s="478"/>
      <c r="BB144" s="478"/>
      <c r="BC144" s="478"/>
      <c r="BD144" s="478"/>
      <c r="BE144" s="478"/>
      <c r="BF144" s="478"/>
      <c r="BG144" s="478"/>
      <c r="BH144" s="478"/>
      <c r="BI144" s="478"/>
      <c r="BJ144" s="478"/>
      <c r="BK144" s="478"/>
      <c r="BL144" s="478"/>
      <c r="BM144" s="478"/>
      <c r="BN144" s="478"/>
      <c r="BO144" s="478"/>
      <c r="BP144" s="478"/>
      <c r="BQ144" s="478"/>
      <c r="BR144" s="478"/>
      <c r="BS144" s="478"/>
      <c r="BT144" s="478"/>
      <c r="BU144" s="478"/>
      <c r="BV144" s="478"/>
      <c r="BW144" s="478"/>
      <c r="BX144" s="478"/>
      <c r="BY144" s="478"/>
      <c r="BZ144" s="478"/>
      <c r="CA144" s="478"/>
      <c r="CB144" s="478"/>
      <c r="CC144" s="478"/>
      <c r="CD144" s="478"/>
      <c r="CE144" s="478"/>
      <c r="CF144" s="478"/>
      <c r="CG144" s="478"/>
      <c r="CH144" s="478"/>
      <c r="CI144" s="478"/>
      <c r="CJ144" s="478"/>
      <c r="CK144" s="478"/>
      <c r="CL144" s="478"/>
      <c r="CM144" s="478"/>
      <c r="CN144" s="478"/>
      <c r="CO144" s="478"/>
      <c r="CP144" s="478"/>
      <c r="CQ144" s="478"/>
      <c r="CR144" s="478"/>
      <c r="CS144" s="478"/>
      <c r="CT144" s="478"/>
      <c r="CU144" s="478"/>
      <c r="CV144" s="478"/>
      <c r="CW144" s="478"/>
      <c r="CX144" s="478"/>
      <c r="CY144" s="478"/>
      <c r="CZ144" s="478"/>
    </row>
    <row r="145" spans="1:104" ht="14.25" customHeight="1" x14ac:dyDescent="0.2">
      <c r="A145" s="478"/>
      <c r="B145" s="504"/>
      <c r="C145" s="478"/>
      <c r="D145" s="478"/>
      <c r="E145" s="478"/>
      <c r="F145" s="478"/>
      <c r="G145" s="478"/>
      <c r="H145" s="478"/>
      <c r="I145" s="478"/>
      <c r="J145" s="478"/>
      <c r="K145" s="478"/>
      <c r="L145" s="478"/>
      <c r="M145" s="478"/>
      <c r="N145" s="478"/>
      <c r="O145" s="478"/>
      <c r="P145" s="478"/>
      <c r="Q145" s="478"/>
      <c r="R145" s="478"/>
      <c r="S145" s="478"/>
      <c r="T145" s="505"/>
      <c r="U145" s="478"/>
      <c r="V145" s="478"/>
      <c r="W145" s="506"/>
      <c r="X145" s="507"/>
      <c r="Y145" s="507"/>
      <c r="Z145" s="507"/>
      <c r="AA145" s="507"/>
      <c r="AB145" s="507"/>
      <c r="AC145" s="507"/>
      <c r="AD145" s="507"/>
      <c r="AE145" s="507"/>
      <c r="AF145" s="507"/>
      <c r="AG145" s="507"/>
      <c r="AH145" s="507"/>
      <c r="AI145" s="507"/>
      <c r="AJ145" s="507"/>
      <c r="AK145" s="507"/>
      <c r="AL145" s="478"/>
      <c r="AM145" s="478"/>
      <c r="AN145" s="478"/>
      <c r="AO145" s="478"/>
      <c r="AP145" s="478"/>
      <c r="AQ145" s="478"/>
      <c r="AR145" s="478"/>
      <c r="AS145" s="478"/>
      <c r="AT145" s="478"/>
      <c r="AU145" s="478"/>
      <c r="AV145" s="478"/>
      <c r="AW145" s="478"/>
      <c r="AX145" s="478"/>
      <c r="AY145" s="478"/>
      <c r="AZ145" s="478"/>
      <c r="BA145" s="478"/>
      <c r="BB145" s="478"/>
      <c r="BC145" s="478"/>
      <c r="BD145" s="478"/>
      <c r="BE145" s="478"/>
      <c r="BF145" s="478"/>
      <c r="BG145" s="478"/>
      <c r="BH145" s="478"/>
      <c r="BI145" s="478"/>
      <c r="BJ145" s="478"/>
      <c r="BK145" s="478"/>
      <c r="BL145" s="478"/>
      <c r="BM145" s="478"/>
      <c r="BN145" s="478"/>
      <c r="BO145" s="478"/>
      <c r="BP145" s="478"/>
      <c r="BQ145" s="478"/>
      <c r="BR145" s="478"/>
      <c r="BS145" s="478"/>
      <c r="BT145" s="478"/>
      <c r="BU145" s="478"/>
      <c r="BV145" s="478"/>
      <c r="BW145" s="478"/>
      <c r="BX145" s="478"/>
      <c r="BY145" s="478"/>
      <c r="BZ145" s="478"/>
      <c r="CA145" s="478"/>
      <c r="CB145" s="478"/>
      <c r="CC145" s="478"/>
      <c r="CD145" s="478"/>
      <c r="CE145" s="478"/>
      <c r="CF145" s="478"/>
      <c r="CG145" s="478"/>
      <c r="CH145" s="478"/>
      <c r="CI145" s="478"/>
      <c r="CJ145" s="478"/>
      <c r="CK145" s="478"/>
      <c r="CL145" s="478"/>
      <c r="CM145" s="478"/>
      <c r="CN145" s="478"/>
      <c r="CO145" s="478"/>
      <c r="CP145" s="478"/>
      <c r="CQ145" s="478"/>
      <c r="CR145" s="478"/>
      <c r="CS145" s="478"/>
      <c r="CT145" s="478"/>
      <c r="CU145" s="478"/>
      <c r="CV145" s="478"/>
      <c r="CW145" s="478"/>
      <c r="CX145" s="478"/>
      <c r="CY145" s="478"/>
      <c r="CZ145" s="478"/>
    </row>
    <row r="146" spans="1:104" ht="14.25" customHeight="1" x14ac:dyDescent="0.2">
      <c r="A146" s="478"/>
      <c r="B146" s="504"/>
      <c r="C146" s="478"/>
      <c r="D146" s="478"/>
      <c r="E146" s="478"/>
      <c r="F146" s="478"/>
      <c r="G146" s="478"/>
      <c r="H146" s="478"/>
      <c r="I146" s="478"/>
      <c r="J146" s="478"/>
      <c r="K146" s="478"/>
      <c r="L146" s="478"/>
      <c r="M146" s="478"/>
      <c r="N146" s="478"/>
      <c r="O146" s="478"/>
      <c r="P146" s="478"/>
      <c r="Q146" s="478"/>
      <c r="R146" s="478"/>
      <c r="S146" s="478"/>
      <c r="T146" s="505"/>
      <c r="U146" s="478"/>
      <c r="V146" s="478"/>
      <c r="W146" s="506"/>
      <c r="X146" s="507"/>
      <c r="Y146" s="507"/>
      <c r="Z146" s="507"/>
      <c r="AA146" s="507"/>
      <c r="AB146" s="507"/>
      <c r="AC146" s="507"/>
      <c r="AD146" s="507"/>
      <c r="AE146" s="507"/>
      <c r="AF146" s="507"/>
      <c r="AG146" s="507"/>
      <c r="AH146" s="507"/>
      <c r="AI146" s="507"/>
      <c r="AJ146" s="507"/>
      <c r="AK146" s="507"/>
      <c r="AL146" s="478"/>
      <c r="AM146" s="478"/>
      <c r="AN146" s="478"/>
      <c r="AO146" s="478"/>
      <c r="AP146" s="478"/>
      <c r="AQ146" s="478"/>
      <c r="AR146" s="478"/>
      <c r="AS146" s="478"/>
      <c r="AT146" s="478"/>
      <c r="AU146" s="478"/>
      <c r="AV146" s="478"/>
      <c r="AW146" s="478"/>
      <c r="AX146" s="478"/>
      <c r="AY146" s="478"/>
      <c r="AZ146" s="478"/>
      <c r="BA146" s="478"/>
      <c r="BB146" s="478"/>
      <c r="BC146" s="478"/>
      <c r="BD146" s="478"/>
      <c r="BE146" s="478"/>
      <c r="BF146" s="478"/>
      <c r="BG146" s="478"/>
      <c r="BH146" s="478"/>
      <c r="BI146" s="478"/>
      <c r="BJ146" s="478"/>
      <c r="BK146" s="478"/>
      <c r="BL146" s="478"/>
      <c r="BM146" s="478"/>
      <c r="BN146" s="478"/>
      <c r="BO146" s="478"/>
      <c r="BP146" s="478"/>
      <c r="BQ146" s="478"/>
      <c r="BR146" s="478"/>
      <c r="BS146" s="478"/>
      <c r="BT146" s="478"/>
      <c r="BU146" s="478"/>
      <c r="BV146" s="478"/>
      <c r="BW146" s="478"/>
      <c r="BX146" s="478"/>
      <c r="BY146" s="478"/>
      <c r="BZ146" s="478"/>
      <c r="CA146" s="478"/>
      <c r="CB146" s="478"/>
      <c r="CC146" s="478"/>
      <c r="CD146" s="478"/>
      <c r="CE146" s="478"/>
      <c r="CF146" s="478"/>
      <c r="CG146" s="478"/>
      <c r="CH146" s="478"/>
      <c r="CI146" s="478"/>
      <c r="CJ146" s="478"/>
      <c r="CK146" s="478"/>
      <c r="CL146" s="478"/>
      <c r="CM146" s="478"/>
      <c r="CN146" s="478"/>
      <c r="CO146" s="478"/>
      <c r="CP146" s="478"/>
      <c r="CQ146" s="478"/>
      <c r="CR146" s="478"/>
      <c r="CS146" s="478"/>
      <c r="CT146" s="478"/>
      <c r="CU146" s="478"/>
      <c r="CV146" s="478"/>
      <c r="CW146" s="478"/>
      <c r="CX146" s="478"/>
      <c r="CY146" s="478"/>
      <c r="CZ146" s="478"/>
    </row>
    <row r="147" spans="1:104" ht="14.25" customHeight="1" x14ac:dyDescent="0.2">
      <c r="A147" s="478"/>
      <c r="B147" s="504"/>
      <c r="C147" s="478"/>
      <c r="D147" s="478"/>
      <c r="E147" s="478"/>
      <c r="F147" s="478"/>
      <c r="G147" s="478"/>
      <c r="H147" s="478"/>
      <c r="I147" s="478"/>
      <c r="J147" s="478"/>
      <c r="K147" s="478"/>
      <c r="L147" s="478"/>
      <c r="M147" s="478"/>
      <c r="N147" s="478"/>
      <c r="O147" s="478"/>
      <c r="P147" s="478"/>
      <c r="Q147" s="478"/>
      <c r="R147" s="478"/>
      <c r="S147" s="478"/>
      <c r="T147" s="505"/>
      <c r="U147" s="478"/>
      <c r="V147" s="478"/>
      <c r="W147" s="506"/>
      <c r="X147" s="507"/>
      <c r="Y147" s="507"/>
      <c r="Z147" s="507"/>
      <c r="AA147" s="507"/>
      <c r="AB147" s="507"/>
      <c r="AC147" s="507"/>
      <c r="AD147" s="507"/>
      <c r="AE147" s="507"/>
      <c r="AF147" s="507"/>
      <c r="AG147" s="507"/>
      <c r="AH147" s="507"/>
      <c r="AI147" s="507"/>
      <c r="AJ147" s="507"/>
      <c r="AK147" s="507"/>
      <c r="AL147" s="478"/>
      <c r="AM147" s="478"/>
      <c r="AN147" s="478"/>
      <c r="AO147" s="478"/>
      <c r="AP147" s="478"/>
      <c r="AQ147" s="478"/>
      <c r="AR147" s="478"/>
      <c r="AS147" s="478"/>
      <c r="AT147" s="478"/>
      <c r="AU147" s="478"/>
      <c r="AV147" s="478"/>
      <c r="AW147" s="478"/>
      <c r="AX147" s="478"/>
      <c r="AY147" s="478"/>
      <c r="AZ147" s="478"/>
      <c r="BA147" s="478"/>
      <c r="BB147" s="478"/>
      <c r="BC147" s="478"/>
      <c r="BD147" s="478"/>
      <c r="BE147" s="478"/>
      <c r="BF147" s="478"/>
      <c r="BG147" s="478"/>
      <c r="BH147" s="478"/>
      <c r="BI147" s="478"/>
      <c r="BJ147" s="478"/>
      <c r="BK147" s="478"/>
      <c r="BL147" s="478"/>
      <c r="BM147" s="478"/>
      <c r="BN147" s="478"/>
      <c r="BO147" s="478"/>
      <c r="BP147" s="478"/>
      <c r="BQ147" s="478"/>
      <c r="BR147" s="478"/>
      <c r="BS147" s="478"/>
      <c r="BT147" s="478"/>
      <c r="BU147" s="478"/>
      <c r="BV147" s="478"/>
      <c r="BW147" s="478"/>
      <c r="BX147" s="478"/>
      <c r="BY147" s="478"/>
      <c r="BZ147" s="478"/>
      <c r="CA147" s="478"/>
      <c r="CB147" s="478"/>
      <c r="CC147" s="478"/>
      <c r="CD147" s="478"/>
      <c r="CE147" s="478"/>
      <c r="CF147" s="478"/>
      <c r="CG147" s="478"/>
      <c r="CH147" s="478"/>
      <c r="CI147" s="478"/>
      <c r="CJ147" s="478"/>
      <c r="CK147" s="478"/>
      <c r="CL147" s="478"/>
      <c r="CM147" s="478"/>
      <c r="CN147" s="478"/>
      <c r="CO147" s="478"/>
      <c r="CP147" s="478"/>
      <c r="CQ147" s="478"/>
      <c r="CR147" s="478"/>
      <c r="CS147" s="478"/>
      <c r="CT147" s="478"/>
      <c r="CU147" s="478"/>
      <c r="CV147" s="478"/>
      <c r="CW147" s="478"/>
      <c r="CX147" s="478"/>
      <c r="CY147" s="478"/>
      <c r="CZ147" s="478"/>
    </row>
    <row r="148" spans="1:104" ht="14.25" customHeight="1" x14ac:dyDescent="0.2">
      <c r="A148" s="478"/>
      <c r="B148" s="504"/>
      <c r="C148" s="478"/>
      <c r="D148" s="478"/>
      <c r="E148" s="478"/>
      <c r="F148" s="478"/>
      <c r="G148" s="478"/>
      <c r="H148" s="478"/>
      <c r="I148" s="478"/>
      <c r="J148" s="478"/>
      <c r="K148" s="478"/>
      <c r="L148" s="478"/>
      <c r="M148" s="478"/>
      <c r="N148" s="478"/>
      <c r="O148" s="478"/>
      <c r="P148" s="478"/>
      <c r="Q148" s="478"/>
      <c r="R148" s="478"/>
      <c r="S148" s="478"/>
      <c r="T148" s="505"/>
      <c r="U148" s="478"/>
      <c r="V148" s="478"/>
      <c r="W148" s="506"/>
      <c r="X148" s="507"/>
      <c r="Y148" s="507"/>
      <c r="Z148" s="507"/>
      <c r="AA148" s="507"/>
      <c r="AB148" s="507"/>
      <c r="AC148" s="507"/>
      <c r="AD148" s="507"/>
      <c r="AE148" s="507"/>
      <c r="AF148" s="507"/>
      <c r="AG148" s="507"/>
      <c r="AH148" s="507"/>
      <c r="AI148" s="507"/>
      <c r="AJ148" s="507"/>
      <c r="AK148" s="507"/>
      <c r="AL148" s="478"/>
      <c r="AM148" s="478"/>
      <c r="AN148" s="478"/>
      <c r="AO148" s="478"/>
      <c r="AP148" s="478"/>
      <c r="AQ148" s="478"/>
      <c r="AR148" s="478"/>
      <c r="AS148" s="478"/>
      <c r="AT148" s="478"/>
      <c r="AU148" s="478"/>
      <c r="AV148" s="478"/>
      <c r="AW148" s="478"/>
      <c r="AX148" s="478"/>
      <c r="AY148" s="478"/>
      <c r="AZ148" s="478"/>
      <c r="BA148" s="478"/>
      <c r="BB148" s="478"/>
      <c r="BC148" s="478"/>
      <c r="BD148" s="478"/>
      <c r="BE148" s="478"/>
      <c r="BF148" s="478"/>
      <c r="BG148" s="478"/>
      <c r="BH148" s="478"/>
      <c r="BI148" s="478"/>
      <c r="BJ148" s="478"/>
      <c r="BK148" s="478"/>
      <c r="BL148" s="478"/>
      <c r="BM148" s="478"/>
      <c r="BN148" s="478"/>
      <c r="BO148" s="478"/>
      <c r="BP148" s="478"/>
      <c r="BQ148" s="478"/>
      <c r="BR148" s="478"/>
      <c r="BS148" s="478"/>
      <c r="BT148" s="478"/>
      <c r="BU148" s="478"/>
      <c r="BV148" s="478"/>
      <c r="BW148" s="478"/>
      <c r="BX148" s="478"/>
      <c r="BY148" s="478"/>
      <c r="BZ148" s="478"/>
      <c r="CA148" s="478"/>
      <c r="CB148" s="478"/>
      <c r="CC148" s="478"/>
      <c r="CD148" s="478"/>
      <c r="CE148" s="478"/>
      <c r="CF148" s="478"/>
      <c r="CG148" s="478"/>
      <c r="CH148" s="478"/>
      <c r="CI148" s="478"/>
      <c r="CJ148" s="478"/>
      <c r="CK148" s="478"/>
      <c r="CL148" s="478"/>
      <c r="CM148" s="478"/>
      <c r="CN148" s="478"/>
      <c r="CO148" s="478"/>
      <c r="CP148" s="478"/>
      <c r="CQ148" s="478"/>
      <c r="CR148" s="478"/>
      <c r="CS148" s="478"/>
      <c r="CT148" s="478"/>
      <c r="CU148" s="478"/>
      <c r="CV148" s="478"/>
      <c r="CW148" s="478"/>
      <c r="CX148" s="478"/>
      <c r="CY148" s="478"/>
      <c r="CZ148" s="478"/>
    </row>
    <row r="149" spans="1:104" ht="14.25" customHeight="1" x14ac:dyDescent="0.2">
      <c r="A149" s="478"/>
      <c r="B149" s="504"/>
      <c r="C149" s="478"/>
      <c r="D149" s="478"/>
      <c r="E149" s="478"/>
      <c r="F149" s="478"/>
      <c r="G149" s="478"/>
      <c r="H149" s="478"/>
      <c r="I149" s="478"/>
      <c r="J149" s="478"/>
      <c r="K149" s="478"/>
      <c r="L149" s="478"/>
      <c r="M149" s="478"/>
      <c r="N149" s="478"/>
      <c r="O149" s="478"/>
      <c r="P149" s="478"/>
      <c r="Q149" s="478"/>
      <c r="R149" s="478"/>
      <c r="S149" s="478"/>
      <c r="T149" s="505"/>
      <c r="U149" s="478"/>
      <c r="V149" s="478"/>
      <c r="W149" s="506"/>
      <c r="X149" s="507"/>
      <c r="Y149" s="507"/>
      <c r="Z149" s="507"/>
      <c r="AA149" s="507"/>
      <c r="AB149" s="507"/>
      <c r="AC149" s="507"/>
      <c r="AD149" s="507"/>
      <c r="AE149" s="507"/>
      <c r="AF149" s="507"/>
      <c r="AG149" s="507"/>
      <c r="AH149" s="507"/>
      <c r="AI149" s="507"/>
      <c r="AJ149" s="507"/>
      <c r="AK149" s="507"/>
      <c r="AL149" s="478"/>
      <c r="AM149" s="478"/>
      <c r="AN149" s="478"/>
      <c r="AO149" s="478"/>
      <c r="AP149" s="478"/>
      <c r="AQ149" s="478"/>
      <c r="AR149" s="478"/>
      <c r="AS149" s="478"/>
      <c r="AT149" s="478"/>
      <c r="AU149" s="478"/>
      <c r="AV149" s="478"/>
      <c r="AW149" s="478"/>
      <c r="AX149" s="478"/>
      <c r="AY149" s="478"/>
      <c r="AZ149" s="478"/>
      <c r="BA149" s="478"/>
      <c r="BB149" s="478"/>
      <c r="BC149" s="478"/>
      <c r="BD149" s="478"/>
      <c r="BE149" s="478"/>
      <c r="BF149" s="478"/>
      <c r="BG149" s="478"/>
      <c r="BH149" s="478"/>
      <c r="BI149" s="478"/>
      <c r="BJ149" s="478"/>
      <c r="BK149" s="478"/>
      <c r="BL149" s="478"/>
      <c r="BM149" s="478"/>
      <c r="BN149" s="478"/>
      <c r="BO149" s="478"/>
      <c r="BP149" s="478"/>
      <c r="BQ149" s="478"/>
      <c r="BR149" s="478"/>
      <c r="BS149" s="478"/>
      <c r="BT149" s="478"/>
      <c r="BU149" s="478"/>
      <c r="BV149" s="478"/>
      <c r="BW149" s="478"/>
      <c r="BX149" s="478"/>
      <c r="BY149" s="478"/>
      <c r="BZ149" s="478"/>
      <c r="CA149" s="478"/>
      <c r="CB149" s="478"/>
      <c r="CC149" s="478"/>
      <c r="CD149" s="478"/>
      <c r="CE149" s="478"/>
      <c r="CF149" s="478"/>
      <c r="CG149" s="478"/>
      <c r="CH149" s="478"/>
      <c r="CI149" s="478"/>
      <c r="CJ149" s="478"/>
      <c r="CK149" s="478"/>
      <c r="CL149" s="478"/>
      <c r="CM149" s="478"/>
      <c r="CN149" s="478"/>
      <c r="CO149" s="478"/>
      <c r="CP149" s="478"/>
      <c r="CQ149" s="478"/>
      <c r="CR149" s="478"/>
      <c r="CS149" s="478"/>
      <c r="CT149" s="478"/>
      <c r="CU149" s="478"/>
      <c r="CV149" s="478"/>
      <c r="CW149" s="478"/>
      <c r="CX149" s="478"/>
      <c r="CY149" s="478"/>
      <c r="CZ149" s="478"/>
    </row>
    <row r="150" spans="1:104" ht="14.25" customHeight="1" x14ac:dyDescent="0.2">
      <c r="A150" s="478"/>
      <c r="B150" s="504"/>
      <c r="C150" s="478"/>
      <c r="D150" s="478"/>
      <c r="E150" s="478"/>
      <c r="F150" s="478"/>
      <c r="G150" s="478"/>
      <c r="H150" s="478"/>
      <c r="I150" s="478"/>
      <c r="J150" s="478"/>
      <c r="K150" s="478"/>
      <c r="L150" s="478"/>
      <c r="M150" s="478"/>
      <c r="N150" s="478"/>
      <c r="O150" s="478"/>
      <c r="P150" s="478"/>
      <c r="Q150" s="478"/>
      <c r="R150" s="478"/>
      <c r="S150" s="478"/>
      <c r="T150" s="505"/>
      <c r="U150" s="478"/>
      <c r="V150" s="478"/>
      <c r="W150" s="506"/>
      <c r="X150" s="507"/>
      <c r="Y150" s="507"/>
      <c r="Z150" s="507"/>
      <c r="AA150" s="507"/>
      <c r="AB150" s="507"/>
      <c r="AC150" s="507"/>
      <c r="AD150" s="507"/>
      <c r="AE150" s="507"/>
      <c r="AF150" s="507"/>
      <c r="AG150" s="507"/>
      <c r="AH150" s="507"/>
      <c r="AI150" s="507"/>
      <c r="AJ150" s="507"/>
      <c r="AK150" s="507"/>
      <c r="AL150" s="478"/>
      <c r="AM150" s="478"/>
      <c r="AN150" s="478"/>
      <c r="AO150" s="478"/>
      <c r="AP150" s="478"/>
      <c r="AQ150" s="478"/>
      <c r="AR150" s="478"/>
      <c r="AS150" s="478"/>
      <c r="AT150" s="478"/>
      <c r="AU150" s="478"/>
      <c r="AV150" s="478"/>
      <c r="AW150" s="478"/>
      <c r="AX150" s="478"/>
      <c r="AY150" s="478"/>
      <c r="AZ150" s="478"/>
      <c r="BA150" s="478"/>
      <c r="BB150" s="478"/>
      <c r="BC150" s="478"/>
      <c r="BD150" s="478"/>
      <c r="BE150" s="478"/>
      <c r="BF150" s="478"/>
      <c r="BG150" s="478"/>
      <c r="BH150" s="478"/>
      <c r="BI150" s="478"/>
      <c r="BJ150" s="478"/>
      <c r="BK150" s="478"/>
      <c r="BL150" s="478"/>
      <c r="BM150" s="478"/>
      <c r="BN150" s="478"/>
      <c r="BO150" s="478"/>
      <c r="BP150" s="478"/>
      <c r="BQ150" s="478"/>
      <c r="BR150" s="478"/>
      <c r="BS150" s="478"/>
      <c r="BT150" s="478"/>
      <c r="BU150" s="478"/>
      <c r="BV150" s="478"/>
      <c r="BW150" s="478"/>
      <c r="BX150" s="478"/>
      <c r="BY150" s="478"/>
      <c r="BZ150" s="478"/>
      <c r="CA150" s="478"/>
      <c r="CB150" s="478"/>
      <c r="CC150" s="478"/>
      <c r="CD150" s="478"/>
      <c r="CE150" s="478"/>
      <c r="CF150" s="478"/>
      <c r="CG150" s="478"/>
      <c r="CH150" s="478"/>
      <c r="CI150" s="478"/>
      <c r="CJ150" s="478"/>
      <c r="CK150" s="478"/>
      <c r="CL150" s="478"/>
      <c r="CM150" s="478"/>
      <c r="CN150" s="478"/>
      <c r="CO150" s="478"/>
      <c r="CP150" s="478"/>
      <c r="CQ150" s="478"/>
      <c r="CR150" s="478"/>
      <c r="CS150" s="478"/>
      <c r="CT150" s="478"/>
      <c r="CU150" s="478"/>
      <c r="CV150" s="478"/>
      <c r="CW150" s="478"/>
      <c r="CX150" s="478"/>
      <c r="CY150" s="478"/>
      <c r="CZ150" s="478"/>
    </row>
    <row r="151" spans="1:104" ht="14.25" customHeight="1" x14ac:dyDescent="0.2">
      <c r="A151" s="478"/>
      <c r="B151" s="504"/>
      <c r="C151" s="478"/>
      <c r="D151" s="478"/>
      <c r="E151" s="478"/>
      <c r="F151" s="478"/>
      <c r="G151" s="478"/>
      <c r="H151" s="478"/>
      <c r="I151" s="478"/>
      <c r="J151" s="478"/>
      <c r="K151" s="478"/>
      <c r="L151" s="478"/>
      <c r="M151" s="478"/>
      <c r="N151" s="478"/>
      <c r="O151" s="478"/>
      <c r="P151" s="478"/>
      <c r="Q151" s="478"/>
      <c r="R151" s="478"/>
      <c r="S151" s="478"/>
      <c r="T151" s="505"/>
      <c r="U151" s="478"/>
      <c r="V151" s="478"/>
      <c r="W151" s="506"/>
      <c r="X151" s="507"/>
      <c r="Y151" s="507"/>
      <c r="Z151" s="507"/>
      <c r="AA151" s="507"/>
      <c r="AB151" s="507"/>
      <c r="AC151" s="507"/>
      <c r="AD151" s="507"/>
      <c r="AE151" s="507"/>
      <c r="AF151" s="507"/>
      <c r="AG151" s="507"/>
      <c r="AH151" s="507"/>
      <c r="AI151" s="507"/>
      <c r="AJ151" s="507"/>
      <c r="AK151" s="507"/>
      <c r="AL151" s="478"/>
      <c r="AM151" s="478"/>
      <c r="AN151" s="478"/>
      <c r="AO151" s="478"/>
      <c r="AP151" s="478"/>
      <c r="AQ151" s="478"/>
      <c r="AR151" s="478"/>
      <c r="AS151" s="478"/>
      <c r="AT151" s="478"/>
      <c r="AU151" s="478"/>
      <c r="AV151" s="478"/>
      <c r="AW151" s="478"/>
      <c r="AX151" s="478"/>
      <c r="AY151" s="478"/>
      <c r="AZ151" s="478"/>
      <c r="BA151" s="478"/>
      <c r="BB151" s="478"/>
      <c r="BC151" s="478"/>
      <c r="BD151" s="478"/>
      <c r="BE151" s="478"/>
      <c r="BF151" s="478"/>
      <c r="BG151" s="478"/>
      <c r="BH151" s="478"/>
      <c r="BI151" s="478"/>
      <c r="BJ151" s="478"/>
      <c r="BK151" s="478"/>
      <c r="BL151" s="478"/>
      <c r="BM151" s="478"/>
      <c r="BN151" s="478"/>
      <c r="BO151" s="478"/>
      <c r="BP151" s="478"/>
      <c r="BQ151" s="478"/>
      <c r="BR151" s="478"/>
      <c r="BS151" s="478"/>
      <c r="BT151" s="478"/>
      <c r="BU151" s="478"/>
      <c r="BV151" s="478"/>
      <c r="BW151" s="478"/>
      <c r="BX151" s="478"/>
      <c r="BY151" s="478"/>
      <c r="BZ151" s="478"/>
      <c r="CA151" s="478"/>
      <c r="CB151" s="478"/>
      <c r="CC151" s="478"/>
      <c r="CD151" s="478"/>
      <c r="CE151" s="478"/>
      <c r="CF151" s="478"/>
      <c r="CG151" s="478"/>
      <c r="CH151" s="478"/>
      <c r="CI151" s="478"/>
      <c r="CJ151" s="478"/>
      <c r="CK151" s="478"/>
      <c r="CL151" s="478"/>
      <c r="CM151" s="478"/>
      <c r="CN151" s="478"/>
      <c r="CO151" s="478"/>
      <c r="CP151" s="478"/>
      <c r="CQ151" s="478"/>
      <c r="CR151" s="478"/>
      <c r="CS151" s="478"/>
      <c r="CT151" s="478"/>
      <c r="CU151" s="478"/>
      <c r="CV151" s="478"/>
      <c r="CW151" s="478"/>
      <c r="CX151" s="478"/>
      <c r="CY151" s="478"/>
      <c r="CZ151" s="478"/>
    </row>
    <row r="152" spans="1:104" ht="14.25" customHeight="1" x14ac:dyDescent="0.2">
      <c r="A152" s="478"/>
      <c r="B152" s="504"/>
      <c r="C152" s="478"/>
      <c r="D152" s="478"/>
      <c r="E152" s="478"/>
      <c r="F152" s="478"/>
      <c r="G152" s="478"/>
      <c r="H152" s="478"/>
      <c r="I152" s="478"/>
      <c r="J152" s="478"/>
      <c r="K152" s="478"/>
      <c r="L152" s="478"/>
      <c r="M152" s="478"/>
      <c r="N152" s="478"/>
      <c r="O152" s="478"/>
      <c r="P152" s="478"/>
      <c r="Q152" s="478"/>
      <c r="R152" s="478"/>
      <c r="S152" s="478"/>
      <c r="T152" s="505"/>
      <c r="U152" s="478"/>
      <c r="V152" s="478"/>
      <c r="W152" s="506"/>
      <c r="X152" s="507"/>
      <c r="Y152" s="507"/>
      <c r="Z152" s="507"/>
      <c r="AA152" s="507"/>
      <c r="AB152" s="507"/>
      <c r="AC152" s="507"/>
      <c r="AD152" s="507"/>
      <c r="AE152" s="507"/>
      <c r="AF152" s="507"/>
      <c r="AG152" s="507"/>
      <c r="AH152" s="507"/>
      <c r="AI152" s="507"/>
      <c r="AJ152" s="507"/>
      <c r="AK152" s="507"/>
      <c r="AL152" s="478"/>
      <c r="AM152" s="478"/>
      <c r="AN152" s="478"/>
      <c r="AO152" s="478"/>
      <c r="AP152" s="478"/>
      <c r="AQ152" s="478"/>
      <c r="AR152" s="478"/>
      <c r="AS152" s="478"/>
      <c r="AT152" s="478"/>
      <c r="AU152" s="478"/>
      <c r="AV152" s="478"/>
      <c r="AW152" s="478"/>
      <c r="AX152" s="478"/>
      <c r="AY152" s="478"/>
      <c r="AZ152" s="478"/>
      <c r="BA152" s="478"/>
      <c r="BB152" s="478"/>
      <c r="BC152" s="478"/>
      <c r="BD152" s="478"/>
      <c r="BE152" s="478"/>
      <c r="BF152" s="478"/>
      <c r="BG152" s="478"/>
      <c r="BH152" s="478"/>
      <c r="BI152" s="478"/>
      <c r="BJ152" s="478"/>
      <c r="BK152" s="478"/>
      <c r="BL152" s="478"/>
      <c r="BM152" s="478"/>
      <c r="BN152" s="478"/>
      <c r="BO152" s="478"/>
      <c r="BP152" s="478"/>
      <c r="BQ152" s="478"/>
      <c r="BR152" s="478"/>
      <c r="BS152" s="478"/>
      <c r="BT152" s="478"/>
      <c r="BU152" s="478"/>
      <c r="BV152" s="478"/>
      <c r="BW152" s="478"/>
      <c r="BX152" s="478"/>
      <c r="BY152" s="478"/>
      <c r="BZ152" s="478"/>
      <c r="CA152" s="478"/>
      <c r="CB152" s="478"/>
      <c r="CC152" s="478"/>
      <c r="CD152" s="478"/>
      <c r="CE152" s="478"/>
      <c r="CF152" s="478"/>
      <c r="CG152" s="478"/>
      <c r="CH152" s="478"/>
      <c r="CI152" s="478"/>
      <c r="CJ152" s="478"/>
      <c r="CK152" s="478"/>
      <c r="CL152" s="478"/>
      <c r="CM152" s="478"/>
      <c r="CN152" s="478"/>
      <c r="CO152" s="478"/>
      <c r="CP152" s="478"/>
      <c r="CQ152" s="478"/>
      <c r="CR152" s="478"/>
      <c r="CS152" s="478"/>
      <c r="CT152" s="478"/>
      <c r="CU152" s="478"/>
      <c r="CV152" s="478"/>
      <c r="CW152" s="478"/>
      <c r="CX152" s="478"/>
      <c r="CY152" s="478"/>
      <c r="CZ152" s="478"/>
    </row>
    <row r="153" spans="1:104" ht="14.25" customHeight="1" x14ac:dyDescent="0.2">
      <c r="A153" s="478"/>
      <c r="B153" s="504"/>
      <c r="C153" s="478"/>
      <c r="D153" s="478"/>
      <c r="E153" s="478"/>
      <c r="F153" s="478"/>
      <c r="G153" s="478"/>
      <c r="H153" s="478"/>
      <c r="I153" s="478"/>
      <c r="J153" s="478"/>
      <c r="K153" s="478"/>
      <c r="L153" s="478"/>
      <c r="M153" s="478"/>
      <c r="N153" s="478"/>
      <c r="O153" s="478"/>
      <c r="P153" s="478"/>
      <c r="Q153" s="478"/>
      <c r="R153" s="478"/>
      <c r="S153" s="478"/>
      <c r="T153" s="505"/>
      <c r="U153" s="478"/>
      <c r="V153" s="478"/>
      <c r="W153" s="506"/>
      <c r="X153" s="507"/>
      <c r="Y153" s="507"/>
      <c r="Z153" s="507"/>
      <c r="AA153" s="507"/>
      <c r="AB153" s="507"/>
      <c r="AC153" s="507"/>
      <c r="AD153" s="507"/>
      <c r="AE153" s="507"/>
      <c r="AF153" s="507"/>
      <c r="AG153" s="507"/>
      <c r="AH153" s="507"/>
      <c r="AI153" s="507"/>
      <c r="AJ153" s="507"/>
      <c r="AK153" s="507"/>
      <c r="AL153" s="478"/>
      <c r="AM153" s="478"/>
      <c r="AN153" s="478"/>
      <c r="AO153" s="478"/>
      <c r="AP153" s="478"/>
      <c r="AQ153" s="478"/>
      <c r="AR153" s="478"/>
      <c r="AS153" s="478"/>
      <c r="AT153" s="478"/>
      <c r="AU153" s="478"/>
      <c r="AV153" s="478"/>
      <c r="AW153" s="478"/>
      <c r="AX153" s="478"/>
      <c r="AY153" s="478"/>
      <c r="AZ153" s="478"/>
      <c r="BA153" s="478"/>
      <c r="BB153" s="478"/>
      <c r="BC153" s="478"/>
      <c r="BD153" s="478"/>
      <c r="BE153" s="478"/>
      <c r="BF153" s="478"/>
      <c r="BG153" s="478"/>
      <c r="BH153" s="478"/>
      <c r="BI153" s="478"/>
      <c r="BJ153" s="478"/>
      <c r="BK153" s="478"/>
      <c r="BL153" s="478"/>
      <c r="BM153" s="478"/>
      <c r="BN153" s="478"/>
      <c r="BO153" s="478"/>
      <c r="BP153" s="478"/>
      <c r="BQ153" s="478"/>
      <c r="BR153" s="478"/>
      <c r="BS153" s="478"/>
      <c r="BT153" s="478"/>
      <c r="BU153" s="478"/>
      <c r="BV153" s="478"/>
      <c r="BW153" s="478"/>
      <c r="BX153" s="478"/>
      <c r="BY153" s="478"/>
      <c r="BZ153" s="478"/>
      <c r="CA153" s="478"/>
      <c r="CB153" s="478"/>
      <c r="CC153" s="478"/>
      <c r="CD153" s="478"/>
      <c r="CE153" s="478"/>
      <c r="CF153" s="478"/>
      <c r="CG153" s="478"/>
      <c r="CH153" s="478"/>
      <c r="CI153" s="478"/>
      <c r="CJ153" s="478"/>
      <c r="CK153" s="478"/>
      <c r="CL153" s="478"/>
      <c r="CM153" s="478"/>
      <c r="CN153" s="478"/>
      <c r="CO153" s="478"/>
      <c r="CP153" s="478"/>
      <c r="CQ153" s="478"/>
      <c r="CR153" s="478"/>
      <c r="CS153" s="478"/>
      <c r="CT153" s="478"/>
      <c r="CU153" s="478"/>
      <c r="CV153" s="478"/>
      <c r="CW153" s="478"/>
      <c r="CX153" s="478"/>
      <c r="CY153" s="478"/>
      <c r="CZ153" s="478"/>
    </row>
    <row r="154" spans="1:104" ht="14.25" customHeight="1" x14ac:dyDescent="0.2">
      <c r="A154" s="478"/>
      <c r="B154" s="504"/>
      <c r="C154" s="478"/>
      <c r="D154" s="478"/>
      <c r="E154" s="478"/>
      <c r="F154" s="478"/>
      <c r="G154" s="478"/>
      <c r="H154" s="478"/>
      <c r="I154" s="478"/>
      <c r="J154" s="478"/>
      <c r="K154" s="478"/>
      <c r="L154" s="478"/>
      <c r="M154" s="478"/>
      <c r="N154" s="478"/>
      <c r="O154" s="478"/>
      <c r="P154" s="478"/>
      <c r="Q154" s="478"/>
      <c r="R154" s="478"/>
      <c r="S154" s="478"/>
      <c r="T154" s="505"/>
      <c r="U154" s="478"/>
      <c r="V154" s="478"/>
      <c r="W154" s="506"/>
      <c r="X154" s="507"/>
      <c r="Y154" s="507"/>
      <c r="Z154" s="507"/>
      <c r="AA154" s="507"/>
      <c r="AB154" s="507"/>
      <c r="AC154" s="507"/>
      <c r="AD154" s="507"/>
      <c r="AE154" s="507"/>
      <c r="AF154" s="507"/>
      <c r="AG154" s="507"/>
      <c r="AH154" s="507"/>
      <c r="AI154" s="507"/>
      <c r="AJ154" s="507"/>
      <c r="AK154" s="507"/>
      <c r="AL154" s="478"/>
      <c r="AM154" s="478"/>
      <c r="AN154" s="478"/>
      <c r="AO154" s="478"/>
      <c r="AP154" s="478"/>
      <c r="AQ154" s="478"/>
      <c r="AR154" s="478"/>
      <c r="AS154" s="478"/>
      <c r="AT154" s="478"/>
      <c r="AU154" s="478"/>
      <c r="AV154" s="478"/>
      <c r="AW154" s="478"/>
      <c r="AX154" s="478"/>
      <c r="AY154" s="478"/>
      <c r="AZ154" s="478"/>
      <c r="BA154" s="478"/>
      <c r="BB154" s="478"/>
      <c r="BC154" s="478"/>
      <c r="BD154" s="478"/>
      <c r="BE154" s="478"/>
      <c r="BF154" s="478"/>
      <c r="BG154" s="478"/>
      <c r="BH154" s="478"/>
      <c r="BI154" s="478"/>
      <c r="BJ154" s="478"/>
      <c r="BK154" s="478"/>
      <c r="BL154" s="478"/>
      <c r="BM154" s="478"/>
      <c r="BN154" s="478"/>
      <c r="BO154" s="478"/>
      <c r="BP154" s="478"/>
      <c r="BQ154" s="478"/>
      <c r="BR154" s="478"/>
      <c r="BS154" s="478"/>
      <c r="BT154" s="478"/>
      <c r="BU154" s="478"/>
      <c r="BV154" s="478"/>
      <c r="BW154" s="478"/>
      <c r="BX154" s="478"/>
      <c r="BY154" s="478"/>
      <c r="BZ154" s="478"/>
      <c r="CA154" s="478"/>
      <c r="CB154" s="478"/>
      <c r="CC154" s="478"/>
      <c r="CD154" s="478"/>
      <c r="CE154" s="478"/>
      <c r="CF154" s="478"/>
      <c r="CG154" s="478"/>
      <c r="CH154" s="478"/>
      <c r="CI154" s="478"/>
      <c r="CJ154" s="478"/>
      <c r="CK154" s="478"/>
      <c r="CL154" s="478"/>
      <c r="CM154" s="478"/>
      <c r="CN154" s="478"/>
      <c r="CO154" s="478"/>
      <c r="CP154" s="478"/>
      <c r="CQ154" s="478"/>
      <c r="CR154" s="478"/>
      <c r="CS154" s="478"/>
      <c r="CT154" s="478"/>
      <c r="CU154" s="478"/>
      <c r="CV154" s="478"/>
      <c r="CW154" s="478"/>
      <c r="CX154" s="478"/>
      <c r="CY154" s="478"/>
      <c r="CZ154" s="478"/>
    </row>
    <row r="155" spans="1:104" ht="14.25" customHeight="1" x14ac:dyDescent="0.2">
      <c r="A155" s="478"/>
      <c r="B155" s="504"/>
      <c r="C155" s="478"/>
      <c r="D155" s="478"/>
      <c r="E155" s="478"/>
      <c r="F155" s="478"/>
      <c r="G155" s="478"/>
      <c r="H155" s="478"/>
      <c r="I155" s="478"/>
      <c r="J155" s="478"/>
      <c r="K155" s="478"/>
      <c r="L155" s="478"/>
      <c r="M155" s="478"/>
      <c r="N155" s="478"/>
      <c r="O155" s="478"/>
      <c r="P155" s="478"/>
      <c r="Q155" s="478"/>
      <c r="R155" s="478"/>
      <c r="S155" s="478"/>
      <c r="T155" s="505"/>
      <c r="U155" s="478"/>
      <c r="V155" s="478"/>
      <c r="W155" s="506"/>
      <c r="X155" s="507"/>
      <c r="Y155" s="507"/>
      <c r="Z155" s="507"/>
      <c r="AA155" s="507"/>
      <c r="AB155" s="507"/>
      <c r="AC155" s="507"/>
      <c r="AD155" s="507"/>
      <c r="AE155" s="507"/>
      <c r="AF155" s="507"/>
      <c r="AG155" s="507"/>
      <c r="AH155" s="507"/>
      <c r="AI155" s="507"/>
      <c r="AJ155" s="507"/>
      <c r="AK155" s="507"/>
      <c r="AL155" s="478"/>
      <c r="AM155" s="478"/>
      <c r="AN155" s="478"/>
      <c r="AO155" s="478"/>
      <c r="AP155" s="478"/>
      <c r="AQ155" s="478"/>
      <c r="AR155" s="478"/>
      <c r="AS155" s="478"/>
      <c r="AT155" s="478"/>
      <c r="AU155" s="478"/>
      <c r="AV155" s="478"/>
      <c r="AW155" s="478"/>
      <c r="AX155" s="478"/>
      <c r="AY155" s="478"/>
      <c r="AZ155" s="478"/>
      <c r="BA155" s="478"/>
      <c r="BB155" s="478"/>
      <c r="BC155" s="478"/>
      <c r="BD155" s="478"/>
      <c r="BE155" s="478"/>
      <c r="BF155" s="478"/>
      <c r="BG155" s="478"/>
      <c r="BH155" s="478"/>
      <c r="BI155" s="478"/>
      <c r="BJ155" s="478"/>
      <c r="BK155" s="478"/>
      <c r="BL155" s="478"/>
      <c r="BM155" s="478"/>
      <c r="BN155" s="478"/>
      <c r="BO155" s="478"/>
      <c r="BP155" s="478"/>
      <c r="BQ155" s="478"/>
      <c r="BR155" s="478"/>
      <c r="BS155" s="478"/>
      <c r="BT155" s="478"/>
      <c r="BU155" s="478"/>
      <c r="BV155" s="478"/>
      <c r="BW155" s="478"/>
      <c r="BX155" s="478"/>
      <c r="BY155" s="478"/>
      <c r="BZ155" s="478"/>
      <c r="CA155" s="478"/>
      <c r="CB155" s="478"/>
      <c r="CC155" s="478"/>
      <c r="CD155" s="478"/>
      <c r="CE155" s="478"/>
      <c r="CF155" s="478"/>
      <c r="CG155" s="478"/>
      <c r="CH155" s="478"/>
      <c r="CI155" s="478"/>
      <c r="CJ155" s="478"/>
      <c r="CK155" s="478"/>
      <c r="CL155" s="478"/>
      <c r="CM155" s="478"/>
      <c r="CN155" s="478"/>
      <c r="CO155" s="478"/>
      <c r="CP155" s="478"/>
      <c r="CQ155" s="478"/>
      <c r="CR155" s="478"/>
      <c r="CS155" s="478"/>
      <c r="CT155" s="478"/>
      <c r="CU155" s="478"/>
      <c r="CV155" s="478"/>
      <c r="CW155" s="478"/>
      <c r="CX155" s="478"/>
      <c r="CY155" s="478"/>
      <c r="CZ155" s="478"/>
    </row>
    <row r="156" spans="1:104" ht="14.25" customHeight="1" x14ac:dyDescent="0.2">
      <c r="A156" s="478"/>
      <c r="B156" s="504"/>
      <c r="C156" s="478"/>
      <c r="D156" s="478"/>
      <c r="E156" s="478"/>
      <c r="F156" s="478"/>
      <c r="G156" s="478"/>
      <c r="H156" s="478"/>
      <c r="I156" s="478"/>
      <c r="J156" s="478"/>
      <c r="K156" s="478"/>
      <c r="L156" s="478"/>
      <c r="M156" s="478"/>
      <c r="N156" s="478"/>
      <c r="O156" s="478"/>
      <c r="P156" s="478"/>
      <c r="Q156" s="478"/>
      <c r="R156" s="478"/>
      <c r="S156" s="478"/>
      <c r="T156" s="505"/>
      <c r="U156" s="478"/>
      <c r="V156" s="478"/>
      <c r="W156" s="506"/>
      <c r="X156" s="507"/>
      <c r="Y156" s="507"/>
      <c r="Z156" s="507"/>
      <c r="AA156" s="507"/>
      <c r="AB156" s="507"/>
      <c r="AC156" s="507"/>
      <c r="AD156" s="507"/>
      <c r="AE156" s="507"/>
      <c r="AF156" s="507"/>
      <c r="AG156" s="507"/>
      <c r="AH156" s="507"/>
      <c r="AI156" s="507"/>
      <c r="AJ156" s="507"/>
      <c r="AK156" s="507"/>
      <c r="AL156" s="478"/>
      <c r="AM156" s="478"/>
      <c r="AN156" s="478"/>
      <c r="AO156" s="478"/>
      <c r="AP156" s="478"/>
      <c r="AQ156" s="478"/>
      <c r="AR156" s="478"/>
      <c r="AS156" s="478"/>
      <c r="AT156" s="478"/>
      <c r="AU156" s="478"/>
      <c r="AV156" s="478"/>
      <c r="AW156" s="478"/>
      <c r="AX156" s="478"/>
      <c r="AY156" s="478"/>
      <c r="AZ156" s="478"/>
      <c r="BA156" s="478"/>
      <c r="BB156" s="478"/>
      <c r="BC156" s="478"/>
      <c r="BD156" s="478"/>
      <c r="BE156" s="478"/>
      <c r="BF156" s="478"/>
      <c r="BG156" s="478"/>
      <c r="BH156" s="478"/>
      <c r="BI156" s="478"/>
      <c r="BJ156" s="478"/>
      <c r="BK156" s="478"/>
      <c r="BL156" s="478"/>
      <c r="BM156" s="478"/>
      <c r="BN156" s="478"/>
      <c r="BO156" s="478"/>
      <c r="BP156" s="478"/>
      <c r="BQ156" s="478"/>
      <c r="BR156" s="478"/>
      <c r="BS156" s="478"/>
      <c r="BT156" s="478"/>
      <c r="BU156" s="478"/>
      <c r="BV156" s="478"/>
      <c r="BW156" s="478"/>
      <c r="BX156" s="478"/>
      <c r="BY156" s="478"/>
      <c r="BZ156" s="478"/>
      <c r="CA156" s="478"/>
      <c r="CB156" s="478"/>
      <c r="CC156" s="478"/>
      <c r="CD156" s="478"/>
      <c r="CE156" s="478"/>
      <c r="CF156" s="478"/>
      <c r="CG156" s="478"/>
      <c r="CH156" s="478"/>
      <c r="CI156" s="478"/>
      <c r="CJ156" s="478"/>
      <c r="CK156" s="478"/>
      <c r="CL156" s="478"/>
      <c r="CM156" s="478"/>
      <c r="CN156" s="478"/>
      <c r="CO156" s="478"/>
      <c r="CP156" s="478"/>
      <c r="CQ156" s="478"/>
      <c r="CR156" s="478"/>
      <c r="CS156" s="478"/>
      <c r="CT156" s="478"/>
      <c r="CU156" s="478"/>
      <c r="CV156" s="478"/>
      <c r="CW156" s="478"/>
      <c r="CX156" s="478"/>
      <c r="CY156" s="478"/>
      <c r="CZ156" s="478"/>
    </row>
    <row r="157" spans="1:104" ht="14.25" customHeight="1" x14ac:dyDescent="0.2">
      <c r="A157" s="478"/>
      <c r="B157" s="504"/>
      <c r="C157" s="478"/>
      <c r="D157" s="478"/>
      <c r="E157" s="478"/>
      <c r="F157" s="478"/>
      <c r="G157" s="478"/>
      <c r="H157" s="478"/>
      <c r="I157" s="478"/>
      <c r="J157" s="478"/>
      <c r="K157" s="478"/>
      <c r="L157" s="478"/>
      <c r="M157" s="478"/>
      <c r="N157" s="478"/>
      <c r="O157" s="478"/>
      <c r="P157" s="478"/>
      <c r="Q157" s="478"/>
      <c r="R157" s="478"/>
      <c r="S157" s="478"/>
      <c r="T157" s="505"/>
      <c r="U157" s="478"/>
      <c r="V157" s="478"/>
      <c r="W157" s="506"/>
      <c r="X157" s="507"/>
      <c r="Y157" s="507"/>
      <c r="Z157" s="507"/>
      <c r="AA157" s="507"/>
      <c r="AB157" s="507"/>
      <c r="AC157" s="507"/>
      <c r="AD157" s="507"/>
      <c r="AE157" s="507"/>
      <c r="AF157" s="507"/>
      <c r="AG157" s="507"/>
      <c r="AH157" s="507"/>
      <c r="AI157" s="507"/>
      <c r="AJ157" s="507"/>
      <c r="AK157" s="507"/>
      <c r="AL157" s="478"/>
      <c r="AM157" s="478"/>
      <c r="AN157" s="478"/>
      <c r="AO157" s="478"/>
      <c r="AP157" s="478"/>
      <c r="AQ157" s="478"/>
      <c r="AR157" s="478"/>
      <c r="AS157" s="478"/>
      <c r="AT157" s="478"/>
      <c r="AU157" s="478"/>
      <c r="AV157" s="478"/>
      <c r="AW157" s="478"/>
      <c r="AX157" s="478"/>
      <c r="AY157" s="478"/>
      <c r="AZ157" s="478"/>
      <c r="BA157" s="478"/>
      <c r="BB157" s="478"/>
      <c r="BC157" s="478"/>
      <c r="BD157" s="478"/>
      <c r="BE157" s="478"/>
      <c r="BF157" s="478"/>
      <c r="BG157" s="478"/>
      <c r="BH157" s="478"/>
      <c r="BI157" s="478"/>
      <c r="BJ157" s="478"/>
      <c r="BK157" s="478"/>
      <c r="BL157" s="478"/>
      <c r="BM157" s="478"/>
      <c r="BN157" s="478"/>
      <c r="BO157" s="478"/>
      <c r="BP157" s="478"/>
      <c r="BQ157" s="478"/>
      <c r="BR157" s="478"/>
      <c r="BS157" s="478"/>
      <c r="BT157" s="478"/>
      <c r="BU157" s="478"/>
      <c r="BV157" s="478"/>
      <c r="BW157" s="478"/>
      <c r="BX157" s="478"/>
      <c r="BY157" s="478"/>
      <c r="BZ157" s="478"/>
      <c r="CA157" s="478"/>
      <c r="CB157" s="478"/>
      <c r="CC157" s="478"/>
      <c r="CD157" s="478"/>
      <c r="CE157" s="478"/>
      <c r="CF157" s="478"/>
      <c r="CG157" s="478"/>
      <c r="CH157" s="478"/>
      <c r="CI157" s="478"/>
      <c r="CJ157" s="478"/>
      <c r="CK157" s="478"/>
      <c r="CL157" s="478"/>
      <c r="CM157" s="478"/>
      <c r="CN157" s="478"/>
      <c r="CO157" s="478"/>
      <c r="CP157" s="478"/>
      <c r="CQ157" s="478"/>
      <c r="CR157" s="478"/>
      <c r="CS157" s="478"/>
      <c r="CT157" s="478"/>
      <c r="CU157" s="478"/>
      <c r="CV157" s="478"/>
      <c r="CW157" s="478"/>
      <c r="CX157" s="478"/>
      <c r="CY157" s="478"/>
      <c r="CZ157" s="478"/>
    </row>
    <row r="158" spans="1:104" ht="14.25" customHeight="1" x14ac:dyDescent="0.2">
      <c r="A158" s="478"/>
      <c r="B158" s="504"/>
      <c r="C158" s="478"/>
      <c r="D158" s="478"/>
      <c r="E158" s="478"/>
      <c r="F158" s="478"/>
      <c r="G158" s="478"/>
      <c r="H158" s="478"/>
      <c r="I158" s="478"/>
      <c r="J158" s="478"/>
      <c r="K158" s="478"/>
      <c r="L158" s="478"/>
      <c r="M158" s="478"/>
      <c r="N158" s="478"/>
      <c r="O158" s="478"/>
      <c r="P158" s="478"/>
      <c r="Q158" s="478"/>
      <c r="R158" s="478"/>
      <c r="S158" s="478"/>
      <c r="T158" s="505"/>
      <c r="U158" s="478"/>
      <c r="V158" s="478"/>
      <c r="W158" s="506"/>
      <c r="X158" s="507"/>
      <c r="Y158" s="507"/>
      <c r="Z158" s="507"/>
      <c r="AA158" s="507"/>
      <c r="AB158" s="507"/>
      <c r="AC158" s="507"/>
      <c r="AD158" s="507"/>
      <c r="AE158" s="507"/>
      <c r="AF158" s="507"/>
      <c r="AG158" s="507"/>
      <c r="AH158" s="507"/>
      <c r="AI158" s="507"/>
      <c r="AJ158" s="507"/>
      <c r="AK158" s="507"/>
      <c r="AL158" s="478"/>
      <c r="AM158" s="478"/>
      <c r="AN158" s="478"/>
      <c r="AO158" s="478"/>
      <c r="AP158" s="478"/>
      <c r="AQ158" s="478"/>
      <c r="AR158" s="478"/>
      <c r="AS158" s="478"/>
      <c r="AT158" s="478"/>
      <c r="AU158" s="478"/>
      <c r="AV158" s="478"/>
      <c r="AW158" s="478"/>
      <c r="AX158" s="478"/>
      <c r="AY158" s="478"/>
      <c r="AZ158" s="478"/>
      <c r="BA158" s="478"/>
      <c r="BB158" s="478"/>
      <c r="BC158" s="478"/>
      <c r="BD158" s="478"/>
      <c r="BE158" s="478"/>
      <c r="BF158" s="478"/>
      <c r="BG158" s="478"/>
      <c r="BH158" s="478"/>
      <c r="BI158" s="478"/>
      <c r="BJ158" s="478"/>
      <c r="BK158" s="478"/>
      <c r="BL158" s="478"/>
      <c r="BM158" s="478"/>
      <c r="BN158" s="478"/>
      <c r="BO158" s="478"/>
      <c r="BP158" s="478"/>
      <c r="BQ158" s="478"/>
      <c r="BR158" s="478"/>
      <c r="BS158" s="478"/>
      <c r="BT158" s="478"/>
      <c r="BU158" s="478"/>
      <c r="BV158" s="478"/>
      <c r="BW158" s="478"/>
      <c r="BX158" s="478"/>
      <c r="BY158" s="478"/>
      <c r="BZ158" s="478"/>
      <c r="CA158" s="478"/>
      <c r="CB158" s="478"/>
      <c r="CC158" s="478"/>
      <c r="CD158" s="478"/>
      <c r="CE158" s="478"/>
      <c r="CF158" s="478"/>
      <c r="CG158" s="478"/>
      <c r="CH158" s="478"/>
      <c r="CI158" s="478"/>
      <c r="CJ158" s="478"/>
      <c r="CK158" s="478"/>
      <c r="CL158" s="478"/>
      <c r="CM158" s="478"/>
      <c r="CN158" s="478"/>
      <c r="CO158" s="478"/>
      <c r="CP158" s="478"/>
      <c r="CQ158" s="478"/>
      <c r="CR158" s="478"/>
      <c r="CS158" s="478"/>
      <c r="CT158" s="478"/>
      <c r="CU158" s="478"/>
      <c r="CV158" s="478"/>
      <c r="CW158" s="478"/>
      <c r="CX158" s="478"/>
      <c r="CY158" s="478"/>
      <c r="CZ158" s="478"/>
    </row>
    <row r="159" spans="1:104" ht="14.25" customHeight="1" x14ac:dyDescent="0.2">
      <c r="A159" s="478"/>
      <c r="B159" s="504"/>
      <c r="C159" s="478"/>
      <c r="D159" s="478"/>
      <c r="E159" s="478"/>
      <c r="F159" s="478"/>
      <c r="G159" s="478"/>
      <c r="H159" s="478"/>
      <c r="I159" s="478"/>
      <c r="J159" s="478"/>
      <c r="K159" s="478"/>
      <c r="L159" s="478"/>
      <c r="M159" s="478"/>
      <c r="N159" s="478"/>
      <c r="O159" s="478"/>
      <c r="P159" s="478"/>
      <c r="Q159" s="478"/>
      <c r="R159" s="478"/>
      <c r="S159" s="478"/>
      <c r="T159" s="505"/>
      <c r="U159" s="478"/>
      <c r="V159" s="478"/>
      <c r="W159" s="506"/>
      <c r="X159" s="507"/>
      <c r="Y159" s="507"/>
      <c r="Z159" s="507"/>
      <c r="AA159" s="507"/>
      <c r="AB159" s="507"/>
      <c r="AC159" s="507"/>
      <c r="AD159" s="507"/>
      <c r="AE159" s="507"/>
      <c r="AF159" s="507"/>
      <c r="AG159" s="507"/>
      <c r="AH159" s="507"/>
      <c r="AI159" s="507"/>
      <c r="AJ159" s="507"/>
      <c r="AK159" s="507"/>
      <c r="AL159" s="478"/>
      <c r="AM159" s="478"/>
      <c r="AN159" s="478"/>
      <c r="AO159" s="478"/>
      <c r="AP159" s="478"/>
      <c r="AQ159" s="478"/>
      <c r="AR159" s="478"/>
      <c r="AS159" s="478"/>
      <c r="AT159" s="478"/>
      <c r="AU159" s="478"/>
      <c r="AV159" s="478"/>
      <c r="AW159" s="478"/>
      <c r="AX159" s="478"/>
      <c r="AY159" s="478"/>
      <c r="AZ159" s="478"/>
      <c r="BA159" s="478"/>
      <c r="BB159" s="478"/>
      <c r="BC159" s="478"/>
      <c r="BD159" s="478"/>
      <c r="BE159" s="478"/>
      <c r="BF159" s="478"/>
      <c r="BG159" s="478"/>
      <c r="BH159" s="478"/>
      <c r="BI159" s="478"/>
      <c r="BJ159" s="478"/>
      <c r="BK159" s="478"/>
      <c r="BL159" s="478"/>
      <c r="BM159" s="478"/>
      <c r="BN159" s="478"/>
      <c r="BO159" s="478"/>
      <c r="BP159" s="478"/>
      <c r="BQ159" s="478"/>
      <c r="BR159" s="478"/>
      <c r="BS159" s="478"/>
      <c r="BT159" s="478"/>
      <c r="BU159" s="478"/>
      <c r="BV159" s="478"/>
      <c r="BW159" s="478"/>
      <c r="BX159" s="478"/>
      <c r="BY159" s="478"/>
      <c r="BZ159" s="478"/>
      <c r="CA159" s="478"/>
      <c r="CB159" s="478"/>
      <c r="CC159" s="478"/>
      <c r="CD159" s="478"/>
      <c r="CE159" s="478"/>
      <c r="CF159" s="478"/>
      <c r="CG159" s="478"/>
      <c r="CH159" s="478"/>
      <c r="CI159" s="478"/>
      <c r="CJ159" s="478"/>
      <c r="CK159" s="478"/>
      <c r="CL159" s="478"/>
      <c r="CM159" s="478"/>
      <c r="CN159" s="478"/>
      <c r="CO159" s="478"/>
      <c r="CP159" s="478"/>
      <c r="CQ159" s="478"/>
      <c r="CR159" s="478"/>
      <c r="CS159" s="478"/>
      <c r="CT159" s="478"/>
      <c r="CU159" s="478"/>
      <c r="CV159" s="478"/>
      <c r="CW159" s="478"/>
      <c r="CX159" s="478"/>
      <c r="CY159" s="478"/>
      <c r="CZ159" s="478"/>
    </row>
    <row r="160" spans="1:104" ht="14.25" customHeight="1" x14ac:dyDescent="0.2">
      <c r="A160" s="478"/>
      <c r="B160" s="504"/>
      <c r="C160" s="478"/>
      <c r="D160" s="478"/>
      <c r="E160" s="478"/>
      <c r="F160" s="478"/>
      <c r="G160" s="478"/>
      <c r="H160" s="478"/>
      <c r="I160" s="478"/>
      <c r="J160" s="478"/>
      <c r="K160" s="478"/>
      <c r="L160" s="478"/>
      <c r="M160" s="478"/>
      <c r="N160" s="478"/>
      <c r="O160" s="478"/>
      <c r="P160" s="478"/>
      <c r="Q160" s="478"/>
      <c r="R160" s="478"/>
      <c r="S160" s="478"/>
      <c r="T160" s="505"/>
      <c r="U160" s="478"/>
      <c r="V160" s="478"/>
      <c r="W160" s="506"/>
      <c r="X160" s="507"/>
      <c r="Y160" s="507"/>
      <c r="Z160" s="507"/>
      <c r="AA160" s="507"/>
      <c r="AB160" s="507"/>
      <c r="AC160" s="507"/>
      <c r="AD160" s="507"/>
      <c r="AE160" s="507"/>
      <c r="AF160" s="507"/>
      <c r="AG160" s="507"/>
      <c r="AH160" s="507"/>
      <c r="AI160" s="507"/>
      <c r="AJ160" s="507"/>
      <c r="AK160" s="507"/>
      <c r="AL160" s="478"/>
      <c r="AM160" s="478"/>
      <c r="AN160" s="478"/>
      <c r="AO160" s="478"/>
      <c r="AP160" s="478"/>
      <c r="AQ160" s="478"/>
      <c r="AR160" s="478"/>
      <c r="AS160" s="478"/>
      <c r="AT160" s="478"/>
      <c r="AU160" s="478"/>
      <c r="AV160" s="478"/>
      <c r="AW160" s="478"/>
      <c r="AX160" s="478"/>
      <c r="AY160" s="478"/>
      <c r="AZ160" s="478"/>
      <c r="BA160" s="478"/>
      <c r="BB160" s="478"/>
      <c r="BC160" s="478"/>
      <c r="BD160" s="478"/>
      <c r="BE160" s="478"/>
      <c r="BF160" s="478"/>
      <c r="BG160" s="478"/>
      <c r="BH160" s="478"/>
      <c r="BI160" s="478"/>
      <c r="BJ160" s="478"/>
      <c r="BK160" s="478"/>
      <c r="BL160" s="478"/>
      <c r="BM160" s="478"/>
      <c r="BN160" s="478"/>
      <c r="BO160" s="478"/>
      <c r="BP160" s="478"/>
      <c r="BQ160" s="478"/>
      <c r="BR160" s="478"/>
      <c r="BS160" s="478"/>
      <c r="BT160" s="478"/>
      <c r="BU160" s="478"/>
      <c r="BV160" s="478"/>
      <c r="BW160" s="478"/>
      <c r="BX160" s="478"/>
      <c r="BY160" s="478"/>
      <c r="BZ160" s="478"/>
      <c r="CA160" s="478"/>
      <c r="CB160" s="478"/>
      <c r="CC160" s="478"/>
      <c r="CD160" s="478"/>
      <c r="CE160" s="478"/>
      <c r="CF160" s="478"/>
      <c r="CG160" s="478"/>
      <c r="CH160" s="478"/>
      <c r="CI160" s="478"/>
      <c r="CJ160" s="478"/>
      <c r="CK160" s="478"/>
      <c r="CL160" s="478"/>
      <c r="CM160" s="478"/>
      <c r="CN160" s="478"/>
      <c r="CO160" s="478"/>
      <c r="CP160" s="478"/>
      <c r="CQ160" s="478"/>
      <c r="CR160" s="478"/>
      <c r="CS160" s="478"/>
      <c r="CT160" s="478"/>
      <c r="CU160" s="478"/>
      <c r="CV160" s="478"/>
      <c r="CW160" s="478"/>
      <c r="CX160" s="478"/>
      <c r="CY160" s="478"/>
      <c r="CZ160" s="478"/>
    </row>
    <row r="161" spans="1:104" ht="14.25" customHeight="1" x14ac:dyDescent="0.2">
      <c r="A161" s="478"/>
      <c r="B161" s="504"/>
      <c r="C161" s="478"/>
      <c r="D161" s="478"/>
      <c r="E161" s="478"/>
      <c r="F161" s="478"/>
      <c r="G161" s="478"/>
      <c r="H161" s="478"/>
      <c r="I161" s="478"/>
      <c r="J161" s="478"/>
      <c r="K161" s="478"/>
      <c r="L161" s="478"/>
      <c r="M161" s="478"/>
      <c r="N161" s="478"/>
      <c r="O161" s="478"/>
      <c r="P161" s="478"/>
      <c r="Q161" s="478"/>
      <c r="R161" s="478"/>
      <c r="S161" s="478"/>
      <c r="T161" s="505"/>
      <c r="U161" s="478"/>
      <c r="V161" s="478"/>
      <c r="W161" s="506"/>
      <c r="X161" s="507"/>
      <c r="Y161" s="507"/>
      <c r="Z161" s="507"/>
      <c r="AA161" s="507"/>
      <c r="AB161" s="507"/>
      <c r="AC161" s="507"/>
      <c r="AD161" s="507"/>
      <c r="AE161" s="507"/>
      <c r="AF161" s="507"/>
      <c r="AG161" s="507"/>
      <c r="AH161" s="507"/>
      <c r="AI161" s="507"/>
      <c r="AJ161" s="507"/>
      <c r="AK161" s="507"/>
      <c r="AL161" s="478"/>
      <c r="AM161" s="478"/>
      <c r="AN161" s="478"/>
      <c r="AO161" s="478"/>
      <c r="AP161" s="478"/>
      <c r="AQ161" s="478"/>
      <c r="AR161" s="478"/>
      <c r="AS161" s="478"/>
      <c r="AT161" s="478"/>
      <c r="AU161" s="478"/>
      <c r="AV161" s="478"/>
      <c r="AW161" s="478"/>
      <c r="AX161" s="478"/>
      <c r="AY161" s="478"/>
      <c r="AZ161" s="478"/>
      <c r="BA161" s="478"/>
      <c r="BB161" s="478"/>
      <c r="BC161" s="478"/>
      <c r="BD161" s="478"/>
      <c r="BE161" s="478"/>
      <c r="BF161" s="478"/>
      <c r="BG161" s="478"/>
      <c r="BH161" s="478"/>
      <c r="BI161" s="478"/>
      <c r="BJ161" s="478"/>
      <c r="BK161" s="478"/>
      <c r="BL161" s="478"/>
      <c r="BM161" s="478"/>
      <c r="BN161" s="478"/>
      <c r="BO161" s="478"/>
      <c r="BP161" s="478"/>
      <c r="BQ161" s="478"/>
      <c r="BR161" s="478"/>
      <c r="BS161" s="478"/>
      <c r="BT161" s="478"/>
      <c r="BU161" s="478"/>
      <c r="BV161" s="478"/>
      <c r="BW161" s="478"/>
      <c r="BX161" s="478"/>
      <c r="BY161" s="478"/>
      <c r="BZ161" s="478"/>
      <c r="CA161" s="478"/>
      <c r="CB161" s="478"/>
      <c r="CC161" s="478"/>
      <c r="CD161" s="478"/>
      <c r="CE161" s="478"/>
      <c r="CF161" s="478"/>
      <c r="CG161" s="478"/>
      <c r="CH161" s="478"/>
      <c r="CI161" s="478"/>
      <c r="CJ161" s="478"/>
      <c r="CK161" s="478"/>
      <c r="CL161" s="478"/>
      <c r="CM161" s="478"/>
      <c r="CN161" s="478"/>
      <c r="CO161" s="478"/>
      <c r="CP161" s="478"/>
      <c r="CQ161" s="478"/>
      <c r="CR161" s="478"/>
      <c r="CS161" s="478"/>
      <c r="CT161" s="478"/>
      <c r="CU161" s="478"/>
      <c r="CV161" s="478"/>
      <c r="CW161" s="478"/>
      <c r="CX161" s="478"/>
      <c r="CY161" s="478"/>
      <c r="CZ161" s="478"/>
    </row>
    <row r="162" spans="1:104" ht="14.25" customHeight="1" x14ac:dyDescent="0.2">
      <c r="A162" s="478"/>
      <c r="B162" s="504"/>
      <c r="C162" s="478"/>
      <c r="D162" s="478"/>
      <c r="E162" s="478"/>
      <c r="F162" s="478"/>
      <c r="G162" s="478"/>
      <c r="H162" s="478"/>
      <c r="I162" s="478"/>
      <c r="J162" s="478"/>
      <c r="K162" s="478"/>
      <c r="L162" s="478"/>
      <c r="M162" s="478"/>
      <c r="N162" s="478"/>
      <c r="O162" s="478"/>
      <c r="P162" s="478"/>
      <c r="Q162" s="478"/>
      <c r="R162" s="478"/>
      <c r="S162" s="478"/>
      <c r="T162" s="505"/>
      <c r="U162" s="478"/>
      <c r="V162" s="478"/>
      <c r="W162" s="506"/>
      <c r="X162" s="507"/>
      <c r="Y162" s="507"/>
      <c r="Z162" s="507"/>
      <c r="AA162" s="507"/>
      <c r="AB162" s="507"/>
      <c r="AC162" s="507"/>
      <c r="AD162" s="507"/>
      <c r="AE162" s="507"/>
      <c r="AF162" s="507"/>
      <c r="AG162" s="507"/>
      <c r="AH162" s="507"/>
      <c r="AI162" s="507"/>
      <c r="AJ162" s="507"/>
      <c r="AK162" s="507"/>
      <c r="AL162" s="478"/>
      <c r="AM162" s="478"/>
      <c r="AN162" s="478"/>
      <c r="AO162" s="478"/>
      <c r="AP162" s="478"/>
      <c r="AQ162" s="478"/>
      <c r="AR162" s="478"/>
      <c r="AS162" s="478"/>
      <c r="AT162" s="478"/>
      <c r="AU162" s="478"/>
      <c r="AV162" s="478"/>
      <c r="AW162" s="478"/>
      <c r="AX162" s="478"/>
      <c r="AY162" s="478"/>
      <c r="AZ162" s="478"/>
      <c r="BA162" s="478"/>
      <c r="BB162" s="478"/>
      <c r="BC162" s="478"/>
      <c r="BD162" s="478"/>
      <c r="BE162" s="478"/>
      <c r="BF162" s="478"/>
      <c r="BG162" s="478"/>
      <c r="BH162" s="478"/>
      <c r="BI162" s="478"/>
      <c r="BJ162" s="478"/>
      <c r="BK162" s="478"/>
      <c r="BL162" s="478"/>
      <c r="BM162" s="478"/>
      <c r="BN162" s="478"/>
      <c r="BO162" s="478"/>
      <c r="BP162" s="478"/>
      <c r="BQ162" s="478"/>
      <c r="BR162" s="478"/>
      <c r="BS162" s="478"/>
      <c r="BT162" s="478"/>
      <c r="BU162" s="478"/>
      <c r="BV162" s="478"/>
      <c r="BW162" s="478"/>
      <c r="BX162" s="478"/>
      <c r="BY162" s="478"/>
      <c r="BZ162" s="478"/>
      <c r="CA162" s="478"/>
      <c r="CB162" s="478"/>
      <c r="CC162" s="478"/>
      <c r="CD162" s="478"/>
      <c r="CE162" s="478"/>
      <c r="CF162" s="478"/>
      <c r="CG162" s="478"/>
      <c r="CH162" s="478"/>
      <c r="CI162" s="478"/>
      <c r="CJ162" s="478"/>
      <c r="CK162" s="478"/>
      <c r="CL162" s="478"/>
      <c r="CM162" s="478"/>
      <c r="CN162" s="478"/>
      <c r="CO162" s="478"/>
      <c r="CP162" s="478"/>
      <c r="CQ162" s="478"/>
      <c r="CR162" s="478"/>
      <c r="CS162" s="478"/>
      <c r="CT162" s="478"/>
      <c r="CU162" s="478"/>
      <c r="CV162" s="478"/>
      <c r="CW162" s="478"/>
      <c r="CX162" s="478"/>
      <c r="CY162" s="478"/>
      <c r="CZ162" s="478"/>
    </row>
    <row r="163" spans="1:104" ht="14.25" customHeight="1" x14ac:dyDescent="0.2">
      <c r="A163" s="478"/>
      <c r="B163" s="504"/>
      <c r="C163" s="478"/>
      <c r="D163" s="478"/>
      <c r="E163" s="478"/>
      <c r="F163" s="478"/>
      <c r="G163" s="478"/>
      <c r="H163" s="478"/>
      <c r="I163" s="478"/>
      <c r="J163" s="478"/>
      <c r="K163" s="478"/>
      <c r="L163" s="478"/>
      <c r="M163" s="478"/>
      <c r="N163" s="478"/>
      <c r="O163" s="478"/>
      <c r="P163" s="478"/>
      <c r="Q163" s="478"/>
      <c r="R163" s="478"/>
      <c r="S163" s="478"/>
      <c r="T163" s="505"/>
      <c r="U163" s="478"/>
      <c r="V163" s="478"/>
      <c r="W163" s="506"/>
      <c r="X163" s="507"/>
      <c r="Y163" s="507"/>
      <c r="Z163" s="507"/>
      <c r="AA163" s="507"/>
      <c r="AB163" s="507"/>
      <c r="AC163" s="507"/>
      <c r="AD163" s="507"/>
      <c r="AE163" s="507"/>
      <c r="AF163" s="507"/>
      <c r="AG163" s="507"/>
      <c r="AH163" s="507"/>
      <c r="AI163" s="507"/>
      <c r="AJ163" s="507"/>
      <c r="AK163" s="507"/>
      <c r="AL163" s="478"/>
      <c r="AM163" s="478"/>
      <c r="AN163" s="478"/>
      <c r="AO163" s="478"/>
      <c r="AP163" s="478"/>
      <c r="AQ163" s="478"/>
      <c r="AR163" s="478"/>
      <c r="AS163" s="478"/>
      <c r="AT163" s="478"/>
      <c r="AU163" s="478"/>
      <c r="AV163" s="478"/>
      <c r="AW163" s="478"/>
      <c r="AX163" s="478"/>
      <c r="AY163" s="478"/>
      <c r="AZ163" s="478"/>
      <c r="BA163" s="478"/>
      <c r="BB163" s="478"/>
      <c r="BC163" s="478"/>
      <c r="BD163" s="478"/>
      <c r="BE163" s="478"/>
      <c r="BF163" s="478"/>
      <c r="BG163" s="478"/>
      <c r="BH163" s="478"/>
      <c r="BI163" s="478"/>
      <c r="BJ163" s="478"/>
      <c r="BK163" s="478"/>
      <c r="BL163" s="478"/>
      <c r="BM163" s="478"/>
      <c r="BN163" s="478"/>
      <c r="BO163" s="478"/>
      <c r="BP163" s="478"/>
      <c r="BQ163" s="478"/>
      <c r="BR163" s="478"/>
      <c r="BS163" s="478"/>
      <c r="BT163" s="478"/>
      <c r="BU163" s="478"/>
      <c r="BV163" s="478"/>
      <c r="BW163" s="478"/>
      <c r="BX163" s="478"/>
      <c r="BY163" s="478"/>
      <c r="BZ163" s="478"/>
      <c r="CA163" s="478"/>
      <c r="CB163" s="478"/>
      <c r="CC163" s="478"/>
      <c r="CD163" s="478"/>
      <c r="CE163" s="478"/>
      <c r="CF163" s="478"/>
      <c r="CG163" s="478"/>
      <c r="CH163" s="478"/>
      <c r="CI163" s="478"/>
      <c r="CJ163" s="478"/>
      <c r="CK163" s="478"/>
      <c r="CL163" s="478"/>
      <c r="CM163" s="478"/>
      <c r="CN163" s="478"/>
      <c r="CO163" s="478"/>
      <c r="CP163" s="478"/>
      <c r="CQ163" s="478"/>
      <c r="CR163" s="478"/>
      <c r="CS163" s="478"/>
      <c r="CT163" s="478"/>
      <c r="CU163" s="478"/>
      <c r="CV163" s="478"/>
      <c r="CW163" s="478"/>
      <c r="CX163" s="478"/>
      <c r="CY163" s="478"/>
      <c r="CZ163" s="478"/>
    </row>
    <row r="164" spans="1:104" ht="14.25" customHeight="1" x14ac:dyDescent="0.2">
      <c r="A164" s="478"/>
      <c r="B164" s="504"/>
      <c r="C164" s="478"/>
      <c r="D164" s="478"/>
      <c r="E164" s="478"/>
      <c r="F164" s="478"/>
      <c r="G164" s="478"/>
      <c r="H164" s="478"/>
      <c r="I164" s="478"/>
      <c r="J164" s="478"/>
      <c r="K164" s="478"/>
      <c r="L164" s="478"/>
      <c r="M164" s="478"/>
      <c r="N164" s="478"/>
      <c r="O164" s="478"/>
      <c r="P164" s="478"/>
      <c r="Q164" s="478"/>
      <c r="R164" s="478"/>
      <c r="S164" s="478"/>
      <c r="T164" s="505"/>
      <c r="U164" s="478"/>
      <c r="V164" s="478"/>
      <c r="W164" s="506"/>
      <c r="X164" s="507"/>
      <c r="Y164" s="507"/>
      <c r="Z164" s="507"/>
      <c r="AA164" s="507"/>
      <c r="AB164" s="507"/>
      <c r="AC164" s="507"/>
      <c r="AD164" s="507"/>
      <c r="AE164" s="507"/>
      <c r="AF164" s="507"/>
      <c r="AG164" s="507"/>
      <c r="AH164" s="507"/>
      <c r="AI164" s="507"/>
      <c r="AJ164" s="507"/>
      <c r="AK164" s="507"/>
      <c r="AL164" s="478"/>
      <c r="AM164" s="478"/>
      <c r="AN164" s="478"/>
      <c r="AO164" s="478"/>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8"/>
      <c r="BM164" s="478"/>
      <c r="BN164" s="478"/>
      <c r="BO164" s="478"/>
      <c r="BP164" s="478"/>
      <c r="BQ164" s="478"/>
      <c r="BR164" s="478"/>
      <c r="BS164" s="478"/>
      <c r="BT164" s="478"/>
      <c r="BU164" s="478"/>
      <c r="BV164" s="478"/>
      <c r="BW164" s="478"/>
      <c r="BX164" s="478"/>
      <c r="BY164" s="478"/>
      <c r="BZ164" s="478"/>
      <c r="CA164" s="478"/>
      <c r="CB164" s="478"/>
      <c r="CC164" s="478"/>
      <c r="CD164" s="478"/>
      <c r="CE164" s="478"/>
      <c r="CF164" s="478"/>
      <c r="CG164" s="478"/>
      <c r="CH164" s="478"/>
      <c r="CI164" s="478"/>
      <c r="CJ164" s="478"/>
      <c r="CK164" s="478"/>
      <c r="CL164" s="478"/>
      <c r="CM164" s="478"/>
      <c r="CN164" s="478"/>
      <c r="CO164" s="478"/>
      <c r="CP164" s="478"/>
      <c r="CQ164" s="478"/>
      <c r="CR164" s="478"/>
      <c r="CS164" s="478"/>
      <c r="CT164" s="478"/>
      <c r="CU164" s="478"/>
      <c r="CV164" s="478"/>
      <c r="CW164" s="478"/>
      <c r="CX164" s="478"/>
      <c r="CY164" s="478"/>
      <c r="CZ164" s="478"/>
    </row>
    <row r="165" spans="1:104" ht="14.25" customHeight="1" x14ac:dyDescent="0.2">
      <c r="A165" s="478"/>
      <c r="B165" s="504"/>
      <c r="C165" s="478"/>
      <c r="D165" s="478"/>
      <c r="E165" s="478"/>
      <c r="F165" s="478"/>
      <c r="G165" s="478"/>
      <c r="H165" s="478"/>
      <c r="I165" s="478"/>
      <c r="J165" s="478"/>
      <c r="K165" s="478"/>
      <c r="L165" s="478"/>
      <c r="M165" s="478"/>
      <c r="N165" s="478"/>
      <c r="O165" s="478"/>
      <c r="P165" s="478"/>
      <c r="Q165" s="478"/>
      <c r="R165" s="478"/>
      <c r="S165" s="478"/>
      <c r="T165" s="505"/>
      <c r="U165" s="478"/>
      <c r="V165" s="478"/>
      <c r="W165" s="506"/>
      <c r="X165" s="507"/>
      <c r="Y165" s="507"/>
      <c r="Z165" s="507"/>
      <c r="AA165" s="507"/>
      <c r="AB165" s="507"/>
      <c r="AC165" s="507"/>
      <c r="AD165" s="507"/>
      <c r="AE165" s="507"/>
      <c r="AF165" s="507"/>
      <c r="AG165" s="507"/>
      <c r="AH165" s="507"/>
      <c r="AI165" s="507"/>
      <c r="AJ165" s="507"/>
      <c r="AK165" s="507"/>
      <c r="AL165" s="478"/>
      <c r="AM165" s="478"/>
      <c r="AN165" s="478"/>
      <c r="AO165" s="478"/>
      <c r="AP165" s="478"/>
      <c r="AQ165" s="478"/>
      <c r="AR165" s="478"/>
      <c r="AS165" s="478"/>
      <c r="AT165" s="478"/>
      <c r="AU165" s="478"/>
      <c r="AV165" s="478"/>
      <c r="AW165" s="478"/>
      <c r="AX165" s="478"/>
      <c r="AY165" s="478"/>
      <c r="AZ165" s="478"/>
      <c r="BA165" s="478"/>
      <c r="BB165" s="478"/>
      <c r="BC165" s="478"/>
      <c r="BD165" s="478"/>
      <c r="BE165" s="478"/>
      <c r="BF165" s="478"/>
      <c r="BG165" s="478"/>
      <c r="BH165" s="478"/>
      <c r="BI165" s="478"/>
      <c r="BJ165" s="478"/>
      <c r="BK165" s="478"/>
      <c r="BL165" s="478"/>
      <c r="BM165" s="478"/>
      <c r="BN165" s="478"/>
      <c r="BO165" s="478"/>
      <c r="BP165" s="478"/>
      <c r="BQ165" s="478"/>
      <c r="BR165" s="478"/>
      <c r="BS165" s="478"/>
      <c r="BT165" s="478"/>
      <c r="BU165" s="478"/>
      <c r="BV165" s="478"/>
      <c r="BW165" s="478"/>
      <c r="BX165" s="478"/>
      <c r="BY165" s="478"/>
      <c r="BZ165" s="478"/>
      <c r="CA165" s="478"/>
      <c r="CB165" s="478"/>
      <c r="CC165" s="478"/>
      <c r="CD165" s="478"/>
      <c r="CE165" s="478"/>
      <c r="CF165" s="478"/>
      <c r="CG165" s="478"/>
      <c r="CH165" s="478"/>
      <c r="CI165" s="478"/>
      <c r="CJ165" s="478"/>
      <c r="CK165" s="478"/>
      <c r="CL165" s="478"/>
      <c r="CM165" s="478"/>
      <c r="CN165" s="478"/>
      <c r="CO165" s="478"/>
      <c r="CP165" s="478"/>
      <c r="CQ165" s="478"/>
      <c r="CR165" s="478"/>
      <c r="CS165" s="478"/>
      <c r="CT165" s="478"/>
      <c r="CU165" s="478"/>
      <c r="CV165" s="478"/>
      <c r="CW165" s="478"/>
      <c r="CX165" s="478"/>
      <c r="CY165" s="478"/>
      <c r="CZ165" s="478"/>
    </row>
    <row r="166" spans="1:104" ht="14.25" customHeight="1" x14ac:dyDescent="0.2">
      <c r="A166" s="478"/>
      <c r="B166" s="504"/>
      <c r="C166" s="478"/>
      <c r="D166" s="478"/>
      <c r="E166" s="478"/>
      <c r="F166" s="478"/>
      <c r="G166" s="478"/>
      <c r="H166" s="478"/>
      <c r="I166" s="478"/>
      <c r="J166" s="478"/>
      <c r="K166" s="478"/>
      <c r="L166" s="478"/>
      <c r="M166" s="478"/>
      <c r="N166" s="478"/>
      <c r="O166" s="478"/>
      <c r="P166" s="478"/>
      <c r="Q166" s="478"/>
      <c r="R166" s="478"/>
      <c r="S166" s="478"/>
      <c r="T166" s="505"/>
      <c r="U166" s="478"/>
      <c r="V166" s="478"/>
      <c r="W166" s="506"/>
      <c r="X166" s="507"/>
      <c r="Y166" s="507"/>
      <c r="Z166" s="507"/>
      <c r="AA166" s="507"/>
      <c r="AB166" s="507"/>
      <c r="AC166" s="507"/>
      <c r="AD166" s="507"/>
      <c r="AE166" s="507"/>
      <c r="AF166" s="507"/>
      <c r="AG166" s="507"/>
      <c r="AH166" s="507"/>
      <c r="AI166" s="507"/>
      <c r="AJ166" s="507"/>
      <c r="AK166" s="507"/>
      <c r="AL166" s="478"/>
      <c r="AM166" s="478"/>
      <c r="AN166" s="478"/>
      <c r="AO166" s="478"/>
      <c r="AP166" s="478"/>
      <c r="AQ166" s="478"/>
      <c r="AR166" s="478"/>
      <c r="AS166" s="478"/>
      <c r="AT166" s="478"/>
      <c r="AU166" s="478"/>
      <c r="AV166" s="478"/>
      <c r="AW166" s="478"/>
      <c r="AX166" s="478"/>
      <c r="AY166" s="478"/>
      <c r="AZ166" s="478"/>
      <c r="BA166" s="478"/>
      <c r="BB166" s="478"/>
      <c r="BC166" s="478"/>
      <c r="BD166" s="478"/>
      <c r="BE166" s="478"/>
      <c r="BF166" s="478"/>
      <c r="BG166" s="478"/>
      <c r="BH166" s="478"/>
      <c r="BI166" s="478"/>
      <c r="BJ166" s="478"/>
      <c r="BK166" s="478"/>
      <c r="BL166" s="478"/>
      <c r="BM166" s="478"/>
      <c r="BN166" s="478"/>
      <c r="BO166" s="478"/>
      <c r="BP166" s="478"/>
      <c r="BQ166" s="478"/>
      <c r="BR166" s="478"/>
      <c r="BS166" s="478"/>
      <c r="BT166" s="478"/>
      <c r="BU166" s="478"/>
      <c r="BV166" s="478"/>
      <c r="BW166" s="478"/>
      <c r="BX166" s="478"/>
      <c r="BY166" s="478"/>
      <c r="BZ166" s="478"/>
      <c r="CA166" s="478"/>
      <c r="CB166" s="478"/>
      <c r="CC166" s="478"/>
      <c r="CD166" s="478"/>
      <c r="CE166" s="478"/>
      <c r="CF166" s="478"/>
      <c r="CG166" s="478"/>
      <c r="CH166" s="478"/>
      <c r="CI166" s="478"/>
      <c r="CJ166" s="478"/>
      <c r="CK166" s="478"/>
      <c r="CL166" s="478"/>
      <c r="CM166" s="478"/>
      <c r="CN166" s="478"/>
      <c r="CO166" s="478"/>
      <c r="CP166" s="478"/>
      <c r="CQ166" s="478"/>
      <c r="CR166" s="478"/>
      <c r="CS166" s="478"/>
      <c r="CT166" s="478"/>
      <c r="CU166" s="478"/>
      <c r="CV166" s="478"/>
      <c r="CW166" s="478"/>
      <c r="CX166" s="478"/>
      <c r="CY166" s="478"/>
      <c r="CZ166" s="478"/>
    </row>
    <row r="167" spans="1:104" ht="14.25" customHeight="1" x14ac:dyDescent="0.2">
      <c r="A167" s="478"/>
      <c r="B167" s="504"/>
      <c r="C167" s="478"/>
      <c r="D167" s="478"/>
      <c r="E167" s="478"/>
      <c r="F167" s="478"/>
      <c r="G167" s="478"/>
      <c r="H167" s="478"/>
      <c r="I167" s="478"/>
      <c r="J167" s="478"/>
      <c r="K167" s="478"/>
      <c r="L167" s="478"/>
      <c r="M167" s="478"/>
      <c r="N167" s="478"/>
      <c r="O167" s="478"/>
      <c r="P167" s="478"/>
      <c r="Q167" s="478"/>
      <c r="R167" s="478"/>
      <c r="S167" s="478"/>
      <c r="T167" s="505"/>
      <c r="U167" s="478"/>
      <c r="V167" s="478"/>
      <c r="W167" s="506"/>
      <c r="X167" s="507"/>
      <c r="Y167" s="507"/>
      <c r="Z167" s="507"/>
      <c r="AA167" s="507"/>
      <c r="AB167" s="507"/>
      <c r="AC167" s="507"/>
      <c r="AD167" s="507"/>
      <c r="AE167" s="507"/>
      <c r="AF167" s="507"/>
      <c r="AG167" s="507"/>
      <c r="AH167" s="507"/>
      <c r="AI167" s="507"/>
      <c r="AJ167" s="507"/>
      <c r="AK167" s="507"/>
      <c r="AL167" s="478"/>
      <c r="AM167" s="478"/>
      <c r="AN167" s="478"/>
      <c r="AO167" s="478"/>
      <c r="AP167" s="478"/>
      <c r="AQ167" s="478"/>
      <c r="AR167" s="478"/>
      <c r="AS167" s="478"/>
      <c r="AT167" s="478"/>
      <c r="AU167" s="478"/>
      <c r="AV167" s="478"/>
      <c r="AW167" s="478"/>
      <c r="AX167" s="478"/>
      <c r="AY167" s="478"/>
      <c r="AZ167" s="478"/>
      <c r="BA167" s="478"/>
      <c r="BB167" s="478"/>
      <c r="BC167" s="478"/>
      <c r="BD167" s="478"/>
      <c r="BE167" s="478"/>
      <c r="BF167" s="478"/>
      <c r="BG167" s="478"/>
      <c r="BH167" s="478"/>
      <c r="BI167" s="478"/>
      <c r="BJ167" s="478"/>
      <c r="BK167" s="478"/>
      <c r="BL167" s="478"/>
      <c r="BM167" s="478"/>
      <c r="BN167" s="478"/>
      <c r="BO167" s="478"/>
      <c r="BP167" s="478"/>
      <c r="BQ167" s="478"/>
      <c r="BR167" s="478"/>
      <c r="BS167" s="478"/>
      <c r="BT167" s="478"/>
      <c r="BU167" s="478"/>
      <c r="BV167" s="478"/>
      <c r="BW167" s="478"/>
      <c r="BX167" s="478"/>
      <c r="BY167" s="478"/>
      <c r="BZ167" s="478"/>
      <c r="CA167" s="478"/>
      <c r="CB167" s="478"/>
      <c r="CC167" s="478"/>
      <c r="CD167" s="478"/>
      <c r="CE167" s="478"/>
      <c r="CF167" s="478"/>
      <c r="CG167" s="478"/>
      <c r="CH167" s="478"/>
      <c r="CI167" s="478"/>
      <c r="CJ167" s="478"/>
      <c r="CK167" s="478"/>
      <c r="CL167" s="478"/>
      <c r="CM167" s="478"/>
      <c r="CN167" s="478"/>
      <c r="CO167" s="478"/>
      <c r="CP167" s="478"/>
      <c r="CQ167" s="478"/>
      <c r="CR167" s="478"/>
      <c r="CS167" s="478"/>
      <c r="CT167" s="478"/>
      <c r="CU167" s="478"/>
      <c r="CV167" s="478"/>
      <c r="CW167" s="478"/>
      <c r="CX167" s="478"/>
      <c r="CY167" s="478"/>
      <c r="CZ167" s="478"/>
    </row>
    <row r="168" spans="1:104" ht="14.25" customHeight="1" x14ac:dyDescent="0.2">
      <c r="A168" s="478"/>
      <c r="B168" s="504"/>
      <c r="C168" s="478"/>
      <c r="D168" s="478"/>
      <c r="E168" s="478"/>
      <c r="F168" s="478"/>
      <c r="G168" s="478"/>
      <c r="H168" s="478"/>
      <c r="I168" s="478"/>
      <c r="J168" s="478"/>
      <c r="K168" s="478"/>
      <c r="L168" s="478"/>
      <c r="M168" s="478"/>
      <c r="N168" s="478"/>
      <c r="O168" s="478"/>
      <c r="P168" s="478"/>
      <c r="Q168" s="478"/>
      <c r="R168" s="478"/>
      <c r="S168" s="478"/>
      <c r="T168" s="505"/>
      <c r="U168" s="478"/>
      <c r="V168" s="478"/>
      <c r="W168" s="506"/>
      <c r="X168" s="507"/>
      <c r="Y168" s="507"/>
      <c r="Z168" s="507"/>
      <c r="AA168" s="507"/>
      <c r="AB168" s="507"/>
      <c r="AC168" s="507"/>
      <c r="AD168" s="507"/>
      <c r="AE168" s="507"/>
      <c r="AF168" s="507"/>
      <c r="AG168" s="507"/>
      <c r="AH168" s="507"/>
      <c r="AI168" s="507"/>
      <c r="AJ168" s="507"/>
      <c r="AK168" s="507"/>
      <c r="AL168" s="478"/>
      <c r="AM168" s="478"/>
      <c r="AN168" s="478"/>
      <c r="AO168" s="478"/>
      <c r="AP168" s="478"/>
      <c r="AQ168" s="478"/>
      <c r="AR168" s="478"/>
      <c r="AS168" s="478"/>
      <c r="AT168" s="478"/>
      <c r="AU168" s="478"/>
      <c r="AV168" s="478"/>
      <c r="AW168" s="478"/>
      <c r="AX168" s="478"/>
      <c r="AY168" s="478"/>
      <c r="AZ168" s="478"/>
      <c r="BA168" s="478"/>
      <c r="BB168" s="478"/>
      <c r="BC168" s="478"/>
      <c r="BD168" s="478"/>
      <c r="BE168" s="478"/>
      <c r="BF168" s="478"/>
      <c r="BG168" s="478"/>
      <c r="BH168" s="478"/>
      <c r="BI168" s="478"/>
      <c r="BJ168" s="478"/>
      <c r="BK168" s="478"/>
      <c r="BL168" s="478"/>
      <c r="BM168" s="478"/>
      <c r="BN168" s="478"/>
      <c r="BO168" s="478"/>
      <c r="BP168" s="478"/>
      <c r="BQ168" s="478"/>
      <c r="BR168" s="478"/>
      <c r="BS168" s="478"/>
      <c r="BT168" s="478"/>
      <c r="BU168" s="478"/>
      <c r="BV168" s="478"/>
      <c r="BW168" s="478"/>
      <c r="BX168" s="478"/>
      <c r="BY168" s="478"/>
      <c r="BZ168" s="478"/>
      <c r="CA168" s="478"/>
      <c r="CB168" s="478"/>
      <c r="CC168" s="478"/>
      <c r="CD168" s="478"/>
      <c r="CE168" s="478"/>
      <c r="CF168" s="478"/>
      <c r="CG168" s="478"/>
      <c r="CH168" s="478"/>
      <c r="CI168" s="478"/>
      <c r="CJ168" s="478"/>
      <c r="CK168" s="478"/>
      <c r="CL168" s="478"/>
      <c r="CM168" s="478"/>
      <c r="CN168" s="478"/>
      <c r="CO168" s="478"/>
      <c r="CP168" s="478"/>
      <c r="CQ168" s="478"/>
      <c r="CR168" s="478"/>
      <c r="CS168" s="478"/>
      <c r="CT168" s="478"/>
      <c r="CU168" s="478"/>
      <c r="CV168" s="478"/>
      <c r="CW168" s="478"/>
      <c r="CX168" s="478"/>
      <c r="CY168" s="478"/>
      <c r="CZ168" s="478"/>
    </row>
    <row r="169" spans="1:104" ht="14.25" customHeight="1" x14ac:dyDescent="0.2">
      <c r="A169" s="478"/>
      <c r="B169" s="504"/>
      <c r="C169" s="478"/>
      <c r="D169" s="478"/>
      <c r="E169" s="478"/>
      <c r="F169" s="478"/>
      <c r="G169" s="478"/>
      <c r="H169" s="478"/>
      <c r="I169" s="478"/>
      <c r="J169" s="478"/>
      <c r="K169" s="478"/>
      <c r="L169" s="478"/>
      <c r="M169" s="478"/>
      <c r="N169" s="478"/>
      <c r="O169" s="478"/>
      <c r="P169" s="478"/>
      <c r="Q169" s="478"/>
      <c r="R169" s="478"/>
      <c r="S169" s="478"/>
      <c r="T169" s="505"/>
      <c r="U169" s="478"/>
      <c r="V169" s="478"/>
      <c r="W169" s="506"/>
      <c r="X169" s="507"/>
      <c r="Y169" s="507"/>
      <c r="Z169" s="507"/>
      <c r="AA169" s="507"/>
      <c r="AB169" s="507"/>
      <c r="AC169" s="507"/>
      <c r="AD169" s="507"/>
      <c r="AE169" s="507"/>
      <c r="AF169" s="507"/>
      <c r="AG169" s="507"/>
      <c r="AH169" s="507"/>
      <c r="AI169" s="507"/>
      <c r="AJ169" s="507"/>
      <c r="AK169" s="507"/>
      <c r="AL169" s="478"/>
      <c r="AM169" s="478"/>
      <c r="AN169" s="478"/>
      <c r="AO169" s="478"/>
      <c r="AP169" s="478"/>
      <c r="AQ169" s="478"/>
      <c r="AR169" s="478"/>
      <c r="AS169" s="478"/>
      <c r="AT169" s="478"/>
      <c r="AU169" s="478"/>
      <c r="AV169" s="478"/>
      <c r="AW169" s="478"/>
      <c r="AX169" s="478"/>
      <c r="AY169" s="478"/>
      <c r="AZ169" s="478"/>
      <c r="BA169" s="478"/>
      <c r="BB169" s="478"/>
      <c r="BC169" s="478"/>
      <c r="BD169" s="478"/>
      <c r="BE169" s="478"/>
      <c r="BF169" s="478"/>
      <c r="BG169" s="478"/>
      <c r="BH169" s="478"/>
      <c r="BI169" s="478"/>
      <c r="BJ169" s="478"/>
      <c r="BK169" s="478"/>
      <c r="BL169" s="478"/>
      <c r="BM169" s="478"/>
      <c r="BN169" s="478"/>
      <c r="BO169" s="478"/>
      <c r="BP169" s="478"/>
      <c r="BQ169" s="478"/>
      <c r="BR169" s="478"/>
      <c r="BS169" s="478"/>
      <c r="BT169" s="478"/>
      <c r="BU169" s="478"/>
      <c r="BV169" s="478"/>
      <c r="BW169" s="478"/>
      <c r="BX169" s="478"/>
      <c r="BY169" s="478"/>
      <c r="BZ169" s="478"/>
      <c r="CA169" s="478"/>
      <c r="CB169" s="478"/>
      <c r="CC169" s="478"/>
      <c r="CD169" s="478"/>
      <c r="CE169" s="478"/>
      <c r="CF169" s="478"/>
      <c r="CG169" s="478"/>
      <c r="CH169" s="478"/>
      <c r="CI169" s="478"/>
      <c r="CJ169" s="478"/>
      <c r="CK169" s="478"/>
      <c r="CL169" s="478"/>
      <c r="CM169" s="478"/>
      <c r="CN169" s="478"/>
      <c r="CO169" s="478"/>
      <c r="CP169" s="478"/>
      <c r="CQ169" s="478"/>
      <c r="CR169" s="478"/>
      <c r="CS169" s="478"/>
      <c r="CT169" s="478"/>
      <c r="CU169" s="478"/>
      <c r="CV169" s="478"/>
      <c r="CW169" s="478"/>
      <c r="CX169" s="478"/>
      <c r="CY169" s="478"/>
      <c r="CZ169" s="478"/>
    </row>
    <row r="170" spans="1:104" ht="14.25" customHeight="1" x14ac:dyDescent="0.2">
      <c r="A170" s="478"/>
      <c r="B170" s="504"/>
      <c r="C170" s="478"/>
      <c r="D170" s="478"/>
      <c r="E170" s="478"/>
      <c r="F170" s="478"/>
      <c r="G170" s="478"/>
      <c r="H170" s="478"/>
      <c r="I170" s="478"/>
      <c r="J170" s="478"/>
      <c r="K170" s="478"/>
      <c r="L170" s="478"/>
      <c r="M170" s="478"/>
      <c r="N170" s="478"/>
      <c r="O170" s="478"/>
      <c r="P170" s="478"/>
      <c r="Q170" s="478"/>
      <c r="R170" s="478"/>
      <c r="S170" s="478"/>
      <c r="T170" s="505"/>
      <c r="U170" s="478"/>
      <c r="V170" s="478"/>
      <c r="W170" s="506"/>
      <c r="X170" s="507"/>
      <c r="Y170" s="507"/>
      <c r="Z170" s="507"/>
      <c r="AA170" s="507"/>
      <c r="AB170" s="507"/>
      <c r="AC170" s="507"/>
      <c r="AD170" s="507"/>
      <c r="AE170" s="507"/>
      <c r="AF170" s="507"/>
      <c r="AG170" s="507"/>
      <c r="AH170" s="507"/>
      <c r="AI170" s="507"/>
      <c r="AJ170" s="507"/>
      <c r="AK170" s="507"/>
      <c r="AL170" s="478"/>
      <c r="AM170" s="478"/>
      <c r="AN170" s="478"/>
      <c r="AO170" s="478"/>
      <c r="AP170" s="478"/>
      <c r="AQ170" s="478"/>
      <c r="AR170" s="478"/>
      <c r="AS170" s="478"/>
      <c r="AT170" s="478"/>
      <c r="AU170" s="478"/>
      <c r="AV170" s="478"/>
      <c r="AW170" s="478"/>
      <c r="AX170" s="478"/>
      <c r="AY170" s="478"/>
      <c r="AZ170" s="478"/>
      <c r="BA170" s="478"/>
      <c r="BB170" s="478"/>
      <c r="BC170" s="478"/>
      <c r="BD170" s="478"/>
      <c r="BE170" s="478"/>
      <c r="BF170" s="478"/>
      <c r="BG170" s="478"/>
      <c r="BH170" s="478"/>
      <c r="BI170" s="478"/>
      <c r="BJ170" s="478"/>
      <c r="BK170" s="478"/>
      <c r="BL170" s="478"/>
      <c r="BM170" s="478"/>
      <c r="BN170" s="478"/>
      <c r="BO170" s="478"/>
      <c r="BP170" s="478"/>
      <c r="BQ170" s="478"/>
      <c r="BR170" s="478"/>
      <c r="BS170" s="478"/>
      <c r="BT170" s="478"/>
      <c r="BU170" s="478"/>
      <c r="BV170" s="478"/>
      <c r="BW170" s="478"/>
      <c r="BX170" s="478"/>
      <c r="BY170" s="478"/>
      <c r="BZ170" s="478"/>
      <c r="CA170" s="478"/>
      <c r="CB170" s="478"/>
      <c r="CC170" s="478"/>
      <c r="CD170" s="478"/>
      <c r="CE170" s="478"/>
      <c r="CF170" s="478"/>
      <c r="CG170" s="478"/>
      <c r="CH170" s="478"/>
      <c r="CI170" s="478"/>
      <c r="CJ170" s="478"/>
      <c r="CK170" s="478"/>
      <c r="CL170" s="478"/>
      <c r="CM170" s="478"/>
      <c r="CN170" s="478"/>
      <c r="CO170" s="478"/>
      <c r="CP170" s="478"/>
      <c r="CQ170" s="478"/>
      <c r="CR170" s="478"/>
      <c r="CS170" s="478"/>
      <c r="CT170" s="478"/>
      <c r="CU170" s="478"/>
      <c r="CV170" s="478"/>
      <c r="CW170" s="478"/>
      <c r="CX170" s="478"/>
      <c r="CY170" s="478"/>
      <c r="CZ170" s="478"/>
    </row>
    <row r="171" spans="1:104" ht="14.25" customHeight="1" x14ac:dyDescent="0.2">
      <c r="A171" s="478"/>
      <c r="B171" s="504"/>
      <c r="C171" s="478"/>
      <c r="D171" s="478"/>
      <c r="E171" s="478"/>
      <c r="F171" s="478"/>
      <c r="G171" s="478"/>
      <c r="H171" s="478"/>
      <c r="I171" s="478"/>
      <c r="J171" s="478"/>
      <c r="K171" s="478"/>
      <c r="L171" s="478"/>
      <c r="M171" s="478"/>
      <c r="N171" s="478"/>
      <c r="O171" s="478"/>
      <c r="P171" s="478"/>
      <c r="Q171" s="478"/>
      <c r="R171" s="478"/>
      <c r="S171" s="478"/>
      <c r="T171" s="505"/>
      <c r="U171" s="478"/>
      <c r="V171" s="478"/>
      <c r="W171" s="506"/>
      <c r="X171" s="507"/>
      <c r="Y171" s="507"/>
      <c r="Z171" s="507"/>
      <c r="AA171" s="507"/>
      <c r="AB171" s="507"/>
      <c r="AC171" s="507"/>
      <c r="AD171" s="507"/>
      <c r="AE171" s="507"/>
      <c r="AF171" s="507"/>
      <c r="AG171" s="507"/>
      <c r="AH171" s="507"/>
      <c r="AI171" s="507"/>
      <c r="AJ171" s="507"/>
      <c r="AK171" s="507"/>
      <c r="AL171" s="478"/>
      <c r="AM171" s="478"/>
      <c r="AN171" s="478"/>
      <c r="AO171" s="478"/>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8"/>
      <c r="BM171" s="478"/>
      <c r="BN171" s="478"/>
      <c r="BO171" s="478"/>
      <c r="BP171" s="478"/>
      <c r="BQ171" s="478"/>
      <c r="BR171" s="478"/>
      <c r="BS171" s="478"/>
      <c r="BT171" s="478"/>
      <c r="BU171" s="478"/>
      <c r="BV171" s="478"/>
      <c r="BW171" s="478"/>
      <c r="BX171" s="478"/>
      <c r="BY171" s="478"/>
      <c r="BZ171" s="478"/>
      <c r="CA171" s="478"/>
      <c r="CB171" s="478"/>
      <c r="CC171" s="478"/>
      <c r="CD171" s="478"/>
      <c r="CE171" s="478"/>
      <c r="CF171" s="478"/>
      <c r="CG171" s="478"/>
      <c r="CH171" s="478"/>
      <c r="CI171" s="478"/>
      <c r="CJ171" s="478"/>
      <c r="CK171" s="478"/>
      <c r="CL171" s="478"/>
      <c r="CM171" s="478"/>
      <c r="CN171" s="478"/>
      <c r="CO171" s="478"/>
      <c r="CP171" s="478"/>
      <c r="CQ171" s="478"/>
      <c r="CR171" s="478"/>
      <c r="CS171" s="478"/>
      <c r="CT171" s="478"/>
      <c r="CU171" s="478"/>
      <c r="CV171" s="478"/>
      <c r="CW171" s="478"/>
      <c r="CX171" s="478"/>
      <c r="CY171" s="478"/>
      <c r="CZ171" s="478"/>
    </row>
    <row r="172" spans="1:104" ht="14.25" customHeight="1" x14ac:dyDescent="0.2">
      <c r="A172" s="478"/>
      <c r="B172" s="504"/>
      <c r="C172" s="478"/>
      <c r="D172" s="478"/>
      <c r="E172" s="478"/>
      <c r="F172" s="478"/>
      <c r="G172" s="478"/>
      <c r="H172" s="478"/>
      <c r="I172" s="478"/>
      <c r="J172" s="478"/>
      <c r="K172" s="478"/>
      <c r="L172" s="478"/>
      <c r="M172" s="478"/>
      <c r="N172" s="478"/>
      <c r="O172" s="478"/>
      <c r="P172" s="478"/>
      <c r="Q172" s="478"/>
      <c r="R172" s="478"/>
      <c r="S172" s="478"/>
      <c r="T172" s="505"/>
      <c r="U172" s="478"/>
      <c r="V172" s="478"/>
      <c r="W172" s="506"/>
      <c r="X172" s="507"/>
      <c r="Y172" s="507"/>
      <c r="Z172" s="507"/>
      <c r="AA172" s="507"/>
      <c r="AB172" s="507"/>
      <c r="AC172" s="507"/>
      <c r="AD172" s="507"/>
      <c r="AE172" s="507"/>
      <c r="AF172" s="507"/>
      <c r="AG172" s="507"/>
      <c r="AH172" s="507"/>
      <c r="AI172" s="507"/>
      <c r="AJ172" s="507"/>
      <c r="AK172" s="507"/>
      <c r="AL172" s="478"/>
      <c r="AM172" s="478"/>
      <c r="AN172" s="478"/>
      <c r="AO172" s="478"/>
      <c r="AP172" s="478"/>
      <c r="AQ172" s="478"/>
      <c r="AR172" s="478"/>
      <c r="AS172" s="478"/>
      <c r="AT172" s="478"/>
      <c r="AU172" s="478"/>
      <c r="AV172" s="478"/>
      <c r="AW172" s="478"/>
      <c r="AX172" s="478"/>
      <c r="AY172" s="478"/>
      <c r="AZ172" s="478"/>
      <c r="BA172" s="478"/>
      <c r="BB172" s="478"/>
      <c r="BC172" s="478"/>
      <c r="BD172" s="478"/>
      <c r="BE172" s="478"/>
      <c r="BF172" s="478"/>
      <c r="BG172" s="478"/>
      <c r="BH172" s="478"/>
      <c r="BI172" s="478"/>
      <c r="BJ172" s="478"/>
      <c r="BK172" s="478"/>
      <c r="BL172" s="478"/>
      <c r="BM172" s="478"/>
      <c r="BN172" s="478"/>
      <c r="BO172" s="478"/>
      <c r="BP172" s="478"/>
      <c r="BQ172" s="478"/>
      <c r="BR172" s="478"/>
      <c r="BS172" s="478"/>
      <c r="BT172" s="478"/>
      <c r="BU172" s="478"/>
      <c r="BV172" s="478"/>
      <c r="BW172" s="478"/>
      <c r="BX172" s="478"/>
      <c r="BY172" s="478"/>
      <c r="BZ172" s="478"/>
      <c r="CA172" s="478"/>
      <c r="CB172" s="478"/>
      <c r="CC172" s="478"/>
      <c r="CD172" s="478"/>
      <c r="CE172" s="478"/>
      <c r="CF172" s="478"/>
      <c r="CG172" s="478"/>
      <c r="CH172" s="478"/>
      <c r="CI172" s="478"/>
      <c r="CJ172" s="478"/>
      <c r="CK172" s="478"/>
      <c r="CL172" s="478"/>
      <c r="CM172" s="478"/>
      <c r="CN172" s="478"/>
      <c r="CO172" s="478"/>
      <c r="CP172" s="478"/>
      <c r="CQ172" s="478"/>
      <c r="CR172" s="478"/>
      <c r="CS172" s="478"/>
      <c r="CT172" s="478"/>
      <c r="CU172" s="478"/>
      <c r="CV172" s="478"/>
      <c r="CW172" s="478"/>
      <c r="CX172" s="478"/>
      <c r="CY172" s="478"/>
      <c r="CZ172" s="478"/>
    </row>
    <row r="173" spans="1:104" ht="14.25" customHeight="1" x14ac:dyDescent="0.2">
      <c r="A173" s="478"/>
      <c r="B173" s="504"/>
      <c r="C173" s="478"/>
      <c r="D173" s="478"/>
      <c r="E173" s="478"/>
      <c r="F173" s="478"/>
      <c r="G173" s="478"/>
      <c r="H173" s="478"/>
      <c r="I173" s="478"/>
      <c r="J173" s="478"/>
      <c r="K173" s="478"/>
      <c r="L173" s="478"/>
      <c r="M173" s="478"/>
      <c r="N173" s="478"/>
      <c r="O173" s="478"/>
      <c r="P173" s="478"/>
      <c r="Q173" s="478"/>
      <c r="R173" s="478"/>
      <c r="S173" s="478"/>
      <c r="T173" s="505"/>
      <c r="U173" s="478"/>
      <c r="V173" s="478"/>
      <c r="W173" s="506"/>
      <c r="X173" s="507"/>
      <c r="Y173" s="507"/>
      <c r="Z173" s="507"/>
      <c r="AA173" s="507"/>
      <c r="AB173" s="507"/>
      <c r="AC173" s="507"/>
      <c r="AD173" s="507"/>
      <c r="AE173" s="507"/>
      <c r="AF173" s="507"/>
      <c r="AG173" s="507"/>
      <c r="AH173" s="507"/>
      <c r="AI173" s="507"/>
      <c r="AJ173" s="507"/>
      <c r="AK173" s="507"/>
      <c r="AL173" s="478"/>
      <c r="AM173" s="478"/>
      <c r="AN173" s="478"/>
      <c r="AO173" s="478"/>
      <c r="AP173" s="478"/>
      <c r="AQ173" s="478"/>
      <c r="AR173" s="478"/>
      <c r="AS173" s="478"/>
      <c r="AT173" s="478"/>
      <c r="AU173" s="478"/>
      <c r="AV173" s="478"/>
      <c r="AW173" s="478"/>
      <c r="AX173" s="478"/>
      <c r="AY173" s="478"/>
      <c r="AZ173" s="478"/>
      <c r="BA173" s="478"/>
      <c r="BB173" s="478"/>
      <c r="BC173" s="478"/>
      <c r="BD173" s="478"/>
      <c r="BE173" s="478"/>
      <c r="BF173" s="478"/>
      <c r="BG173" s="478"/>
      <c r="BH173" s="478"/>
      <c r="BI173" s="478"/>
      <c r="BJ173" s="478"/>
      <c r="BK173" s="478"/>
      <c r="BL173" s="478"/>
      <c r="BM173" s="478"/>
      <c r="BN173" s="478"/>
      <c r="BO173" s="478"/>
      <c r="BP173" s="478"/>
      <c r="BQ173" s="478"/>
      <c r="BR173" s="478"/>
      <c r="BS173" s="478"/>
      <c r="BT173" s="478"/>
      <c r="BU173" s="478"/>
      <c r="BV173" s="478"/>
      <c r="BW173" s="478"/>
      <c r="BX173" s="478"/>
      <c r="BY173" s="478"/>
      <c r="BZ173" s="478"/>
      <c r="CA173" s="478"/>
      <c r="CB173" s="478"/>
      <c r="CC173" s="478"/>
      <c r="CD173" s="478"/>
      <c r="CE173" s="478"/>
      <c r="CF173" s="478"/>
      <c r="CG173" s="478"/>
      <c r="CH173" s="478"/>
      <c r="CI173" s="478"/>
      <c r="CJ173" s="478"/>
      <c r="CK173" s="478"/>
      <c r="CL173" s="478"/>
      <c r="CM173" s="478"/>
      <c r="CN173" s="478"/>
      <c r="CO173" s="478"/>
      <c r="CP173" s="478"/>
      <c r="CQ173" s="478"/>
      <c r="CR173" s="478"/>
      <c r="CS173" s="478"/>
      <c r="CT173" s="478"/>
      <c r="CU173" s="478"/>
      <c r="CV173" s="478"/>
      <c r="CW173" s="478"/>
      <c r="CX173" s="478"/>
      <c r="CY173" s="478"/>
      <c r="CZ173" s="478"/>
    </row>
    <row r="174" spans="1:104" ht="14.25" customHeight="1" x14ac:dyDescent="0.2">
      <c r="A174" s="478"/>
      <c r="B174" s="504"/>
      <c r="C174" s="478"/>
      <c r="D174" s="478"/>
      <c r="E174" s="478"/>
      <c r="F174" s="478"/>
      <c r="G174" s="478"/>
      <c r="H174" s="478"/>
      <c r="I174" s="478"/>
      <c r="J174" s="478"/>
      <c r="K174" s="478"/>
      <c r="L174" s="478"/>
      <c r="M174" s="478"/>
      <c r="N174" s="478"/>
      <c r="O174" s="478"/>
      <c r="P174" s="478"/>
      <c r="Q174" s="478"/>
      <c r="R174" s="478"/>
      <c r="S174" s="478"/>
      <c r="T174" s="505"/>
      <c r="U174" s="478"/>
      <c r="V174" s="478"/>
      <c r="W174" s="506"/>
      <c r="X174" s="507"/>
      <c r="Y174" s="507"/>
      <c r="Z174" s="507"/>
      <c r="AA174" s="507"/>
      <c r="AB174" s="507"/>
      <c r="AC174" s="507"/>
      <c r="AD174" s="507"/>
      <c r="AE174" s="507"/>
      <c r="AF174" s="507"/>
      <c r="AG174" s="507"/>
      <c r="AH174" s="507"/>
      <c r="AI174" s="507"/>
      <c r="AJ174" s="507"/>
      <c r="AK174" s="507"/>
      <c r="AL174" s="478"/>
      <c r="AM174" s="478"/>
      <c r="AN174" s="478"/>
      <c r="AO174" s="478"/>
      <c r="AP174" s="478"/>
      <c r="AQ174" s="478"/>
      <c r="AR174" s="478"/>
      <c r="AS174" s="478"/>
      <c r="AT174" s="478"/>
      <c r="AU174" s="478"/>
      <c r="AV174" s="478"/>
      <c r="AW174" s="478"/>
      <c r="AX174" s="478"/>
      <c r="AY174" s="478"/>
      <c r="AZ174" s="478"/>
      <c r="BA174" s="478"/>
      <c r="BB174" s="478"/>
      <c r="BC174" s="478"/>
      <c r="BD174" s="478"/>
      <c r="BE174" s="478"/>
      <c r="BF174" s="478"/>
      <c r="BG174" s="478"/>
      <c r="BH174" s="478"/>
      <c r="BI174" s="478"/>
      <c r="BJ174" s="478"/>
      <c r="BK174" s="478"/>
      <c r="BL174" s="478"/>
      <c r="BM174" s="478"/>
      <c r="BN174" s="478"/>
      <c r="BO174" s="478"/>
      <c r="BP174" s="478"/>
      <c r="BQ174" s="478"/>
      <c r="BR174" s="478"/>
      <c r="BS174" s="478"/>
      <c r="BT174" s="478"/>
      <c r="BU174" s="478"/>
      <c r="BV174" s="478"/>
      <c r="BW174" s="478"/>
      <c r="BX174" s="478"/>
      <c r="BY174" s="478"/>
      <c r="BZ174" s="478"/>
      <c r="CA174" s="478"/>
      <c r="CB174" s="478"/>
      <c r="CC174" s="478"/>
      <c r="CD174" s="478"/>
      <c r="CE174" s="478"/>
      <c r="CF174" s="478"/>
      <c r="CG174" s="478"/>
      <c r="CH174" s="478"/>
      <c r="CI174" s="478"/>
      <c r="CJ174" s="478"/>
      <c r="CK174" s="478"/>
      <c r="CL174" s="478"/>
      <c r="CM174" s="478"/>
      <c r="CN174" s="478"/>
      <c r="CO174" s="478"/>
      <c r="CP174" s="478"/>
      <c r="CQ174" s="478"/>
      <c r="CR174" s="478"/>
      <c r="CS174" s="478"/>
      <c r="CT174" s="478"/>
      <c r="CU174" s="478"/>
      <c r="CV174" s="478"/>
      <c r="CW174" s="478"/>
      <c r="CX174" s="478"/>
      <c r="CY174" s="478"/>
      <c r="CZ174" s="478"/>
    </row>
    <row r="175" spans="1:104" ht="14.25" customHeight="1" x14ac:dyDescent="0.2">
      <c r="A175" s="478"/>
      <c r="B175" s="504"/>
      <c r="C175" s="478"/>
      <c r="D175" s="478"/>
      <c r="E175" s="478"/>
      <c r="F175" s="478"/>
      <c r="G175" s="478"/>
      <c r="H175" s="478"/>
      <c r="I175" s="478"/>
      <c r="J175" s="478"/>
      <c r="K175" s="478"/>
      <c r="L175" s="478"/>
      <c r="M175" s="478"/>
      <c r="N175" s="478"/>
      <c r="O175" s="478"/>
      <c r="P175" s="478"/>
      <c r="Q175" s="478"/>
      <c r="R175" s="478"/>
      <c r="S175" s="478"/>
      <c r="T175" s="505"/>
      <c r="U175" s="478"/>
      <c r="V175" s="478"/>
      <c r="W175" s="506"/>
      <c r="X175" s="507"/>
      <c r="Y175" s="507"/>
      <c r="Z175" s="507"/>
      <c r="AA175" s="507"/>
      <c r="AB175" s="507"/>
      <c r="AC175" s="507"/>
      <c r="AD175" s="507"/>
      <c r="AE175" s="507"/>
      <c r="AF175" s="507"/>
      <c r="AG175" s="507"/>
      <c r="AH175" s="507"/>
      <c r="AI175" s="507"/>
      <c r="AJ175" s="507"/>
      <c r="AK175" s="507"/>
      <c r="AL175" s="478"/>
      <c r="AM175" s="478"/>
      <c r="AN175" s="478"/>
      <c r="AO175" s="478"/>
      <c r="AP175" s="478"/>
      <c r="AQ175" s="478"/>
      <c r="AR175" s="478"/>
      <c r="AS175" s="478"/>
      <c r="AT175" s="478"/>
      <c r="AU175" s="478"/>
      <c r="AV175" s="478"/>
      <c r="AW175" s="478"/>
      <c r="AX175" s="478"/>
      <c r="AY175" s="478"/>
      <c r="AZ175" s="478"/>
      <c r="BA175" s="478"/>
      <c r="BB175" s="478"/>
      <c r="BC175" s="478"/>
      <c r="BD175" s="478"/>
      <c r="BE175" s="478"/>
      <c r="BF175" s="478"/>
      <c r="BG175" s="478"/>
      <c r="BH175" s="478"/>
      <c r="BI175" s="478"/>
      <c r="BJ175" s="478"/>
      <c r="BK175" s="478"/>
      <c r="BL175" s="478"/>
      <c r="BM175" s="478"/>
      <c r="BN175" s="478"/>
      <c r="BO175" s="478"/>
      <c r="BP175" s="478"/>
      <c r="BQ175" s="478"/>
      <c r="BR175" s="478"/>
      <c r="BS175" s="478"/>
      <c r="BT175" s="478"/>
      <c r="BU175" s="478"/>
      <c r="BV175" s="478"/>
      <c r="BW175" s="478"/>
      <c r="BX175" s="478"/>
      <c r="BY175" s="478"/>
      <c r="BZ175" s="478"/>
      <c r="CA175" s="478"/>
      <c r="CB175" s="478"/>
      <c r="CC175" s="478"/>
      <c r="CD175" s="478"/>
      <c r="CE175" s="478"/>
      <c r="CF175" s="478"/>
      <c r="CG175" s="478"/>
      <c r="CH175" s="478"/>
      <c r="CI175" s="478"/>
      <c r="CJ175" s="478"/>
      <c r="CK175" s="478"/>
      <c r="CL175" s="478"/>
      <c r="CM175" s="478"/>
      <c r="CN175" s="478"/>
      <c r="CO175" s="478"/>
      <c r="CP175" s="478"/>
      <c r="CQ175" s="478"/>
      <c r="CR175" s="478"/>
      <c r="CS175" s="478"/>
      <c r="CT175" s="478"/>
      <c r="CU175" s="478"/>
      <c r="CV175" s="478"/>
      <c r="CW175" s="478"/>
      <c r="CX175" s="478"/>
      <c r="CY175" s="478"/>
      <c r="CZ175" s="478"/>
    </row>
    <row r="176" spans="1:104" ht="14.25" customHeight="1" x14ac:dyDescent="0.2">
      <c r="A176" s="478"/>
      <c r="B176" s="504"/>
      <c r="C176" s="478"/>
      <c r="D176" s="478"/>
      <c r="E176" s="478"/>
      <c r="F176" s="478"/>
      <c r="G176" s="478"/>
      <c r="H176" s="478"/>
      <c r="I176" s="478"/>
      <c r="J176" s="478"/>
      <c r="K176" s="478"/>
      <c r="L176" s="478"/>
      <c r="M176" s="478"/>
      <c r="N176" s="478"/>
      <c r="O176" s="478"/>
      <c r="P176" s="478"/>
      <c r="Q176" s="478"/>
      <c r="R176" s="478"/>
      <c r="S176" s="478"/>
      <c r="T176" s="505"/>
      <c r="U176" s="478"/>
      <c r="V176" s="478"/>
      <c r="W176" s="506"/>
      <c r="X176" s="507"/>
      <c r="Y176" s="507"/>
      <c r="Z176" s="507"/>
      <c r="AA176" s="507"/>
      <c r="AB176" s="507"/>
      <c r="AC176" s="507"/>
      <c r="AD176" s="507"/>
      <c r="AE176" s="507"/>
      <c r="AF176" s="507"/>
      <c r="AG176" s="507"/>
      <c r="AH176" s="507"/>
      <c r="AI176" s="507"/>
      <c r="AJ176" s="507"/>
      <c r="AK176" s="507"/>
      <c r="AL176" s="478"/>
      <c r="AM176" s="478"/>
      <c r="AN176" s="478"/>
      <c r="AO176" s="478"/>
      <c r="AP176" s="478"/>
      <c r="AQ176" s="478"/>
      <c r="AR176" s="478"/>
      <c r="AS176" s="478"/>
      <c r="AT176" s="478"/>
      <c r="AU176" s="478"/>
      <c r="AV176" s="478"/>
      <c r="AW176" s="478"/>
      <c r="AX176" s="478"/>
      <c r="AY176" s="478"/>
      <c r="AZ176" s="478"/>
      <c r="BA176" s="478"/>
      <c r="BB176" s="478"/>
      <c r="BC176" s="478"/>
      <c r="BD176" s="478"/>
      <c r="BE176" s="478"/>
      <c r="BF176" s="478"/>
      <c r="BG176" s="478"/>
      <c r="BH176" s="478"/>
      <c r="BI176" s="478"/>
      <c r="BJ176" s="478"/>
      <c r="BK176" s="478"/>
      <c r="BL176" s="478"/>
      <c r="BM176" s="478"/>
      <c r="BN176" s="478"/>
      <c r="BO176" s="478"/>
      <c r="BP176" s="478"/>
      <c r="BQ176" s="478"/>
      <c r="BR176" s="478"/>
      <c r="BS176" s="478"/>
      <c r="BT176" s="478"/>
      <c r="BU176" s="478"/>
      <c r="BV176" s="478"/>
      <c r="BW176" s="478"/>
      <c r="BX176" s="478"/>
      <c r="BY176" s="478"/>
      <c r="BZ176" s="478"/>
      <c r="CA176" s="478"/>
      <c r="CB176" s="478"/>
      <c r="CC176" s="478"/>
      <c r="CD176" s="478"/>
      <c r="CE176" s="478"/>
      <c r="CF176" s="478"/>
      <c r="CG176" s="478"/>
      <c r="CH176" s="478"/>
      <c r="CI176" s="478"/>
      <c r="CJ176" s="478"/>
      <c r="CK176" s="478"/>
      <c r="CL176" s="478"/>
      <c r="CM176" s="478"/>
      <c r="CN176" s="478"/>
      <c r="CO176" s="478"/>
      <c r="CP176" s="478"/>
      <c r="CQ176" s="478"/>
      <c r="CR176" s="478"/>
      <c r="CS176" s="478"/>
      <c r="CT176" s="478"/>
      <c r="CU176" s="478"/>
      <c r="CV176" s="478"/>
      <c r="CW176" s="478"/>
      <c r="CX176" s="478"/>
      <c r="CY176" s="478"/>
      <c r="CZ176" s="478"/>
    </row>
    <row r="177" spans="1:104" ht="14.25" customHeight="1" x14ac:dyDescent="0.2">
      <c r="A177" s="478"/>
      <c r="B177" s="504"/>
      <c r="C177" s="478"/>
      <c r="D177" s="478"/>
      <c r="E177" s="478"/>
      <c r="F177" s="478"/>
      <c r="G177" s="478"/>
      <c r="H177" s="478"/>
      <c r="I177" s="478"/>
      <c r="J177" s="478"/>
      <c r="K177" s="478"/>
      <c r="L177" s="478"/>
      <c r="M177" s="478"/>
      <c r="N177" s="478"/>
      <c r="O177" s="478"/>
      <c r="P177" s="478"/>
      <c r="Q177" s="478"/>
      <c r="R177" s="478"/>
      <c r="S177" s="478"/>
      <c r="T177" s="505"/>
      <c r="U177" s="478"/>
      <c r="V177" s="478"/>
      <c r="W177" s="506"/>
      <c r="X177" s="507"/>
      <c r="Y177" s="507"/>
      <c r="Z177" s="507"/>
      <c r="AA177" s="507"/>
      <c r="AB177" s="507"/>
      <c r="AC177" s="507"/>
      <c r="AD177" s="507"/>
      <c r="AE177" s="507"/>
      <c r="AF177" s="507"/>
      <c r="AG177" s="507"/>
      <c r="AH177" s="507"/>
      <c r="AI177" s="507"/>
      <c r="AJ177" s="507"/>
      <c r="AK177" s="507"/>
      <c r="AL177" s="478"/>
      <c r="AM177" s="478"/>
      <c r="AN177" s="478"/>
      <c r="AO177" s="478"/>
      <c r="AP177" s="478"/>
      <c r="AQ177" s="478"/>
      <c r="AR177" s="478"/>
      <c r="AS177" s="478"/>
      <c r="AT177" s="478"/>
      <c r="AU177" s="478"/>
      <c r="AV177" s="478"/>
      <c r="AW177" s="478"/>
      <c r="AX177" s="478"/>
      <c r="AY177" s="478"/>
      <c r="AZ177" s="478"/>
      <c r="BA177" s="478"/>
      <c r="BB177" s="478"/>
      <c r="BC177" s="478"/>
      <c r="BD177" s="478"/>
      <c r="BE177" s="478"/>
      <c r="BF177" s="478"/>
      <c r="BG177" s="478"/>
      <c r="BH177" s="478"/>
      <c r="BI177" s="478"/>
      <c r="BJ177" s="478"/>
      <c r="BK177" s="478"/>
      <c r="BL177" s="478"/>
      <c r="BM177" s="478"/>
      <c r="BN177" s="478"/>
      <c r="BO177" s="478"/>
      <c r="BP177" s="478"/>
      <c r="BQ177" s="478"/>
      <c r="BR177" s="478"/>
      <c r="BS177" s="478"/>
      <c r="BT177" s="478"/>
      <c r="BU177" s="478"/>
      <c r="BV177" s="478"/>
      <c r="BW177" s="478"/>
      <c r="BX177" s="478"/>
      <c r="BY177" s="478"/>
      <c r="BZ177" s="478"/>
      <c r="CA177" s="478"/>
      <c r="CB177" s="478"/>
      <c r="CC177" s="478"/>
      <c r="CD177" s="478"/>
      <c r="CE177" s="478"/>
      <c r="CF177" s="478"/>
      <c r="CG177" s="478"/>
      <c r="CH177" s="478"/>
      <c r="CI177" s="478"/>
      <c r="CJ177" s="478"/>
      <c r="CK177" s="478"/>
      <c r="CL177" s="478"/>
      <c r="CM177" s="478"/>
      <c r="CN177" s="478"/>
      <c r="CO177" s="478"/>
      <c r="CP177" s="478"/>
      <c r="CQ177" s="478"/>
      <c r="CR177" s="478"/>
      <c r="CS177" s="478"/>
      <c r="CT177" s="478"/>
      <c r="CU177" s="478"/>
      <c r="CV177" s="478"/>
      <c r="CW177" s="478"/>
      <c r="CX177" s="478"/>
      <c r="CY177" s="478"/>
      <c r="CZ177" s="478"/>
    </row>
    <row r="178" spans="1:104" ht="14.25" customHeight="1" x14ac:dyDescent="0.2">
      <c r="A178" s="478"/>
      <c r="B178" s="504"/>
      <c r="C178" s="478"/>
      <c r="D178" s="478"/>
      <c r="E178" s="478"/>
      <c r="F178" s="478"/>
      <c r="G178" s="478"/>
      <c r="H178" s="478"/>
      <c r="I178" s="478"/>
      <c r="J178" s="478"/>
      <c r="K178" s="478"/>
      <c r="L178" s="478"/>
      <c r="M178" s="478"/>
      <c r="N178" s="478"/>
      <c r="O178" s="478"/>
      <c r="P178" s="478"/>
      <c r="Q178" s="478"/>
      <c r="R178" s="478"/>
      <c r="S178" s="478"/>
      <c r="T178" s="505"/>
      <c r="U178" s="478"/>
      <c r="V178" s="478"/>
      <c r="W178" s="506"/>
      <c r="X178" s="507"/>
      <c r="Y178" s="507"/>
      <c r="Z178" s="507"/>
      <c r="AA178" s="507"/>
      <c r="AB178" s="507"/>
      <c r="AC178" s="507"/>
      <c r="AD178" s="507"/>
      <c r="AE178" s="507"/>
      <c r="AF178" s="507"/>
      <c r="AG178" s="507"/>
      <c r="AH178" s="507"/>
      <c r="AI178" s="507"/>
      <c r="AJ178" s="507"/>
      <c r="AK178" s="507"/>
      <c r="AL178" s="478"/>
      <c r="AM178" s="478"/>
      <c r="AN178" s="478"/>
      <c r="AO178" s="478"/>
      <c r="AP178" s="478"/>
      <c r="AQ178" s="478"/>
      <c r="AR178" s="478"/>
      <c r="AS178" s="478"/>
      <c r="AT178" s="478"/>
      <c r="AU178" s="478"/>
      <c r="AV178" s="478"/>
      <c r="AW178" s="478"/>
      <c r="AX178" s="478"/>
      <c r="AY178" s="478"/>
      <c r="AZ178" s="478"/>
      <c r="BA178" s="478"/>
      <c r="BB178" s="478"/>
      <c r="BC178" s="478"/>
      <c r="BD178" s="478"/>
      <c r="BE178" s="478"/>
      <c r="BF178" s="478"/>
      <c r="BG178" s="478"/>
      <c r="BH178" s="478"/>
      <c r="BI178" s="478"/>
      <c r="BJ178" s="478"/>
      <c r="BK178" s="478"/>
      <c r="BL178" s="478"/>
      <c r="BM178" s="478"/>
      <c r="BN178" s="478"/>
      <c r="BO178" s="478"/>
      <c r="BP178" s="478"/>
      <c r="BQ178" s="478"/>
      <c r="BR178" s="478"/>
      <c r="BS178" s="478"/>
      <c r="BT178" s="478"/>
      <c r="BU178" s="478"/>
      <c r="BV178" s="478"/>
      <c r="BW178" s="478"/>
      <c r="BX178" s="478"/>
      <c r="BY178" s="478"/>
      <c r="BZ178" s="478"/>
      <c r="CA178" s="478"/>
      <c r="CB178" s="478"/>
      <c r="CC178" s="478"/>
      <c r="CD178" s="478"/>
      <c r="CE178" s="478"/>
      <c r="CF178" s="478"/>
      <c r="CG178" s="478"/>
      <c r="CH178" s="478"/>
      <c r="CI178" s="478"/>
      <c r="CJ178" s="478"/>
      <c r="CK178" s="478"/>
      <c r="CL178" s="478"/>
      <c r="CM178" s="478"/>
      <c r="CN178" s="478"/>
      <c r="CO178" s="478"/>
      <c r="CP178" s="478"/>
      <c r="CQ178" s="478"/>
      <c r="CR178" s="478"/>
      <c r="CS178" s="478"/>
      <c r="CT178" s="478"/>
      <c r="CU178" s="478"/>
      <c r="CV178" s="478"/>
      <c r="CW178" s="478"/>
      <c r="CX178" s="478"/>
      <c r="CY178" s="478"/>
      <c r="CZ178" s="478"/>
    </row>
    <row r="179" spans="1:104" ht="14.25" customHeight="1" x14ac:dyDescent="0.2">
      <c r="A179" s="478"/>
      <c r="B179" s="504"/>
      <c r="C179" s="478"/>
      <c r="D179" s="478"/>
      <c r="E179" s="478"/>
      <c r="F179" s="478"/>
      <c r="G179" s="478"/>
      <c r="H179" s="478"/>
      <c r="I179" s="478"/>
      <c r="J179" s="478"/>
      <c r="K179" s="478"/>
      <c r="L179" s="478"/>
      <c r="M179" s="478"/>
      <c r="N179" s="478"/>
      <c r="O179" s="478"/>
      <c r="P179" s="478"/>
      <c r="Q179" s="478"/>
      <c r="R179" s="478"/>
      <c r="S179" s="478"/>
      <c r="T179" s="505"/>
      <c r="U179" s="478"/>
      <c r="V179" s="478"/>
      <c r="W179" s="506"/>
      <c r="X179" s="507"/>
      <c r="Y179" s="507"/>
      <c r="Z179" s="507"/>
      <c r="AA179" s="507"/>
      <c r="AB179" s="507"/>
      <c r="AC179" s="507"/>
      <c r="AD179" s="507"/>
      <c r="AE179" s="507"/>
      <c r="AF179" s="507"/>
      <c r="AG179" s="507"/>
      <c r="AH179" s="507"/>
      <c r="AI179" s="507"/>
      <c r="AJ179" s="507"/>
      <c r="AK179" s="507"/>
      <c r="AL179" s="478"/>
      <c r="AM179" s="478"/>
      <c r="AN179" s="478"/>
      <c r="AO179" s="478"/>
      <c r="AP179" s="478"/>
      <c r="AQ179" s="478"/>
      <c r="AR179" s="478"/>
      <c r="AS179" s="478"/>
      <c r="AT179" s="478"/>
      <c r="AU179" s="478"/>
      <c r="AV179" s="478"/>
      <c r="AW179" s="478"/>
      <c r="AX179" s="478"/>
      <c r="AY179" s="478"/>
      <c r="AZ179" s="478"/>
      <c r="BA179" s="478"/>
      <c r="BB179" s="478"/>
      <c r="BC179" s="478"/>
      <c r="BD179" s="478"/>
      <c r="BE179" s="478"/>
      <c r="BF179" s="478"/>
      <c r="BG179" s="478"/>
      <c r="BH179" s="478"/>
      <c r="BI179" s="478"/>
      <c r="BJ179" s="478"/>
      <c r="BK179" s="478"/>
      <c r="BL179" s="478"/>
      <c r="BM179" s="478"/>
      <c r="BN179" s="478"/>
      <c r="BO179" s="478"/>
      <c r="BP179" s="478"/>
      <c r="BQ179" s="478"/>
      <c r="BR179" s="478"/>
      <c r="BS179" s="478"/>
      <c r="BT179" s="478"/>
      <c r="BU179" s="478"/>
      <c r="BV179" s="478"/>
      <c r="BW179" s="478"/>
      <c r="BX179" s="478"/>
      <c r="BY179" s="478"/>
      <c r="BZ179" s="478"/>
      <c r="CA179" s="478"/>
      <c r="CB179" s="478"/>
      <c r="CC179" s="478"/>
      <c r="CD179" s="478"/>
      <c r="CE179" s="478"/>
      <c r="CF179" s="478"/>
      <c r="CG179" s="478"/>
      <c r="CH179" s="478"/>
      <c r="CI179" s="478"/>
      <c r="CJ179" s="478"/>
      <c r="CK179" s="478"/>
      <c r="CL179" s="478"/>
      <c r="CM179" s="478"/>
      <c r="CN179" s="478"/>
      <c r="CO179" s="478"/>
      <c r="CP179" s="478"/>
      <c r="CQ179" s="478"/>
      <c r="CR179" s="478"/>
      <c r="CS179" s="478"/>
      <c r="CT179" s="478"/>
      <c r="CU179" s="478"/>
      <c r="CV179" s="478"/>
      <c r="CW179" s="478"/>
      <c r="CX179" s="478"/>
      <c r="CY179" s="478"/>
      <c r="CZ179" s="478"/>
    </row>
    <row r="180" spans="1:104" ht="14.25" customHeight="1" x14ac:dyDescent="0.2">
      <c r="A180" s="478"/>
      <c r="B180" s="504"/>
      <c r="C180" s="478"/>
      <c r="D180" s="478"/>
      <c r="E180" s="478"/>
      <c r="F180" s="478"/>
      <c r="G180" s="478"/>
      <c r="H180" s="478"/>
      <c r="I180" s="478"/>
      <c r="J180" s="478"/>
      <c r="K180" s="478"/>
      <c r="L180" s="478"/>
      <c r="M180" s="478"/>
      <c r="N180" s="478"/>
      <c r="O180" s="478"/>
      <c r="P180" s="478"/>
      <c r="Q180" s="478"/>
      <c r="R180" s="478"/>
      <c r="S180" s="478"/>
      <c r="T180" s="505"/>
      <c r="U180" s="478"/>
      <c r="V180" s="478"/>
      <c r="W180" s="506"/>
      <c r="X180" s="507"/>
      <c r="Y180" s="507"/>
      <c r="Z180" s="507"/>
      <c r="AA180" s="507"/>
      <c r="AB180" s="507"/>
      <c r="AC180" s="507"/>
      <c r="AD180" s="507"/>
      <c r="AE180" s="507"/>
      <c r="AF180" s="507"/>
      <c r="AG180" s="507"/>
      <c r="AH180" s="507"/>
      <c r="AI180" s="507"/>
      <c r="AJ180" s="507"/>
      <c r="AK180" s="507"/>
      <c r="AL180" s="478"/>
      <c r="AM180" s="478"/>
      <c r="AN180" s="478"/>
      <c r="AO180" s="478"/>
      <c r="AP180" s="478"/>
      <c r="AQ180" s="478"/>
      <c r="AR180" s="478"/>
      <c r="AS180" s="478"/>
      <c r="AT180" s="478"/>
      <c r="AU180" s="478"/>
      <c r="AV180" s="478"/>
      <c r="AW180" s="478"/>
      <c r="AX180" s="478"/>
      <c r="AY180" s="478"/>
      <c r="AZ180" s="478"/>
      <c r="BA180" s="478"/>
      <c r="BB180" s="478"/>
      <c r="BC180" s="478"/>
      <c r="BD180" s="478"/>
      <c r="BE180" s="478"/>
      <c r="BF180" s="478"/>
      <c r="BG180" s="478"/>
      <c r="BH180" s="478"/>
      <c r="BI180" s="478"/>
      <c r="BJ180" s="478"/>
      <c r="BK180" s="478"/>
      <c r="BL180" s="478"/>
      <c r="BM180" s="478"/>
      <c r="BN180" s="478"/>
      <c r="BO180" s="478"/>
      <c r="BP180" s="478"/>
      <c r="BQ180" s="478"/>
      <c r="BR180" s="478"/>
      <c r="BS180" s="478"/>
      <c r="BT180" s="478"/>
      <c r="BU180" s="478"/>
      <c r="BV180" s="478"/>
      <c r="BW180" s="478"/>
      <c r="BX180" s="478"/>
      <c r="BY180" s="478"/>
      <c r="BZ180" s="478"/>
      <c r="CA180" s="478"/>
      <c r="CB180" s="478"/>
      <c r="CC180" s="478"/>
      <c r="CD180" s="478"/>
      <c r="CE180" s="478"/>
      <c r="CF180" s="478"/>
      <c r="CG180" s="478"/>
      <c r="CH180" s="478"/>
      <c r="CI180" s="478"/>
      <c r="CJ180" s="478"/>
      <c r="CK180" s="478"/>
      <c r="CL180" s="478"/>
      <c r="CM180" s="478"/>
      <c r="CN180" s="478"/>
      <c r="CO180" s="478"/>
      <c r="CP180" s="478"/>
      <c r="CQ180" s="478"/>
      <c r="CR180" s="478"/>
      <c r="CS180" s="478"/>
      <c r="CT180" s="478"/>
      <c r="CU180" s="478"/>
      <c r="CV180" s="478"/>
      <c r="CW180" s="478"/>
      <c r="CX180" s="478"/>
      <c r="CY180" s="478"/>
      <c r="CZ180" s="478"/>
    </row>
    <row r="181" spans="1:104" ht="14.25" customHeight="1" x14ac:dyDescent="0.2">
      <c r="A181" s="478"/>
      <c r="B181" s="504"/>
      <c r="C181" s="478"/>
      <c r="D181" s="478"/>
      <c r="E181" s="478"/>
      <c r="F181" s="478"/>
      <c r="G181" s="478"/>
      <c r="H181" s="478"/>
      <c r="I181" s="478"/>
      <c r="J181" s="478"/>
      <c r="K181" s="478"/>
      <c r="L181" s="478"/>
      <c r="M181" s="478"/>
      <c r="N181" s="478"/>
      <c r="O181" s="478"/>
      <c r="P181" s="478"/>
      <c r="Q181" s="478"/>
      <c r="R181" s="478"/>
      <c r="S181" s="478"/>
      <c r="T181" s="505"/>
      <c r="U181" s="478"/>
      <c r="V181" s="478"/>
      <c r="W181" s="506"/>
      <c r="X181" s="507"/>
      <c r="Y181" s="507"/>
      <c r="Z181" s="507"/>
      <c r="AA181" s="507"/>
      <c r="AB181" s="507"/>
      <c r="AC181" s="507"/>
      <c r="AD181" s="507"/>
      <c r="AE181" s="507"/>
      <c r="AF181" s="507"/>
      <c r="AG181" s="507"/>
      <c r="AH181" s="507"/>
      <c r="AI181" s="507"/>
      <c r="AJ181" s="507"/>
      <c r="AK181" s="507"/>
      <c r="AL181" s="478"/>
      <c r="AM181" s="478"/>
      <c r="AN181" s="478"/>
      <c r="AO181" s="478"/>
      <c r="AP181" s="478"/>
      <c r="AQ181" s="478"/>
      <c r="AR181" s="478"/>
      <c r="AS181" s="478"/>
      <c r="AT181" s="478"/>
      <c r="AU181" s="478"/>
      <c r="AV181" s="478"/>
      <c r="AW181" s="478"/>
      <c r="AX181" s="478"/>
      <c r="AY181" s="478"/>
      <c r="AZ181" s="478"/>
      <c r="BA181" s="478"/>
      <c r="BB181" s="478"/>
      <c r="BC181" s="478"/>
      <c r="BD181" s="478"/>
      <c r="BE181" s="478"/>
      <c r="BF181" s="478"/>
      <c r="BG181" s="478"/>
      <c r="BH181" s="478"/>
      <c r="BI181" s="478"/>
      <c r="BJ181" s="478"/>
      <c r="BK181" s="478"/>
      <c r="BL181" s="478"/>
      <c r="BM181" s="478"/>
      <c r="BN181" s="478"/>
      <c r="BO181" s="478"/>
      <c r="BP181" s="478"/>
      <c r="BQ181" s="478"/>
      <c r="BR181" s="478"/>
      <c r="BS181" s="478"/>
      <c r="BT181" s="478"/>
      <c r="BU181" s="478"/>
      <c r="BV181" s="478"/>
      <c r="BW181" s="478"/>
      <c r="BX181" s="478"/>
      <c r="BY181" s="478"/>
      <c r="BZ181" s="478"/>
      <c r="CA181" s="478"/>
      <c r="CB181" s="478"/>
      <c r="CC181" s="478"/>
      <c r="CD181" s="478"/>
      <c r="CE181" s="478"/>
      <c r="CF181" s="478"/>
      <c r="CG181" s="478"/>
      <c r="CH181" s="478"/>
      <c r="CI181" s="478"/>
      <c r="CJ181" s="478"/>
      <c r="CK181" s="478"/>
      <c r="CL181" s="478"/>
      <c r="CM181" s="478"/>
      <c r="CN181" s="478"/>
      <c r="CO181" s="478"/>
      <c r="CP181" s="478"/>
      <c r="CQ181" s="478"/>
      <c r="CR181" s="478"/>
      <c r="CS181" s="478"/>
      <c r="CT181" s="478"/>
      <c r="CU181" s="478"/>
      <c r="CV181" s="478"/>
      <c r="CW181" s="478"/>
      <c r="CX181" s="478"/>
      <c r="CY181" s="478"/>
      <c r="CZ181" s="478"/>
    </row>
    <row r="182" spans="1:104" ht="14.25" customHeight="1" x14ac:dyDescent="0.2">
      <c r="A182" s="478"/>
      <c r="B182" s="504"/>
      <c r="C182" s="478"/>
      <c r="D182" s="478"/>
      <c r="E182" s="478"/>
      <c r="F182" s="478"/>
      <c r="G182" s="478"/>
      <c r="H182" s="478"/>
      <c r="I182" s="478"/>
      <c r="J182" s="478"/>
      <c r="K182" s="478"/>
      <c r="L182" s="478"/>
      <c r="M182" s="478"/>
      <c r="N182" s="478"/>
      <c r="O182" s="478"/>
      <c r="P182" s="478"/>
      <c r="Q182" s="478"/>
      <c r="R182" s="478"/>
      <c r="S182" s="478"/>
      <c r="T182" s="505"/>
      <c r="U182" s="478"/>
      <c r="V182" s="478"/>
      <c r="W182" s="506"/>
      <c r="X182" s="507"/>
      <c r="Y182" s="507"/>
      <c r="Z182" s="507"/>
      <c r="AA182" s="507"/>
      <c r="AB182" s="507"/>
      <c r="AC182" s="507"/>
      <c r="AD182" s="507"/>
      <c r="AE182" s="507"/>
      <c r="AF182" s="507"/>
      <c r="AG182" s="507"/>
      <c r="AH182" s="507"/>
      <c r="AI182" s="507"/>
      <c r="AJ182" s="507"/>
      <c r="AK182" s="507"/>
      <c r="AL182" s="478"/>
      <c r="AM182" s="478"/>
      <c r="AN182" s="478"/>
      <c r="AO182" s="478"/>
      <c r="AP182" s="478"/>
      <c r="AQ182" s="478"/>
      <c r="AR182" s="478"/>
      <c r="AS182" s="478"/>
      <c r="AT182" s="478"/>
      <c r="AU182" s="478"/>
      <c r="AV182" s="478"/>
      <c r="AW182" s="478"/>
      <c r="AX182" s="478"/>
      <c r="AY182" s="478"/>
      <c r="AZ182" s="478"/>
      <c r="BA182" s="478"/>
      <c r="BB182" s="478"/>
      <c r="BC182" s="478"/>
      <c r="BD182" s="478"/>
      <c r="BE182" s="478"/>
      <c r="BF182" s="478"/>
      <c r="BG182" s="478"/>
      <c r="BH182" s="478"/>
      <c r="BI182" s="478"/>
      <c r="BJ182" s="478"/>
      <c r="BK182" s="478"/>
      <c r="BL182" s="478"/>
      <c r="BM182" s="478"/>
      <c r="BN182" s="478"/>
      <c r="BO182" s="478"/>
      <c r="BP182" s="478"/>
      <c r="BQ182" s="478"/>
      <c r="BR182" s="478"/>
      <c r="BS182" s="478"/>
      <c r="BT182" s="478"/>
      <c r="BU182" s="478"/>
      <c r="BV182" s="478"/>
      <c r="BW182" s="478"/>
      <c r="BX182" s="478"/>
      <c r="BY182" s="478"/>
      <c r="BZ182" s="478"/>
      <c r="CA182" s="478"/>
      <c r="CB182" s="478"/>
      <c r="CC182" s="478"/>
      <c r="CD182" s="478"/>
      <c r="CE182" s="478"/>
      <c r="CF182" s="478"/>
      <c r="CG182" s="478"/>
      <c r="CH182" s="478"/>
      <c r="CI182" s="478"/>
      <c r="CJ182" s="478"/>
      <c r="CK182" s="478"/>
      <c r="CL182" s="478"/>
      <c r="CM182" s="478"/>
      <c r="CN182" s="478"/>
      <c r="CO182" s="478"/>
      <c r="CP182" s="478"/>
      <c r="CQ182" s="478"/>
      <c r="CR182" s="478"/>
      <c r="CS182" s="478"/>
      <c r="CT182" s="478"/>
      <c r="CU182" s="478"/>
      <c r="CV182" s="478"/>
      <c r="CW182" s="478"/>
      <c r="CX182" s="478"/>
      <c r="CY182" s="478"/>
      <c r="CZ182" s="478"/>
    </row>
    <row r="183" spans="1:104" ht="14.25" customHeight="1" x14ac:dyDescent="0.2">
      <c r="A183" s="478"/>
      <c r="B183" s="504"/>
      <c r="C183" s="478"/>
      <c r="D183" s="478"/>
      <c r="E183" s="478"/>
      <c r="F183" s="478"/>
      <c r="G183" s="478"/>
      <c r="H183" s="478"/>
      <c r="I183" s="478"/>
      <c r="J183" s="478"/>
      <c r="K183" s="478"/>
      <c r="L183" s="478"/>
      <c r="M183" s="478"/>
      <c r="N183" s="478"/>
      <c r="O183" s="478"/>
      <c r="P183" s="478"/>
      <c r="Q183" s="478"/>
      <c r="R183" s="478"/>
      <c r="S183" s="478"/>
      <c r="T183" s="505"/>
      <c r="U183" s="478"/>
      <c r="V183" s="478"/>
      <c r="W183" s="506"/>
      <c r="X183" s="507"/>
      <c r="Y183" s="507"/>
      <c r="Z183" s="507"/>
      <c r="AA183" s="507"/>
      <c r="AB183" s="507"/>
      <c r="AC183" s="507"/>
      <c r="AD183" s="507"/>
      <c r="AE183" s="507"/>
      <c r="AF183" s="507"/>
      <c r="AG183" s="507"/>
      <c r="AH183" s="507"/>
      <c r="AI183" s="507"/>
      <c r="AJ183" s="507"/>
      <c r="AK183" s="507"/>
      <c r="AL183" s="478"/>
      <c r="AM183" s="478"/>
      <c r="AN183" s="478"/>
      <c r="AO183" s="478"/>
      <c r="AP183" s="478"/>
      <c r="AQ183" s="478"/>
      <c r="AR183" s="478"/>
      <c r="AS183" s="478"/>
      <c r="AT183" s="478"/>
      <c r="AU183" s="478"/>
      <c r="AV183" s="478"/>
      <c r="AW183" s="478"/>
      <c r="AX183" s="478"/>
      <c r="AY183" s="478"/>
      <c r="AZ183" s="478"/>
      <c r="BA183" s="478"/>
      <c r="BB183" s="478"/>
      <c r="BC183" s="478"/>
      <c r="BD183" s="478"/>
      <c r="BE183" s="478"/>
      <c r="BF183" s="478"/>
      <c r="BG183" s="478"/>
      <c r="BH183" s="478"/>
      <c r="BI183" s="478"/>
      <c r="BJ183" s="478"/>
      <c r="BK183" s="478"/>
      <c r="BL183" s="478"/>
      <c r="BM183" s="478"/>
      <c r="BN183" s="478"/>
      <c r="BO183" s="478"/>
      <c r="BP183" s="478"/>
      <c r="BQ183" s="478"/>
      <c r="BR183" s="478"/>
      <c r="BS183" s="478"/>
      <c r="BT183" s="478"/>
      <c r="BU183" s="478"/>
      <c r="BV183" s="478"/>
      <c r="BW183" s="478"/>
      <c r="BX183" s="478"/>
      <c r="BY183" s="478"/>
      <c r="BZ183" s="478"/>
      <c r="CA183" s="478"/>
      <c r="CB183" s="478"/>
      <c r="CC183" s="478"/>
      <c r="CD183" s="478"/>
      <c r="CE183" s="478"/>
      <c r="CF183" s="478"/>
      <c r="CG183" s="478"/>
      <c r="CH183" s="478"/>
      <c r="CI183" s="478"/>
      <c r="CJ183" s="478"/>
      <c r="CK183" s="478"/>
      <c r="CL183" s="478"/>
      <c r="CM183" s="478"/>
      <c r="CN183" s="478"/>
      <c r="CO183" s="478"/>
      <c r="CP183" s="478"/>
      <c r="CQ183" s="478"/>
      <c r="CR183" s="478"/>
      <c r="CS183" s="478"/>
      <c r="CT183" s="478"/>
      <c r="CU183" s="478"/>
      <c r="CV183" s="478"/>
      <c r="CW183" s="478"/>
      <c r="CX183" s="478"/>
      <c r="CY183" s="478"/>
      <c r="CZ183" s="478"/>
    </row>
    <row r="184" spans="1:104" ht="14.25" customHeight="1" x14ac:dyDescent="0.2">
      <c r="A184" s="478"/>
      <c r="B184" s="504"/>
      <c r="C184" s="478"/>
      <c r="D184" s="478"/>
      <c r="E184" s="478"/>
      <c r="F184" s="478"/>
      <c r="G184" s="478"/>
      <c r="H184" s="478"/>
      <c r="I184" s="478"/>
      <c r="J184" s="478"/>
      <c r="K184" s="478"/>
      <c r="L184" s="478"/>
      <c r="M184" s="478"/>
      <c r="N184" s="478"/>
      <c r="O184" s="478"/>
      <c r="P184" s="478"/>
      <c r="Q184" s="478"/>
      <c r="R184" s="478"/>
      <c r="S184" s="478"/>
      <c r="T184" s="505"/>
      <c r="U184" s="478"/>
      <c r="V184" s="478"/>
      <c r="W184" s="506"/>
      <c r="X184" s="507"/>
      <c r="Y184" s="507"/>
      <c r="Z184" s="507"/>
      <c r="AA184" s="507"/>
      <c r="AB184" s="507"/>
      <c r="AC184" s="507"/>
      <c r="AD184" s="507"/>
      <c r="AE184" s="507"/>
      <c r="AF184" s="507"/>
      <c r="AG184" s="507"/>
      <c r="AH184" s="507"/>
      <c r="AI184" s="507"/>
      <c r="AJ184" s="507"/>
      <c r="AK184" s="507"/>
      <c r="AL184" s="478"/>
      <c r="AM184" s="478"/>
      <c r="AN184" s="478"/>
      <c r="AO184" s="478"/>
      <c r="AP184" s="478"/>
      <c r="AQ184" s="478"/>
      <c r="AR184" s="478"/>
      <c r="AS184" s="478"/>
      <c r="AT184" s="478"/>
      <c r="AU184" s="478"/>
      <c r="AV184" s="478"/>
      <c r="AW184" s="478"/>
      <c r="AX184" s="478"/>
      <c r="AY184" s="478"/>
      <c r="AZ184" s="478"/>
      <c r="BA184" s="478"/>
      <c r="BB184" s="478"/>
      <c r="BC184" s="478"/>
      <c r="BD184" s="478"/>
      <c r="BE184" s="478"/>
      <c r="BF184" s="478"/>
      <c r="BG184" s="478"/>
      <c r="BH184" s="478"/>
      <c r="BI184" s="478"/>
      <c r="BJ184" s="478"/>
      <c r="BK184" s="478"/>
      <c r="BL184" s="478"/>
      <c r="BM184" s="478"/>
      <c r="BN184" s="478"/>
      <c r="BO184" s="478"/>
      <c r="BP184" s="478"/>
      <c r="BQ184" s="478"/>
      <c r="BR184" s="478"/>
      <c r="BS184" s="478"/>
      <c r="BT184" s="478"/>
      <c r="BU184" s="478"/>
      <c r="BV184" s="478"/>
      <c r="BW184" s="478"/>
      <c r="BX184" s="478"/>
      <c r="BY184" s="478"/>
      <c r="BZ184" s="478"/>
      <c r="CA184" s="478"/>
      <c r="CB184" s="478"/>
      <c r="CC184" s="478"/>
      <c r="CD184" s="478"/>
      <c r="CE184" s="478"/>
      <c r="CF184" s="478"/>
      <c r="CG184" s="478"/>
      <c r="CH184" s="478"/>
      <c r="CI184" s="478"/>
      <c r="CJ184" s="478"/>
      <c r="CK184" s="478"/>
      <c r="CL184" s="478"/>
      <c r="CM184" s="478"/>
      <c r="CN184" s="478"/>
      <c r="CO184" s="478"/>
      <c r="CP184" s="478"/>
      <c r="CQ184" s="478"/>
      <c r="CR184" s="478"/>
      <c r="CS184" s="478"/>
      <c r="CT184" s="478"/>
      <c r="CU184" s="478"/>
      <c r="CV184" s="478"/>
      <c r="CW184" s="478"/>
      <c r="CX184" s="478"/>
      <c r="CY184" s="478"/>
      <c r="CZ184" s="478"/>
    </row>
    <row r="185" spans="1:104" ht="14.25" customHeight="1" x14ac:dyDescent="0.2">
      <c r="A185" s="478"/>
      <c r="B185" s="504"/>
      <c r="C185" s="478"/>
      <c r="D185" s="478"/>
      <c r="E185" s="478"/>
      <c r="F185" s="478"/>
      <c r="G185" s="478"/>
      <c r="H185" s="478"/>
      <c r="I185" s="478"/>
      <c r="J185" s="478"/>
      <c r="K185" s="478"/>
      <c r="L185" s="478"/>
      <c r="M185" s="478"/>
      <c r="N185" s="478"/>
      <c r="O185" s="478"/>
      <c r="P185" s="478"/>
      <c r="Q185" s="478"/>
      <c r="R185" s="478"/>
      <c r="S185" s="478"/>
      <c r="T185" s="505"/>
      <c r="U185" s="478"/>
      <c r="V185" s="478"/>
      <c r="W185" s="506"/>
      <c r="X185" s="507"/>
      <c r="Y185" s="507"/>
      <c r="Z185" s="507"/>
      <c r="AA185" s="507"/>
      <c r="AB185" s="507"/>
      <c r="AC185" s="507"/>
      <c r="AD185" s="507"/>
      <c r="AE185" s="507"/>
      <c r="AF185" s="507"/>
      <c r="AG185" s="507"/>
      <c r="AH185" s="507"/>
      <c r="AI185" s="507"/>
      <c r="AJ185" s="507"/>
      <c r="AK185" s="507"/>
      <c r="AL185" s="478"/>
      <c r="AM185" s="478"/>
      <c r="AN185" s="478"/>
      <c r="AO185" s="478"/>
      <c r="AP185" s="478"/>
      <c r="AQ185" s="478"/>
      <c r="AR185" s="478"/>
      <c r="AS185" s="478"/>
      <c r="AT185" s="478"/>
      <c r="AU185" s="478"/>
      <c r="AV185" s="478"/>
      <c r="AW185" s="478"/>
      <c r="AX185" s="478"/>
      <c r="AY185" s="478"/>
      <c r="AZ185" s="478"/>
      <c r="BA185" s="478"/>
      <c r="BB185" s="478"/>
      <c r="BC185" s="478"/>
      <c r="BD185" s="478"/>
      <c r="BE185" s="478"/>
      <c r="BF185" s="478"/>
      <c r="BG185" s="478"/>
      <c r="BH185" s="478"/>
      <c r="BI185" s="478"/>
      <c r="BJ185" s="478"/>
      <c r="BK185" s="478"/>
      <c r="BL185" s="478"/>
      <c r="BM185" s="478"/>
      <c r="BN185" s="478"/>
      <c r="BO185" s="478"/>
      <c r="BP185" s="478"/>
      <c r="BQ185" s="478"/>
      <c r="BR185" s="478"/>
      <c r="BS185" s="478"/>
      <c r="BT185" s="478"/>
      <c r="BU185" s="478"/>
      <c r="BV185" s="478"/>
      <c r="BW185" s="478"/>
      <c r="BX185" s="478"/>
      <c r="BY185" s="478"/>
      <c r="BZ185" s="478"/>
      <c r="CA185" s="478"/>
      <c r="CB185" s="478"/>
      <c r="CC185" s="478"/>
      <c r="CD185" s="478"/>
      <c r="CE185" s="478"/>
      <c r="CF185" s="478"/>
      <c r="CG185" s="478"/>
      <c r="CH185" s="478"/>
      <c r="CI185" s="478"/>
      <c r="CJ185" s="478"/>
      <c r="CK185" s="478"/>
      <c r="CL185" s="478"/>
      <c r="CM185" s="478"/>
      <c r="CN185" s="478"/>
      <c r="CO185" s="478"/>
      <c r="CP185" s="478"/>
      <c r="CQ185" s="478"/>
      <c r="CR185" s="478"/>
      <c r="CS185" s="478"/>
      <c r="CT185" s="478"/>
      <c r="CU185" s="478"/>
      <c r="CV185" s="478"/>
      <c r="CW185" s="478"/>
      <c r="CX185" s="478"/>
      <c r="CY185" s="478"/>
      <c r="CZ185" s="478"/>
    </row>
    <row r="186" spans="1:104" ht="14.25" customHeight="1" x14ac:dyDescent="0.2">
      <c r="A186" s="478"/>
      <c r="B186" s="504"/>
      <c r="C186" s="478"/>
      <c r="D186" s="478"/>
      <c r="E186" s="478"/>
      <c r="F186" s="478"/>
      <c r="G186" s="478"/>
      <c r="H186" s="478"/>
      <c r="I186" s="478"/>
      <c r="J186" s="478"/>
      <c r="K186" s="478"/>
      <c r="L186" s="478"/>
      <c r="M186" s="478"/>
      <c r="N186" s="478"/>
      <c r="O186" s="478"/>
      <c r="P186" s="478"/>
      <c r="Q186" s="478"/>
      <c r="R186" s="478"/>
      <c r="S186" s="478"/>
      <c r="T186" s="505"/>
      <c r="U186" s="478"/>
      <c r="V186" s="478"/>
      <c r="W186" s="506"/>
      <c r="X186" s="507"/>
      <c r="Y186" s="507"/>
      <c r="Z186" s="507"/>
      <c r="AA186" s="507"/>
      <c r="AB186" s="507"/>
      <c r="AC186" s="507"/>
      <c r="AD186" s="507"/>
      <c r="AE186" s="507"/>
      <c r="AF186" s="507"/>
      <c r="AG186" s="507"/>
      <c r="AH186" s="507"/>
      <c r="AI186" s="507"/>
      <c r="AJ186" s="507"/>
      <c r="AK186" s="507"/>
      <c r="AL186" s="478"/>
      <c r="AM186" s="478"/>
      <c r="AN186" s="478"/>
      <c r="AO186" s="478"/>
      <c r="AP186" s="478"/>
      <c r="AQ186" s="478"/>
      <c r="AR186" s="478"/>
      <c r="AS186" s="478"/>
      <c r="AT186" s="478"/>
      <c r="AU186" s="478"/>
      <c r="AV186" s="478"/>
      <c r="AW186" s="478"/>
      <c r="AX186" s="478"/>
      <c r="AY186" s="478"/>
      <c r="AZ186" s="478"/>
      <c r="BA186" s="478"/>
      <c r="BB186" s="478"/>
      <c r="BC186" s="478"/>
      <c r="BD186" s="478"/>
      <c r="BE186" s="478"/>
      <c r="BF186" s="478"/>
      <c r="BG186" s="478"/>
      <c r="BH186" s="478"/>
      <c r="BI186" s="478"/>
      <c r="BJ186" s="478"/>
      <c r="BK186" s="478"/>
      <c r="BL186" s="478"/>
      <c r="BM186" s="478"/>
      <c r="BN186" s="478"/>
      <c r="BO186" s="478"/>
      <c r="BP186" s="478"/>
      <c r="BQ186" s="478"/>
      <c r="BR186" s="478"/>
      <c r="BS186" s="478"/>
      <c r="BT186" s="478"/>
      <c r="BU186" s="478"/>
      <c r="BV186" s="478"/>
      <c r="BW186" s="478"/>
      <c r="BX186" s="478"/>
      <c r="BY186" s="478"/>
      <c r="BZ186" s="478"/>
      <c r="CA186" s="478"/>
      <c r="CB186" s="478"/>
      <c r="CC186" s="478"/>
      <c r="CD186" s="478"/>
      <c r="CE186" s="478"/>
      <c r="CF186" s="478"/>
      <c r="CG186" s="478"/>
      <c r="CH186" s="478"/>
      <c r="CI186" s="478"/>
      <c r="CJ186" s="478"/>
      <c r="CK186" s="478"/>
      <c r="CL186" s="478"/>
      <c r="CM186" s="478"/>
      <c r="CN186" s="478"/>
      <c r="CO186" s="478"/>
      <c r="CP186" s="478"/>
      <c r="CQ186" s="478"/>
      <c r="CR186" s="478"/>
      <c r="CS186" s="478"/>
      <c r="CT186" s="478"/>
      <c r="CU186" s="478"/>
      <c r="CV186" s="478"/>
      <c r="CW186" s="478"/>
      <c r="CX186" s="478"/>
      <c r="CY186" s="478"/>
      <c r="CZ186" s="478"/>
    </row>
    <row r="187" spans="1:104" ht="14.25" customHeight="1" x14ac:dyDescent="0.2">
      <c r="A187" s="478"/>
      <c r="B187" s="504"/>
      <c r="C187" s="478"/>
      <c r="D187" s="478"/>
      <c r="E187" s="478"/>
      <c r="F187" s="478"/>
      <c r="G187" s="478"/>
      <c r="H187" s="478"/>
      <c r="I187" s="478"/>
      <c r="J187" s="478"/>
      <c r="K187" s="478"/>
      <c r="L187" s="478"/>
      <c r="M187" s="478"/>
      <c r="N187" s="478"/>
      <c r="O187" s="478"/>
      <c r="P187" s="478"/>
      <c r="Q187" s="478"/>
      <c r="R187" s="478"/>
      <c r="S187" s="478"/>
      <c r="T187" s="505"/>
      <c r="U187" s="478"/>
      <c r="V187" s="478"/>
      <c r="W187" s="506"/>
      <c r="X187" s="507"/>
      <c r="Y187" s="507"/>
      <c r="Z187" s="507"/>
      <c r="AA187" s="507"/>
      <c r="AB187" s="507"/>
      <c r="AC187" s="507"/>
      <c r="AD187" s="507"/>
      <c r="AE187" s="507"/>
      <c r="AF187" s="507"/>
      <c r="AG187" s="507"/>
      <c r="AH187" s="507"/>
      <c r="AI187" s="507"/>
      <c r="AJ187" s="507"/>
      <c r="AK187" s="507"/>
      <c r="AL187" s="478"/>
      <c r="AM187" s="478"/>
      <c r="AN187" s="478"/>
      <c r="AO187" s="478"/>
      <c r="AP187" s="478"/>
      <c r="AQ187" s="478"/>
      <c r="AR187" s="478"/>
      <c r="AS187" s="478"/>
      <c r="AT187" s="478"/>
      <c r="AU187" s="478"/>
      <c r="AV187" s="478"/>
      <c r="AW187" s="478"/>
      <c r="AX187" s="478"/>
      <c r="AY187" s="478"/>
      <c r="AZ187" s="478"/>
      <c r="BA187" s="478"/>
      <c r="BB187" s="478"/>
      <c r="BC187" s="478"/>
      <c r="BD187" s="478"/>
      <c r="BE187" s="478"/>
      <c r="BF187" s="478"/>
      <c r="BG187" s="478"/>
      <c r="BH187" s="478"/>
      <c r="BI187" s="478"/>
      <c r="BJ187" s="478"/>
      <c r="BK187" s="478"/>
      <c r="BL187" s="478"/>
      <c r="BM187" s="478"/>
      <c r="BN187" s="478"/>
      <c r="BO187" s="478"/>
      <c r="BP187" s="478"/>
      <c r="BQ187" s="478"/>
      <c r="BR187" s="478"/>
      <c r="BS187" s="478"/>
      <c r="BT187" s="478"/>
      <c r="BU187" s="478"/>
      <c r="BV187" s="478"/>
      <c r="BW187" s="478"/>
      <c r="BX187" s="478"/>
      <c r="BY187" s="478"/>
      <c r="BZ187" s="478"/>
      <c r="CA187" s="478"/>
      <c r="CB187" s="478"/>
      <c r="CC187" s="478"/>
      <c r="CD187" s="478"/>
      <c r="CE187" s="478"/>
      <c r="CF187" s="478"/>
      <c r="CG187" s="478"/>
      <c r="CH187" s="478"/>
      <c r="CI187" s="478"/>
      <c r="CJ187" s="478"/>
      <c r="CK187" s="478"/>
      <c r="CL187" s="478"/>
      <c r="CM187" s="478"/>
      <c r="CN187" s="478"/>
      <c r="CO187" s="478"/>
      <c r="CP187" s="478"/>
      <c r="CQ187" s="478"/>
      <c r="CR187" s="478"/>
      <c r="CS187" s="478"/>
      <c r="CT187" s="478"/>
      <c r="CU187" s="478"/>
      <c r="CV187" s="478"/>
      <c r="CW187" s="478"/>
      <c r="CX187" s="478"/>
      <c r="CY187" s="478"/>
      <c r="CZ187" s="478"/>
    </row>
    <row r="188" spans="1:104" ht="14.25" customHeight="1" x14ac:dyDescent="0.2">
      <c r="A188" s="478"/>
      <c r="B188" s="504"/>
      <c r="C188" s="478"/>
      <c r="D188" s="478"/>
      <c r="E188" s="478"/>
      <c r="F188" s="478"/>
      <c r="G188" s="478"/>
      <c r="H188" s="478"/>
      <c r="I188" s="478"/>
      <c r="J188" s="478"/>
      <c r="K188" s="478"/>
      <c r="L188" s="478"/>
      <c r="M188" s="478"/>
      <c r="N188" s="478"/>
      <c r="O188" s="478"/>
      <c r="P188" s="478"/>
      <c r="Q188" s="478"/>
      <c r="R188" s="478"/>
      <c r="S188" s="478"/>
      <c r="T188" s="505"/>
      <c r="U188" s="478"/>
      <c r="V188" s="478"/>
      <c r="W188" s="506"/>
      <c r="X188" s="507"/>
      <c r="Y188" s="507"/>
      <c r="Z188" s="507"/>
      <c r="AA188" s="507"/>
      <c r="AB188" s="507"/>
      <c r="AC188" s="507"/>
      <c r="AD188" s="507"/>
      <c r="AE188" s="507"/>
      <c r="AF188" s="507"/>
      <c r="AG188" s="507"/>
      <c r="AH188" s="507"/>
      <c r="AI188" s="507"/>
      <c r="AJ188" s="507"/>
      <c r="AK188" s="507"/>
      <c r="AL188" s="478"/>
      <c r="AM188" s="478"/>
      <c r="AN188" s="478"/>
      <c r="AO188" s="478"/>
      <c r="AP188" s="478"/>
      <c r="AQ188" s="478"/>
      <c r="AR188" s="478"/>
      <c r="AS188" s="478"/>
      <c r="AT188" s="478"/>
      <c r="AU188" s="478"/>
      <c r="AV188" s="478"/>
      <c r="AW188" s="478"/>
      <c r="AX188" s="478"/>
      <c r="AY188" s="478"/>
      <c r="AZ188" s="478"/>
      <c r="BA188" s="478"/>
      <c r="BB188" s="478"/>
      <c r="BC188" s="478"/>
      <c r="BD188" s="478"/>
      <c r="BE188" s="478"/>
      <c r="BF188" s="478"/>
      <c r="BG188" s="478"/>
      <c r="BH188" s="478"/>
      <c r="BI188" s="478"/>
      <c r="BJ188" s="478"/>
      <c r="BK188" s="478"/>
      <c r="BL188" s="478"/>
      <c r="BM188" s="478"/>
      <c r="BN188" s="478"/>
      <c r="BO188" s="478"/>
      <c r="BP188" s="478"/>
      <c r="BQ188" s="478"/>
      <c r="BR188" s="478"/>
      <c r="BS188" s="478"/>
      <c r="BT188" s="478"/>
      <c r="BU188" s="478"/>
      <c r="BV188" s="478"/>
      <c r="BW188" s="478"/>
      <c r="BX188" s="478"/>
      <c r="BY188" s="478"/>
      <c r="BZ188" s="478"/>
      <c r="CA188" s="478"/>
      <c r="CB188" s="478"/>
      <c r="CC188" s="478"/>
      <c r="CD188" s="478"/>
      <c r="CE188" s="478"/>
      <c r="CF188" s="478"/>
      <c r="CG188" s="478"/>
      <c r="CH188" s="478"/>
      <c r="CI188" s="478"/>
      <c r="CJ188" s="478"/>
      <c r="CK188" s="478"/>
      <c r="CL188" s="478"/>
      <c r="CM188" s="478"/>
      <c r="CN188" s="478"/>
      <c r="CO188" s="478"/>
      <c r="CP188" s="478"/>
      <c r="CQ188" s="478"/>
      <c r="CR188" s="478"/>
      <c r="CS188" s="478"/>
      <c r="CT188" s="478"/>
      <c r="CU188" s="478"/>
      <c r="CV188" s="478"/>
      <c r="CW188" s="478"/>
      <c r="CX188" s="478"/>
      <c r="CY188" s="478"/>
      <c r="CZ188" s="478"/>
    </row>
    <row r="189" spans="1:104" ht="14.25" customHeight="1" x14ac:dyDescent="0.2">
      <c r="A189" s="478"/>
      <c r="B189" s="504"/>
      <c r="C189" s="478"/>
      <c r="D189" s="478"/>
      <c r="E189" s="478"/>
      <c r="F189" s="478"/>
      <c r="G189" s="478"/>
      <c r="H189" s="478"/>
      <c r="I189" s="478"/>
      <c r="J189" s="478"/>
      <c r="K189" s="478"/>
      <c r="L189" s="478"/>
      <c r="M189" s="478"/>
      <c r="N189" s="478"/>
      <c r="O189" s="478"/>
      <c r="P189" s="478"/>
      <c r="Q189" s="478"/>
      <c r="R189" s="478"/>
      <c r="S189" s="478"/>
      <c r="T189" s="505"/>
      <c r="U189" s="478"/>
      <c r="V189" s="478"/>
      <c r="W189" s="506"/>
      <c r="X189" s="507"/>
      <c r="Y189" s="507"/>
      <c r="Z189" s="507"/>
      <c r="AA189" s="507"/>
      <c r="AB189" s="507"/>
      <c r="AC189" s="507"/>
      <c r="AD189" s="507"/>
      <c r="AE189" s="507"/>
      <c r="AF189" s="507"/>
      <c r="AG189" s="507"/>
      <c r="AH189" s="507"/>
      <c r="AI189" s="507"/>
      <c r="AJ189" s="507"/>
      <c r="AK189" s="507"/>
      <c r="AL189" s="478"/>
      <c r="AM189" s="478"/>
      <c r="AN189" s="478"/>
      <c r="AO189" s="478"/>
      <c r="AP189" s="478"/>
      <c r="AQ189" s="478"/>
      <c r="AR189" s="478"/>
      <c r="AS189" s="478"/>
      <c r="AT189" s="478"/>
      <c r="AU189" s="478"/>
      <c r="AV189" s="478"/>
      <c r="AW189" s="478"/>
      <c r="AX189" s="478"/>
      <c r="AY189" s="478"/>
      <c r="AZ189" s="478"/>
      <c r="BA189" s="478"/>
      <c r="BB189" s="478"/>
      <c r="BC189" s="478"/>
      <c r="BD189" s="478"/>
      <c r="BE189" s="478"/>
      <c r="BF189" s="478"/>
      <c r="BG189" s="478"/>
      <c r="BH189" s="478"/>
      <c r="BI189" s="478"/>
      <c r="BJ189" s="478"/>
      <c r="BK189" s="478"/>
      <c r="BL189" s="478"/>
      <c r="BM189" s="478"/>
      <c r="BN189" s="478"/>
      <c r="BO189" s="478"/>
      <c r="BP189" s="478"/>
      <c r="BQ189" s="478"/>
      <c r="BR189" s="478"/>
      <c r="BS189" s="478"/>
      <c r="BT189" s="478"/>
      <c r="BU189" s="478"/>
      <c r="BV189" s="478"/>
      <c r="BW189" s="478"/>
      <c r="BX189" s="478"/>
      <c r="BY189" s="478"/>
      <c r="BZ189" s="478"/>
      <c r="CA189" s="478"/>
      <c r="CB189" s="478"/>
      <c r="CC189" s="478"/>
      <c r="CD189" s="478"/>
      <c r="CE189" s="478"/>
      <c r="CF189" s="478"/>
      <c r="CG189" s="478"/>
      <c r="CH189" s="478"/>
      <c r="CI189" s="478"/>
      <c r="CJ189" s="478"/>
      <c r="CK189" s="478"/>
      <c r="CL189" s="478"/>
      <c r="CM189" s="478"/>
      <c r="CN189" s="478"/>
      <c r="CO189" s="478"/>
      <c r="CP189" s="478"/>
      <c r="CQ189" s="478"/>
      <c r="CR189" s="478"/>
      <c r="CS189" s="478"/>
      <c r="CT189" s="478"/>
      <c r="CU189" s="478"/>
      <c r="CV189" s="478"/>
      <c r="CW189" s="478"/>
      <c r="CX189" s="478"/>
      <c r="CY189" s="478"/>
      <c r="CZ189" s="478"/>
    </row>
    <row r="190" spans="1:104" ht="14.25" customHeight="1" x14ac:dyDescent="0.2">
      <c r="A190" s="478"/>
      <c r="B190" s="504"/>
      <c r="C190" s="478"/>
      <c r="D190" s="478"/>
      <c r="E190" s="478"/>
      <c r="F190" s="478"/>
      <c r="G190" s="478"/>
      <c r="H190" s="478"/>
      <c r="I190" s="478"/>
      <c r="J190" s="478"/>
      <c r="K190" s="478"/>
      <c r="L190" s="478"/>
      <c r="M190" s="478"/>
      <c r="N190" s="478"/>
      <c r="O190" s="478"/>
      <c r="P190" s="478"/>
      <c r="Q190" s="478"/>
      <c r="R190" s="478"/>
      <c r="S190" s="478"/>
      <c r="T190" s="505"/>
      <c r="U190" s="478"/>
      <c r="V190" s="478"/>
      <c r="W190" s="506"/>
      <c r="X190" s="507"/>
      <c r="Y190" s="507"/>
      <c r="Z190" s="507"/>
      <c r="AA190" s="507"/>
      <c r="AB190" s="507"/>
      <c r="AC190" s="507"/>
      <c r="AD190" s="507"/>
      <c r="AE190" s="507"/>
      <c r="AF190" s="507"/>
      <c r="AG190" s="507"/>
      <c r="AH190" s="507"/>
      <c r="AI190" s="507"/>
      <c r="AJ190" s="507"/>
      <c r="AK190" s="507"/>
      <c r="AL190" s="478"/>
      <c r="AM190" s="478"/>
      <c r="AN190" s="478"/>
      <c r="AO190" s="478"/>
      <c r="AP190" s="478"/>
      <c r="AQ190" s="478"/>
      <c r="AR190" s="478"/>
      <c r="AS190" s="478"/>
      <c r="AT190" s="478"/>
      <c r="AU190" s="478"/>
      <c r="AV190" s="478"/>
      <c r="AW190" s="478"/>
      <c r="AX190" s="478"/>
      <c r="AY190" s="478"/>
      <c r="AZ190" s="478"/>
      <c r="BA190" s="478"/>
      <c r="BB190" s="478"/>
      <c r="BC190" s="478"/>
      <c r="BD190" s="478"/>
      <c r="BE190" s="478"/>
      <c r="BF190" s="478"/>
      <c r="BG190" s="478"/>
      <c r="BH190" s="478"/>
      <c r="BI190" s="478"/>
      <c r="BJ190" s="478"/>
      <c r="BK190" s="478"/>
      <c r="BL190" s="478"/>
      <c r="BM190" s="478"/>
      <c r="BN190" s="478"/>
      <c r="BO190" s="478"/>
      <c r="BP190" s="478"/>
      <c r="BQ190" s="478"/>
      <c r="BR190" s="478"/>
      <c r="BS190" s="478"/>
      <c r="BT190" s="478"/>
      <c r="BU190" s="478"/>
      <c r="BV190" s="478"/>
      <c r="BW190" s="478"/>
      <c r="BX190" s="478"/>
      <c r="BY190" s="478"/>
      <c r="BZ190" s="478"/>
      <c r="CA190" s="478"/>
      <c r="CB190" s="478"/>
      <c r="CC190" s="478"/>
      <c r="CD190" s="478"/>
      <c r="CE190" s="478"/>
      <c r="CF190" s="478"/>
      <c r="CG190" s="478"/>
      <c r="CH190" s="478"/>
      <c r="CI190" s="478"/>
      <c r="CJ190" s="478"/>
      <c r="CK190" s="478"/>
      <c r="CL190" s="478"/>
      <c r="CM190" s="478"/>
      <c r="CN190" s="478"/>
      <c r="CO190" s="478"/>
      <c r="CP190" s="478"/>
      <c r="CQ190" s="478"/>
      <c r="CR190" s="478"/>
      <c r="CS190" s="478"/>
      <c r="CT190" s="478"/>
      <c r="CU190" s="478"/>
      <c r="CV190" s="478"/>
      <c r="CW190" s="478"/>
      <c r="CX190" s="478"/>
      <c r="CY190" s="478"/>
      <c r="CZ190" s="478"/>
    </row>
    <row r="191" spans="1:104" ht="14.25" customHeight="1" x14ac:dyDescent="0.2">
      <c r="A191" s="478"/>
      <c r="B191" s="504"/>
      <c r="C191" s="478"/>
      <c r="D191" s="478"/>
      <c r="E191" s="478"/>
      <c r="F191" s="478"/>
      <c r="G191" s="478"/>
      <c r="H191" s="478"/>
      <c r="I191" s="478"/>
      <c r="J191" s="478"/>
      <c r="K191" s="478"/>
      <c r="L191" s="478"/>
      <c r="M191" s="478"/>
      <c r="N191" s="478"/>
      <c r="O191" s="478"/>
      <c r="P191" s="478"/>
      <c r="Q191" s="478"/>
      <c r="R191" s="478"/>
      <c r="S191" s="478"/>
      <c r="T191" s="505"/>
      <c r="U191" s="478"/>
      <c r="V191" s="478"/>
      <c r="W191" s="506"/>
      <c r="X191" s="507"/>
      <c r="Y191" s="507"/>
      <c r="Z191" s="507"/>
      <c r="AA191" s="507"/>
      <c r="AB191" s="507"/>
      <c r="AC191" s="507"/>
      <c r="AD191" s="507"/>
      <c r="AE191" s="507"/>
      <c r="AF191" s="507"/>
      <c r="AG191" s="507"/>
      <c r="AH191" s="507"/>
      <c r="AI191" s="507"/>
      <c r="AJ191" s="507"/>
      <c r="AK191" s="507"/>
      <c r="AL191" s="478"/>
      <c r="AM191" s="478"/>
      <c r="AN191" s="478"/>
      <c r="AO191" s="478"/>
      <c r="AP191" s="478"/>
      <c r="AQ191" s="478"/>
      <c r="AR191" s="478"/>
      <c r="AS191" s="478"/>
      <c r="AT191" s="478"/>
      <c r="AU191" s="478"/>
      <c r="AV191" s="478"/>
      <c r="AW191" s="478"/>
      <c r="AX191" s="478"/>
      <c r="AY191" s="478"/>
      <c r="AZ191" s="478"/>
      <c r="BA191" s="478"/>
      <c r="BB191" s="478"/>
      <c r="BC191" s="478"/>
      <c r="BD191" s="478"/>
      <c r="BE191" s="478"/>
      <c r="BF191" s="478"/>
      <c r="BG191" s="478"/>
      <c r="BH191" s="478"/>
      <c r="BI191" s="478"/>
      <c r="BJ191" s="478"/>
      <c r="BK191" s="478"/>
      <c r="BL191" s="478"/>
      <c r="BM191" s="478"/>
      <c r="BN191" s="478"/>
      <c r="BO191" s="478"/>
      <c r="BP191" s="478"/>
      <c r="BQ191" s="478"/>
      <c r="BR191" s="478"/>
      <c r="BS191" s="478"/>
      <c r="BT191" s="478"/>
      <c r="BU191" s="478"/>
      <c r="BV191" s="478"/>
      <c r="BW191" s="478"/>
      <c r="BX191" s="478"/>
      <c r="BY191" s="478"/>
      <c r="BZ191" s="478"/>
      <c r="CA191" s="478"/>
      <c r="CB191" s="478"/>
      <c r="CC191" s="478"/>
      <c r="CD191" s="478"/>
      <c r="CE191" s="478"/>
      <c r="CF191" s="478"/>
      <c r="CG191" s="478"/>
      <c r="CH191" s="478"/>
      <c r="CI191" s="478"/>
      <c r="CJ191" s="478"/>
      <c r="CK191" s="478"/>
      <c r="CL191" s="478"/>
      <c r="CM191" s="478"/>
      <c r="CN191" s="478"/>
      <c r="CO191" s="478"/>
      <c r="CP191" s="478"/>
      <c r="CQ191" s="478"/>
      <c r="CR191" s="478"/>
      <c r="CS191" s="478"/>
      <c r="CT191" s="478"/>
      <c r="CU191" s="478"/>
      <c r="CV191" s="478"/>
      <c r="CW191" s="478"/>
      <c r="CX191" s="478"/>
      <c r="CY191" s="478"/>
      <c r="CZ191" s="478"/>
    </row>
    <row r="192" spans="1:104" ht="14.25" customHeight="1" x14ac:dyDescent="0.2">
      <c r="A192" s="478"/>
      <c r="B192" s="504"/>
      <c r="C192" s="478"/>
      <c r="D192" s="478"/>
      <c r="E192" s="478"/>
      <c r="F192" s="478"/>
      <c r="G192" s="478"/>
      <c r="H192" s="478"/>
      <c r="I192" s="478"/>
      <c r="J192" s="478"/>
      <c r="K192" s="478"/>
      <c r="L192" s="478"/>
      <c r="M192" s="478"/>
      <c r="N192" s="478"/>
      <c r="O192" s="478"/>
      <c r="P192" s="478"/>
      <c r="Q192" s="478"/>
      <c r="R192" s="478"/>
      <c r="S192" s="478"/>
      <c r="T192" s="505"/>
      <c r="U192" s="478"/>
      <c r="V192" s="478"/>
      <c r="W192" s="506"/>
      <c r="X192" s="507"/>
      <c r="Y192" s="507"/>
      <c r="Z192" s="507"/>
      <c r="AA192" s="507"/>
      <c r="AB192" s="507"/>
      <c r="AC192" s="507"/>
      <c r="AD192" s="507"/>
      <c r="AE192" s="507"/>
      <c r="AF192" s="507"/>
      <c r="AG192" s="507"/>
      <c r="AH192" s="507"/>
      <c r="AI192" s="507"/>
      <c r="AJ192" s="507"/>
      <c r="AK192" s="507"/>
      <c r="AL192" s="478"/>
      <c r="AM192" s="478"/>
      <c r="AN192" s="478"/>
      <c r="AO192" s="478"/>
      <c r="AP192" s="478"/>
      <c r="AQ192" s="478"/>
      <c r="AR192" s="478"/>
      <c r="AS192" s="478"/>
      <c r="AT192" s="478"/>
      <c r="AU192" s="478"/>
      <c r="AV192" s="478"/>
      <c r="AW192" s="478"/>
      <c r="AX192" s="478"/>
      <c r="AY192" s="478"/>
      <c r="AZ192" s="478"/>
      <c r="BA192" s="478"/>
      <c r="BB192" s="478"/>
      <c r="BC192" s="478"/>
      <c r="BD192" s="478"/>
      <c r="BE192" s="478"/>
      <c r="BF192" s="478"/>
      <c r="BG192" s="478"/>
      <c r="BH192" s="478"/>
      <c r="BI192" s="478"/>
      <c r="BJ192" s="478"/>
      <c r="BK192" s="478"/>
      <c r="BL192" s="478"/>
      <c r="BM192" s="478"/>
      <c r="BN192" s="478"/>
      <c r="BO192" s="478"/>
      <c r="BP192" s="478"/>
      <c r="BQ192" s="478"/>
      <c r="BR192" s="478"/>
      <c r="BS192" s="478"/>
      <c r="BT192" s="478"/>
      <c r="BU192" s="478"/>
      <c r="BV192" s="478"/>
      <c r="BW192" s="478"/>
      <c r="BX192" s="478"/>
      <c r="BY192" s="478"/>
      <c r="BZ192" s="478"/>
      <c r="CA192" s="478"/>
      <c r="CB192" s="478"/>
      <c r="CC192" s="478"/>
      <c r="CD192" s="478"/>
      <c r="CE192" s="478"/>
      <c r="CF192" s="478"/>
      <c r="CG192" s="478"/>
      <c r="CH192" s="478"/>
      <c r="CI192" s="478"/>
      <c r="CJ192" s="478"/>
      <c r="CK192" s="478"/>
      <c r="CL192" s="478"/>
      <c r="CM192" s="478"/>
      <c r="CN192" s="478"/>
      <c r="CO192" s="478"/>
      <c r="CP192" s="478"/>
      <c r="CQ192" s="478"/>
      <c r="CR192" s="478"/>
      <c r="CS192" s="478"/>
      <c r="CT192" s="478"/>
      <c r="CU192" s="478"/>
      <c r="CV192" s="478"/>
      <c r="CW192" s="478"/>
      <c r="CX192" s="478"/>
      <c r="CY192" s="478"/>
      <c r="CZ192" s="478"/>
    </row>
    <row r="193" spans="1:104" ht="14.25" customHeight="1" x14ac:dyDescent="0.2">
      <c r="A193" s="478"/>
      <c r="B193" s="504"/>
      <c r="C193" s="478"/>
      <c r="D193" s="478"/>
      <c r="E193" s="478"/>
      <c r="F193" s="478"/>
      <c r="G193" s="478"/>
      <c r="H193" s="478"/>
      <c r="I193" s="478"/>
      <c r="J193" s="478"/>
      <c r="K193" s="478"/>
      <c r="L193" s="478"/>
      <c r="M193" s="478"/>
      <c r="N193" s="478"/>
      <c r="O193" s="478"/>
      <c r="P193" s="478"/>
      <c r="Q193" s="478"/>
      <c r="R193" s="478"/>
      <c r="S193" s="478"/>
      <c r="T193" s="505"/>
      <c r="U193" s="478"/>
      <c r="V193" s="478"/>
      <c r="W193" s="506"/>
      <c r="X193" s="507"/>
      <c r="Y193" s="507"/>
      <c r="Z193" s="507"/>
      <c r="AA193" s="507"/>
      <c r="AB193" s="507"/>
      <c r="AC193" s="507"/>
      <c r="AD193" s="507"/>
      <c r="AE193" s="507"/>
      <c r="AF193" s="507"/>
      <c r="AG193" s="507"/>
      <c r="AH193" s="507"/>
      <c r="AI193" s="507"/>
      <c r="AJ193" s="507"/>
      <c r="AK193" s="507"/>
      <c r="AL193" s="478"/>
      <c r="AM193" s="478"/>
      <c r="AN193" s="478"/>
      <c r="AO193" s="478"/>
      <c r="AP193" s="478"/>
      <c r="AQ193" s="478"/>
      <c r="AR193" s="478"/>
      <c r="AS193" s="478"/>
      <c r="AT193" s="478"/>
      <c r="AU193" s="478"/>
      <c r="AV193" s="478"/>
      <c r="AW193" s="478"/>
      <c r="AX193" s="478"/>
      <c r="AY193" s="478"/>
      <c r="AZ193" s="478"/>
      <c r="BA193" s="478"/>
      <c r="BB193" s="478"/>
      <c r="BC193" s="478"/>
      <c r="BD193" s="478"/>
      <c r="BE193" s="478"/>
      <c r="BF193" s="478"/>
      <c r="BG193" s="478"/>
      <c r="BH193" s="478"/>
      <c r="BI193" s="478"/>
      <c r="BJ193" s="478"/>
      <c r="BK193" s="478"/>
      <c r="BL193" s="478"/>
      <c r="BM193" s="478"/>
      <c r="BN193" s="478"/>
      <c r="BO193" s="478"/>
      <c r="BP193" s="478"/>
      <c r="BQ193" s="478"/>
      <c r="BR193" s="478"/>
      <c r="BS193" s="478"/>
      <c r="BT193" s="478"/>
      <c r="BU193" s="478"/>
      <c r="BV193" s="478"/>
      <c r="BW193" s="478"/>
      <c r="BX193" s="478"/>
      <c r="BY193" s="478"/>
      <c r="BZ193" s="478"/>
      <c r="CA193" s="478"/>
      <c r="CB193" s="478"/>
      <c r="CC193" s="478"/>
      <c r="CD193" s="478"/>
      <c r="CE193" s="478"/>
      <c r="CF193" s="478"/>
      <c r="CG193" s="478"/>
      <c r="CH193" s="478"/>
      <c r="CI193" s="478"/>
      <c r="CJ193" s="478"/>
      <c r="CK193" s="478"/>
      <c r="CL193" s="478"/>
      <c r="CM193" s="478"/>
      <c r="CN193" s="478"/>
      <c r="CO193" s="478"/>
      <c r="CP193" s="478"/>
      <c r="CQ193" s="478"/>
      <c r="CR193" s="478"/>
      <c r="CS193" s="478"/>
      <c r="CT193" s="478"/>
      <c r="CU193" s="478"/>
      <c r="CV193" s="478"/>
      <c r="CW193" s="478"/>
      <c r="CX193" s="478"/>
      <c r="CY193" s="478"/>
      <c r="CZ193" s="478"/>
    </row>
    <row r="194" spans="1:104" ht="14.25" customHeight="1" x14ac:dyDescent="0.2">
      <c r="A194" s="478"/>
      <c r="B194" s="504"/>
      <c r="C194" s="478"/>
      <c r="D194" s="478"/>
      <c r="E194" s="478"/>
      <c r="F194" s="478"/>
      <c r="G194" s="478"/>
      <c r="H194" s="478"/>
      <c r="I194" s="478"/>
      <c r="J194" s="478"/>
      <c r="K194" s="478"/>
      <c r="L194" s="478"/>
      <c r="M194" s="478"/>
      <c r="N194" s="478"/>
      <c r="O194" s="478"/>
      <c r="P194" s="478"/>
      <c r="Q194" s="478"/>
      <c r="R194" s="478"/>
      <c r="S194" s="478"/>
      <c r="T194" s="505"/>
      <c r="U194" s="478"/>
      <c r="V194" s="478"/>
      <c r="W194" s="506"/>
      <c r="X194" s="507"/>
      <c r="Y194" s="507"/>
      <c r="Z194" s="507"/>
      <c r="AA194" s="507"/>
      <c r="AB194" s="507"/>
      <c r="AC194" s="507"/>
      <c r="AD194" s="507"/>
      <c r="AE194" s="507"/>
      <c r="AF194" s="507"/>
      <c r="AG194" s="507"/>
      <c r="AH194" s="507"/>
      <c r="AI194" s="507"/>
      <c r="AJ194" s="507"/>
      <c r="AK194" s="507"/>
      <c r="AL194" s="478"/>
      <c r="AM194" s="478"/>
      <c r="AN194" s="478"/>
      <c r="AO194" s="478"/>
      <c r="AP194" s="478"/>
      <c r="AQ194" s="478"/>
      <c r="AR194" s="478"/>
      <c r="AS194" s="478"/>
      <c r="AT194" s="478"/>
      <c r="AU194" s="478"/>
      <c r="AV194" s="478"/>
      <c r="AW194" s="478"/>
      <c r="AX194" s="478"/>
      <c r="AY194" s="478"/>
      <c r="AZ194" s="478"/>
      <c r="BA194" s="478"/>
      <c r="BB194" s="478"/>
      <c r="BC194" s="478"/>
      <c r="BD194" s="478"/>
      <c r="BE194" s="478"/>
      <c r="BF194" s="478"/>
      <c r="BG194" s="478"/>
      <c r="BH194" s="478"/>
      <c r="BI194" s="478"/>
      <c r="BJ194" s="478"/>
      <c r="BK194" s="478"/>
      <c r="BL194" s="478"/>
      <c r="BM194" s="478"/>
      <c r="BN194" s="478"/>
      <c r="BO194" s="478"/>
      <c r="BP194" s="478"/>
      <c r="BQ194" s="478"/>
      <c r="BR194" s="478"/>
      <c r="BS194" s="478"/>
      <c r="BT194" s="478"/>
      <c r="BU194" s="478"/>
      <c r="BV194" s="478"/>
      <c r="BW194" s="478"/>
      <c r="BX194" s="478"/>
      <c r="BY194" s="478"/>
      <c r="BZ194" s="478"/>
      <c r="CA194" s="478"/>
      <c r="CB194" s="478"/>
      <c r="CC194" s="478"/>
      <c r="CD194" s="478"/>
      <c r="CE194" s="478"/>
      <c r="CF194" s="478"/>
      <c r="CG194" s="478"/>
      <c r="CH194" s="478"/>
      <c r="CI194" s="478"/>
      <c r="CJ194" s="478"/>
      <c r="CK194" s="478"/>
      <c r="CL194" s="478"/>
      <c r="CM194" s="478"/>
      <c r="CN194" s="478"/>
      <c r="CO194" s="478"/>
      <c r="CP194" s="478"/>
      <c r="CQ194" s="478"/>
      <c r="CR194" s="478"/>
      <c r="CS194" s="478"/>
      <c r="CT194" s="478"/>
      <c r="CU194" s="478"/>
      <c r="CV194" s="478"/>
      <c r="CW194" s="478"/>
      <c r="CX194" s="478"/>
      <c r="CY194" s="478"/>
      <c r="CZ194" s="478"/>
    </row>
    <row r="195" spans="1:104" ht="14.25" customHeight="1" x14ac:dyDescent="0.2">
      <c r="A195" s="478"/>
      <c r="B195" s="504"/>
      <c r="C195" s="478"/>
      <c r="D195" s="478"/>
      <c r="E195" s="478"/>
      <c r="F195" s="478"/>
      <c r="G195" s="478"/>
      <c r="H195" s="478"/>
      <c r="I195" s="478"/>
      <c r="J195" s="478"/>
      <c r="K195" s="478"/>
      <c r="L195" s="478"/>
      <c r="M195" s="478"/>
      <c r="N195" s="478"/>
      <c r="O195" s="478"/>
      <c r="P195" s="478"/>
      <c r="Q195" s="478"/>
      <c r="R195" s="478"/>
      <c r="S195" s="478"/>
      <c r="T195" s="505"/>
      <c r="U195" s="478"/>
      <c r="V195" s="478"/>
      <c r="W195" s="506"/>
      <c r="X195" s="507"/>
      <c r="Y195" s="507"/>
      <c r="Z195" s="507"/>
      <c r="AA195" s="507"/>
      <c r="AB195" s="507"/>
      <c r="AC195" s="507"/>
      <c r="AD195" s="507"/>
      <c r="AE195" s="507"/>
      <c r="AF195" s="507"/>
      <c r="AG195" s="507"/>
      <c r="AH195" s="507"/>
      <c r="AI195" s="507"/>
      <c r="AJ195" s="507"/>
      <c r="AK195" s="507"/>
      <c r="AL195" s="478"/>
      <c r="AM195" s="478"/>
      <c r="AN195" s="478"/>
      <c r="AO195" s="478"/>
      <c r="AP195" s="478"/>
      <c r="AQ195" s="478"/>
      <c r="AR195" s="478"/>
      <c r="AS195" s="478"/>
      <c r="AT195" s="478"/>
      <c r="AU195" s="478"/>
      <c r="AV195" s="478"/>
      <c r="AW195" s="478"/>
      <c r="AX195" s="478"/>
      <c r="AY195" s="478"/>
      <c r="AZ195" s="478"/>
      <c r="BA195" s="478"/>
      <c r="BB195" s="478"/>
      <c r="BC195" s="478"/>
      <c r="BD195" s="478"/>
      <c r="BE195" s="478"/>
      <c r="BF195" s="478"/>
      <c r="BG195" s="478"/>
      <c r="BH195" s="478"/>
      <c r="BI195" s="478"/>
      <c r="BJ195" s="478"/>
      <c r="BK195" s="478"/>
      <c r="BL195" s="478"/>
      <c r="BM195" s="478"/>
      <c r="BN195" s="478"/>
      <c r="BO195" s="478"/>
      <c r="BP195" s="478"/>
      <c r="BQ195" s="478"/>
      <c r="BR195" s="478"/>
      <c r="BS195" s="478"/>
      <c r="BT195" s="478"/>
      <c r="BU195" s="478"/>
      <c r="BV195" s="478"/>
      <c r="BW195" s="478"/>
      <c r="BX195" s="478"/>
      <c r="BY195" s="478"/>
      <c r="BZ195" s="478"/>
      <c r="CA195" s="478"/>
      <c r="CB195" s="478"/>
      <c r="CC195" s="478"/>
      <c r="CD195" s="478"/>
      <c r="CE195" s="478"/>
      <c r="CF195" s="478"/>
      <c r="CG195" s="478"/>
      <c r="CH195" s="478"/>
      <c r="CI195" s="478"/>
      <c r="CJ195" s="478"/>
      <c r="CK195" s="478"/>
      <c r="CL195" s="478"/>
      <c r="CM195" s="478"/>
      <c r="CN195" s="478"/>
      <c r="CO195" s="478"/>
      <c r="CP195" s="478"/>
      <c r="CQ195" s="478"/>
      <c r="CR195" s="478"/>
      <c r="CS195" s="478"/>
      <c r="CT195" s="478"/>
      <c r="CU195" s="478"/>
      <c r="CV195" s="478"/>
      <c r="CW195" s="478"/>
      <c r="CX195" s="478"/>
      <c r="CY195" s="478"/>
      <c r="CZ195" s="478"/>
    </row>
    <row r="196" spans="1:104" ht="14.25" customHeight="1" x14ac:dyDescent="0.2">
      <c r="A196" s="478"/>
      <c r="B196" s="504"/>
      <c r="C196" s="478"/>
      <c r="D196" s="478"/>
      <c r="E196" s="478"/>
      <c r="F196" s="478"/>
      <c r="G196" s="478"/>
      <c r="H196" s="478"/>
      <c r="I196" s="478"/>
      <c r="J196" s="478"/>
      <c r="K196" s="478"/>
      <c r="L196" s="478"/>
      <c r="M196" s="478"/>
      <c r="N196" s="478"/>
      <c r="O196" s="478"/>
      <c r="P196" s="478"/>
      <c r="Q196" s="478"/>
      <c r="R196" s="478"/>
      <c r="S196" s="478"/>
      <c r="T196" s="505"/>
      <c r="U196" s="478"/>
      <c r="V196" s="478"/>
      <c r="W196" s="506"/>
      <c r="X196" s="507"/>
      <c r="Y196" s="507"/>
      <c r="Z196" s="507"/>
      <c r="AA196" s="507"/>
      <c r="AB196" s="507"/>
      <c r="AC196" s="507"/>
      <c r="AD196" s="507"/>
      <c r="AE196" s="507"/>
      <c r="AF196" s="507"/>
      <c r="AG196" s="507"/>
      <c r="AH196" s="507"/>
      <c r="AI196" s="507"/>
      <c r="AJ196" s="507"/>
      <c r="AK196" s="507"/>
      <c r="AL196" s="478"/>
      <c r="AM196" s="478"/>
      <c r="AN196" s="478"/>
      <c r="AO196" s="478"/>
      <c r="AP196" s="478"/>
      <c r="AQ196" s="478"/>
      <c r="AR196" s="478"/>
      <c r="AS196" s="478"/>
      <c r="AT196" s="478"/>
      <c r="AU196" s="478"/>
      <c r="AV196" s="478"/>
      <c r="AW196" s="478"/>
      <c r="AX196" s="478"/>
      <c r="AY196" s="478"/>
      <c r="AZ196" s="478"/>
      <c r="BA196" s="478"/>
      <c r="BB196" s="478"/>
      <c r="BC196" s="478"/>
      <c r="BD196" s="478"/>
      <c r="BE196" s="478"/>
      <c r="BF196" s="478"/>
      <c r="BG196" s="478"/>
      <c r="BH196" s="478"/>
      <c r="BI196" s="478"/>
      <c r="BJ196" s="478"/>
      <c r="BK196" s="478"/>
      <c r="BL196" s="478"/>
      <c r="BM196" s="478"/>
      <c r="BN196" s="478"/>
      <c r="BO196" s="478"/>
      <c r="BP196" s="478"/>
      <c r="BQ196" s="478"/>
      <c r="BR196" s="478"/>
      <c r="BS196" s="478"/>
      <c r="BT196" s="478"/>
      <c r="BU196" s="478"/>
      <c r="BV196" s="478"/>
      <c r="BW196" s="478"/>
      <c r="BX196" s="478"/>
      <c r="BY196" s="478"/>
      <c r="BZ196" s="478"/>
      <c r="CA196" s="478"/>
      <c r="CB196" s="478"/>
      <c r="CC196" s="478"/>
      <c r="CD196" s="478"/>
      <c r="CE196" s="478"/>
      <c r="CF196" s="478"/>
      <c r="CG196" s="478"/>
      <c r="CH196" s="478"/>
      <c r="CI196" s="478"/>
      <c r="CJ196" s="478"/>
      <c r="CK196" s="478"/>
      <c r="CL196" s="478"/>
      <c r="CM196" s="478"/>
      <c r="CN196" s="478"/>
      <c r="CO196" s="478"/>
      <c r="CP196" s="478"/>
      <c r="CQ196" s="478"/>
      <c r="CR196" s="478"/>
      <c r="CS196" s="478"/>
      <c r="CT196" s="478"/>
      <c r="CU196" s="478"/>
      <c r="CV196" s="478"/>
      <c r="CW196" s="478"/>
      <c r="CX196" s="478"/>
      <c r="CY196" s="478"/>
      <c r="CZ196" s="478"/>
    </row>
    <row r="197" spans="1:104" ht="14.25" customHeight="1" x14ac:dyDescent="0.2">
      <c r="A197" s="478"/>
      <c r="B197" s="504"/>
      <c r="C197" s="478"/>
      <c r="D197" s="478"/>
      <c r="E197" s="478"/>
      <c r="F197" s="478"/>
      <c r="G197" s="478"/>
      <c r="H197" s="478"/>
      <c r="I197" s="478"/>
      <c r="J197" s="478"/>
      <c r="K197" s="478"/>
      <c r="L197" s="478"/>
      <c r="M197" s="478"/>
      <c r="N197" s="478"/>
      <c r="O197" s="478"/>
      <c r="P197" s="478"/>
      <c r="Q197" s="478"/>
      <c r="R197" s="478"/>
      <c r="S197" s="478"/>
      <c r="T197" s="505"/>
      <c r="U197" s="478"/>
      <c r="V197" s="478"/>
      <c r="W197" s="506"/>
      <c r="X197" s="507"/>
      <c r="Y197" s="507"/>
      <c r="Z197" s="507"/>
      <c r="AA197" s="507"/>
      <c r="AB197" s="507"/>
      <c r="AC197" s="507"/>
      <c r="AD197" s="507"/>
      <c r="AE197" s="507"/>
      <c r="AF197" s="507"/>
      <c r="AG197" s="507"/>
      <c r="AH197" s="507"/>
      <c r="AI197" s="507"/>
      <c r="AJ197" s="507"/>
      <c r="AK197" s="507"/>
      <c r="AL197" s="478"/>
      <c r="AM197" s="478"/>
      <c r="AN197" s="478"/>
      <c r="AO197" s="478"/>
      <c r="AP197" s="478"/>
      <c r="AQ197" s="478"/>
      <c r="AR197" s="478"/>
      <c r="AS197" s="478"/>
      <c r="AT197" s="478"/>
      <c r="AU197" s="478"/>
      <c r="AV197" s="478"/>
      <c r="AW197" s="478"/>
      <c r="AX197" s="478"/>
      <c r="AY197" s="478"/>
      <c r="AZ197" s="478"/>
      <c r="BA197" s="478"/>
      <c r="BB197" s="478"/>
      <c r="BC197" s="478"/>
      <c r="BD197" s="478"/>
      <c r="BE197" s="478"/>
      <c r="BF197" s="478"/>
      <c r="BG197" s="478"/>
      <c r="BH197" s="478"/>
      <c r="BI197" s="478"/>
      <c r="BJ197" s="478"/>
      <c r="BK197" s="478"/>
      <c r="BL197" s="478"/>
      <c r="BM197" s="478"/>
      <c r="BN197" s="478"/>
      <c r="BO197" s="478"/>
      <c r="BP197" s="478"/>
      <c r="BQ197" s="478"/>
      <c r="BR197" s="478"/>
      <c r="BS197" s="478"/>
      <c r="BT197" s="478"/>
      <c r="BU197" s="478"/>
      <c r="BV197" s="478"/>
      <c r="BW197" s="478"/>
      <c r="BX197" s="478"/>
      <c r="BY197" s="478"/>
      <c r="BZ197" s="478"/>
      <c r="CA197" s="478"/>
      <c r="CB197" s="478"/>
      <c r="CC197" s="478"/>
      <c r="CD197" s="478"/>
      <c r="CE197" s="478"/>
      <c r="CF197" s="478"/>
      <c r="CG197" s="478"/>
      <c r="CH197" s="478"/>
      <c r="CI197" s="478"/>
      <c r="CJ197" s="478"/>
      <c r="CK197" s="478"/>
      <c r="CL197" s="478"/>
      <c r="CM197" s="478"/>
      <c r="CN197" s="478"/>
      <c r="CO197" s="478"/>
      <c r="CP197" s="478"/>
      <c r="CQ197" s="478"/>
      <c r="CR197" s="478"/>
      <c r="CS197" s="478"/>
      <c r="CT197" s="478"/>
      <c r="CU197" s="478"/>
      <c r="CV197" s="478"/>
      <c r="CW197" s="478"/>
      <c r="CX197" s="478"/>
      <c r="CY197" s="478"/>
      <c r="CZ197" s="478"/>
    </row>
    <row r="198" spans="1:104" ht="14.25" customHeight="1" x14ac:dyDescent="0.2">
      <c r="A198" s="478"/>
      <c r="B198" s="504"/>
      <c r="C198" s="478"/>
      <c r="D198" s="478"/>
      <c r="E198" s="478"/>
      <c r="F198" s="478"/>
      <c r="G198" s="478"/>
      <c r="H198" s="478"/>
      <c r="I198" s="478"/>
      <c r="J198" s="478"/>
      <c r="K198" s="478"/>
      <c r="L198" s="478"/>
      <c r="M198" s="478"/>
      <c r="N198" s="478"/>
      <c r="O198" s="478"/>
      <c r="P198" s="478"/>
      <c r="Q198" s="478"/>
      <c r="R198" s="478"/>
      <c r="S198" s="478"/>
      <c r="T198" s="505"/>
      <c r="U198" s="478"/>
      <c r="V198" s="478"/>
      <c r="W198" s="506"/>
      <c r="X198" s="507"/>
      <c r="Y198" s="507"/>
      <c r="Z198" s="507"/>
      <c r="AA198" s="507"/>
      <c r="AB198" s="507"/>
      <c r="AC198" s="507"/>
      <c r="AD198" s="507"/>
      <c r="AE198" s="507"/>
      <c r="AF198" s="507"/>
      <c r="AG198" s="507"/>
      <c r="AH198" s="507"/>
      <c r="AI198" s="507"/>
      <c r="AJ198" s="507"/>
      <c r="AK198" s="507"/>
      <c r="AL198" s="478"/>
      <c r="AM198" s="478"/>
      <c r="AN198" s="478"/>
      <c r="AO198" s="478"/>
      <c r="AP198" s="478"/>
      <c r="AQ198" s="478"/>
      <c r="AR198" s="478"/>
      <c r="AS198" s="478"/>
      <c r="AT198" s="478"/>
      <c r="AU198" s="478"/>
      <c r="AV198" s="478"/>
      <c r="AW198" s="478"/>
      <c r="AX198" s="478"/>
      <c r="AY198" s="478"/>
      <c r="AZ198" s="478"/>
      <c r="BA198" s="478"/>
      <c r="BB198" s="478"/>
      <c r="BC198" s="478"/>
      <c r="BD198" s="478"/>
      <c r="BE198" s="478"/>
      <c r="BF198" s="478"/>
      <c r="BG198" s="478"/>
      <c r="BH198" s="478"/>
      <c r="BI198" s="478"/>
      <c r="BJ198" s="478"/>
      <c r="BK198" s="478"/>
      <c r="BL198" s="478"/>
      <c r="BM198" s="478"/>
      <c r="BN198" s="478"/>
      <c r="BO198" s="478"/>
      <c r="BP198" s="478"/>
      <c r="BQ198" s="478"/>
      <c r="BR198" s="478"/>
      <c r="BS198" s="478"/>
      <c r="BT198" s="478"/>
      <c r="BU198" s="478"/>
      <c r="BV198" s="478"/>
      <c r="BW198" s="478"/>
      <c r="BX198" s="478"/>
      <c r="BY198" s="478"/>
      <c r="BZ198" s="478"/>
      <c r="CA198" s="478"/>
      <c r="CB198" s="478"/>
      <c r="CC198" s="478"/>
      <c r="CD198" s="478"/>
      <c r="CE198" s="478"/>
      <c r="CF198" s="478"/>
      <c r="CG198" s="478"/>
      <c r="CH198" s="478"/>
      <c r="CI198" s="478"/>
      <c r="CJ198" s="478"/>
      <c r="CK198" s="478"/>
      <c r="CL198" s="478"/>
      <c r="CM198" s="478"/>
      <c r="CN198" s="478"/>
      <c r="CO198" s="478"/>
      <c r="CP198" s="478"/>
      <c r="CQ198" s="478"/>
      <c r="CR198" s="478"/>
      <c r="CS198" s="478"/>
      <c r="CT198" s="478"/>
      <c r="CU198" s="478"/>
      <c r="CV198" s="478"/>
      <c r="CW198" s="478"/>
      <c r="CX198" s="478"/>
      <c r="CY198" s="478"/>
      <c r="CZ198" s="478"/>
    </row>
    <row r="199" spans="1:104" ht="14.25" customHeight="1" x14ac:dyDescent="0.2">
      <c r="A199" s="478"/>
      <c r="B199" s="504"/>
      <c r="C199" s="478"/>
      <c r="D199" s="478"/>
      <c r="E199" s="478"/>
      <c r="F199" s="478"/>
      <c r="G199" s="478"/>
      <c r="H199" s="478"/>
      <c r="I199" s="478"/>
      <c r="J199" s="478"/>
      <c r="K199" s="478"/>
      <c r="L199" s="478"/>
      <c r="M199" s="478"/>
      <c r="N199" s="478"/>
      <c r="O199" s="478"/>
      <c r="P199" s="478"/>
      <c r="Q199" s="478"/>
      <c r="R199" s="478"/>
      <c r="S199" s="478"/>
      <c r="T199" s="505"/>
      <c r="U199" s="478"/>
      <c r="V199" s="478"/>
      <c r="W199" s="506"/>
      <c r="X199" s="507"/>
      <c r="Y199" s="507"/>
      <c r="Z199" s="507"/>
      <c r="AA199" s="507"/>
      <c r="AB199" s="507"/>
      <c r="AC199" s="507"/>
      <c r="AD199" s="507"/>
      <c r="AE199" s="507"/>
      <c r="AF199" s="507"/>
      <c r="AG199" s="507"/>
      <c r="AH199" s="507"/>
      <c r="AI199" s="507"/>
      <c r="AJ199" s="507"/>
      <c r="AK199" s="507"/>
      <c r="AL199" s="478"/>
      <c r="AM199" s="478"/>
      <c r="AN199" s="478"/>
      <c r="AO199" s="478"/>
      <c r="AP199" s="478"/>
      <c r="AQ199" s="478"/>
      <c r="AR199" s="478"/>
      <c r="AS199" s="478"/>
      <c r="AT199" s="478"/>
      <c r="AU199" s="478"/>
      <c r="AV199" s="478"/>
      <c r="AW199" s="478"/>
      <c r="AX199" s="478"/>
      <c r="AY199" s="478"/>
      <c r="AZ199" s="478"/>
      <c r="BA199" s="478"/>
      <c r="BB199" s="478"/>
      <c r="BC199" s="478"/>
      <c r="BD199" s="478"/>
      <c r="BE199" s="478"/>
      <c r="BF199" s="478"/>
      <c r="BG199" s="478"/>
      <c r="BH199" s="478"/>
      <c r="BI199" s="478"/>
      <c r="BJ199" s="478"/>
      <c r="BK199" s="478"/>
      <c r="BL199" s="478"/>
      <c r="BM199" s="478"/>
      <c r="BN199" s="478"/>
      <c r="BO199" s="478"/>
      <c r="BP199" s="478"/>
      <c r="BQ199" s="478"/>
      <c r="BR199" s="478"/>
      <c r="BS199" s="478"/>
      <c r="BT199" s="478"/>
      <c r="BU199" s="478"/>
      <c r="BV199" s="478"/>
      <c r="BW199" s="478"/>
      <c r="BX199" s="478"/>
      <c r="BY199" s="478"/>
      <c r="BZ199" s="478"/>
      <c r="CA199" s="478"/>
      <c r="CB199" s="478"/>
      <c r="CC199" s="478"/>
      <c r="CD199" s="478"/>
      <c r="CE199" s="478"/>
      <c r="CF199" s="478"/>
      <c r="CG199" s="478"/>
      <c r="CH199" s="478"/>
      <c r="CI199" s="478"/>
      <c r="CJ199" s="478"/>
      <c r="CK199" s="478"/>
      <c r="CL199" s="478"/>
      <c r="CM199" s="478"/>
      <c r="CN199" s="478"/>
      <c r="CO199" s="478"/>
      <c r="CP199" s="478"/>
      <c r="CQ199" s="478"/>
      <c r="CR199" s="478"/>
      <c r="CS199" s="478"/>
      <c r="CT199" s="478"/>
      <c r="CU199" s="478"/>
      <c r="CV199" s="478"/>
      <c r="CW199" s="478"/>
      <c r="CX199" s="478"/>
      <c r="CY199" s="478"/>
      <c r="CZ199" s="478"/>
    </row>
    <row r="200" spans="1:104" ht="14.25" customHeight="1" x14ac:dyDescent="0.2">
      <c r="A200" s="478"/>
      <c r="B200" s="504"/>
      <c r="C200" s="478"/>
      <c r="D200" s="478"/>
      <c r="E200" s="478"/>
      <c r="F200" s="478"/>
      <c r="G200" s="478"/>
      <c r="H200" s="478"/>
      <c r="I200" s="478"/>
      <c r="J200" s="478"/>
      <c r="K200" s="478"/>
      <c r="L200" s="478"/>
      <c r="M200" s="478"/>
      <c r="N200" s="478"/>
      <c r="O200" s="478"/>
      <c r="P200" s="478"/>
      <c r="Q200" s="478"/>
      <c r="R200" s="478"/>
      <c r="S200" s="478"/>
      <c r="T200" s="505"/>
      <c r="U200" s="478"/>
      <c r="V200" s="478"/>
      <c r="W200" s="506"/>
      <c r="X200" s="507"/>
      <c r="Y200" s="507"/>
      <c r="Z200" s="507"/>
      <c r="AA200" s="507"/>
      <c r="AB200" s="507"/>
      <c r="AC200" s="507"/>
      <c r="AD200" s="507"/>
      <c r="AE200" s="507"/>
      <c r="AF200" s="507"/>
      <c r="AG200" s="507"/>
      <c r="AH200" s="507"/>
      <c r="AI200" s="507"/>
      <c r="AJ200" s="507"/>
      <c r="AK200" s="507"/>
      <c r="AL200" s="478"/>
      <c r="AM200" s="478"/>
      <c r="AN200" s="478"/>
      <c r="AO200" s="478"/>
      <c r="AP200" s="478"/>
      <c r="AQ200" s="478"/>
      <c r="AR200" s="478"/>
      <c r="AS200" s="478"/>
      <c r="AT200" s="478"/>
      <c r="AU200" s="478"/>
      <c r="AV200" s="478"/>
      <c r="AW200" s="478"/>
      <c r="AX200" s="478"/>
      <c r="AY200" s="478"/>
      <c r="AZ200" s="478"/>
      <c r="BA200" s="478"/>
      <c r="BB200" s="478"/>
      <c r="BC200" s="478"/>
      <c r="BD200" s="478"/>
      <c r="BE200" s="478"/>
      <c r="BF200" s="478"/>
      <c r="BG200" s="478"/>
      <c r="BH200" s="478"/>
      <c r="BI200" s="478"/>
      <c r="BJ200" s="478"/>
      <c r="BK200" s="478"/>
      <c r="BL200" s="478"/>
      <c r="BM200" s="478"/>
      <c r="BN200" s="478"/>
      <c r="BO200" s="478"/>
      <c r="BP200" s="478"/>
      <c r="BQ200" s="478"/>
      <c r="BR200" s="478"/>
      <c r="BS200" s="478"/>
      <c r="BT200" s="478"/>
      <c r="BU200" s="478"/>
      <c r="BV200" s="478"/>
      <c r="BW200" s="478"/>
      <c r="BX200" s="478"/>
      <c r="BY200" s="478"/>
      <c r="BZ200" s="478"/>
      <c r="CA200" s="478"/>
      <c r="CB200" s="478"/>
      <c r="CC200" s="478"/>
      <c r="CD200" s="478"/>
      <c r="CE200" s="478"/>
      <c r="CF200" s="478"/>
      <c r="CG200" s="478"/>
      <c r="CH200" s="478"/>
      <c r="CI200" s="478"/>
      <c r="CJ200" s="478"/>
      <c r="CK200" s="478"/>
      <c r="CL200" s="478"/>
      <c r="CM200" s="478"/>
      <c r="CN200" s="478"/>
      <c r="CO200" s="478"/>
      <c r="CP200" s="478"/>
      <c r="CQ200" s="478"/>
      <c r="CR200" s="478"/>
      <c r="CS200" s="478"/>
      <c r="CT200" s="478"/>
      <c r="CU200" s="478"/>
      <c r="CV200" s="478"/>
      <c r="CW200" s="478"/>
      <c r="CX200" s="478"/>
      <c r="CY200" s="478"/>
      <c r="CZ200" s="478"/>
    </row>
    <row r="201" spans="1:104" ht="14.25" customHeight="1" x14ac:dyDescent="0.2">
      <c r="A201" s="478"/>
      <c r="B201" s="504"/>
      <c r="C201" s="478"/>
      <c r="D201" s="478"/>
      <c r="E201" s="478"/>
      <c r="F201" s="478"/>
      <c r="G201" s="478"/>
      <c r="H201" s="478"/>
      <c r="I201" s="478"/>
      <c r="J201" s="478"/>
      <c r="K201" s="478"/>
      <c r="L201" s="478"/>
      <c r="M201" s="478"/>
      <c r="N201" s="478"/>
      <c r="O201" s="478"/>
      <c r="P201" s="478"/>
      <c r="Q201" s="478"/>
      <c r="R201" s="478"/>
      <c r="S201" s="478"/>
      <c r="T201" s="505"/>
      <c r="U201" s="478"/>
      <c r="V201" s="478"/>
      <c r="W201" s="506"/>
      <c r="X201" s="507"/>
      <c r="Y201" s="507"/>
      <c r="Z201" s="507"/>
      <c r="AA201" s="507"/>
      <c r="AB201" s="507"/>
      <c r="AC201" s="507"/>
      <c r="AD201" s="507"/>
      <c r="AE201" s="507"/>
      <c r="AF201" s="507"/>
      <c r="AG201" s="507"/>
      <c r="AH201" s="507"/>
      <c r="AI201" s="507"/>
      <c r="AJ201" s="507"/>
      <c r="AK201" s="507"/>
      <c r="AL201" s="478"/>
      <c r="AM201" s="478"/>
      <c r="AN201" s="478"/>
      <c r="AO201" s="478"/>
      <c r="AP201" s="478"/>
      <c r="AQ201" s="478"/>
      <c r="AR201" s="478"/>
      <c r="AS201" s="478"/>
      <c r="AT201" s="478"/>
      <c r="AU201" s="478"/>
      <c r="AV201" s="478"/>
      <c r="AW201" s="478"/>
      <c r="AX201" s="478"/>
      <c r="AY201" s="478"/>
      <c r="AZ201" s="478"/>
      <c r="BA201" s="478"/>
      <c r="BB201" s="478"/>
      <c r="BC201" s="478"/>
      <c r="BD201" s="478"/>
      <c r="BE201" s="478"/>
      <c r="BF201" s="478"/>
      <c r="BG201" s="478"/>
      <c r="BH201" s="478"/>
      <c r="BI201" s="478"/>
      <c r="BJ201" s="478"/>
      <c r="BK201" s="478"/>
      <c r="BL201" s="478"/>
      <c r="BM201" s="478"/>
      <c r="BN201" s="478"/>
      <c r="BO201" s="478"/>
      <c r="BP201" s="478"/>
      <c r="BQ201" s="478"/>
      <c r="BR201" s="478"/>
      <c r="BS201" s="478"/>
      <c r="BT201" s="478"/>
      <c r="BU201" s="478"/>
      <c r="BV201" s="478"/>
      <c r="BW201" s="478"/>
      <c r="BX201" s="478"/>
      <c r="BY201" s="478"/>
      <c r="BZ201" s="478"/>
      <c r="CA201" s="478"/>
      <c r="CB201" s="478"/>
      <c r="CC201" s="478"/>
      <c r="CD201" s="478"/>
      <c r="CE201" s="478"/>
      <c r="CF201" s="478"/>
      <c r="CG201" s="478"/>
      <c r="CH201" s="478"/>
      <c r="CI201" s="478"/>
      <c r="CJ201" s="478"/>
      <c r="CK201" s="478"/>
      <c r="CL201" s="478"/>
      <c r="CM201" s="478"/>
      <c r="CN201" s="478"/>
      <c r="CO201" s="478"/>
      <c r="CP201" s="478"/>
      <c r="CQ201" s="478"/>
      <c r="CR201" s="478"/>
      <c r="CS201" s="478"/>
      <c r="CT201" s="478"/>
      <c r="CU201" s="478"/>
      <c r="CV201" s="478"/>
      <c r="CW201" s="478"/>
      <c r="CX201" s="478"/>
      <c r="CY201" s="478"/>
      <c r="CZ201" s="478"/>
    </row>
    <row r="202" spans="1:104" ht="14.25" customHeight="1" x14ac:dyDescent="0.2">
      <c r="A202" s="478"/>
      <c r="B202" s="504"/>
      <c r="C202" s="478"/>
      <c r="D202" s="478"/>
      <c r="E202" s="478"/>
      <c r="F202" s="478"/>
      <c r="G202" s="478"/>
      <c r="H202" s="478"/>
      <c r="I202" s="478"/>
      <c r="J202" s="478"/>
      <c r="K202" s="478"/>
      <c r="L202" s="478"/>
      <c r="M202" s="478"/>
      <c r="N202" s="478"/>
      <c r="O202" s="478"/>
      <c r="P202" s="478"/>
      <c r="Q202" s="478"/>
      <c r="R202" s="478"/>
      <c r="S202" s="478"/>
      <c r="T202" s="505"/>
      <c r="U202" s="478"/>
      <c r="V202" s="478"/>
      <c r="W202" s="506"/>
      <c r="X202" s="507"/>
      <c r="Y202" s="507"/>
      <c r="Z202" s="507"/>
      <c r="AA202" s="507"/>
      <c r="AB202" s="507"/>
      <c r="AC202" s="507"/>
      <c r="AD202" s="507"/>
      <c r="AE202" s="507"/>
      <c r="AF202" s="507"/>
      <c r="AG202" s="507"/>
      <c r="AH202" s="507"/>
      <c r="AI202" s="507"/>
      <c r="AJ202" s="507"/>
      <c r="AK202" s="507"/>
      <c r="AL202" s="478"/>
      <c r="AM202" s="478"/>
      <c r="AN202" s="478"/>
      <c r="AO202" s="478"/>
      <c r="AP202" s="478"/>
      <c r="AQ202" s="478"/>
      <c r="AR202" s="478"/>
      <c r="AS202" s="478"/>
      <c r="AT202" s="478"/>
      <c r="AU202" s="478"/>
      <c r="AV202" s="478"/>
      <c r="AW202" s="478"/>
      <c r="AX202" s="478"/>
      <c r="AY202" s="478"/>
      <c r="AZ202" s="478"/>
      <c r="BA202" s="478"/>
      <c r="BB202" s="478"/>
      <c r="BC202" s="478"/>
      <c r="BD202" s="478"/>
      <c r="BE202" s="478"/>
      <c r="BF202" s="478"/>
      <c r="BG202" s="478"/>
      <c r="BH202" s="478"/>
      <c r="BI202" s="478"/>
      <c r="BJ202" s="478"/>
      <c r="BK202" s="478"/>
      <c r="BL202" s="478"/>
      <c r="BM202" s="478"/>
      <c r="BN202" s="478"/>
      <c r="BO202" s="478"/>
      <c r="BP202" s="478"/>
      <c r="BQ202" s="478"/>
      <c r="BR202" s="478"/>
      <c r="BS202" s="478"/>
      <c r="BT202" s="478"/>
      <c r="BU202" s="478"/>
      <c r="BV202" s="478"/>
      <c r="BW202" s="478"/>
      <c r="BX202" s="478"/>
      <c r="BY202" s="478"/>
      <c r="BZ202" s="478"/>
      <c r="CA202" s="478"/>
      <c r="CB202" s="478"/>
      <c r="CC202" s="478"/>
      <c r="CD202" s="478"/>
      <c r="CE202" s="478"/>
      <c r="CF202" s="478"/>
      <c r="CG202" s="478"/>
      <c r="CH202" s="478"/>
      <c r="CI202" s="478"/>
      <c r="CJ202" s="478"/>
      <c r="CK202" s="478"/>
      <c r="CL202" s="478"/>
      <c r="CM202" s="478"/>
      <c r="CN202" s="478"/>
      <c r="CO202" s="478"/>
      <c r="CP202" s="478"/>
      <c r="CQ202" s="478"/>
      <c r="CR202" s="478"/>
      <c r="CS202" s="478"/>
      <c r="CT202" s="478"/>
      <c r="CU202" s="478"/>
      <c r="CV202" s="478"/>
      <c r="CW202" s="478"/>
      <c r="CX202" s="478"/>
      <c r="CY202" s="478"/>
      <c r="CZ202" s="478"/>
    </row>
    <row r="203" spans="1:104" ht="14.25" customHeight="1" x14ac:dyDescent="0.2">
      <c r="A203" s="478"/>
      <c r="B203" s="504"/>
      <c r="C203" s="478"/>
      <c r="D203" s="478"/>
      <c r="E203" s="478"/>
      <c r="F203" s="478"/>
      <c r="G203" s="478"/>
      <c r="H203" s="478"/>
      <c r="I203" s="478"/>
      <c r="J203" s="478"/>
      <c r="K203" s="478"/>
      <c r="L203" s="478"/>
      <c r="M203" s="478"/>
      <c r="N203" s="478"/>
      <c r="O203" s="478"/>
      <c r="P203" s="478"/>
      <c r="Q203" s="478"/>
      <c r="R203" s="478"/>
      <c r="S203" s="478"/>
      <c r="T203" s="505"/>
      <c r="U203" s="478"/>
      <c r="V203" s="478"/>
      <c r="W203" s="506"/>
      <c r="X203" s="507"/>
      <c r="Y203" s="507"/>
      <c r="Z203" s="507"/>
      <c r="AA203" s="507"/>
      <c r="AB203" s="507"/>
      <c r="AC203" s="507"/>
      <c r="AD203" s="507"/>
      <c r="AE203" s="507"/>
      <c r="AF203" s="507"/>
      <c r="AG203" s="507"/>
      <c r="AH203" s="507"/>
      <c r="AI203" s="507"/>
      <c r="AJ203" s="507"/>
      <c r="AK203" s="507"/>
      <c r="AL203" s="478"/>
      <c r="AM203" s="478"/>
      <c r="AN203" s="478"/>
      <c r="AO203" s="478"/>
      <c r="AP203" s="478"/>
      <c r="AQ203" s="478"/>
      <c r="AR203" s="478"/>
      <c r="AS203" s="478"/>
      <c r="AT203" s="478"/>
      <c r="AU203" s="478"/>
      <c r="AV203" s="478"/>
      <c r="AW203" s="478"/>
      <c r="AX203" s="478"/>
      <c r="AY203" s="478"/>
      <c r="AZ203" s="478"/>
      <c r="BA203" s="478"/>
      <c r="BB203" s="478"/>
      <c r="BC203" s="478"/>
      <c r="BD203" s="478"/>
      <c r="BE203" s="478"/>
      <c r="BF203" s="478"/>
      <c r="BG203" s="478"/>
      <c r="BH203" s="478"/>
      <c r="BI203" s="478"/>
      <c r="BJ203" s="478"/>
      <c r="BK203" s="478"/>
      <c r="BL203" s="478"/>
      <c r="BM203" s="478"/>
      <c r="BN203" s="478"/>
      <c r="BO203" s="478"/>
      <c r="BP203" s="478"/>
      <c r="BQ203" s="478"/>
      <c r="BR203" s="478"/>
      <c r="BS203" s="478"/>
      <c r="BT203" s="478"/>
      <c r="BU203" s="478"/>
      <c r="BV203" s="478"/>
      <c r="BW203" s="478"/>
      <c r="BX203" s="478"/>
      <c r="BY203" s="478"/>
      <c r="BZ203" s="478"/>
      <c r="CA203" s="478"/>
      <c r="CB203" s="478"/>
      <c r="CC203" s="478"/>
      <c r="CD203" s="478"/>
      <c r="CE203" s="478"/>
      <c r="CF203" s="478"/>
      <c r="CG203" s="478"/>
      <c r="CH203" s="478"/>
      <c r="CI203" s="478"/>
      <c r="CJ203" s="478"/>
      <c r="CK203" s="478"/>
      <c r="CL203" s="478"/>
      <c r="CM203" s="478"/>
      <c r="CN203" s="478"/>
      <c r="CO203" s="478"/>
      <c r="CP203" s="478"/>
      <c r="CQ203" s="478"/>
      <c r="CR203" s="478"/>
      <c r="CS203" s="478"/>
      <c r="CT203" s="478"/>
      <c r="CU203" s="478"/>
      <c r="CV203" s="478"/>
      <c r="CW203" s="478"/>
      <c r="CX203" s="478"/>
      <c r="CY203" s="478"/>
      <c r="CZ203" s="478"/>
    </row>
    <row r="204" spans="1:104" ht="14.25" customHeight="1" x14ac:dyDescent="0.2">
      <c r="A204" s="478"/>
      <c r="B204" s="504"/>
      <c r="C204" s="478"/>
      <c r="D204" s="478"/>
      <c r="E204" s="478"/>
      <c r="F204" s="478"/>
      <c r="G204" s="478"/>
      <c r="H204" s="478"/>
      <c r="I204" s="478"/>
      <c r="J204" s="478"/>
      <c r="K204" s="478"/>
      <c r="L204" s="478"/>
      <c r="M204" s="478"/>
      <c r="N204" s="478"/>
      <c r="O204" s="478"/>
      <c r="P204" s="478"/>
      <c r="Q204" s="478"/>
      <c r="R204" s="478"/>
      <c r="S204" s="478"/>
      <c r="T204" s="505"/>
      <c r="U204" s="478"/>
      <c r="V204" s="478"/>
      <c r="W204" s="506"/>
      <c r="X204" s="507"/>
      <c r="Y204" s="507"/>
      <c r="Z204" s="507"/>
      <c r="AA204" s="507"/>
      <c r="AB204" s="507"/>
      <c r="AC204" s="507"/>
      <c r="AD204" s="507"/>
      <c r="AE204" s="507"/>
      <c r="AF204" s="507"/>
      <c r="AG204" s="507"/>
      <c r="AH204" s="507"/>
      <c r="AI204" s="507"/>
      <c r="AJ204" s="507"/>
      <c r="AK204" s="507"/>
      <c r="AL204" s="478"/>
      <c r="AM204" s="478"/>
      <c r="AN204" s="478"/>
      <c r="AO204" s="478"/>
      <c r="AP204" s="478"/>
      <c r="AQ204" s="478"/>
      <c r="AR204" s="478"/>
      <c r="AS204" s="478"/>
      <c r="AT204" s="478"/>
      <c r="AU204" s="478"/>
      <c r="AV204" s="478"/>
      <c r="AW204" s="478"/>
      <c r="AX204" s="478"/>
      <c r="AY204" s="478"/>
      <c r="AZ204" s="478"/>
      <c r="BA204" s="478"/>
      <c r="BB204" s="478"/>
      <c r="BC204" s="478"/>
      <c r="BD204" s="478"/>
      <c r="BE204" s="478"/>
      <c r="BF204" s="478"/>
      <c r="BG204" s="478"/>
      <c r="BH204" s="478"/>
      <c r="BI204" s="478"/>
      <c r="BJ204" s="478"/>
      <c r="BK204" s="478"/>
      <c r="BL204" s="478"/>
      <c r="BM204" s="478"/>
      <c r="BN204" s="478"/>
      <c r="BO204" s="478"/>
      <c r="BP204" s="478"/>
      <c r="BQ204" s="478"/>
      <c r="BR204" s="478"/>
      <c r="BS204" s="478"/>
      <c r="BT204" s="478"/>
      <c r="BU204" s="478"/>
      <c r="BV204" s="478"/>
      <c r="BW204" s="478"/>
      <c r="BX204" s="478"/>
      <c r="BY204" s="478"/>
      <c r="BZ204" s="478"/>
      <c r="CA204" s="478"/>
      <c r="CB204" s="478"/>
      <c r="CC204" s="478"/>
      <c r="CD204" s="478"/>
      <c r="CE204" s="478"/>
      <c r="CF204" s="478"/>
      <c r="CG204" s="478"/>
      <c r="CH204" s="478"/>
      <c r="CI204" s="478"/>
      <c r="CJ204" s="478"/>
      <c r="CK204" s="478"/>
      <c r="CL204" s="478"/>
      <c r="CM204" s="478"/>
      <c r="CN204" s="478"/>
      <c r="CO204" s="478"/>
      <c r="CP204" s="478"/>
      <c r="CQ204" s="478"/>
      <c r="CR204" s="478"/>
      <c r="CS204" s="478"/>
      <c r="CT204" s="478"/>
      <c r="CU204" s="478"/>
      <c r="CV204" s="478"/>
      <c r="CW204" s="478"/>
      <c r="CX204" s="478"/>
      <c r="CY204" s="478"/>
      <c r="CZ204" s="478"/>
    </row>
    <row r="205" spans="1:104" ht="14.25" customHeight="1" x14ac:dyDescent="0.2">
      <c r="A205" s="478"/>
      <c r="B205" s="504"/>
      <c r="C205" s="478"/>
      <c r="D205" s="478"/>
      <c r="E205" s="478"/>
      <c r="F205" s="478"/>
      <c r="G205" s="478"/>
      <c r="H205" s="478"/>
      <c r="I205" s="478"/>
      <c r="J205" s="478"/>
      <c r="K205" s="478"/>
      <c r="L205" s="478"/>
      <c r="M205" s="478"/>
      <c r="N205" s="478"/>
      <c r="O205" s="478"/>
      <c r="P205" s="478"/>
      <c r="Q205" s="478"/>
      <c r="R205" s="478"/>
      <c r="S205" s="478"/>
      <c r="T205" s="505"/>
      <c r="U205" s="478"/>
      <c r="V205" s="478"/>
      <c r="W205" s="506"/>
      <c r="X205" s="507"/>
      <c r="Y205" s="507"/>
      <c r="Z205" s="507"/>
      <c r="AA205" s="507"/>
      <c r="AB205" s="507"/>
      <c r="AC205" s="507"/>
      <c r="AD205" s="507"/>
      <c r="AE205" s="507"/>
      <c r="AF205" s="507"/>
      <c r="AG205" s="507"/>
      <c r="AH205" s="507"/>
      <c r="AI205" s="507"/>
      <c r="AJ205" s="507"/>
      <c r="AK205" s="507"/>
      <c r="AL205" s="478"/>
      <c r="AM205" s="478"/>
      <c r="AN205" s="478"/>
      <c r="AO205" s="478"/>
      <c r="AP205" s="478"/>
      <c r="AQ205" s="478"/>
      <c r="AR205" s="478"/>
      <c r="AS205" s="478"/>
      <c r="AT205" s="478"/>
      <c r="AU205" s="478"/>
      <c r="AV205" s="478"/>
      <c r="AW205" s="478"/>
      <c r="AX205" s="478"/>
      <c r="AY205" s="478"/>
      <c r="AZ205" s="478"/>
      <c r="BA205" s="478"/>
      <c r="BB205" s="478"/>
      <c r="BC205" s="478"/>
      <c r="BD205" s="478"/>
      <c r="BE205" s="478"/>
      <c r="BF205" s="478"/>
      <c r="BG205" s="478"/>
      <c r="BH205" s="478"/>
      <c r="BI205" s="478"/>
      <c r="BJ205" s="478"/>
      <c r="BK205" s="478"/>
      <c r="BL205" s="478"/>
      <c r="BM205" s="478"/>
      <c r="BN205" s="478"/>
      <c r="BO205" s="478"/>
      <c r="BP205" s="478"/>
      <c r="BQ205" s="478"/>
      <c r="BR205" s="478"/>
      <c r="BS205" s="478"/>
      <c r="BT205" s="478"/>
      <c r="BU205" s="478"/>
      <c r="BV205" s="478"/>
      <c r="BW205" s="478"/>
      <c r="BX205" s="478"/>
      <c r="BY205" s="478"/>
      <c r="BZ205" s="478"/>
      <c r="CA205" s="478"/>
      <c r="CB205" s="478"/>
      <c r="CC205" s="478"/>
      <c r="CD205" s="478"/>
      <c r="CE205" s="478"/>
      <c r="CF205" s="478"/>
      <c r="CG205" s="478"/>
      <c r="CH205" s="478"/>
      <c r="CI205" s="478"/>
      <c r="CJ205" s="478"/>
      <c r="CK205" s="478"/>
      <c r="CL205" s="478"/>
      <c r="CM205" s="478"/>
      <c r="CN205" s="478"/>
      <c r="CO205" s="478"/>
      <c r="CP205" s="478"/>
      <c r="CQ205" s="478"/>
      <c r="CR205" s="478"/>
      <c r="CS205" s="478"/>
      <c r="CT205" s="478"/>
      <c r="CU205" s="478"/>
      <c r="CV205" s="478"/>
      <c r="CW205" s="478"/>
      <c r="CX205" s="478"/>
      <c r="CY205" s="478"/>
      <c r="CZ205" s="478"/>
    </row>
    <row r="206" spans="1:104" ht="14.25" customHeight="1" x14ac:dyDescent="0.2">
      <c r="A206" s="478"/>
      <c r="B206" s="504"/>
      <c r="C206" s="478"/>
      <c r="D206" s="478"/>
      <c r="E206" s="478"/>
      <c r="F206" s="478"/>
      <c r="G206" s="478"/>
      <c r="H206" s="478"/>
      <c r="I206" s="478"/>
      <c r="J206" s="478"/>
      <c r="K206" s="478"/>
      <c r="L206" s="478"/>
      <c r="M206" s="478"/>
      <c r="N206" s="478"/>
      <c r="O206" s="478"/>
      <c r="P206" s="478"/>
      <c r="Q206" s="478"/>
      <c r="R206" s="478"/>
      <c r="S206" s="478"/>
      <c r="T206" s="505"/>
      <c r="U206" s="478"/>
      <c r="V206" s="478"/>
      <c r="W206" s="506"/>
      <c r="X206" s="507"/>
      <c r="Y206" s="507"/>
      <c r="Z206" s="507"/>
      <c r="AA206" s="507"/>
      <c r="AB206" s="507"/>
      <c r="AC206" s="507"/>
      <c r="AD206" s="507"/>
      <c r="AE206" s="507"/>
      <c r="AF206" s="507"/>
      <c r="AG206" s="507"/>
      <c r="AH206" s="507"/>
      <c r="AI206" s="507"/>
      <c r="AJ206" s="507"/>
      <c r="AK206" s="507"/>
      <c r="AL206" s="478"/>
      <c r="AM206" s="478"/>
      <c r="AN206" s="478"/>
      <c r="AO206" s="478"/>
      <c r="AP206" s="478"/>
      <c r="AQ206" s="478"/>
      <c r="AR206" s="478"/>
      <c r="AS206" s="478"/>
      <c r="AT206" s="478"/>
      <c r="AU206" s="478"/>
      <c r="AV206" s="478"/>
      <c r="AW206" s="478"/>
      <c r="AX206" s="478"/>
      <c r="AY206" s="478"/>
      <c r="AZ206" s="478"/>
      <c r="BA206" s="478"/>
      <c r="BB206" s="478"/>
      <c r="BC206" s="478"/>
      <c r="BD206" s="478"/>
      <c r="BE206" s="478"/>
      <c r="BF206" s="478"/>
      <c r="BG206" s="478"/>
      <c r="BH206" s="478"/>
      <c r="BI206" s="478"/>
      <c r="BJ206" s="478"/>
      <c r="BK206" s="478"/>
      <c r="BL206" s="478"/>
      <c r="BM206" s="478"/>
      <c r="BN206" s="478"/>
      <c r="BO206" s="478"/>
      <c r="BP206" s="478"/>
      <c r="BQ206" s="478"/>
      <c r="BR206" s="478"/>
      <c r="BS206" s="478"/>
      <c r="BT206" s="478"/>
      <c r="BU206" s="478"/>
      <c r="BV206" s="478"/>
      <c r="BW206" s="478"/>
      <c r="BX206" s="478"/>
      <c r="BY206" s="478"/>
      <c r="BZ206" s="478"/>
      <c r="CA206" s="478"/>
      <c r="CB206" s="478"/>
      <c r="CC206" s="478"/>
      <c r="CD206" s="478"/>
      <c r="CE206" s="478"/>
      <c r="CF206" s="478"/>
      <c r="CG206" s="478"/>
      <c r="CH206" s="478"/>
      <c r="CI206" s="478"/>
      <c r="CJ206" s="478"/>
      <c r="CK206" s="478"/>
      <c r="CL206" s="478"/>
      <c r="CM206" s="478"/>
      <c r="CN206" s="478"/>
      <c r="CO206" s="478"/>
      <c r="CP206" s="478"/>
      <c r="CQ206" s="478"/>
      <c r="CR206" s="478"/>
      <c r="CS206" s="478"/>
      <c r="CT206" s="478"/>
      <c r="CU206" s="478"/>
      <c r="CV206" s="478"/>
      <c r="CW206" s="478"/>
      <c r="CX206" s="478"/>
      <c r="CY206" s="478"/>
      <c r="CZ206" s="478"/>
    </row>
    <row r="207" spans="1:104" ht="14.25" customHeight="1" x14ac:dyDescent="0.2">
      <c r="A207" s="478"/>
      <c r="B207" s="504"/>
      <c r="C207" s="478"/>
      <c r="D207" s="478"/>
      <c r="E207" s="478"/>
      <c r="F207" s="478"/>
      <c r="G207" s="478"/>
      <c r="H207" s="478"/>
      <c r="I207" s="478"/>
      <c r="J207" s="478"/>
      <c r="K207" s="478"/>
      <c r="L207" s="478"/>
      <c r="M207" s="478"/>
      <c r="N207" s="478"/>
      <c r="O207" s="478"/>
      <c r="P207" s="478"/>
      <c r="Q207" s="478"/>
      <c r="R207" s="478"/>
      <c r="S207" s="478"/>
      <c r="T207" s="505"/>
      <c r="U207" s="478"/>
      <c r="V207" s="478"/>
      <c r="W207" s="506"/>
      <c r="X207" s="507"/>
      <c r="Y207" s="507"/>
      <c r="Z207" s="507"/>
      <c r="AA207" s="507"/>
      <c r="AB207" s="507"/>
      <c r="AC207" s="507"/>
      <c r="AD207" s="507"/>
      <c r="AE207" s="507"/>
      <c r="AF207" s="507"/>
      <c r="AG207" s="507"/>
      <c r="AH207" s="507"/>
      <c r="AI207" s="507"/>
      <c r="AJ207" s="507"/>
      <c r="AK207" s="507"/>
      <c r="AL207" s="478"/>
      <c r="AM207" s="478"/>
      <c r="AN207" s="478"/>
      <c r="AO207" s="478"/>
      <c r="AP207" s="478"/>
      <c r="AQ207" s="478"/>
      <c r="AR207" s="478"/>
      <c r="AS207" s="478"/>
      <c r="AT207" s="478"/>
      <c r="AU207" s="478"/>
      <c r="AV207" s="478"/>
      <c r="AW207" s="478"/>
      <c r="AX207" s="478"/>
      <c r="AY207" s="478"/>
      <c r="AZ207" s="478"/>
      <c r="BA207" s="478"/>
      <c r="BB207" s="478"/>
      <c r="BC207" s="478"/>
      <c r="BD207" s="478"/>
      <c r="BE207" s="478"/>
      <c r="BF207" s="478"/>
      <c r="BG207" s="478"/>
      <c r="BH207" s="478"/>
      <c r="BI207" s="478"/>
      <c r="BJ207" s="478"/>
      <c r="BK207" s="478"/>
      <c r="BL207" s="478"/>
      <c r="BM207" s="478"/>
      <c r="BN207" s="478"/>
      <c r="BO207" s="478"/>
      <c r="BP207" s="478"/>
      <c r="BQ207" s="478"/>
      <c r="BR207" s="478"/>
      <c r="BS207" s="478"/>
      <c r="BT207" s="478"/>
      <c r="BU207" s="478"/>
      <c r="BV207" s="478"/>
      <c r="BW207" s="478"/>
      <c r="BX207" s="478"/>
      <c r="BY207" s="478"/>
      <c r="BZ207" s="478"/>
      <c r="CA207" s="478"/>
      <c r="CB207" s="478"/>
      <c r="CC207" s="478"/>
      <c r="CD207" s="478"/>
      <c r="CE207" s="478"/>
      <c r="CF207" s="478"/>
      <c r="CG207" s="478"/>
      <c r="CH207" s="478"/>
      <c r="CI207" s="478"/>
      <c r="CJ207" s="478"/>
      <c r="CK207" s="478"/>
      <c r="CL207" s="478"/>
      <c r="CM207" s="478"/>
      <c r="CN207" s="478"/>
      <c r="CO207" s="478"/>
      <c r="CP207" s="478"/>
      <c r="CQ207" s="478"/>
      <c r="CR207" s="478"/>
      <c r="CS207" s="478"/>
      <c r="CT207" s="478"/>
      <c r="CU207" s="478"/>
      <c r="CV207" s="478"/>
      <c r="CW207" s="478"/>
      <c r="CX207" s="478"/>
      <c r="CY207" s="478"/>
      <c r="CZ207" s="478"/>
    </row>
    <row r="208" spans="1:104" ht="14.25" customHeight="1" x14ac:dyDescent="0.2">
      <c r="A208" s="478"/>
      <c r="B208" s="504"/>
      <c r="C208" s="478"/>
      <c r="D208" s="478"/>
      <c r="E208" s="478"/>
      <c r="F208" s="478"/>
      <c r="G208" s="478"/>
      <c r="H208" s="478"/>
      <c r="I208" s="478"/>
      <c r="J208" s="478"/>
      <c r="K208" s="478"/>
      <c r="L208" s="478"/>
      <c r="M208" s="478"/>
      <c r="N208" s="478"/>
      <c r="O208" s="478"/>
      <c r="P208" s="478"/>
      <c r="Q208" s="478"/>
      <c r="R208" s="478"/>
      <c r="S208" s="478"/>
      <c r="T208" s="505"/>
      <c r="U208" s="478"/>
      <c r="V208" s="478"/>
      <c r="W208" s="506"/>
      <c r="X208" s="507"/>
      <c r="Y208" s="507"/>
      <c r="Z208" s="507"/>
      <c r="AA208" s="507"/>
      <c r="AB208" s="507"/>
      <c r="AC208" s="507"/>
      <c r="AD208" s="507"/>
      <c r="AE208" s="507"/>
      <c r="AF208" s="507"/>
      <c r="AG208" s="507"/>
      <c r="AH208" s="507"/>
      <c r="AI208" s="507"/>
      <c r="AJ208" s="507"/>
      <c r="AK208" s="507"/>
      <c r="AL208" s="478"/>
      <c r="AM208" s="478"/>
      <c r="AN208" s="478"/>
      <c r="AO208" s="478"/>
      <c r="AP208" s="478"/>
      <c r="AQ208" s="478"/>
      <c r="AR208" s="478"/>
      <c r="AS208" s="478"/>
      <c r="AT208" s="478"/>
      <c r="AU208" s="478"/>
      <c r="AV208" s="478"/>
      <c r="AW208" s="478"/>
      <c r="AX208" s="478"/>
      <c r="AY208" s="478"/>
      <c r="AZ208" s="478"/>
      <c r="BA208" s="478"/>
      <c r="BB208" s="478"/>
      <c r="BC208" s="478"/>
      <c r="BD208" s="478"/>
      <c r="BE208" s="478"/>
      <c r="BF208" s="478"/>
      <c r="BG208" s="478"/>
      <c r="BH208" s="478"/>
      <c r="BI208" s="478"/>
      <c r="BJ208" s="478"/>
      <c r="BK208" s="478"/>
      <c r="BL208" s="478"/>
      <c r="BM208" s="478"/>
      <c r="BN208" s="478"/>
      <c r="BO208" s="478"/>
      <c r="BP208" s="478"/>
      <c r="BQ208" s="478"/>
      <c r="BR208" s="478"/>
      <c r="BS208" s="478"/>
      <c r="BT208" s="478"/>
      <c r="BU208" s="478"/>
      <c r="BV208" s="478"/>
      <c r="BW208" s="478"/>
      <c r="BX208" s="478"/>
      <c r="BY208" s="478"/>
      <c r="BZ208" s="478"/>
      <c r="CA208" s="478"/>
      <c r="CB208" s="478"/>
      <c r="CC208" s="478"/>
      <c r="CD208" s="478"/>
      <c r="CE208" s="478"/>
      <c r="CF208" s="478"/>
      <c r="CG208" s="478"/>
      <c r="CH208" s="478"/>
      <c r="CI208" s="478"/>
      <c r="CJ208" s="478"/>
      <c r="CK208" s="478"/>
      <c r="CL208" s="478"/>
      <c r="CM208" s="478"/>
      <c r="CN208" s="478"/>
      <c r="CO208" s="478"/>
      <c r="CP208" s="478"/>
      <c r="CQ208" s="478"/>
      <c r="CR208" s="478"/>
      <c r="CS208" s="478"/>
      <c r="CT208" s="478"/>
      <c r="CU208" s="478"/>
      <c r="CV208" s="478"/>
      <c r="CW208" s="478"/>
      <c r="CX208" s="478"/>
      <c r="CY208" s="478"/>
      <c r="CZ208" s="478"/>
    </row>
    <row r="209" spans="1:104" ht="14.25" customHeight="1" x14ac:dyDescent="0.2">
      <c r="A209" s="478"/>
      <c r="B209" s="504"/>
      <c r="C209" s="478"/>
      <c r="D209" s="478"/>
      <c r="E209" s="478"/>
      <c r="F209" s="478"/>
      <c r="G209" s="478"/>
      <c r="H209" s="478"/>
      <c r="I209" s="478"/>
      <c r="J209" s="478"/>
      <c r="K209" s="478"/>
      <c r="L209" s="478"/>
      <c r="M209" s="478"/>
      <c r="N209" s="478"/>
      <c r="O209" s="478"/>
      <c r="P209" s="478"/>
      <c r="Q209" s="478"/>
      <c r="R209" s="478"/>
      <c r="S209" s="478"/>
      <c r="T209" s="505"/>
      <c r="U209" s="478"/>
      <c r="V209" s="478"/>
      <c r="W209" s="506"/>
      <c r="X209" s="507"/>
      <c r="Y209" s="507"/>
      <c r="Z209" s="507"/>
      <c r="AA209" s="507"/>
      <c r="AB209" s="507"/>
      <c r="AC209" s="507"/>
      <c r="AD209" s="507"/>
      <c r="AE209" s="507"/>
      <c r="AF209" s="507"/>
      <c r="AG209" s="507"/>
      <c r="AH209" s="507"/>
      <c r="AI209" s="507"/>
      <c r="AJ209" s="507"/>
      <c r="AK209" s="507"/>
      <c r="AL209" s="478"/>
      <c r="AM209" s="478"/>
      <c r="AN209" s="478"/>
      <c r="AO209" s="478"/>
      <c r="AP209" s="478"/>
      <c r="AQ209" s="478"/>
      <c r="AR209" s="478"/>
      <c r="AS209" s="478"/>
      <c r="AT209" s="478"/>
      <c r="AU209" s="478"/>
      <c r="AV209" s="478"/>
      <c r="AW209" s="478"/>
      <c r="AX209" s="478"/>
      <c r="AY209" s="478"/>
      <c r="AZ209" s="478"/>
      <c r="BA209" s="478"/>
      <c r="BB209" s="478"/>
      <c r="BC209" s="478"/>
      <c r="BD209" s="478"/>
      <c r="BE209" s="478"/>
      <c r="BF209" s="478"/>
      <c r="BG209" s="478"/>
      <c r="BH209" s="478"/>
      <c r="BI209" s="478"/>
      <c r="BJ209" s="478"/>
      <c r="BK209" s="478"/>
      <c r="BL209" s="478"/>
      <c r="BM209" s="478"/>
      <c r="BN209" s="478"/>
      <c r="BO209" s="478"/>
      <c r="BP209" s="478"/>
      <c r="BQ209" s="478"/>
      <c r="BR209" s="478"/>
      <c r="BS209" s="478"/>
      <c r="BT209" s="478"/>
      <c r="BU209" s="478"/>
      <c r="BV209" s="478"/>
      <c r="BW209" s="478"/>
      <c r="BX209" s="478"/>
      <c r="BY209" s="478"/>
      <c r="BZ209" s="478"/>
      <c r="CA209" s="478"/>
      <c r="CB209" s="478"/>
      <c r="CC209" s="478"/>
      <c r="CD209" s="478"/>
      <c r="CE209" s="478"/>
      <c r="CF209" s="478"/>
      <c r="CG209" s="478"/>
      <c r="CH209" s="478"/>
      <c r="CI209" s="478"/>
      <c r="CJ209" s="478"/>
      <c r="CK209" s="478"/>
      <c r="CL209" s="478"/>
      <c r="CM209" s="478"/>
      <c r="CN209" s="478"/>
      <c r="CO209" s="478"/>
      <c r="CP209" s="478"/>
      <c r="CQ209" s="478"/>
      <c r="CR209" s="478"/>
      <c r="CS209" s="478"/>
      <c r="CT209" s="478"/>
      <c r="CU209" s="478"/>
      <c r="CV209" s="478"/>
      <c r="CW209" s="478"/>
      <c r="CX209" s="478"/>
      <c r="CY209" s="478"/>
      <c r="CZ209" s="478"/>
    </row>
    <row r="210" spans="1:104" ht="14.25" customHeight="1" x14ac:dyDescent="0.2">
      <c r="A210" s="478"/>
      <c r="B210" s="504"/>
      <c r="C210" s="478"/>
      <c r="D210" s="478"/>
      <c r="E210" s="478"/>
      <c r="F210" s="478"/>
      <c r="G210" s="478"/>
      <c r="H210" s="478"/>
      <c r="I210" s="478"/>
      <c r="J210" s="478"/>
      <c r="K210" s="478"/>
      <c r="L210" s="478"/>
      <c r="M210" s="478"/>
      <c r="N210" s="478"/>
      <c r="O210" s="478"/>
      <c r="P210" s="478"/>
      <c r="Q210" s="478"/>
      <c r="R210" s="478"/>
      <c r="S210" s="478"/>
      <c r="T210" s="505"/>
      <c r="U210" s="478"/>
      <c r="V210" s="478"/>
      <c r="W210" s="506"/>
      <c r="X210" s="507"/>
      <c r="Y210" s="507"/>
      <c r="Z210" s="507"/>
      <c r="AA210" s="507"/>
      <c r="AB210" s="507"/>
      <c r="AC210" s="507"/>
      <c r="AD210" s="507"/>
      <c r="AE210" s="507"/>
      <c r="AF210" s="507"/>
      <c r="AG210" s="507"/>
      <c r="AH210" s="507"/>
      <c r="AI210" s="507"/>
      <c r="AJ210" s="507"/>
      <c r="AK210" s="507"/>
      <c r="AL210" s="478"/>
      <c r="AM210" s="478"/>
      <c r="AN210" s="478"/>
      <c r="AO210" s="478"/>
      <c r="AP210" s="478"/>
      <c r="AQ210" s="478"/>
      <c r="AR210" s="478"/>
      <c r="AS210" s="478"/>
      <c r="AT210" s="478"/>
      <c r="AU210" s="478"/>
      <c r="AV210" s="478"/>
      <c r="AW210" s="478"/>
      <c r="AX210" s="478"/>
      <c r="AY210" s="478"/>
      <c r="AZ210" s="478"/>
      <c r="BA210" s="478"/>
      <c r="BB210" s="478"/>
      <c r="BC210" s="478"/>
      <c r="BD210" s="478"/>
      <c r="BE210" s="478"/>
      <c r="BF210" s="478"/>
      <c r="BG210" s="478"/>
      <c r="BH210" s="478"/>
      <c r="BI210" s="478"/>
      <c r="BJ210" s="478"/>
      <c r="BK210" s="478"/>
      <c r="BL210" s="478"/>
      <c r="BM210" s="478"/>
      <c r="BN210" s="478"/>
      <c r="BO210" s="478"/>
      <c r="BP210" s="478"/>
      <c r="BQ210" s="478"/>
      <c r="BR210" s="478"/>
      <c r="BS210" s="478"/>
      <c r="BT210" s="478"/>
      <c r="BU210" s="478"/>
      <c r="BV210" s="478"/>
      <c r="BW210" s="478"/>
      <c r="BX210" s="478"/>
      <c r="BY210" s="478"/>
      <c r="BZ210" s="478"/>
      <c r="CA210" s="478"/>
      <c r="CB210" s="478"/>
      <c r="CC210" s="478"/>
      <c r="CD210" s="478"/>
      <c r="CE210" s="478"/>
      <c r="CF210" s="478"/>
      <c r="CG210" s="478"/>
      <c r="CH210" s="478"/>
      <c r="CI210" s="478"/>
      <c r="CJ210" s="478"/>
      <c r="CK210" s="478"/>
      <c r="CL210" s="478"/>
      <c r="CM210" s="478"/>
      <c r="CN210" s="478"/>
      <c r="CO210" s="478"/>
      <c r="CP210" s="478"/>
      <c r="CQ210" s="478"/>
      <c r="CR210" s="478"/>
      <c r="CS210" s="478"/>
      <c r="CT210" s="478"/>
      <c r="CU210" s="478"/>
      <c r="CV210" s="478"/>
      <c r="CW210" s="478"/>
      <c r="CX210" s="478"/>
      <c r="CY210" s="478"/>
      <c r="CZ210" s="478"/>
    </row>
    <row r="211" spans="1:104" ht="14.25" customHeight="1" x14ac:dyDescent="0.2">
      <c r="A211" s="478"/>
      <c r="B211" s="504"/>
      <c r="C211" s="478"/>
      <c r="D211" s="478"/>
      <c r="E211" s="478"/>
      <c r="F211" s="478"/>
      <c r="G211" s="478"/>
      <c r="H211" s="478"/>
      <c r="I211" s="478"/>
      <c r="J211" s="478"/>
      <c r="K211" s="478"/>
      <c r="L211" s="478"/>
      <c r="M211" s="478"/>
      <c r="N211" s="478"/>
      <c r="O211" s="478"/>
      <c r="P211" s="478"/>
      <c r="Q211" s="478"/>
      <c r="R211" s="478"/>
      <c r="S211" s="478"/>
      <c r="T211" s="505"/>
      <c r="U211" s="478"/>
      <c r="V211" s="478"/>
      <c r="W211" s="506"/>
      <c r="X211" s="507"/>
      <c r="Y211" s="507"/>
      <c r="Z211" s="507"/>
      <c r="AA211" s="507"/>
      <c r="AB211" s="507"/>
      <c r="AC211" s="507"/>
      <c r="AD211" s="507"/>
      <c r="AE211" s="507"/>
      <c r="AF211" s="507"/>
      <c r="AG211" s="507"/>
      <c r="AH211" s="507"/>
      <c r="AI211" s="507"/>
      <c r="AJ211" s="507"/>
      <c r="AK211" s="507"/>
      <c r="AL211" s="478"/>
      <c r="AM211" s="478"/>
      <c r="AN211" s="478"/>
      <c r="AO211" s="478"/>
      <c r="AP211" s="478"/>
      <c r="AQ211" s="478"/>
      <c r="AR211" s="478"/>
      <c r="AS211" s="478"/>
      <c r="AT211" s="478"/>
      <c r="AU211" s="478"/>
      <c r="AV211" s="478"/>
      <c r="AW211" s="478"/>
      <c r="AX211" s="478"/>
      <c r="AY211" s="478"/>
      <c r="AZ211" s="478"/>
      <c r="BA211" s="478"/>
      <c r="BB211" s="478"/>
      <c r="BC211" s="478"/>
      <c r="BD211" s="478"/>
      <c r="BE211" s="478"/>
      <c r="BF211" s="478"/>
      <c r="BG211" s="478"/>
      <c r="BH211" s="478"/>
      <c r="BI211" s="478"/>
      <c r="BJ211" s="478"/>
      <c r="BK211" s="478"/>
      <c r="BL211" s="478"/>
      <c r="BM211" s="478"/>
      <c r="BN211" s="478"/>
      <c r="BO211" s="478"/>
      <c r="BP211" s="478"/>
      <c r="BQ211" s="478"/>
      <c r="BR211" s="478"/>
      <c r="BS211" s="478"/>
      <c r="BT211" s="478"/>
      <c r="BU211" s="478"/>
      <c r="BV211" s="478"/>
      <c r="BW211" s="478"/>
      <c r="BX211" s="478"/>
      <c r="BY211" s="478"/>
      <c r="BZ211" s="478"/>
      <c r="CA211" s="478"/>
      <c r="CB211" s="478"/>
      <c r="CC211" s="478"/>
      <c r="CD211" s="478"/>
      <c r="CE211" s="478"/>
      <c r="CF211" s="478"/>
      <c r="CG211" s="478"/>
      <c r="CH211" s="478"/>
      <c r="CI211" s="478"/>
      <c r="CJ211" s="478"/>
      <c r="CK211" s="478"/>
      <c r="CL211" s="478"/>
      <c r="CM211" s="478"/>
      <c r="CN211" s="478"/>
      <c r="CO211" s="478"/>
      <c r="CP211" s="478"/>
      <c r="CQ211" s="478"/>
      <c r="CR211" s="478"/>
      <c r="CS211" s="478"/>
      <c r="CT211" s="478"/>
      <c r="CU211" s="478"/>
      <c r="CV211" s="478"/>
      <c r="CW211" s="478"/>
      <c r="CX211" s="478"/>
      <c r="CY211" s="478"/>
      <c r="CZ211" s="478"/>
    </row>
    <row r="212" spans="1:104" ht="14.25" customHeight="1" x14ac:dyDescent="0.2">
      <c r="A212" s="478"/>
      <c r="B212" s="504"/>
      <c r="C212" s="478"/>
      <c r="D212" s="478"/>
      <c r="E212" s="478"/>
      <c r="F212" s="478"/>
      <c r="G212" s="478"/>
      <c r="H212" s="478"/>
      <c r="I212" s="478"/>
      <c r="J212" s="478"/>
      <c r="K212" s="478"/>
      <c r="L212" s="478"/>
      <c r="M212" s="478"/>
      <c r="N212" s="478"/>
      <c r="O212" s="478"/>
      <c r="P212" s="478"/>
      <c r="Q212" s="478"/>
      <c r="R212" s="478"/>
      <c r="S212" s="478"/>
      <c r="T212" s="505"/>
      <c r="U212" s="478"/>
      <c r="V212" s="478"/>
      <c r="W212" s="506"/>
      <c r="X212" s="507"/>
      <c r="Y212" s="507"/>
      <c r="Z212" s="507"/>
      <c r="AA212" s="507"/>
      <c r="AB212" s="507"/>
      <c r="AC212" s="507"/>
      <c r="AD212" s="507"/>
      <c r="AE212" s="507"/>
      <c r="AF212" s="507"/>
      <c r="AG212" s="507"/>
      <c r="AH212" s="507"/>
      <c r="AI212" s="507"/>
      <c r="AJ212" s="507"/>
      <c r="AK212" s="507"/>
      <c r="AL212" s="478"/>
      <c r="AM212" s="478"/>
      <c r="AN212" s="478"/>
      <c r="AO212" s="478"/>
      <c r="AP212" s="478"/>
      <c r="AQ212" s="478"/>
      <c r="AR212" s="478"/>
      <c r="AS212" s="478"/>
      <c r="AT212" s="478"/>
      <c r="AU212" s="478"/>
      <c r="AV212" s="478"/>
      <c r="AW212" s="478"/>
      <c r="AX212" s="478"/>
      <c r="AY212" s="478"/>
      <c r="AZ212" s="478"/>
      <c r="BA212" s="478"/>
      <c r="BB212" s="478"/>
      <c r="BC212" s="478"/>
      <c r="BD212" s="478"/>
      <c r="BE212" s="478"/>
      <c r="BF212" s="478"/>
      <c r="BG212" s="478"/>
      <c r="BH212" s="478"/>
      <c r="BI212" s="478"/>
      <c r="BJ212" s="478"/>
      <c r="BK212" s="478"/>
      <c r="BL212" s="478"/>
      <c r="BM212" s="478"/>
      <c r="BN212" s="478"/>
      <c r="BO212" s="478"/>
      <c r="BP212" s="478"/>
      <c r="BQ212" s="478"/>
      <c r="BR212" s="478"/>
      <c r="BS212" s="478"/>
      <c r="BT212" s="478"/>
      <c r="BU212" s="478"/>
      <c r="BV212" s="478"/>
      <c r="BW212" s="478"/>
      <c r="BX212" s="478"/>
      <c r="BY212" s="478"/>
      <c r="BZ212" s="478"/>
      <c r="CA212" s="478"/>
      <c r="CB212" s="478"/>
      <c r="CC212" s="478"/>
      <c r="CD212" s="478"/>
      <c r="CE212" s="478"/>
      <c r="CF212" s="478"/>
      <c r="CG212" s="478"/>
      <c r="CH212" s="478"/>
      <c r="CI212" s="478"/>
      <c r="CJ212" s="478"/>
      <c r="CK212" s="478"/>
      <c r="CL212" s="478"/>
      <c r="CM212" s="478"/>
      <c r="CN212" s="478"/>
      <c r="CO212" s="478"/>
      <c r="CP212" s="478"/>
      <c r="CQ212" s="478"/>
      <c r="CR212" s="478"/>
      <c r="CS212" s="478"/>
      <c r="CT212" s="478"/>
      <c r="CU212" s="478"/>
      <c r="CV212" s="478"/>
      <c r="CW212" s="478"/>
      <c r="CX212" s="478"/>
      <c r="CY212" s="478"/>
      <c r="CZ212" s="478"/>
    </row>
    <row r="213" spans="1:104" ht="14.25" customHeight="1" x14ac:dyDescent="0.2">
      <c r="A213" s="478"/>
      <c r="B213" s="504"/>
      <c r="C213" s="478"/>
      <c r="D213" s="478"/>
      <c r="E213" s="478"/>
      <c r="F213" s="478"/>
      <c r="G213" s="478"/>
      <c r="H213" s="478"/>
      <c r="I213" s="478"/>
      <c r="J213" s="478"/>
      <c r="K213" s="478"/>
      <c r="L213" s="478"/>
      <c r="M213" s="478"/>
      <c r="N213" s="478"/>
      <c r="O213" s="478"/>
      <c r="P213" s="478"/>
      <c r="Q213" s="478"/>
      <c r="R213" s="478"/>
      <c r="S213" s="478"/>
      <c r="T213" s="505"/>
      <c r="U213" s="478"/>
      <c r="V213" s="478"/>
      <c r="W213" s="506"/>
      <c r="X213" s="507"/>
      <c r="Y213" s="507"/>
      <c r="Z213" s="507"/>
      <c r="AA213" s="507"/>
      <c r="AB213" s="507"/>
      <c r="AC213" s="507"/>
      <c r="AD213" s="507"/>
      <c r="AE213" s="507"/>
      <c r="AF213" s="507"/>
      <c r="AG213" s="507"/>
      <c r="AH213" s="507"/>
      <c r="AI213" s="507"/>
      <c r="AJ213" s="507"/>
      <c r="AK213" s="507"/>
      <c r="AL213" s="478"/>
      <c r="AM213" s="478"/>
      <c r="AN213" s="478"/>
      <c r="AO213" s="478"/>
      <c r="AP213" s="478"/>
      <c r="AQ213" s="478"/>
      <c r="AR213" s="478"/>
      <c r="AS213" s="478"/>
      <c r="AT213" s="478"/>
      <c r="AU213" s="478"/>
      <c r="AV213" s="478"/>
      <c r="AW213" s="478"/>
      <c r="AX213" s="478"/>
      <c r="AY213" s="478"/>
      <c r="AZ213" s="478"/>
      <c r="BA213" s="478"/>
      <c r="BB213" s="478"/>
      <c r="BC213" s="478"/>
      <c r="BD213" s="478"/>
      <c r="BE213" s="478"/>
      <c r="BF213" s="478"/>
      <c r="BG213" s="478"/>
      <c r="BH213" s="478"/>
      <c r="BI213" s="478"/>
      <c r="BJ213" s="478"/>
      <c r="BK213" s="478"/>
      <c r="BL213" s="478"/>
      <c r="BM213" s="478"/>
      <c r="BN213" s="478"/>
      <c r="BO213" s="478"/>
      <c r="BP213" s="478"/>
      <c r="BQ213" s="478"/>
      <c r="BR213" s="478"/>
      <c r="BS213" s="478"/>
      <c r="BT213" s="478"/>
      <c r="BU213" s="478"/>
      <c r="BV213" s="478"/>
      <c r="BW213" s="478"/>
      <c r="BX213" s="478"/>
      <c r="BY213" s="478"/>
      <c r="BZ213" s="478"/>
      <c r="CA213" s="478"/>
      <c r="CB213" s="478"/>
      <c r="CC213" s="478"/>
      <c r="CD213" s="478"/>
      <c r="CE213" s="478"/>
      <c r="CF213" s="478"/>
      <c r="CG213" s="478"/>
      <c r="CH213" s="478"/>
      <c r="CI213" s="478"/>
      <c r="CJ213" s="478"/>
      <c r="CK213" s="478"/>
      <c r="CL213" s="478"/>
      <c r="CM213" s="478"/>
      <c r="CN213" s="478"/>
      <c r="CO213" s="478"/>
      <c r="CP213" s="478"/>
      <c r="CQ213" s="478"/>
      <c r="CR213" s="478"/>
      <c r="CS213" s="478"/>
      <c r="CT213" s="478"/>
      <c r="CU213" s="478"/>
      <c r="CV213" s="478"/>
      <c r="CW213" s="478"/>
      <c r="CX213" s="478"/>
      <c r="CY213" s="478"/>
      <c r="CZ213" s="478"/>
    </row>
    <row r="214" spans="1:104" ht="14.25" customHeight="1" x14ac:dyDescent="0.2">
      <c r="A214" s="478"/>
      <c r="B214" s="504"/>
      <c r="C214" s="478"/>
      <c r="D214" s="478"/>
      <c r="E214" s="478"/>
      <c r="F214" s="478"/>
      <c r="G214" s="478"/>
      <c r="H214" s="478"/>
      <c r="I214" s="478"/>
      <c r="J214" s="478"/>
      <c r="K214" s="478"/>
      <c r="L214" s="478"/>
      <c r="M214" s="478"/>
      <c r="N214" s="478"/>
      <c r="O214" s="478"/>
      <c r="P214" s="478"/>
      <c r="Q214" s="478"/>
      <c r="R214" s="478"/>
      <c r="S214" s="478"/>
      <c r="T214" s="505"/>
      <c r="U214" s="478"/>
      <c r="V214" s="478"/>
      <c r="W214" s="506"/>
      <c r="X214" s="507"/>
      <c r="Y214" s="507"/>
      <c r="Z214" s="507"/>
      <c r="AA214" s="507"/>
      <c r="AB214" s="507"/>
      <c r="AC214" s="507"/>
      <c r="AD214" s="507"/>
      <c r="AE214" s="507"/>
      <c r="AF214" s="507"/>
      <c r="AG214" s="507"/>
      <c r="AH214" s="507"/>
      <c r="AI214" s="507"/>
      <c r="AJ214" s="507"/>
      <c r="AK214" s="507"/>
      <c r="AL214" s="478"/>
      <c r="AM214" s="478"/>
      <c r="AN214" s="478"/>
      <c r="AO214" s="478"/>
      <c r="AP214" s="478"/>
      <c r="AQ214" s="478"/>
      <c r="AR214" s="478"/>
      <c r="AS214" s="478"/>
      <c r="AT214" s="478"/>
      <c r="AU214" s="478"/>
      <c r="AV214" s="478"/>
      <c r="AW214" s="478"/>
      <c r="AX214" s="478"/>
      <c r="AY214" s="478"/>
      <c r="AZ214" s="478"/>
      <c r="BA214" s="478"/>
      <c r="BB214" s="478"/>
      <c r="BC214" s="478"/>
      <c r="BD214" s="478"/>
      <c r="BE214" s="478"/>
      <c r="BF214" s="478"/>
      <c r="BG214" s="478"/>
      <c r="BH214" s="478"/>
      <c r="BI214" s="478"/>
      <c r="BJ214" s="478"/>
      <c r="BK214" s="478"/>
      <c r="BL214" s="478"/>
      <c r="BM214" s="478"/>
      <c r="BN214" s="478"/>
      <c r="BO214" s="478"/>
      <c r="BP214" s="478"/>
      <c r="BQ214" s="478"/>
      <c r="BR214" s="478"/>
      <c r="BS214" s="478"/>
      <c r="BT214" s="478"/>
      <c r="BU214" s="478"/>
      <c r="BV214" s="478"/>
      <c r="BW214" s="478"/>
      <c r="BX214" s="478"/>
      <c r="BY214" s="478"/>
      <c r="BZ214" s="478"/>
      <c r="CA214" s="478"/>
      <c r="CB214" s="478"/>
      <c r="CC214" s="478"/>
      <c r="CD214" s="478"/>
      <c r="CE214" s="478"/>
      <c r="CF214" s="478"/>
      <c r="CG214" s="478"/>
      <c r="CH214" s="478"/>
      <c r="CI214" s="478"/>
      <c r="CJ214" s="478"/>
      <c r="CK214" s="478"/>
      <c r="CL214" s="478"/>
      <c r="CM214" s="478"/>
      <c r="CN214" s="478"/>
      <c r="CO214" s="478"/>
      <c r="CP214" s="478"/>
      <c r="CQ214" s="478"/>
      <c r="CR214" s="478"/>
      <c r="CS214" s="478"/>
      <c r="CT214" s="478"/>
      <c r="CU214" s="478"/>
      <c r="CV214" s="478"/>
      <c r="CW214" s="478"/>
      <c r="CX214" s="478"/>
      <c r="CY214" s="478"/>
      <c r="CZ214" s="478"/>
    </row>
    <row r="215" spans="1:104" ht="14.25" customHeight="1" x14ac:dyDescent="0.2">
      <c r="A215" s="478"/>
      <c r="B215" s="504"/>
      <c r="C215" s="478"/>
      <c r="D215" s="478"/>
      <c r="E215" s="478"/>
      <c r="F215" s="478"/>
      <c r="G215" s="478"/>
      <c r="H215" s="478"/>
      <c r="I215" s="478"/>
      <c r="J215" s="478"/>
      <c r="K215" s="478"/>
      <c r="L215" s="478"/>
      <c r="M215" s="478"/>
      <c r="N215" s="478"/>
      <c r="O215" s="478"/>
      <c r="P215" s="478"/>
      <c r="Q215" s="478"/>
      <c r="R215" s="478"/>
      <c r="S215" s="478"/>
      <c r="T215" s="505"/>
      <c r="U215" s="478"/>
      <c r="V215" s="478"/>
      <c r="W215" s="506"/>
      <c r="X215" s="507"/>
      <c r="Y215" s="507"/>
      <c r="Z215" s="507"/>
      <c r="AA215" s="507"/>
      <c r="AB215" s="507"/>
      <c r="AC215" s="507"/>
      <c r="AD215" s="507"/>
      <c r="AE215" s="507"/>
      <c r="AF215" s="507"/>
      <c r="AG215" s="507"/>
      <c r="AH215" s="507"/>
      <c r="AI215" s="507"/>
      <c r="AJ215" s="507"/>
      <c r="AK215" s="507"/>
      <c r="AL215" s="478"/>
      <c r="AM215" s="478"/>
      <c r="AN215" s="478"/>
      <c r="AO215" s="478"/>
      <c r="AP215" s="478"/>
      <c r="AQ215" s="478"/>
      <c r="AR215" s="478"/>
      <c r="AS215" s="478"/>
      <c r="AT215" s="478"/>
      <c r="AU215" s="478"/>
      <c r="AV215" s="478"/>
      <c r="AW215" s="478"/>
      <c r="AX215" s="478"/>
      <c r="AY215" s="478"/>
      <c r="AZ215" s="478"/>
      <c r="BA215" s="478"/>
      <c r="BB215" s="478"/>
      <c r="BC215" s="478"/>
      <c r="BD215" s="478"/>
      <c r="BE215" s="478"/>
      <c r="BF215" s="478"/>
      <c r="BG215" s="478"/>
      <c r="BH215" s="478"/>
      <c r="BI215" s="478"/>
      <c r="BJ215" s="478"/>
      <c r="BK215" s="478"/>
      <c r="BL215" s="478"/>
      <c r="BM215" s="478"/>
      <c r="BN215" s="478"/>
      <c r="BO215" s="478"/>
      <c r="BP215" s="478"/>
      <c r="BQ215" s="478"/>
      <c r="BR215" s="478"/>
      <c r="BS215" s="478"/>
      <c r="BT215" s="478"/>
      <c r="BU215" s="478"/>
      <c r="BV215" s="478"/>
      <c r="BW215" s="478"/>
      <c r="BX215" s="478"/>
      <c r="BY215" s="478"/>
      <c r="BZ215" s="478"/>
      <c r="CA215" s="478"/>
      <c r="CB215" s="478"/>
      <c r="CC215" s="478"/>
      <c r="CD215" s="478"/>
      <c r="CE215" s="478"/>
      <c r="CF215" s="478"/>
      <c r="CG215" s="478"/>
      <c r="CH215" s="478"/>
      <c r="CI215" s="478"/>
      <c r="CJ215" s="478"/>
      <c r="CK215" s="478"/>
      <c r="CL215" s="478"/>
      <c r="CM215" s="478"/>
      <c r="CN215" s="478"/>
      <c r="CO215" s="478"/>
      <c r="CP215" s="478"/>
      <c r="CQ215" s="478"/>
      <c r="CR215" s="478"/>
      <c r="CS215" s="478"/>
      <c r="CT215" s="478"/>
      <c r="CU215" s="478"/>
      <c r="CV215" s="478"/>
      <c r="CW215" s="478"/>
      <c r="CX215" s="478"/>
      <c r="CY215" s="478"/>
      <c r="CZ215" s="478"/>
    </row>
    <row r="216" spans="1:104" ht="14.25" customHeight="1" x14ac:dyDescent="0.2">
      <c r="A216" s="478"/>
      <c r="B216" s="504"/>
      <c r="C216" s="478"/>
      <c r="D216" s="478"/>
      <c r="E216" s="478"/>
      <c r="F216" s="478"/>
      <c r="G216" s="478"/>
      <c r="H216" s="478"/>
      <c r="I216" s="478"/>
      <c r="J216" s="478"/>
      <c r="K216" s="478"/>
      <c r="L216" s="478"/>
      <c r="M216" s="478"/>
      <c r="N216" s="478"/>
      <c r="O216" s="478"/>
      <c r="P216" s="478"/>
      <c r="Q216" s="478"/>
      <c r="R216" s="478"/>
      <c r="S216" s="478"/>
      <c r="T216" s="505"/>
      <c r="U216" s="478"/>
      <c r="V216" s="478"/>
      <c r="W216" s="506"/>
      <c r="X216" s="507"/>
      <c r="Y216" s="507"/>
      <c r="Z216" s="507"/>
      <c r="AA216" s="507"/>
      <c r="AB216" s="507"/>
      <c r="AC216" s="507"/>
      <c r="AD216" s="507"/>
      <c r="AE216" s="507"/>
      <c r="AF216" s="507"/>
      <c r="AG216" s="507"/>
      <c r="AH216" s="507"/>
      <c r="AI216" s="507"/>
      <c r="AJ216" s="507"/>
      <c r="AK216" s="507"/>
      <c r="AL216" s="478"/>
      <c r="AM216" s="478"/>
      <c r="AN216" s="478"/>
      <c r="AO216" s="478"/>
      <c r="AP216" s="478"/>
      <c r="AQ216" s="478"/>
      <c r="AR216" s="478"/>
      <c r="AS216" s="478"/>
      <c r="AT216" s="478"/>
      <c r="AU216" s="478"/>
      <c r="AV216" s="478"/>
      <c r="AW216" s="478"/>
      <c r="AX216" s="478"/>
      <c r="AY216" s="478"/>
      <c r="AZ216" s="478"/>
      <c r="BA216" s="478"/>
      <c r="BB216" s="478"/>
      <c r="BC216" s="478"/>
      <c r="BD216" s="478"/>
      <c r="BE216" s="478"/>
      <c r="BF216" s="478"/>
      <c r="BG216" s="478"/>
      <c r="BH216" s="478"/>
      <c r="BI216" s="478"/>
      <c r="BJ216" s="478"/>
      <c r="BK216" s="478"/>
      <c r="BL216" s="478"/>
      <c r="BM216" s="478"/>
      <c r="BN216" s="478"/>
      <c r="BO216" s="478"/>
      <c r="BP216" s="478"/>
      <c r="BQ216" s="478"/>
      <c r="BR216" s="478"/>
      <c r="BS216" s="478"/>
      <c r="BT216" s="478"/>
      <c r="BU216" s="478"/>
      <c r="BV216" s="478"/>
      <c r="BW216" s="478"/>
      <c r="BX216" s="478"/>
      <c r="BY216" s="478"/>
      <c r="BZ216" s="478"/>
      <c r="CA216" s="478"/>
      <c r="CB216" s="478"/>
      <c r="CC216" s="478"/>
      <c r="CD216" s="478"/>
      <c r="CE216" s="478"/>
      <c r="CF216" s="478"/>
      <c r="CG216" s="478"/>
      <c r="CH216" s="478"/>
      <c r="CI216" s="478"/>
      <c r="CJ216" s="478"/>
      <c r="CK216" s="478"/>
      <c r="CL216" s="478"/>
      <c r="CM216" s="478"/>
      <c r="CN216" s="478"/>
      <c r="CO216" s="478"/>
      <c r="CP216" s="478"/>
      <c r="CQ216" s="478"/>
      <c r="CR216" s="478"/>
      <c r="CS216" s="478"/>
      <c r="CT216" s="478"/>
      <c r="CU216" s="478"/>
      <c r="CV216" s="478"/>
      <c r="CW216" s="478"/>
      <c r="CX216" s="478"/>
      <c r="CY216" s="478"/>
      <c r="CZ216" s="478"/>
    </row>
    <row r="217" spans="1:104" ht="14.25" customHeight="1" x14ac:dyDescent="0.2">
      <c r="A217" s="478"/>
      <c r="B217" s="504"/>
      <c r="C217" s="478"/>
      <c r="D217" s="478"/>
      <c r="E217" s="478"/>
      <c r="F217" s="478"/>
      <c r="G217" s="478"/>
      <c r="H217" s="478"/>
      <c r="I217" s="478"/>
      <c r="J217" s="478"/>
      <c r="K217" s="478"/>
      <c r="L217" s="478"/>
      <c r="M217" s="478"/>
      <c r="N217" s="478"/>
      <c r="O217" s="478"/>
      <c r="P217" s="478"/>
      <c r="Q217" s="478"/>
      <c r="R217" s="478"/>
      <c r="S217" s="478"/>
      <c r="T217" s="505"/>
      <c r="U217" s="478"/>
      <c r="V217" s="478"/>
      <c r="W217" s="506"/>
      <c r="X217" s="507"/>
      <c r="Y217" s="507"/>
      <c r="Z217" s="507"/>
      <c r="AA217" s="507"/>
      <c r="AB217" s="507"/>
      <c r="AC217" s="507"/>
      <c r="AD217" s="507"/>
      <c r="AE217" s="507"/>
      <c r="AF217" s="507"/>
      <c r="AG217" s="507"/>
      <c r="AH217" s="507"/>
      <c r="AI217" s="507"/>
      <c r="AJ217" s="507"/>
      <c r="AK217" s="507"/>
      <c r="AL217" s="478"/>
      <c r="AM217" s="478"/>
      <c r="AN217" s="478"/>
      <c r="AO217" s="478"/>
      <c r="AP217" s="478"/>
      <c r="AQ217" s="478"/>
      <c r="AR217" s="478"/>
      <c r="AS217" s="478"/>
      <c r="AT217" s="478"/>
      <c r="AU217" s="478"/>
      <c r="AV217" s="478"/>
      <c r="AW217" s="478"/>
      <c r="AX217" s="478"/>
      <c r="AY217" s="478"/>
      <c r="AZ217" s="478"/>
      <c r="BA217" s="478"/>
      <c r="BB217" s="478"/>
      <c r="BC217" s="478"/>
      <c r="BD217" s="478"/>
      <c r="BE217" s="478"/>
      <c r="BF217" s="478"/>
      <c r="BG217" s="478"/>
      <c r="BH217" s="478"/>
      <c r="BI217" s="478"/>
      <c r="BJ217" s="478"/>
      <c r="BK217" s="478"/>
      <c r="BL217" s="478"/>
      <c r="BM217" s="478"/>
      <c r="BN217" s="478"/>
      <c r="BO217" s="478"/>
      <c r="BP217" s="478"/>
      <c r="BQ217" s="478"/>
      <c r="BR217" s="478"/>
      <c r="BS217" s="478"/>
      <c r="BT217" s="478"/>
      <c r="BU217" s="478"/>
      <c r="BV217" s="478"/>
      <c r="BW217" s="478"/>
      <c r="BX217" s="478"/>
      <c r="BY217" s="478"/>
      <c r="BZ217" s="478"/>
      <c r="CA217" s="478"/>
      <c r="CB217" s="478"/>
      <c r="CC217" s="478"/>
      <c r="CD217" s="478"/>
      <c r="CE217" s="478"/>
      <c r="CF217" s="478"/>
      <c r="CG217" s="478"/>
      <c r="CH217" s="478"/>
      <c r="CI217" s="478"/>
      <c r="CJ217" s="478"/>
      <c r="CK217" s="478"/>
      <c r="CL217" s="478"/>
      <c r="CM217" s="478"/>
      <c r="CN217" s="478"/>
      <c r="CO217" s="478"/>
      <c r="CP217" s="478"/>
      <c r="CQ217" s="478"/>
      <c r="CR217" s="478"/>
      <c r="CS217" s="478"/>
      <c r="CT217" s="478"/>
      <c r="CU217" s="478"/>
      <c r="CV217" s="478"/>
      <c r="CW217" s="478"/>
      <c r="CX217" s="478"/>
      <c r="CY217" s="478"/>
      <c r="CZ217" s="478"/>
    </row>
    <row r="218" spans="1:104" ht="14.25" customHeight="1" x14ac:dyDescent="0.2">
      <c r="A218" s="478"/>
      <c r="B218" s="504"/>
      <c r="C218" s="478"/>
      <c r="D218" s="478"/>
      <c r="E218" s="478"/>
      <c r="F218" s="478"/>
      <c r="G218" s="478"/>
      <c r="H218" s="478"/>
      <c r="I218" s="478"/>
      <c r="J218" s="478"/>
      <c r="K218" s="478"/>
      <c r="L218" s="478"/>
      <c r="M218" s="478"/>
      <c r="N218" s="478"/>
      <c r="O218" s="478"/>
      <c r="P218" s="478"/>
      <c r="Q218" s="478"/>
      <c r="R218" s="478"/>
      <c r="S218" s="478"/>
      <c r="T218" s="505"/>
      <c r="U218" s="478"/>
      <c r="V218" s="478"/>
      <c r="W218" s="506"/>
      <c r="X218" s="507"/>
      <c r="Y218" s="507"/>
      <c r="Z218" s="507"/>
      <c r="AA218" s="507"/>
      <c r="AB218" s="507"/>
      <c r="AC218" s="507"/>
      <c r="AD218" s="507"/>
      <c r="AE218" s="507"/>
      <c r="AF218" s="507"/>
      <c r="AG218" s="507"/>
      <c r="AH218" s="507"/>
      <c r="AI218" s="507"/>
      <c r="AJ218" s="507"/>
      <c r="AK218" s="507"/>
      <c r="AL218" s="478"/>
      <c r="AM218" s="478"/>
      <c r="AN218" s="478"/>
      <c r="AO218" s="478"/>
      <c r="AP218" s="478"/>
      <c r="AQ218" s="478"/>
      <c r="AR218" s="478"/>
      <c r="AS218" s="478"/>
      <c r="AT218" s="478"/>
      <c r="AU218" s="478"/>
      <c r="AV218" s="478"/>
      <c r="AW218" s="478"/>
      <c r="AX218" s="478"/>
      <c r="AY218" s="478"/>
      <c r="AZ218" s="478"/>
      <c r="BA218" s="478"/>
      <c r="BB218" s="478"/>
      <c r="BC218" s="478"/>
      <c r="BD218" s="478"/>
      <c r="BE218" s="478"/>
      <c r="BF218" s="478"/>
      <c r="BG218" s="478"/>
      <c r="BH218" s="478"/>
      <c r="BI218" s="478"/>
      <c r="BJ218" s="478"/>
      <c r="BK218" s="478"/>
      <c r="BL218" s="478"/>
      <c r="BM218" s="478"/>
      <c r="BN218" s="478"/>
      <c r="BO218" s="478"/>
      <c r="BP218" s="478"/>
      <c r="BQ218" s="478"/>
      <c r="BR218" s="478"/>
      <c r="BS218" s="478"/>
      <c r="BT218" s="478"/>
      <c r="BU218" s="478"/>
      <c r="BV218" s="478"/>
      <c r="BW218" s="478"/>
      <c r="BX218" s="478"/>
      <c r="BY218" s="478"/>
      <c r="BZ218" s="478"/>
      <c r="CA218" s="478"/>
      <c r="CB218" s="478"/>
      <c r="CC218" s="478"/>
      <c r="CD218" s="478"/>
      <c r="CE218" s="478"/>
      <c r="CF218" s="478"/>
      <c r="CG218" s="478"/>
      <c r="CH218" s="478"/>
      <c r="CI218" s="478"/>
      <c r="CJ218" s="478"/>
      <c r="CK218" s="478"/>
      <c r="CL218" s="478"/>
      <c r="CM218" s="478"/>
      <c r="CN218" s="478"/>
      <c r="CO218" s="478"/>
      <c r="CP218" s="478"/>
      <c r="CQ218" s="478"/>
      <c r="CR218" s="478"/>
      <c r="CS218" s="478"/>
      <c r="CT218" s="478"/>
      <c r="CU218" s="478"/>
      <c r="CV218" s="478"/>
      <c r="CW218" s="478"/>
      <c r="CX218" s="478"/>
      <c r="CY218" s="478"/>
      <c r="CZ218" s="478"/>
    </row>
    <row r="219" spans="1:104" ht="14.25" customHeight="1" x14ac:dyDescent="0.2">
      <c r="A219" s="478"/>
      <c r="B219" s="504"/>
      <c r="C219" s="478"/>
      <c r="D219" s="478"/>
      <c r="E219" s="478"/>
      <c r="F219" s="478"/>
      <c r="G219" s="478"/>
      <c r="H219" s="478"/>
      <c r="I219" s="478"/>
      <c r="J219" s="478"/>
      <c r="K219" s="478"/>
      <c r="L219" s="478"/>
      <c r="M219" s="478"/>
      <c r="N219" s="478"/>
      <c r="O219" s="478"/>
      <c r="P219" s="478"/>
      <c r="Q219" s="478"/>
      <c r="R219" s="478"/>
      <c r="S219" s="478"/>
      <c r="T219" s="505"/>
      <c r="U219" s="478"/>
      <c r="V219" s="478"/>
      <c r="W219" s="506"/>
      <c r="X219" s="507"/>
      <c r="Y219" s="507"/>
      <c r="Z219" s="507"/>
      <c r="AA219" s="507"/>
      <c r="AB219" s="507"/>
      <c r="AC219" s="507"/>
      <c r="AD219" s="507"/>
      <c r="AE219" s="507"/>
      <c r="AF219" s="507"/>
      <c r="AG219" s="507"/>
      <c r="AH219" s="507"/>
      <c r="AI219" s="507"/>
      <c r="AJ219" s="507"/>
      <c r="AK219" s="507"/>
      <c r="AL219" s="478"/>
      <c r="AM219" s="478"/>
      <c r="AN219" s="478"/>
      <c r="AO219" s="478"/>
      <c r="AP219" s="478"/>
      <c r="AQ219" s="478"/>
      <c r="AR219" s="478"/>
      <c r="AS219" s="478"/>
      <c r="AT219" s="478"/>
      <c r="AU219" s="478"/>
      <c r="AV219" s="478"/>
      <c r="AW219" s="478"/>
      <c r="AX219" s="478"/>
      <c r="AY219" s="478"/>
      <c r="AZ219" s="478"/>
      <c r="BA219" s="478"/>
      <c r="BB219" s="478"/>
      <c r="BC219" s="478"/>
      <c r="BD219" s="478"/>
      <c r="BE219" s="478"/>
      <c r="BF219" s="478"/>
      <c r="BG219" s="478"/>
      <c r="BH219" s="478"/>
      <c r="BI219" s="478"/>
      <c r="BJ219" s="478"/>
      <c r="BK219" s="478"/>
      <c r="BL219" s="478"/>
      <c r="BM219" s="478"/>
      <c r="BN219" s="478"/>
      <c r="BO219" s="478"/>
      <c r="BP219" s="478"/>
      <c r="BQ219" s="478"/>
      <c r="BR219" s="478"/>
      <c r="BS219" s="478"/>
      <c r="BT219" s="478"/>
      <c r="BU219" s="478"/>
      <c r="BV219" s="478"/>
      <c r="BW219" s="478"/>
      <c r="BX219" s="478"/>
      <c r="BY219" s="478"/>
      <c r="BZ219" s="478"/>
      <c r="CA219" s="478"/>
      <c r="CB219" s="478"/>
      <c r="CC219" s="478"/>
      <c r="CD219" s="478"/>
      <c r="CE219" s="478"/>
      <c r="CF219" s="478"/>
      <c r="CG219" s="478"/>
      <c r="CH219" s="478"/>
      <c r="CI219" s="478"/>
      <c r="CJ219" s="478"/>
      <c r="CK219" s="478"/>
      <c r="CL219" s="478"/>
      <c r="CM219" s="478"/>
      <c r="CN219" s="478"/>
      <c r="CO219" s="478"/>
      <c r="CP219" s="478"/>
      <c r="CQ219" s="478"/>
      <c r="CR219" s="478"/>
      <c r="CS219" s="478"/>
      <c r="CT219" s="478"/>
      <c r="CU219" s="478"/>
      <c r="CV219" s="478"/>
      <c r="CW219" s="478"/>
      <c r="CX219" s="478"/>
      <c r="CY219" s="478"/>
      <c r="CZ219" s="478"/>
    </row>
    <row r="220" spans="1:104" ht="14.25" customHeight="1" x14ac:dyDescent="0.2">
      <c r="A220" s="478"/>
      <c r="B220" s="504"/>
      <c r="C220" s="478"/>
      <c r="D220" s="478"/>
      <c r="E220" s="478"/>
      <c r="F220" s="478"/>
      <c r="G220" s="478"/>
      <c r="H220" s="478"/>
      <c r="I220" s="478"/>
      <c r="J220" s="478"/>
      <c r="K220" s="478"/>
      <c r="L220" s="478"/>
      <c r="M220" s="478"/>
      <c r="N220" s="478"/>
      <c r="O220" s="478"/>
      <c r="P220" s="478"/>
      <c r="Q220" s="478"/>
      <c r="R220" s="478"/>
      <c r="S220" s="478"/>
      <c r="T220" s="505"/>
      <c r="U220" s="478"/>
      <c r="V220" s="478"/>
      <c r="W220" s="506"/>
      <c r="X220" s="507"/>
      <c r="Y220" s="507"/>
      <c r="Z220" s="507"/>
      <c r="AA220" s="507"/>
      <c r="AB220" s="507"/>
      <c r="AC220" s="507"/>
      <c r="AD220" s="507"/>
      <c r="AE220" s="507"/>
      <c r="AF220" s="507"/>
      <c r="AG220" s="507"/>
      <c r="AH220" s="507"/>
      <c r="AI220" s="507"/>
      <c r="AJ220" s="507"/>
      <c r="AK220" s="507"/>
      <c r="AL220" s="478"/>
      <c r="AM220" s="478"/>
      <c r="AN220" s="478"/>
      <c r="AO220" s="478"/>
      <c r="AP220" s="478"/>
      <c r="AQ220" s="478"/>
      <c r="AR220" s="478"/>
      <c r="AS220" s="478"/>
      <c r="AT220" s="478"/>
      <c r="AU220" s="478"/>
      <c r="AV220" s="478"/>
      <c r="AW220" s="478"/>
      <c r="AX220" s="478"/>
      <c r="AY220" s="478"/>
      <c r="AZ220" s="478"/>
      <c r="BA220" s="478"/>
      <c r="BB220" s="478"/>
      <c r="BC220" s="478"/>
      <c r="BD220" s="478"/>
      <c r="BE220" s="478"/>
      <c r="BF220" s="478"/>
      <c r="BG220" s="478"/>
      <c r="BH220" s="478"/>
      <c r="BI220" s="478"/>
      <c r="BJ220" s="478"/>
      <c r="BK220" s="478"/>
      <c r="BL220" s="478"/>
      <c r="BM220" s="478"/>
      <c r="BN220" s="478"/>
      <c r="BO220" s="478"/>
      <c r="BP220" s="478"/>
      <c r="BQ220" s="478"/>
      <c r="BR220" s="478"/>
      <c r="BS220" s="478"/>
      <c r="BT220" s="478"/>
      <c r="BU220" s="478"/>
      <c r="BV220" s="478"/>
      <c r="BW220" s="478"/>
      <c r="BX220" s="478"/>
      <c r="BY220" s="478"/>
      <c r="BZ220" s="478"/>
      <c r="CA220" s="478"/>
      <c r="CB220" s="478"/>
      <c r="CC220" s="478"/>
      <c r="CD220" s="478"/>
      <c r="CE220" s="478"/>
      <c r="CF220" s="478"/>
      <c r="CG220" s="478"/>
      <c r="CH220" s="478"/>
      <c r="CI220" s="478"/>
      <c r="CJ220" s="478"/>
      <c r="CK220" s="478"/>
      <c r="CL220" s="478"/>
      <c r="CM220" s="478"/>
      <c r="CN220" s="478"/>
      <c r="CO220" s="478"/>
      <c r="CP220" s="478"/>
      <c r="CQ220" s="478"/>
      <c r="CR220" s="478"/>
      <c r="CS220" s="478"/>
      <c r="CT220" s="478"/>
      <c r="CU220" s="478"/>
      <c r="CV220" s="478"/>
      <c r="CW220" s="478"/>
      <c r="CX220" s="478"/>
      <c r="CY220" s="478"/>
      <c r="CZ220" s="478"/>
    </row>
    <row r="221" spans="1:104" ht="14.25" customHeight="1" x14ac:dyDescent="0.2">
      <c r="A221" s="478"/>
      <c r="B221" s="504"/>
      <c r="C221" s="478"/>
      <c r="D221" s="478"/>
      <c r="E221" s="478"/>
      <c r="F221" s="478"/>
      <c r="G221" s="478"/>
      <c r="H221" s="478"/>
      <c r="I221" s="478"/>
      <c r="J221" s="478"/>
      <c r="K221" s="478"/>
      <c r="L221" s="478"/>
      <c r="M221" s="478"/>
      <c r="N221" s="478"/>
      <c r="O221" s="478"/>
      <c r="P221" s="478"/>
      <c r="Q221" s="478"/>
      <c r="R221" s="478"/>
      <c r="S221" s="478"/>
      <c r="T221" s="505"/>
      <c r="U221" s="478"/>
      <c r="V221" s="478"/>
      <c r="W221" s="506"/>
      <c r="X221" s="507"/>
      <c r="Y221" s="507"/>
      <c r="Z221" s="507"/>
      <c r="AA221" s="507"/>
      <c r="AB221" s="507"/>
      <c r="AC221" s="507"/>
      <c r="AD221" s="507"/>
      <c r="AE221" s="507"/>
      <c r="AF221" s="507"/>
      <c r="AG221" s="507"/>
      <c r="AH221" s="507"/>
      <c r="AI221" s="507"/>
      <c r="AJ221" s="507"/>
      <c r="AK221" s="507"/>
      <c r="AL221" s="478"/>
      <c r="AM221" s="478"/>
      <c r="AN221" s="478"/>
      <c r="AO221" s="478"/>
      <c r="AP221" s="478"/>
      <c r="AQ221" s="478"/>
      <c r="AR221" s="478"/>
      <c r="AS221" s="478"/>
      <c r="AT221" s="478"/>
      <c r="AU221" s="478"/>
      <c r="AV221" s="478"/>
      <c r="AW221" s="478"/>
      <c r="AX221" s="478"/>
      <c r="AY221" s="478"/>
      <c r="AZ221" s="478"/>
      <c r="BA221" s="478"/>
      <c r="BB221" s="478"/>
      <c r="BC221" s="478"/>
      <c r="BD221" s="478"/>
      <c r="BE221" s="478"/>
      <c r="BF221" s="478"/>
      <c r="BG221" s="478"/>
      <c r="BH221" s="478"/>
      <c r="BI221" s="478"/>
      <c r="BJ221" s="478"/>
      <c r="BK221" s="478"/>
      <c r="BL221" s="478"/>
      <c r="BM221" s="478"/>
      <c r="BN221" s="478"/>
      <c r="BO221" s="478"/>
      <c r="BP221" s="478"/>
      <c r="BQ221" s="478"/>
      <c r="BR221" s="478"/>
      <c r="BS221" s="478"/>
      <c r="BT221" s="478"/>
      <c r="BU221" s="478"/>
      <c r="BV221" s="478"/>
      <c r="BW221" s="478"/>
      <c r="BX221" s="478"/>
      <c r="BY221" s="478"/>
      <c r="BZ221" s="478"/>
      <c r="CA221" s="478"/>
      <c r="CB221" s="478"/>
      <c r="CC221" s="478"/>
      <c r="CD221" s="478"/>
      <c r="CE221" s="478"/>
      <c r="CF221" s="478"/>
      <c r="CG221" s="478"/>
      <c r="CH221" s="478"/>
      <c r="CI221" s="478"/>
      <c r="CJ221" s="478"/>
      <c r="CK221" s="478"/>
      <c r="CL221" s="478"/>
      <c r="CM221" s="478"/>
      <c r="CN221" s="478"/>
      <c r="CO221" s="478"/>
      <c r="CP221" s="478"/>
      <c r="CQ221" s="478"/>
      <c r="CR221" s="478"/>
      <c r="CS221" s="478"/>
      <c r="CT221" s="478"/>
      <c r="CU221" s="478"/>
      <c r="CV221" s="478"/>
      <c r="CW221" s="478"/>
      <c r="CX221" s="478"/>
      <c r="CY221" s="478"/>
      <c r="CZ221" s="478"/>
    </row>
    <row r="222" spans="1:104" ht="14.25" customHeight="1" x14ac:dyDescent="0.2">
      <c r="A222" s="478"/>
      <c r="B222" s="504"/>
      <c r="C222" s="478"/>
      <c r="D222" s="478"/>
      <c r="E222" s="478"/>
      <c r="F222" s="478"/>
      <c r="G222" s="478"/>
      <c r="H222" s="478"/>
      <c r="I222" s="478"/>
      <c r="J222" s="478"/>
      <c r="K222" s="478"/>
      <c r="L222" s="478"/>
      <c r="M222" s="478"/>
      <c r="N222" s="478"/>
      <c r="O222" s="478"/>
      <c r="P222" s="478"/>
      <c r="Q222" s="478"/>
      <c r="R222" s="478"/>
      <c r="S222" s="478"/>
      <c r="T222" s="505"/>
      <c r="U222" s="478"/>
      <c r="V222" s="478"/>
      <c r="W222" s="506"/>
      <c r="X222" s="507"/>
      <c r="Y222" s="507"/>
      <c r="Z222" s="507"/>
      <c r="AA222" s="507"/>
      <c r="AB222" s="507"/>
      <c r="AC222" s="507"/>
      <c r="AD222" s="507"/>
      <c r="AE222" s="507"/>
      <c r="AF222" s="507"/>
      <c r="AG222" s="507"/>
      <c r="AH222" s="507"/>
      <c r="AI222" s="507"/>
      <c r="AJ222" s="507"/>
      <c r="AK222" s="507"/>
      <c r="AL222" s="478"/>
      <c r="AM222" s="478"/>
      <c r="AN222" s="478"/>
      <c r="AO222" s="478"/>
      <c r="AP222" s="478"/>
      <c r="AQ222" s="478"/>
      <c r="AR222" s="478"/>
      <c r="AS222" s="478"/>
      <c r="AT222" s="478"/>
      <c r="AU222" s="478"/>
      <c r="AV222" s="478"/>
      <c r="AW222" s="478"/>
      <c r="AX222" s="478"/>
      <c r="AY222" s="478"/>
      <c r="AZ222" s="478"/>
      <c r="BA222" s="478"/>
      <c r="BB222" s="478"/>
      <c r="BC222" s="478"/>
      <c r="BD222" s="478"/>
      <c r="BE222" s="478"/>
      <c r="BF222" s="478"/>
      <c r="BG222" s="478"/>
      <c r="BH222" s="478"/>
      <c r="BI222" s="478"/>
      <c r="BJ222" s="478"/>
      <c r="BK222" s="478"/>
      <c r="BL222" s="478"/>
      <c r="BM222" s="478"/>
      <c r="BN222" s="478"/>
      <c r="BO222" s="478"/>
      <c r="BP222" s="478"/>
      <c r="BQ222" s="478"/>
      <c r="BR222" s="478"/>
      <c r="BS222" s="478"/>
      <c r="BT222" s="478"/>
      <c r="BU222" s="478"/>
      <c r="BV222" s="478"/>
      <c r="BW222" s="478"/>
      <c r="BX222" s="478"/>
      <c r="BY222" s="478"/>
      <c r="BZ222" s="478"/>
      <c r="CA222" s="478"/>
      <c r="CB222" s="478"/>
      <c r="CC222" s="478"/>
      <c r="CD222" s="478"/>
      <c r="CE222" s="478"/>
      <c r="CF222" s="478"/>
      <c r="CG222" s="478"/>
      <c r="CH222" s="478"/>
      <c r="CI222" s="478"/>
      <c r="CJ222" s="478"/>
      <c r="CK222" s="478"/>
      <c r="CL222" s="478"/>
      <c r="CM222" s="478"/>
      <c r="CN222" s="478"/>
      <c r="CO222" s="478"/>
      <c r="CP222" s="478"/>
      <c r="CQ222" s="478"/>
      <c r="CR222" s="478"/>
      <c r="CS222" s="478"/>
      <c r="CT222" s="478"/>
      <c r="CU222" s="478"/>
      <c r="CV222" s="478"/>
      <c r="CW222" s="478"/>
      <c r="CX222" s="478"/>
      <c r="CY222" s="478"/>
      <c r="CZ222" s="478"/>
    </row>
    <row r="223" spans="1:104" ht="14.25" customHeight="1" x14ac:dyDescent="0.2">
      <c r="A223" s="478"/>
      <c r="B223" s="504"/>
      <c r="C223" s="478"/>
      <c r="D223" s="478"/>
      <c r="E223" s="478"/>
      <c r="F223" s="478"/>
      <c r="G223" s="478"/>
      <c r="H223" s="478"/>
      <c r="I223" s="478"/>
      <c r="J223" s="478"/>
      <c r="K223" s="478"/>
      <c r="L223" s="478"/>
      <c r="M223" s="478"/>
      <c r="N223" s="478"/>
      <c r="O223" s="478"/>
      <c r="P223" s="478"/>
      <c r="Q223" s="478"/>
      <c r="R223" s="478"/>
      <c r="S223" s="478"/>
      <c r="T223" s="505"/>
      <c r="U223" s="478"/>
      <c r="V223" s="478"/>
      <c r="W223" s="506"/>
      <c r="X223" s="507"/>
      <c r="Y223" s="507"/>
      <c r="Z223" s="507"/>
      <c r="AA223" s="507"/>
      <c r="AB223" s="507"/>
      <c r="AC223" s="507"/>
      <c r="AD223" s="507"/>
      <c r="AE223" s="507"/>
      <c r="AF223" s="507"/>
      <c r="AG223" s="507"/>
      <c r="AH223" s="507"/>
      <c r="AI223" s="507"/>
      <c r="AJ223" s="507"/>
      <c r="AK223" s="507"/>
      <c r="AL223" s="478"/>
      <c r="AM223" s="478"/>
      <c r="AN223" s="478"/>
      <c r="AO223" s="478"/>
      <c r="AP223" s="478"/>
      <c r="AQ223" s="478"/>
      <c r="AR223" s="478"/>
      <c r="AS223" s="478"/>
      <c r="AT223" s="478"/>
      <c r="AU223" s="478"/>
      <c r="AV223" s="478"/>
      <c r="AW223" s="478"/>
      <c r="AX223" s="478"/>
      <c r="AY223" s="478"/>
      <c r="AZ223" s="478"/>
      <c r="BA223" s="478"/>
      <c r="BB223" s="478"/>
      <c r="BC223" s="478"/>
      <c r="BD223" s="478"/>
      <c r="BE223" s="478"/>
      <c r="BF223" s="478"/>
      <c r="BG223" s="478"/>
      <c r="BH223" s="478"/>
      <c r="BI223" s="478"/>
      <c r="BJ223" s="478"/>
      <c r="BK223" s="478"/>
      <c r="BL223" s="478"/>
      <c r="BM223" s="478"/>
      <c r="BN223" s="478"/>
      <c r="BO223" s="478"/>
      <c r="BP223" s="478"/>
      <c r="BQ223" s="478"/>
      <c r="BR223" s="478"/>
      <c r="BS223" s="478"/>
      <c r="BT223" s="478"/>
      <c r="BU223" s="478"/>
      <c r="BV223" s="478"/>
      <c r="BW223" s="478"/>
      <c r="BX223" s="478"/>
      <c r="BY223" s="478"/>
      <c r="BZ223" s="478"/>
      <c r="CA223" s="478"/>
      <c r="CB223" s="478"/>
      <c r="CC223" s="478"/>
      <c r="CD223" s="478"/>
      <c r="CE223" s="478"/>
      <c r="CF223" s="478"/>
      <c r="CG223" s="478"/>
      <c r="CH223" s="478"/>
      <c r="CI223" s="478"/>
      <c r="CJ223" s="478"/>
      <c r="CK223" s="478"/>
      <c r="CL223" s="478"/>
      <c r="CM223" s="478"/>
      <c r="CN223" s="478"/>
      <c r="CO223" s="478"/>
      <c r="CP223" s="478"/>
      <c r="CQ223" s="478"/>
      <c r="CR223" s="478"/>
      <c r="CS223" s="478"/>
      <c r="CT223" s="478"/>
      <c r="CU223" s="478"/>
      <c r="CV223" s="478"/>
      <c r="CW223" s="478"/>
      <c r="CX223" s="478"/>
      <c r="CY223" s="478"/>
      <c r="CZ223" s="478"/>
    </row>
    <row r="224" spans="1:104" ht="14.25" customHeight="1" x14ac:dyDescent="0.2">
      <c r="A224" s="478"/>
      <c r="B224" s="504"/>
      <c r="C224" s="478"/>
      <c r="D224" s="478"/>
      <c r="E224" s="478"/>
      <c r="F224" s="478"/>
      <c r="G224" s="478"/>
      <c r="H224" s="478"/>
      <c r="I224" s="478"/>
      <c r="J224" s="478"/>
      <c r="K224" s="478"/>
      <c r="L224" s="478"/>
      <c r="M224" s="478"/>
      <c r="N224" s="478"/>
      <c r="O224" s="478"/>
      <c r="P224" s="478"/>
      <c r="Q224" s="478"/>
      <c r="R224" s="478"/>
      <c r="S224" s="478"/>
      <c r="T224" s="505"/>
      <c r="U224" s="478"/>
      <c r="V224" s="478"/>
      <c r="W224" s="506"/>
      <c r="X224" s="507"/>
      <c r="Y224" s="507"/>
      <c r="Z224" s="507"/>
      <c r="AA224" s="507"/>
      <c r="AB224" s="507"/>
      <c r="AC224" s="507"/>
      <c r="AD224" s="507"/>
      <c r="AE224" s="507"/>
      <c r="AF224" s="507"/>
      <c r="AG224" s="507"/>
      <c r="AH224" s="507"/>
      <c r="AI224" s="507"/>
      <c r="AJ224" s="507"/>
      <c r="AK224" s="507"/>
      <c r="AL224" s="478"/>
      <c r="AM224" s="478"/>
      <c r="AN224" s="478"/>
      <c r="AO224" s="478"/>
      <c r="AP224" s="478"/>
      <c r="AQ224" s="478"/>
      <c r="AR224" s="478"/>
      <c r="AS224" s="478"/>
      <c r="AT224" s="478"/>
      <c r="AU224" s="478"/>
      <c r="AV224" s="478"/>
      <c r="AW224" s="478"/>
      <c r="AX224" s="478"/>
      <c r="AY224" s="478"/>
      <c r="AZ224" s="478"/>
      <c r="BA224" s="478"/>
      <c r="BB224" s="478"/>
      <c r="BC224" s="478"/>
      <c r="BD224" s="478"/>
      <c r="BE224" s="478"/>
      <c r="BF224" s="478"/>
      <c r="BG224" s="478"/>
      <c r="BH224" s="478"/>
      <c r="BI224" s="478"/>
      <c r="BJ224" s="478"/>
      <c r="BK224" s="478"/>
      <c r="BL224" s="478"/>
      <c r="BM224" s="478"/>
      <c r="BN224" s="478"/>
      <c r="BO224" s="478"/>
      <c r="BP224" s="478"/>
      <c r="BQ224" s="478"/>
      <c r="BR224" s="478"/>
      <c r="BS224" s="478"/>
      <c r="BT224" s="478"/>
      <c r="BU224" s="478"/>
      <c r="BV224" s="478"/>
      <c r="BW224" s="478"/>
      <c r="BX224" s="478"/>
      <c r="BY224" s="478"/>
      <c r="BZ224" s="478"/>
      <c r="CA224" s="478"/>
      <c r="CB224" s="478"/>
      <c r="CC224" s="478"/>
      <c r="CD224" s="478"/>
      <c r="CE224" s="478"/>
      <c r="CF224" s="478"/>
      <c r="CG224" s="478"/>
      <c r="CH224" s="478"/>
      <c r="CI224" s="478"/>
      <c r="CJ224" s="478"/>
      <c r="CK224" s="478"/>
      <c r="CL224" s="478"/>
      <c r="CM224" s="478"/>
      <c r="CN224" s="478"/>
      <c r="CO224" s="478"/>
      <c r="CP224" s="478"/>
      <c r="CQ224" s="478"/>
      <c r="CR224" s="478"/>
      <c r="CS224" s="478"/>
      <c r="CT224" s="478"/>
      <c r="CU224" s="478"/>
      <c r="CV224" s="478"/>
      <c r="CW224" s="478"/>
      <c r="CX224" s="478"/>
      <c r="CY224" s="478"/>
      <c r="CZ224" s="478"/>
    </row>
    <row r="225" spans="1:104" ht="14.25" customHeight="1" x14ac:dyDescent="0.2">
      <c r="A225" s="478"/>
      <c r="B225" s="504"/>
      <c r="C225" s="478"/>
      <c r="D225" s="478"/>
      <c r="E225" s="478"/>
      <c r="F225" s="478"/>
      <c r="G225" s="478"/>
      <c r="H225" s="478"/>
      <c r="I225" s="478"/>
      <c r="J225" s="478"/>
      <c r="K225" s="478"/>
      <c r="L225" s="478"/>
      <c r="M225" s="478"/>
      <c r="N225" s="478"/>
      <c r="O225" s="478"/>
      <c r="P225" s="478"/>
      <c r="Q225" s="478"/>
      <c r="R225" s="478"/>
      <c r="S225" s="478"/>
      <c r="T225" s="505"/>
      <c r="U225" s="478"/>
      <c r="V225" s="478"/>
      <c r="W225" s="506"/>
      <c r="X225" s="507"/>
      <c r="Y225" s="507"/>
      <c r="Z225" s="507"/>
      <c r="AA225" s="507"/>
      <c r="AB225" s="507"/>
      <c r="AC225" s="507"/>
      <c r="AD225" s="507"/>
      <c r="AE225" s="507"/>
      <c r="AF225" s="507"/>
      <c r="AG225" s="507"/>
      <c r="AH225" s="507"/>
      <c r="AI225" s="507"/>
      <c r="AJ225" s="507"/>
      <c r="AK225" s="507"/>
      <c r="AL225" s="478"/>
      <c r="AM225" s="478"/>
      <c r="AN225" s="478"/>
      <c r="AO225" s="478"/>
      <c r="AP225" s="478"/>
      <c r="AQ225" s="478"/>
      <c r="AR225" s="478"/>
      <c r="AS225" s="478"/>
      <c r="AT225" s="478"/>
      <c r="AU225" s="478"/>
      <c r="AV225" s="478"/>
      <c r="AW225" s="478"/>
      <c r="AX225" s="478"/>
      <c r="AY225" s="478"/>
      <c r="AZ225" s="478"/>
      <c r="BA225" s="478"/>
      <c r="BB225" s="478"/>
      <c r="BC225" s="478"/>
      <c r="BD225" s="478"/>
      <c r="BE225" s="478"/>
      <c r="BF225" s="478"/>
      <c r="BG225" s="478"/>
      <c r="BH225" s="478"/>
      <c r="BI225" s="478"/>
      <c r="BJ225" s="478"/>
      <c r="BK225" s="478"/>
      <c r="BL225" s="478"/>
      <c r="BM225" s="478"/>
      <c r="BN225" s="478"/>
      <c r="BO225" s="478"/>
      <c r="BP225" s="478"/>
      <c r="BQ225" s="478"/>
      <c r="BR225" s="478"/>
      <c r="BS225" s="478"/>
      <c r="BT225" s="478"/>
      <c r="BU225" s="478"/>
      <c r="BV225" s="478"/>
      <c r="BW225" s="478"/>
      <c r="BX225" s="478"/>
      <c r="BY225" s="478"/>
      <c r="BZ225" s="478"/>
      <c r="CA225" s="478"/>
      <c r="CB225" s="478"/>
      <c r="CC225" s="478"/>
      <c r="CD225" s="478"/>
      <c r="CE225" s="478"/>
      <c r="CF225" s="478"/>
      <c r="CG225" s="478"/>
      <c r="CH225" s="478"/>
      <c r="CI225" s="478"/>
      <c r="CJ225" s="478"/>
      <c r="CK225" s="478"/>
      <c r="CL225" s="478"/>
      <c r="CM225" s="478"/>
      <c r="CN225" s="478"/>
      <c r="CO225" s="478"/>
      <c r="CP225" s="478"/>
      <c r="CQ225" s="478"/>
      <c r="CR225" s="478"/>
      <c r="CS225" s="478"/>
      <c r="CT225" s="478"/>
      <c r="CU225" s="478"/>
      <c r="CV225" s="478"/>
      <c r="CW225" s="478"/>
      <c r="CX225" s="478"/>
      <c r="CY225" s="478"/>
      <c r="CZ225" s="478"/>
    </row>
    <row r="226" spans="1:104" ht="14.25" customHeight="1" x14ac:dyDescent="0.2">
      <c r="A226" s="478"/>
      <c r="B226" s="504"/>
      <c r="C226" s="478"/>
      <c r="D226" s="478"/>
      <c r="E226" s="478"/>
      <c r="F226" s="478"/>
      <c r="G226" s="478"/>
      <c r="H226" s="478"/>
      <c r="I226" s="478"/>
      <c r="J226" s="478"/>
      <c r="K226" s="478"/>
      <c r="L226" s="478"/>
      <c r="M226" s="478"/>
      <c r="N226" s="478"/>
      <c r="O226" s="478"/>
      <c r="P226" s="478"/>
      <c r="Q226" s="478"/>
      <c r="R226" s="478"/>
      <c r="S226" s="478"/>
      <c r="T226" s="505"/>
      <c r="U226" s="478"/>
      <c r="V226" s="478"/>
      <c r="W226" s="506"/>
      <c r="X226" s="507"/>
      <c r="Y226" s="507"/>
      <c r="Z226" s="507"/>
      <c r="AA226" s="507"/>
      <c r="AB226" s="507"/>
      <c r="AC226" s="507"/>
      <c r="AD226" s="507"/>
      <c r="AE226" s="507"/>
      <c r="AF226" s="507"/>
      <c r="AG226" s="507"/>
      <c r="AH226" s="507"/>
      <c r="AI226" s="507"/>
      <c r="AJ226" s="507"/>
      <c r="AK226" s="507"/>
      <c r="AL226" s="478"/>
      <c r="AM226" s="478"/>
      <c r="AN226" s="478"/>
      <c r="AO226" s="478"/>
      <c r="AP226" s="478"/>
      <c r="AQ226" s="478"/>
      <c r="AR226" s="478"/>
      <c r="AS226" s="478"/>
      <c r="AT226" s="478"/>
      <c r="AU226" s="478"/>
      <c r="AV226" s="478"/>
      <c r="AW226" s="478"/>
      <c r="AX226" s="478"/>
      <c r="AY226" s="478"/>
      <c r="AZ226" s="478"/>
      <c r="BA226" s="478"/>
      <c r="BB226" s="478"/>
      <c r="BC226" s="478"/>
      <c r="BD226" s="478"/>
      <c r="BE226" s="478"/>
      <c r="BF226" s="478"/>
      <c r="BG226" s="478"/>
      <c r="BH226" s="478"/>
      <c r="BI226" s="478"/>
      <c r="BJ226" s="478"/>
      <c r="BK226" s="478"/>
      <c r="BL226" s="478"/>
      <c r="BM226" s="478"/>
      <c r="BN226" s="478"/>
      <c r="BO226" s="478"/>
      <c r="BP226" s="478"/>
      <c r="BQ226" s="478"/>
      <c r="BR226" s="478"/>
      <c r="BS226" s="478"/>
      <c r="BT226" s="478"/>
      <c r="BU226" s="478"/>
      <c r="BV226" s="478"/>
      <c r="BW226" s="478"/>
      <c r="BX226" s="478"/>
      <c r="BY226" s="478"/>
      <c r="BZ226" s="478"/>
      <c r="CA226" s="478"/>
      <c r="CB226" s="478"/>
      <c r="CC226" s="478"/>
      <c r="CD226" s="478"/>
      <c r="CE226" s="478"/>
      <c r="CF226" s="478"/>
      <c r="CG226" s="478"/>
      <c r="CH226" s="478"/>
      <c r="CI226" s="478"/>
      <c r="CJ226" s="478"/>
      <c r="CK226" s="478"/>
      <c r="CL226" s="478"/>
      <c r="CM226" s="478"/>
      <c r="CN226" s="478"/>
      <c r="CO226" s="478"/>
      <c r="CP226" s="478"/>
      <c r="CQ226" s="478"/>
      <c r="CR226" s="478"/>
      <c r="CS226" s="478"/>
      <c r="CT226" s="478"/>
      <c r="CU226" s="478"/>
      <c r="CV226" s="478"/>
      <c r="CW226" s="478"/>
      <c r="CX226" s="478"/>
      <c r="CY226" s="478"/>
      <c r="CZ226" s="478"/>
    </row>
    <row r="227" spans="1:104" ht="14.25" customHeight="1" x14ac:dyDescent="0.2">
      <c r="A227" s="478"/>
      <c r="B227" s="504"/>
      <c r="C227" s="478"/>
      <c r="D227" s="478"/>
      <c r="E227" s="478"/>
      <c r="F227" s="478"/>
      <c r="G227" s="478"/>
      <c r="H227" s="478"/>
      <c r="I227" s="478"/>
      <c r="J227" s="478"/>
      <c r="K227" s="478"/>
      <c r="L227" s="478"/>
      <c r="M227" s="478"/>
      <c r="N227" s="478"/>
      <c r="O227" s="478"/>
      <c r="P227" s="478"/>
      <c r="Q227" s="478"/>
      <c r="R227" s="478"/>
      <c r="S227" s="478"/>
      <c r="T227" s="505"/>
      <c r="U227" s="478"/>
      <c r="V227" s="478"/>
      <c r="W227" s="506"/>
      <c r="X227" s="507"/>
      <c r="Y227" s="507"/>
      <c r="Z227" s="507"/>
      <c r="AA227" s="507"/>
      <c r="AB227" s="507"/>
      <c r="AC227" s="507"/>
      <c r="AD227" s="507"/>
      <c r="AE227" s="507"/>
      <c r="AF227" s="507"/>
      <c r="AG227" s="507"/>
      <c r="AH227" s="507"/>
      <c r="AI227" s="507"/>
      <c r="AJ227" s="507"/>
      <c r="AK227" s="507"/>
      <c r="AL227" s="478"/>
      <c r="AM227" s="478"/>
      <c r="AN227" s="478"/>
      <c r="AO227" s="478"/>
      <c r="AP227" s="478"/>
      <c r="AQ227" s="478"/>
      <c r="AR227" s="478"/>
      <c r="AS227" s="478"/>
      <c r="AT227" s="478"/>
      <c r="AU227" s="478"/>
      <c r="AV227" s="478"/>
      <c r="AW227" s="478"/>
      <c r="AX227" s="478"/>
      <c r="AY227" s="478"/>
      <c r="AZ227" s="478"/>
      <c r="BA227" s="478"/>
      <c r="BB227" s="478"/>
      <c r="BC227" s="478"/>
      <c r="BD227" s="478"/>
      <c r="BE227" s="478"/>
      <c r="BF227" s="478"/>
      <c r="BG227" s="478"/>
      <c r="BH227" s="478"/>
      <c r="BI227" s="478"/>
      <c r="BJ227" s="478"/>
      <c r="BK227" s="478"/>
      <c r="BL227" s="478"/>
      <c r="BM227" s="478"/>
      <c r="BN227" s="478"/>
      <c r="BO227" s="478"/>
      <c r="BP227" s="478"/>
      <c r="BQ227" s="478"/>
      <c r="BR227" s="478"/>
      <c r="BS227" s="478"/>
      <c r="BT227" s="478"/>
      <c r="BU227" s="478"/>
      <c r="BV227" s="478"/>
      <c r="BW227" s="478"/>
      <c r="BX227" s="478"/>
      <c r="BY227" s="478"/>
      <c r="BZ227" s="478"/>
      <c r="CA227" s="478"/>
      <c r="CB227" s="478"/>
      <c r="CC227" s="478"/>
      <c r="CD227" s="478"/>
      <c r="CE227" s="478"/>
      <c r="CF227" s="478"/>
      <c r="CG227" s="478"/>
      <c r="CH227" s="478"/>
      <c r="CI227" s="478"/>
      <c r="CJ227" s="478"/>
      <c r="CK227" s="478"/>
      <c r="CL227" s="478"/>
      <c r="CM227" s="478"/>
      <c r="CN227" s="478"/>
      <c r="CO227" s="478"/>
      <c r="CP227" s="478"/>
      <c r="CQ227" s="478"/>
      <c r="CR227" s="478"/>
      <c r="CS227" s="478"/>
      <c r="CT227" s="478"/>
      <c r="CU227" s="478"/>
      <c r="CV227" s="478"/>
      <c r="CW227" s="478"/>
      <c r="CX227" s="478"/>
      <c r="CY227" s="478"/>
      <c r="CZ227" s="478"/>
    </row>
    <row r="228" spans="1:104" ht="14.25" customHeight="1" x14ac:dyDescent="0.2">
      <c r="A228" s="478"/>
      <c r="B228" s="504"/>
      <c r="C228" s="478"/>
      <c r="D228" s="478"/>
      <c r="E228" s="478"/>
      <c r="F228" s="478"/>
      <c r="G228" s="478"/>
      <c r="H228" s="478"/>
      <c r="I228" s="478"/>
      <c r="J228" s="478"/>
      <c r="K228" s="478"/>
      <c r="L228" s="478"/>
      <c r="M228" s="478"/>
      <c r="N228" s="478"/>
      <c r="O228" s="478"/>
      <c r="P228" s="478"/>
      <c r="Q228" s="478"/>
      <c r="R228" s="478"/>
      <c r="S228" s="478"/>
      <c r="T228" s="505"/>
      <c r="U228" s="478"/>
      <c r="V228" s="478"/>
      <c r="W228" s="506"/>
      <c r="X228" s="507"/>
      <c r="Y228" s="507"/>
      <c r="Z228" s="507"/>
      <c r="AA228" s="507"/>
      <c r="AB228" s="507"/>
      <c r="AC228" s="507"/>
      <c r="AD228" s="507"/>
      <c r="AE228" s="507"/>
      <c r="AF228" s="507"/>
      <c r="AG228" s="507"/>
      <c r="AH228" s="507"/>
      <c r="AI228" s="507"/>
      <c r="AJ228" s="507"/>
      <c r="AK228" s="507"/>
      <c r="AL228" s="478"/>
      <c r="AM228" s="478"/>
      <c r="AN228" s="478"/>
      <c r="AO228" s="478"/>
      <c r="AP228" s="478"/>
      <c r="AQ228" s="478"/>
      <c r="AR228" s="478"/>
      <c r="AS228" s="478"/>
      <c r="AT228" s="478"/>
      <c r="AU228" s="478"/>
      <c r="AV228" s="478"/>
      <c r="AW228" s="478"/>
      <c r="AX228" s="478"/>
      <c r="AY228" s="478"/>
      <c r="AZ228" s="478"/>
      <c r="BA228" s="478"/>
      <c r="BB228" s="478"/>
      <c r="BC228" s="478"/>
      <c r="BD228" s="478"/>
      <c r="BE228" s="478"/>
      <c r="BF228" s="478"/>
      <c r="BG228" s="478"/>
      <c r="BH228" s="478"/>
      <c r="BI228" s="478"/>
      <c r="BJ228" s="478"/>
      <c r="BK228" s="478"/>
      <c r="BL228" s="478"/>
      <c r="BM228" s="478"/>
      <c r="BN228" s="478"/>
      <c r="BO228" s="478"/>
      <c r="BP228" s="478"/>
      <c r="BQ228" s="478"/>
      <c r="BR228" s="478"/>
      <c r="BS228" s="478"/>
      <c r="BT228" s="478"/>
      <c r="BU228" s="478"/>
      <c r="BV228" s="478"/>
      <c r="BW228" s="478"/>
      <c r="BX228" s="478"/>
      <c r="BY228" s="478"/>
      <c r="BZ228" s="478"/>
      <c r="CA228" s="478"/>
      <c r="CB228" s="478"/>
      <c r="CC228" s="478"/>
      <c r="CD228" s="478"/>
      <c r="CE228" s="478"/>
      <c r="CF228" s="478"/>
      <c r="CG228" s="478"/>
      <c r="CH228" s="478"/>
      <c r="CI228" s="478"/>
      <c r="CJ228" s="478"/>
      <c r="CK228" s="478"/>
      <c r="CL228" s="478"/>
      <c r="CM228" s="478"/>
      <c r="CN228" s="478"/>
      <c r="CO228" s="478"/>
      <c r="CP228" s="478"/>
      <c r="CQ228" s="478"/>
      <c r="CR228" s="478"/>
      <c r="CS228" s="478"/>
      <c r="CT228" s="478"/>
      <c r="CU228" s="478"/>
      <c r="CV228" s="478"/>
      <c r="CW228" s="478"/>
      <c r="CX228" s="478"/>
      <c r="CY228" s="478"/>
      <c r="CZ228" s="478"/>
    </row>
    <row r="229" spans="1:104" ht="14.25" customHeight="1" x14ac:dyDescent="0.2">
      <c r="A229" s="478"/>
      <c r="B229" s="504"/>
      <c r="C229" s="478"/>
      <c r="D229" s="478"/>
      <c r="E229" s="478"/>
      <c r="F229" s="478"/>
      <c r="G229" s="478"/>
      <c r="H229" s="478"/>
      <c r="I229" s="478"/>
      <c r="J229" s="478"/>
      <c r="K229" s="478"/>
      <c r="L229" s="478"/>
      <c r="M229" s="478"/>
      <c r="N229" s="478"/>
      <c r="O229" s="478"/>
      <c r="P229" s="478"/>
      <c r="Q229" s="478"/>
      <c r="R229" s="478"/>
      <c r="S229" s="478"/>
      <c r="T229" s="505"/>
      <c r="U229" s="478"/>
      <c r="V229" s="478"/>
      <c r="W229" s="506"/>
      <c r="X229" s="507"/>
      <c r="Y229" s="507"/>
      <c r="Z229" s="507"/>
      <c r="AA229" s="507"/>
      <c r="AB229" s="507"/>
      <c r="AC229" s="507"/>
      <c r="AD229" s="507"/>
      <c r="AE229" s="507"/>
      <c r="AF229" s="507"/>
      <c r="AG229" s="507"/>
      <c r="AH229" s="507"/>
      <c r="AI229" s="507"/>
      <c r="AJ229" s="507"/>
      <c r="AK229" s="507"/>
      <c r="AL229" s="478"/>
      <c r="AM229" s="478"/>
      <c r="AN229" s="478"/>
      <c r="AO229" s="478"/>
      <c r="AP229" s="478"/>
      <c r="AQ229" s="478"/>
      <c r="AR229" s="478"/>
      <c r="AS229" s="478"/>
      <c r="AT229" s="478"/>
      <c r="AU229" s="478"/>
      <c r="AV229" s="478"/>
      <c r="AW229" s="478"/>
      <c r="AX229" s="478"/>
      <c r="AY229" s="478"/>
      <c r="AZ229" s="478"/>
      <c r="BA229" s="478"/>
      <c r="BB229" s="478"/>
      <c r="BC229" s="478"/>
      <c r="BD229" s="478"/>
      <c r="BE229" s="478"/>
      <c r="BF229" s="478"/>
      <c r="BG229" s="478"/>
      <c r="BH229" s="478"/>
      <c r="BI229" s="478"/>
      <c r="BJ229" s="478"/>
      <c r="BK229" s="478"/>
      <c r="BL229" s="478"/>
      <c r="BM229" s="478"/>
      <c r="BN229" s="478"/>
      <c r="BO229" s="478"/>
      <c r="BP229" s="478"/>
      <c r="BQ229" s="478"/>
      <c r="BR229" s="478"/>
      <c r="BS229" s="478"/>
      <c r="BT229" s="478"/>
      <c r="BU229" s="478"/>
      <c r="BV229" s="478"/>
      <c r="BW229" s="478"/>
      <c r="BX229" s="478"/>
      <c r="BY229" s="478"/>
      <c r="BZ229" s="478"/>
      <c r="CA229" s="478"/>
      <c r="CB229" s="478"/>
      <c r="CC229" s="478"/>
      <c r="CD229" s="478"/>
      <c r="CE229" s="478"/>
      <c r="CF229" s="478"/>
      <c r="CG229" s="478"/>
      <c r="CH229" s="478"/>
      <c r="CI229" s="478"/>
      <c r="CJ229" s="478"/>
      <c r="CK229" s="478"/>
      <c r="CL229" s="478"/>
      <c r="CM229" s="478"/>
      <c r="CN229" s="478"/>
      <c r="CO229" s="478"/>
      <c r="CP229" s="478"/>
      <c r="CQ229" s="478"/>
      <c r="CR229" s="478"/>
      <c r="CS229" s="478"/>
      <c r="CT229" s="478"/>
      <c r="CU229" s="478"/>
      <c r="CV229" s="478"/>
      <c r="CW229" s="478"/>
      <c r="CX229" s="478"/>
      <c r="CY229" s="478"/>
      <c r="CZ229" s="478"/>
    </row>
    <row r="230" spans="1:104" ht="14.25" customHeight="1" x14ac:dyDescent="0.2">
      <c r="A230" s="478"/>
      <c r="B230" s="504"/>
      <c r="C230" s="478"/>
      <c r="D230" s="478"/>
      <c r="E230" s="478"/>
      <c r="F230" s="478"/>
      <c r="G230" s="478"/>
      <c r="H230" s="478"/>
      <c r="I230" s="478"/>
      <c r="J230" s="478"/>
      <c r="K230" s="478"/>
      <c r="L230" s="478"/>
      <c r="M230" s="478"/>
      <c r="N230" s="478"/>
      <c r="O230" s="478"/>
      <c r="P230" s="478"/>
      <c r="Q230" s="478"/>
      <c r="R230" s="478"/>
      <c r="S230" s="478"/>
      <c r="T230" s="505"/>
      <c r="U230" s="478"/>
      <c r="V230" s="478"/>
      <c r="W230" s="506"/>
      <c r="X230" s="507"/>
      <c r="Y230" s="507"/>
      <c r="Z230" s="507"/>
      <c r="AA230" s="507"/>
      <c r="AB230" s="507"/>
      <c r="AC230" s="507"/>
      <c r="AD230" s="507"/>
      <c r="AE230" s="507"/>
      <c r="AF230" s="507"/>
      <c r="AG230" s="507"/>
      <c r="AH230" s="507"/>
      <c r="AI230" s="507"/>
      <c r="AJ230" s="507"/>
      <c r="AK230" s="507"/>
      <c r="AL230" s="478"/>
      <c r="AM230" s="478"/>
      <c r="AN230" s="478"/>
      <c r="AO230" s="478"/>
      <c r="AP230" s="478"/>
      <c r="AQ230" s="478"/>
      <c r="AR230" s="478"/>
      <c r="AS230" s="478"/>
      <c r="AT230" s="478"/>
      <c r="AU230" s="478"/>
      <c r="AV230" s="478"/>
      <c r="AW230" s="478"/>
      <c r="AX230" s="478"/>
      <c r="AY230" s="478"/>
      <c r="AZ230" s="478"/>
      <c r="BA230" s="478"/>
      <c r="BB230" s="478"/>
      <c r="BC230" s="478"/>
      <c r="BD230" s="478"/>
      <c r="BE230" s="478"/>
      <c r="BF230" s="478"/>
      <c r="BG230" s="478"/>
      <c r="BH230" s="478"/>
      <c r="BI230" s="478"/>
      <c r="BJ230" s="478"/>
      <c r="BK230" s="478"/>
      <c r="BL230" s="478"/>
      <c r="BM230" s="478"/>
      <c r="BN230" s="478"/>
      <c r="BO230" s="478"/>
      <c r="BP230" s="478"/>
      <c r="BQ230" s="478"/>
      <c r="BR230" s="478"/>
      <c r="BS230" s="478"/>
      <c r="BT230" s="478"/>
      <c r="BU230" s="478"/>
      <c r="BV230" s="478"/>
      <c r="BW230" s="478"/>
      <c r="BX230" s="478"/>
      <c r="BY230" s="478"/>
      <c r="BZ230" s="478"/>
      <c r="CA230" s="478"/>
      <c r="CB230" s="478"/>
      <c r="CC230" s="478"/>
      <c r="CD230" s="478"/>
      <c r="CE230" s="478"/>
      <c r="CF230" s="478"/>
      <c r="CG230" s="478"/>
      <c r="CH230" s="478"/>
      <c r="CI230" s="478"/>
      <c r="CJ230" s="478"/>
      <c r="CK230" s="478"/>
      <c r="CL230" s="478"/>
      <c r="CM230" s="478"/>
      <c r="CN230" s="478"/>
      <c r="CO230" s="478"/>
      <c r="CP230" s="478"/>
      <c r="CQ230" s="478"/>
      <c r="CR230" s="478"/>
      <c r="CS230" s="478"/>
      <c r="CT230" s="478"/>
      <c r="CU230" s="478"/>
      <c r="CV230" s="478"/>
      <c r="CW230" s="478"/>
      <c r="CX230" s="478"/>
      <c r="CY230" s="478"/>
      <c r="CZ230" s="478"/>
    </row>
    <row r="231" spans="1:104" ht="14.25" customHeight="1" x14ac:dyDescent="0.2">
      <c r="A231" s="478"/>
      <c r="B231" s="504"/>
      <c r="C231" s="478"/>
      <c r="D231" s="478"/>
      <c r="E231" s="478"/>
      <c r="F231" s="478"/>
      <c r="G231" s="478"/>
      <c r="H231" s="478"/>
      <c r="I231" s="478"/>
      <c r="J231" s="478"/>
      <c r="K231" s="478"/>
      <c r="L231" s="478"/>
      <c r="M231" s="478"/>
      <c r="N231" s="478"/>
      <c r="O231" s="478"/>
      <c r="P231" s="478"/>
      <c r="Q231" s="478"/>
      <c r="R231" s="478"/>
      <c r="S231" s="478"/>
      <c r="T231" s="505"/>
      <c r="U231" s="478"/>
      <c r="V231" s="478"/>
      <c r="W231" s="506"/>
      <c r="X231" s="507"/>
      <c r="Y231" s="507"/>
      <c r="Z231" s="507"/>
      <c r="AA231" s="507"/>
      <c r="AB231" s="507"/>
      <c r="AC231" s="507"/>
      <c r="AD231" s="507"/>
      <c r="AE231" s="507"/>
      <c r="AF231" s="507"/>
      <c r="AG231" s="507"/>
      <c r="AH231" s="507"/>
      <c r="AI231" s="507"/>
      <c r="AJ231" s="507"/>
      <c r="AK231" s="507"/>
      <c r="AL231" s="478"/>
      <c r="AM231" s="478"/>
      <c r="AN231" s="478"/>
      <c r="AO231" s="478"/>
      <c r="AP231" s="478"/>
      <c r="AQ231" s="478"/>
      <c r="AR231" s="478"/>
      <c r="AS231" s="478"/>
      <c r="AT231" s="478"/>
      <c r="AU231" s="478"/>
      <c r="AV231" s="478"/>
      <c r="AW231" s="478"/>
      <c r="AX231" s="478"/>
      <c r="AY231" s="478"/>
      <c r="AZ231" s="478"/>
      <c r="BA231" s="478"/>
      <c r="BB231" s="478"/>
      <c r="BC231" s="478"/>
      <c r="BD231" s="478"/>
      <c r="BE231" s="478"/>
      <c r="BF231" s="478"/>
      <c r="BG231" s="478"/>
      <c r="BH231" s="478"/>
      <c r="BI231" s="478"/>
      <c r="BJ231" s="478"/>
      <c r="BK231" s="478"/>
      <c r="BL231" s="478"/>
      <c r="BM231" s="478"/>
      <c r="BN231" s="478"/>
      <c r="BO231" s="478"/>
      <c r="BP231" s="478"/>
      <c r="BQ231" s="478"/>
      <c r="BR231" s="478"/>
      <c r="BS231" s="478"/>
      <c r="BT231" s="478"/>
      <c r="BU231" s="478"/>
      <c r="BV231" s="478"/>
      <c r="BW231" s="478"/>
      <c r="BX231" s="478"/>
      <c r="BY231" s="478"/>
      <c r="BZ231" s="478"/>
      <c r="CA231" s="478"/>
      <c r="CB231" s="478"/>
      <c r="CC231" s="478"/>
      <c r="CD231" s="478"/>
      <c r="CE231" s="478"/>
      <c r="CF231" s="478"/>
      <c r="CG231" s="478"/>
      <c r="CH231" s="478"/>
      <c r="CI231" s="478"/>
      <c r="CJ231" s="478"/>
      <c r="CK231" s="478"/>
      <c r="CL231" s="478"/>
      <c r="CM231" s="478"/>
      <c r="CN231" s="478"/>
      <c r="CO231" s="478"/>
      <c r="CP231" s="478"/>
      <c r="CQ231" s="478"/>
      <c r="CR231" s="478"/>
      <c r="CS231" s="478"/>
      <c r="CT231" s="478"/>
      <c r="CU231" s="478"/>
      <c r="CV231" s="478"/>
      <c r="CW231" s="478"/>
      <c r="CX231" s="478"/>
      <c r="CY231" s="478"/>
      <c r="CZ231" s="478"/>
    </row>
    <row r="232" spans="1:104" ht="14.25" customHeight="1" x14ac:dyDescent="0.2">
      <c r="A232" s="478"/>
      <c r="B232" s="504"/>
      <c r="C232" s="478"/>
      <c r="D232" s="478"/>
      <c r="E232" s="478"/>
      <c r="F232" s="478"/>
      <c r="G232" s="478"/>
      <c r="H232" s="478"/>
      <c r="I232" s="478"/>
      <c r="J232" s="478"/>
      <c r="K232" s="478"/>
      <c r="L232" s="478"/>
      <c r="M232" s="478"/>
      <c r="N232" s="478"/>
      <c r="O232" s="478"/>
      <c r="P232" s="478"/>
      <c r="Q232" s="478"/>
      <c r="R232" s="478"/>
      <c r="S232" s="478"/>
      <c r="T232" s="505"/>
      <c r="U232" s="478"/>
      <c r="V232" s="478"/>
      <c r="W232" s="506"/>
      <c r="X232" s="507"/>
      <c r="Y232" s="507"/>
      <c r="Z232" s="507"/>
      <c r="AA232" s="507"/>
      <c r="AB232" s="507"/>
      <c r="AC232" s="507"/>
      <c r="AD232" s="507"/>
      <c r="AE232" s="507"/>
      <c r="AF232" s="507"/>
      <c r="AG232" s="507"/>
      <c r="AH232" s="507"/>
      <c r="AI232" s="507"/>
      <c r="AJ232" s="507"/>
      <c r="AK232" s="507"/>
      <c r="AL232" s="478"/>
      <c r="AM232" s="478"/>
      <c r="AN232" s="478"/>
      <c r="AO232" s="478"/>
      <c r="AP232" s="478"/>
      <c r="AQ232" s="478"/>
      <c r="AR232" s="478"/>
      <c r="AS232" s="478"/>
      <c r="AT232" s="478"/>
      <c r="AU232" s="478"/>
      <c r="AV232" s="478"/>
      <c r="AW232" s="478"/>
      <c r="AX232" s="478"/>
      <c r="AY232" s="478"/>
      <c r="AZ232" s="478"/>
      <c r="BA232" s="478"/>
      <c r="BB232" s="478"/>
      <c r="BC232" s="478"/>
      <c r="BD232" s="478"/>
      <c r="BE232" s="478"/>
      <c r="BF232" s="478"/>
      <c r="BG232" s="478"/>
      <c r="BH232" s="478"/>
      <c r="BI232" s="478"/>
      <c r="BJ232" s="478"/>
      <c r="BK232" s="478"/>
      <c r="BL232" s="478"/>
      <c r="BM232" s="478"/>
      <c r="BN232" s="478"/>
      <c r="BO232" s="478"/>
      <c r="BP232" s="478"/>
      <c r="BQ232" s="478"/>
      <c r="BR232" s="478"/>
      <c r="BS232" s="478"/>
      <c r="BT232" s="478"/>
      <c r="BU232" s="478"/>
      <c r="BV232" s="478"/>
      <c r="BW232" s="478"/>
      <c r="BX232" s="478"/>
      <c r="BY232" s="478"/>
      <c r="BZ232" s="478"/>
      <c r="CA232" s="478"/>
      <c r="CB232" s="478"/>
      <c r="CC232" s="478"/>
      <c r="CD232" s="478"/>
      <c r="CE232" s="478"/>
      <c r="CF232" s="478"/>
      <c r="CG232" s="478"/>
      <c r="CH232" s="478"/>
      <c r="CI232" s="478"/>
      <c r="CJ232" s="478"/>
      <c r="CK232" s="478"/>
      <c r="CL232" s="478"/>
      <c r="CM232" s="478"/>
      <c r="CN232" s="478"/>
      <c r="CO232" s="478"/>
      <c r="CP232" s="478"/>
      <c r="CQ232" s="478"/>
      <c r="CR232" s="478"/>
      <c r="CS232" s="478"/>
      <c r="CT232" s="478"/>
      <c r="CU232" s="478"/>
      <c r="CV232" s="478"/>
      <c r="CW232" s="478"/>
      <c r="CX232" s="478"/>
      <c r="CY232" s="478"/>
      <c r="CZ232" s="478"/>
    </row>
    <row r="233" spans="1:104" ht="14.25" customHeight="1" x14ac:dyDescent="0.2">
      <c r="A233" s="478"/>
      <c r="B233" s="504"/>
      <c r="C233" s="478"/>
      <c r="D233" s="478"/>
      <c r="E233" s="478"/>
      <c r="F233" s="478"/>
      <c r="G233" s="478"/>
      <c r="H233" s="478"/>
      <c r="I233" s="478"/>
      <c r="J233" s="478"/>
      <c r="K233" s="478"/>
      <c r="L233" s="478"/>
      <c r="M233" s="478"/>
      <c r="N233" s="478"/>
      <c r="O233" s="478"/>
      <c r="P233" s="478"/>
      <c r="Q233" s="478"/>
      <c r="R233" s="478"/>
      <c r="S233" s="478"/>
      <c r="T233" s="505"/>
      <c r="U233" s="478"/>
      <c r="V233" s="478"/>
      <c r="W233" s="506"/>
      <c r="X233" s="507"/>
      <c r="Y233" s="507"/>
      <c r="Z233" s="507"/>
      <c r="AA233" s="507"/>
      <c r="AB233" s="507"/>
      <c r="AC233" s="507"/>
      <c r="AD233" s="507"/>
      <c r="AE233" s="507"/>
      <c r="AF233" s="507"/>
      <c r="AG233" s="507"/>
      <c r="AH233" s="507"/>
      <c r="AI233" s="507"/>
      <c r="AJ233" s="507"/>
      <c r="AK233" s="507"/>
      <c r="AL233" s="478"/>
      <c r="AM233" s="478"/>
      <c r="AN233" s="478"/>
      <c r="AO233" s="478"/>
      <c r="AP233" s="478"/>
      <c r="AQ233" s="478"/>
      <c r="AR233" s="478"/>
      <c r="AS233" s="478"/>
      <c r="AT233" s="478"/>
      <c r="AU233" s="478"/>
      <c r="AV233" s="478"/>
      <c r="AW233" s="478"/>
      <c r="AX233" s="478"/>
      <c r="AY233" s="478"/>
      <c r="AZ233" s="478"/>
      <c r="BA233" s="478"/>
      <c r="BB233" s="478"/>
      <c r="BC233" s="478"/>
      <c r="BD233" s="478"/>
      <c r="BE233" s="478"/>
      <c r="BF233" s="478"/>
      <c r="BG233" s="478"/>
      <c r="BH233" s="478"/>
      <c r="BI233" s="478"/>
      <c r="BJ233" s="478"/>
      <c r="BK233" s="478"/>
      <c r="BL233" s="478"/>
      <c r="BM233" s="478"/>
      <c r="BN233" s="478"/>
      <c r="BO233" s="478"/>
      <c r="BP233" s="478"/>
      <c r="BQ233" s="478"/>
      <c r="BR233" s="478"/>
      <c r="BS233" s="478"/>
      <c r="BT233" s="478"/>
      <c r="BU233" s="478"/>
      <c r="BV233" s="478"/>
      <c r="BW233" s="478"/>
      <c r="BX233" s="478"/>
      <c r="BY233" s="478"/>
      <c r="BZ233" s="478"/>
      <c r="CA233" s="478"/>
      <c r="CB233" s="478"/>
      <c r="CC233" s="478"/>
      <c r="CD233" s="478"/>
      <c r="CE233" s="478"/>
      <c r="CF233" s="478"/>
      <c r="CG233" s="478"/>
      <c r="CH233" s="478"/>
      <c r="CI233" s="478"/>
      <c r="CJ233" s="478"/>
      <c r="CK233" s="478"/>
      <c r="CL233" s="478"/>
      <c r="CM233" s="478"/>
      <c r="CN233" s="478"/>
      <c r="CO233" s="478"/>
      <c r="CP233" s="478"/>
      <c r="CQ233" s="478"/>
      <c r="CR233" s="478"/>
      <c r="CS233" s="478"/>
      <c r="CT233" s="478"/>
      <c r="CU233" s="478"/>
      <c r="CV233" s="478"/>
      <c r="CW233" s="478"/>
      <c r="CX233" s="478"/>
      <c r="CY233" s="478"/>
      <c r="CZ233" s="478"/>
    </row>
    <row r="234" spans="1:104" ht="14.25" customHeight="1" x14ac:dyDescent="0.2">
      <c r="A234" s="478"/>
      <c r="B234" s="504"/>
      <c r="C234" s="478"/>
      <c r="D234" s="478"/>
      <c r="E234" s="478"/>
      <c r="F234" s="478"/>
      <c r="G234" s="478"/>
      <c r="H234" s="478"/>
      <c r="I234" s="478"/>
      <c r="J234" s="478"/>
      <c r="K234" s="478"/>
      <c r="L234" s="478"/>
      <c r="M234" s="478"/>
      <c r="N234" s="478"/>
      <c r="O234" s="478"/>
      <c r="P234" s="478"/>
      <c r="Q234" s="478"/>
      <c r="R234" s="478"/>
      <c r="S234" s="478"/>
      <c r="T234" s="505"/>
      <c r="U234" s="478"/>
      <c r="V234" s="478"/>
      <c r="W234" s="506"/>
      <c r="X234" s="507"/>
      <c r="Y234" s="507"/>
      <c r="Z234" s="507"/>
      <c r="AA234" s="507"/>
      <c r="AB234" s="507"/>
      <c r="AC234" s="507"/>
      <c r="AD234" s="507"/>
      <c r="AE234" s="507"/>
      <c r="AF234" s="507"/>
      <c r="AG234" s="507"/>
      <c r="AH234" s="507"/>
      <c r="AI234" s="507"/>
      <c r="AJ234" s="507"/>
      <c r="AK234" s="507"/>
      <c r="AL234" s="478"/>
      <c r="AM234" s="478"/>
      <c r="AN234" s="478"/>
      <c r="AO234" s="478"/>
      <c r="AP234" s="478"/>
      <c r="AQ234" s="478"/>
      <c r="AR234" s="478"/>
      <c r="AS234" s="478"/>
      <c r="AT234" s="478"/>
      <c r="AU234" s="478"/>
      <c r="AV234" s="478"/>
      <c r="AW234" s="478"/>
      <c r="AX234" s="478"/>
      <c r="AY234" s="478"/>
      <c r="AZ234" s="478"/>
      <c r="BA234" s="478"/>
      <c r="BB234" s="478"/>
      <c r="BC234" s="478"/>
      <c r="BD234" s="478"/>
      <c r="BE234" s="478"/>
      <c r="BF234" s="478"/>
      <c r="BG234" s="478"/>
      <c r="BH234" s="478"/>
      <c r="BI234" s="478"/>
      <c r="BJ234" s="478"/>
      <c r="BK234" s="478"/>
      <c r="BL234" s="478"/>
      <c r="BM234" s="478"/>
      <c r="BN234" s="478"/>
      <c r="BO234" s="478"/>
      <c r="BP234" s="478"/>
      <c r="BQ234" s="478"/>
      <c r="BR234" s="478"/>
      <c r="BS234" s="478"/>
      <c r="BT234" s="478"/>
      <c r="BU234" s="478"/>
      <c r="BV234" s="478"/>
      <c r="BW234" s="478"/>
      <c r="BX234" s="478"/>
      <c r="BY234" s="478"/>
      <c r="BZ234" s="478"/>
      <c r="CA234" s="478"/>
      <c r="CB234" s="478"/>
      <c r="CC234" s="478"/>
      <c r="CD234" s="478"/>
      <c r="CE234" s="478"/>
      <c r="CF234" s="478"/>
      <c r="CG234" s="478"/>
      <c r="CH234" s="478"/>
      <c r="CI234" s="478"/>
      <c r="CJ234" s="478"/>
      <c r="CK234" s="478"/>
      <c r="CL234" s="478"/>
      <c r="CM234" s="478"/>
      <c r="CN234" s="478"/>
      <c r="CO234" s="478"/>
      <c r="CP234" s="478"/>
      <c r="CQ234" s="478"/>
      <c r="CR234" s="478"/>
      <c r="CS234" s="478"/>
      <c r="CT234" s="478"/>
      <c r="CU234" s="478"/>
      <c r="CV234" s="478"/>
      <c r="CW234" s="478"/>
      <c r="CX234" s="478"/>
      <c r="CY234" s="478"/>
      <c r="CZ234" s="478"/>
    </row>
    <row r="235" spans="1:104" ht="14.25" customHeight="1" x14ac:dyDescent="0.2">
      <c r="A235" s="478"/>
      <c r="B235" s="504"/>
      <c r="C235" s="478"/>
      <c r="D235" s="478"/>
      <c r="E235" s="478"/>
      <c r="F235" s="478"/>
      <c r="G235" s="478"/>
      <c r="H235" s="478"/>
      <c r="I235" s="478"/>
      <c r="J235" s="478"/>
      <c r="K235" s="478"/>
      <c r="L235" s="478"/>
      <c r="M235" s="478"/>
      <c r="N235" s="478"/>
      <c r="O235" s="478"/>
      <c r="P235" s="478"/>
      <c r="Q235" s="478"/>
      <c r="R235" s="478"/>
      <c r="S235" s="478"/>
      <c r="T235" s="505"/>
      <c r="U235" s="478"/>
      <c r="V235" s="478"/>
      <c r="W235" s="506"/>
      <c r="X235" s="507"/>
      <c r="Y235" s="507"/>
      <c r="Z235" s="507"/>
      <c r="AA235" s="507"/>
      <c r="AB235" s="507"/>
      <c r="AC235" s="507"/>
      <c r="AD235" s="507"/>
      <c r="AE235" s="507"/>
      <c r="AF235" s="507"/>
      <c r="AG235" s="507"/>
      <c r="AH235" s="507"/>
      <c r="AI235" s="507"/>
      <c r="AJ235" s="507"/>
      <c r="AK235" s="507"/>
      <c r="AL235" s="478"/>
      <c r="AM235" s="478"/>
      <c r="AN235" s="478"/>
      <c r="AO235" s="478"/>
      <c r="AP235" s="478"/>
      <c r="AQ235" s="478"/>
      <c r="AR235" s="478"/>
      <c r="AS235" s="478"/>
      <c r="AT235" s="478"/>
      <c r="AU235" s="478"/>
      <c r="AV235" s="478"/>
      <c r="AW235" s="478"/>
      <c r="AX235" s="478"/>
      <c r="AY235" s="478"/>
      <c r="AZ235" s="478"/>
      <c r="BA235" s="478"/>
      <c r="BB235" s="478"/>
      <c r="BC235" s="478"/>
      <c r="BD235" s="478"/>
      <c r="BE235" s="478"/>
      <c r="BF235" s="478"/>
      <c r="BG235" s="478"/>
      <c r="BH235" s="478"/>
      <c r="BI235" s="478"/>
      <c r="BJ235" s="478"/>
      <c r="BK235" s="478"/>
      <c r="BL235" s="478"/>
      <c r="BM235" s="478"/>
      <c r="BN235" s="478"/>
      <c r="BO235" s="478"/>
      <c r="BP235" s="478"/>
      <c r="BQ235" s="478"/>
      <c r="BR235" s="478"/>
      <c r="BS235" s="478"/>
      <c r="BT235" s="478"/>
      <c r="BU235" s="478"/>
      <c r="BV235" s="478"/>
      <c r="BW235" s="478"/>
      <c r="BX235" s="478"/>
      <c r="BY235" s="478"/>
      <c r="BZ235" s="478"/>
      <c r="CA235" s="478"/>
      <c r="CB235" s="478"/>
      <c r="CC235" s="478"/>
      <c r="CD235" s="478"/>
      <c r="CE235" s="478"/>
      <c r="CF235" s="478"/>
      <c r="CG235" s="478"/>
      <c r="CH235" s="478"/>
      <c r="CI235" s="478"/>
      <c r="CJ235" s="478"/>
      <c r="CK235" s="478"/>
      <c r="CL235" s="478"/>
      <c r="CM235" s="478"/>
      <c r="CN235" s="478"/>
      <c r="CO235" s="478"/>
      <c r="CP235" s="478"/>
      <c r="CQ235" s="478"/>
      <c r="CR235" s="478"/>
      <c r="CS235" s="478"/>
      <c r="CT235" s="478"/>
      <c r="CU235" s="478"/>
      <c r="CV235" s="478"/>
      <c r="CW235" s="478"/>
      <c r="CX235" s="478"/>
      <c r="CY235" s="478"/>
      <c r="CZ235" s="478"/>
    </row>
    <row r="236" spans="1:104" ht="14.25" customHeight="1" x14ac:dyDescent="0.2">
      <c r="A236" s="478"/>
      <c r="B236" s="504"/>
      <c r="C236" s="478"/>
      <c r="D236" s="478"/>
      <c r="E236" s="478"/>
      <c r="F236" s="478"/>
      <c r="G236" s="478"/>
      <c r="H236" s="478"/>
      <c r="I236" s="478"/>
      <c r="J236" s="478"/>
      <c r="K236" s="478"/>
      <c r="L236" s="478"/>
      <c r="M236" s="478"/>
      <c r="N236" s="478"/>
      <c r="O236" s="478"/>
      <c r="P236" s="478"/>
      <c r="Q236" s="478"/>
      <c r="R236" s="478"/>
      <c r="S236" s="478"/>
      <c r="T236" s="505"/>
      <c r="U236" s="478"/>
      <c r="V236" s="478"/>
      <c r="W236" s="506"/>
      <c r="X236" s="507"/>
      <c r="Y236" s="507"/>
      <c r="Z236" s="507"/>
      <c r="AA236" s="507"/>
      <c r="AB236" s="507"/>
      <c r="AC236" s="507"/>
      <c r="AD236" s="507"/>
      <c r="AE236" s="507"/>
      <c r="AF236" s="507"/>
      <c r="AG236" s="507"/>
      <c r="AH236" s="507"/>
      <c r="AI236" s="507"/>
      <c r="AJ236" s="507"/>
      <c r="AK236" s="507"/>
      <c r="AL236" s="478"/>
      <c r="AM236" s="478"/>
      <c r="AN236" s="478"/>
      <c r="AO236" s="478"/>
      <c r="AP236" s="478"/>
      <c r="AQ236" s="478"/>
      <c r="AR236" s="478"/>
      <c r="AS236" s="478"/>
      <c r="AT236" s="478"/>
      <c r="AU236" s="478"/>
      <c r="AV236" s="478"/>
      <c r="AW236" s="478"/>
      <c r="AX236" s="478"/>
      <c r="AY236" s="478"/>
      <c r="AZ236" s="478"/>
      <c r="BA236" s="478"/>
      <c r="BB236" s="478"/>
      <c r="BC236" s="478"/>
      <c r="BD236" s="478"/>
      <c r="BE236" s="478"/>
      <c r="BF236" s="478"/>
      <c r="BG236" s="478"/>
      <c r="BH236" s="478"/>
      <c r="BI236" s="478"/>
      <c r="BJ236" s="478"/>
      <c r="BK236" s="478"/>
      <c r="BL236" s="478"/>
      <c r="BM236" s="478"/>
      <c r="BN236" s="478"/>
      <c r="BO236" s="478"/>
      <c r="BP236" s="478"/>
      <c r="BQ236" s="478"/>
      <c r="BR236" s="478"/>
      <c r="BS236" s="478"/>
      <c r="BT236" s="478"/>
      <c r="BU236" s="478"/>
      <c r="BV236" s="478"/>
      <c r="BW236" s="478"/>
      <c r="BX236" s="478"/>
      <c r="BY236" s="478"/>
      <c r="BZ236" s="478"/>
      <c r="CA236" s="478"/>
      <c r="CB236" s="478"/>
      <c r="CC236" s="478"/>
      <c r="CD236" s="478"/>
      <c r="CE236" s="478"/>
      <c r="CF236" s="478"/>
      <c r="CG236" s="478"/>
      <c r="CH236" s="478"/>
      <c r="CI236" s="478"/>
      <c r="CJ236" s="478"/>
      <c r="CK236" s="478"/>
      <c r="CL236" s="478"/>
      <c r="CM236" s="478"/>
      <c r="CN236" s="478"/>
      <c r="CO236" s="478"/>
      <c r="CP236" s="478"/>
      <c r="CQ236" s="478"/>
      <c r="CR236" s="478"/>
      <c r="CS236" s="478"/>
      <c r="CT236" s="478"/>
      <c r="CU236" s="478"/>
      <c r="CV236" s="478"/>
      <c r="CW236" s="478"/>
      <c r="CX236" s="478"/>
      <c r="CY236" s="478"/>
      <c r="CZ236" s="478"/>
    </row>
    <row r="237" spans="1:104" ht="14.25" customHeight="1" x14ac:dyDescent="0.2">
      <c r="A237" s="478"/>
      <c r="B237" s="504"/>
      <c r="C237" s="478"/>
      <c r="D237" s="478"/>
      <c r="E237" s="478"/>
      <c r="F237" s="478"/>
      <c r="G237" s="478"/>
      <c r="H237" s="478"/>
      <c r="I237" s="478"/>
      <c r="J237" s="478"/>
      <c r="K237" s="478"/>
      <c r="L237" s="478"/>
      <c r="M237" s="478"/>
      <c r="N237" s="478"/>
      <c r="O237" s="478"/>
      <c r="P237" s="478"/>
      <c r="Q237" s="478"/>
      <c r="R237" s="478"/>
      <c r="S237" s="478"/>
      <c r="T237" s="505"/>
      <c r="U237" s="478"/>
      <c r="V237" s="478"/>
      <c r="W237" s="506"/>
      <c r="X237" s="507"/>
      <c r="Y237" s="507"/>
      <c r="Z237" s="507"/>
      <c r="AA237" s="507"/>
      <c r="AB237" s="507"/>
      <c r="AC237" s="507"/>
      <c r="AD237" s="507"/>
      <c r="AE237" s="507"/>
      <c r="AF237" s="507"/>
      <c r="AG237" s="507"/>
      <c r="AH237" s="507"/>
      <c r="AI237" s="507"/>
      <c r="AJ237" s="507"/>
      <c r="AK237" s="507"/>
      <c r="AL237" s="478"/>
      <c r="AM237" s="478"/>
      <c r="AN237" s="478"/>
      <c r="AO237" s="478"/>
      <c r="AP237" s="478"/>
      <c r="AQ237" s="478"/>
      <c r="AR237" s="478"/>
      <c r="AS237" s="478"/>
      <c r="AT237" s="478"/>
      <c r="AU237" s="478"/>
      <c r="AV237" s="478"/>
      <c r="AW237" s="478"/>
      <c r="AX237" s="478"/>
      <c r="AY237" s="478"/>
      <c r="AZ237" s="478"/>
      <c r="BA237" s="478"/>
      <c r="BB237" s="478"/>
      <c r="BC237" s="478"/>
      <c r="BD237" s="478"/>
      <c r="BE237" s="478"/>
      <c r="BF237" s="478"/>
      <c r="BG237" s="478"/>
      <c r="BH237" s="478"/>
      <c r="BI237" s="478"/>
      <c r="BJ237" s="478"/>
      <c r="BK237" s="478"/>
      <c r="BL237" s="478"/>
      <c r="BM237" s="478"/>
      <c r="BN237" s="478"/>
      <c r="BO237" s="478"/>
      <c r="BP237" s="478"/>
      <c r="BQ237" s="478"/>
      <c r="BR237" s="478"/>
      <c r="BS237" s="478"/>
      <c r="BT237" s="478"/>
      <c r="BU237" s="478"/>
      <c r="BV237" s="478"/>
      <c r="BW237" s="478"/>
      <c r="BX237" s="478"/>
      <c r="BY237" s="478"/>
      <c r="BZ237" s="478"/>
      <c r="CA237" s="478"/>
      <c r="CB237" s="478"/>
      <c r="CC237" s="478"/>
      <c r="CD237" s="478"/>
      <c r="CE237" s="478"/>
      <c r="CF237" s="478"/>
      <c r="CG237" s="478"/>
      <c r="CH237" s="478"/>
      <c r="CI237" s="478"/>
      <c r="CJ237" s="478"/>
      <c r="CK237" s="478"/>
      <c r="CL237" s="478"/>
      <c r="CM237" s="478"/>
      <c r="CN237" s="478"/>
      <c r="CO237" s="478"/>
      <c r="CP237" s="478"/>
      <c r="CQ237" s="478"/>
      <c r="CR237" s="478"/>
      <c r="CS237" s="478"/>
      <c r="CT237" s="478"/>
      <c r="CU237" s="478"/>
      <c r="CV237" s="478"/>
      <c r="CW237" s="478"/>
      <c r="CX237" s="478"/>
      <c r="CY237" s="478"/>
      <c r="CZ237" s="478"/>
    </row>
    <row r="238" spans="1:104" ht="14.25" customHeight="1" x14ac:dyDescent="0.2">
      <c r="A238" s="478"/>
      <c r="B238" s="504"/>
      <c r="C238" s="478"/>
      <c r="D238" s="478"/>
      <c r="E238" s="478"/>
      <c r="F238" s="478"/>
      <c r="G238" s="478"/>
      <c r="H238" s="478"/>
      <c r="I238" s="478"/>
      <c r="J238" s="478"/>
      <c r="K238" s="478"/>
      <c r="L238" s="478"/>
      <c r="M238" s="478"/>
      <c r="N238" s="478"/>
      <c r="O238" s="478"/>
      <c r="P238" s="478"/>
      <c r="Q238" s="478"/>
      <c r="R238" s="478"/>
      <c r="S238" s="478"/>
      <c r="T238" s="505"/>
      <c r="U238" s="478"/>
      <c r="V238" s="478"/>
      <c r="W238" s="506"/>
      <c r="X238" s="507"/>
      <c r="Y238" s="507"/>
      <c r="Z238" s="507"/>
      <c r="AA238" s="507"/>
      <c r="AB238" s="507"/>
      <c r="AC238" s="507"/>
      <c r="AD238" s="507"/>
      <c r="AE238" s="507"/>
      <c r="AF238" s="507"/>
      <c r="AG238" s="507"/>
      <c r="AH238" s="507"/>
      <c r="AI238" s="507"/>
      <c r="AJ238" s="507"/>
      <c r="AK238" s="507"/>
      <c r="AL238" s="478"/>
      <c r="AM238" s="478"/>
      <c r="AN238" s="478"/>
      <c r="AO238" s="478"/>
      <c r="AP238" s="478"/>
      <c r="AQ238" s="478"/>
      <c r="AR238" s="478"/>
      <c r="AS238" s="478"/>
      <c r="AT238" s="478"/>
      <c r="AU238" s="478"/>
      <c r="AV238" s="478"/>
      <c r="AW238" s="478"/>
      <c r="AX238" s="478"/>
      <c r="AY238" s="478"/>
      <c r="AZ238" s="478"/>
      <c r="BA238" s="478"/>
      <c r="BB238" s="478"/>
      <c r="BC238" s="478"/>
      <c r="BD238" s="478"/>
      <c r="BE238" s="478"/>
      <c r="BF238" s="478"/>
      <c r="BG238" s="478"/>
      <c r="BH238" s="478"/>
      <c r="BI238" s="478"/>
      <c r="BJ238" s="478"/>
      <c r="BK238" s="478"/>
      <c r="BL238" s="478"/>
      <c r="BM238" s="478"/>
      <c r="BN238" s="478"/>
      <c r="BO238" s="478"/>
      <c r="BP238" s="478"/>
      <c r="BQ238" s="478"/>
      <c r="BR238" s="478"/>
      <c r="BS238" s="478"/>
      <c r="BT238" s="478"/>
      <c r="BU238" s="478"/>
      <c r="BV238" s="478"/>
      <c r="BW238" s="478"/>
      <c r="BX238" s="478"/>
      <c r="BY238" s="478"/>
      <c r="BZ238" s="478"/>
      <c r="CA238" s="478"/>
      <c r="CB238" s="478"/>
      <c r="CC238" s="478"/>
      <c r="CD238" s="478"/>
      <c r="CE238" s="478"/>
      <c r="CF238" s="478"/>
      <c r="CG238" s="478"/>
      <c r="CH238" s="478"/>
      <c r="CI238" s="478"/>
      <c r="CJ238" s="478"/>
      <c r="CK238" s="478"/>
      <c r="CL238" s="478"/>
      <c r="CM238" s="478"/>
      <c r="CN238" s="478"/>
      <c r="CO238" s="478"/>
      <c r="CP238" s="478"/>
      <c r="CQ238" s="478"/>
      <c r="CR238" s="478"/>
      <c r="CS238" s="478"/>
      <c r="CT238" s="478"/>
      <c r="CU238" s="478"/>
      <c r="CV238" s="478"/>
      <c r="CW238" s="478"/>
      <c r="CX238" s="478"/>
      <c r="CY238" s="478"/>
      <c r="CZ238" s="478"/>
    </row>
    <row r="239" spans="1:104" ht="14.25" customHeight="1" x14ac:dyDescent="0.2">
      <c r="A239" s="478"/>
      <c r="B239" s="504"/>
      <c r="C239" s="478"/>
      <c r="D239" s="478"/>
      <c r="E239" s="478"/>
      <c r="F239" s="478"/>
      <c r="G239" s="478"/>
      <c r="H239" s="478"/>
      <c r="I239" s="478"/>
      <c r="J239" s="478"/>
      <c r="K239" s="478"/>
      <c r="L239" s="478"/>
      <c r="M239" s="478"/>
      <c r="N239" s="478"/>
      <c r="O239" s="478"/>
      <c r="P239" s="478"/>
      <c r="Q239" s="478"/>
      <c r="R239" s="478"/>
      <c r="S239" s="478"/>
      <c r="T239" s="505"/>
      <c r="U239" s="478"/>
      <c r="V239" s="478"/>
      <c r="W239" s="506"/>
      <c r="X239" s="507"/>
      <c r="Y239" s="507"/>
      <c r="Z239" s="507"/>
      <c r="AA239" s="507"/>
      <c r="AB239" s="507"/>
      <c r="AC239" s="507"/>
      <c r="AD239" s="507"/>
      <c r="AE239" s="507"/>
      <c r="AF239" s="507"/>
      <c r="AG239" s="507"/>
      <c r="AH239" s="507"/>
      <c r="AI239" s="507"/>
      <c r="AJ239" s="507"/>
      <c r="AK239" s="507"/>
      <c r="AL239" s="478"/>
      <c r="AM239" s="478"/>
      <c r="AN239" s="478"/>
      <c r="AO239" s="478"/>
      <c r="AP239" s="478"/>
      <c r="AQ239" s="478"/>
      <c r="AR239" s="478"/>
      <c r="AS239" s="478"/>
      <c r="AT239" s="478"/>
      <c r="AU239" s="478"/>
      <c r="AV239" s="478"/>
      <c r="AW239" s="478"/>
      <c r="AX239" s="478"/>
      <c r="AY239" s="478"/>
      <c r="AZ239" s="478"/>
      <c r="BA239" s="478"/>
      <c r="BB239" s="478"/>
      <c r="BC239" s="478"/>
      <c r="BD239" s="478"/>
      <c r="BE239" s="478"/>
      <c r="BF239" s="478"/>
      <c r="BG239" s="478"/>
      <c r="BH239" s="478"/>
      <c r="BI239" s="478"/>
      <c r="BJ239" s="478"/>
      <c r="BK239" s="478"/>
      <c r="BL239" s="478"/>
      <c r="BM239" s="478"/>
      <c r="BN239" s="478"/>
      <c r="BO239" s="478"/>
      <c r="BP239" s="478"/>
      <c r="BQ239" s="478"/>
      <c r="BR239" s="478"/>
      <c r="BS239" s="478"/>
      <c r="BT239" s="478"/>
      <c r="BU239" s="478"/>
      <c r="BV239" s="478"/>
      <c r="BW239" s="478"/>
      <c r="BX239" s="478"/>
      <c r="BY239" s="478"/>
      <c r="BZ239" s="478"/>
      <c r="CA239" s="478"/>
      <c r="CB239" s="478"/>
      <c r="CC239" s="478"/>
      <c r="CD239" s="478"/>
      <c r="CE239" s="478"/>
      <c r="CF239" s="478"/>
      <c r="CG239" s="478"/>
      <c r="CH239" s="478"/>
      <c r="CI239" s="478"/>
      <c r="CJ239" s="478"/>
      <c r="CK239" s="478"/>
      <c r="CL239" s="478"/>
      <c r="CM239" s="478"/>
      <c r="CN239" s="478"/>
      <c r="CO239" s="478"/>
      <c r="CP239" s="478"/>
      <c r="CQ239" s="478"/>
      <c r="CR239" s="478"/>
      <c r="CS239" s="478"/>
      <c r="CT239" s="478"/>
      <c r="CU239" s="478"/>
      <c r="CV239" s="478"/>
      <c r="CW239" s="478"/>
      <c r="CX239" s="478"/>
      <c r="CY239" s="478"/>
      <c r="CZ239" s="478"/>
    </row>
    <row r="240" spans="1:104" ht="14.25" customHeight="1" x14ac:dyDescent="0.2">
      <c r="A240" s="478"/>
      <c r="B240" s="504"/>
      <c r="C240" s="478"/>
      <c r="D240" s="478"/>
      <c r="E240" s="478"/>
      <c r="F240" s="478"/>
      <c r="G240" s="478"/>
      <c r="H240" s="478"/>
      <c r="I240" s="478"/>
      <c r="J240" s="478"/>
      <c r="K240" s="478"/>
      <c r="L240" s="478"/>
      <c r="M240" s="478"/>
      <c r="N240" s="478"/>
      <c r="O240" s="478"/>
      <c r="P240" s="478"/>
      <c r="Q240" s="478"/>
      <c r="R240" s="478"/>
      <c r="S240" s="478"/>
      <c r="T240" s="505"/>
      <c r="U240" s="478"/>
      <c r="V240" s="478"/>
      <c r="W240" s="506"/>
      <c r="X240" s="507"/>
      <c r="Y240" s="507"/>
      <c r="Z240" s="507"/>
      <c r="AA240" s="507"/>
      <c r="AB240" s="507"/>
      <c r="AC240" s="507"/>
      <c r="AD240" s="507"/>
      <c r="AE240" s="507"/>
      <c r="AF240" s="507"/>
      <c r="AG240" s="507"/>
      <c r="AH240" s="507"/>
      <c r="AI240" s="507"/>
      <c r="AJ240" s="507"/>
      <c r="AK240" s="507"/>
      <c r="AL240" s="478"/>
      <c r="AM240" s="478"/>
      <c r="AN240" s="478"/>
      <c r="AO240" s="478"/>
      <c r="AP240" s="478"/>
      <c r="AQ240" s="478"/>
      <c r="AR240" s="478"/>
      <c r="AS240" s="478"/>
      <c r="AT240" s="478"/>
      <c r="AU240" s="478"/>
      <c r="AV240" s="478"/>
      <c r="AW240" s="478"/>
      <c r="AX240" s="478"/>
      <c r="AY240" s="478"/>
      <c r="AZ240" s="478"/>
      <c r="BA240" s="478"/>
      <c r="BB240" s="478"/>
      <c r="BC240" s="478"/>
      <c r="BD240" s="478"/>
      <c r="BE240" s="478"/>
      <c r="BF240" s="478"/>
      <c r="BG240" s="478"/>
      <c r="BH240" s="478"/>
      <c r="BI240" s="478"/>
      <c r="BJ240" s="478"/>
      <c r="BK240" s="478"/>
      <c r="BL240" s="478"/>
      <c r="BM240" s="478"/>
      <c r="BN240" s="478"/>
      <c r="BO240" s="478"/>
      <c r="BP240" s="478"/>
      <c r="BQ240" s="478"/>
      <c r="BR240" s="478"/>
      <c r="BS240" s="478"/>
      <c r="BT240" s="478"/>
      <c r="BU240" s="478"/>
      <c r="BV240" s="478"/>
      <c r="BW240" s="478"/>
      <c r="BX240" s="478"/>
      <c r="BY240" s="478"/>
      <c r="BZ240" s="478"/>
      <c r="CA240" s="478"/>
      <c r="CB240" s="478"/>
      <c r="CC240" s="478"/>
      <c r="CD240" s="478"/>
      <c r="CE240" s="478"/>
      <c r="CF240" s="478"/>
      <c r="CG240" s="478"/>
      <c r="CH240" s="478"/>
      <c r="CI240" s="478"/>
      <c r="CJ240" s="478"/>
      <c r="CK240" s="478"/>
      <c r="CL240" s="478"/>
      <c r="CM240" s="478"/>
      <c r="CN240" s="478"/>
      <c r="CO240" s="478"/>
      <c r="CP240" s="478"/>
      <c r="CQ240" s="478"/>
      <c r="CR240" s="478"/>
      <c r="CS240" s="478"/>
      <c r="CT240" s="478"/>
      <c r="CU240" s="478"/>
      <c r="CV240" s="478"/>
      <c r="CW240" s="478"/>
      <c r="CX240" s="478"/>
      <c r="CY240" s="478"/>
      <c r="CZ240" s="478"/>
    </row>
    <row r="241" spans="1:104" ht="14.25" customHeight="1" x14ac:dyDescent="0.2">
      <c r="A241" s="478"/>
      <c r="B241" s="504"/>
      <c r="C241" s="478"/>
      <c r="D241" s="478"/>
      <c r="E241" s="478"/>
      <c r="F241" s="478"/>
      <c r="G241" s="478"/>
      <c r="H241" s="478"/>
      <c r="I241" s="478"/>
      <c r="J241" s="478"/>
      <c r="K241" s="478"/>
      <c r="L241" s="478"/>
      <c r="M241" s="478"/>
      <c r="N241" s="478"/>
      <c r="O241" s="478"/>
      <c r="P241" s="478"/>
      <c r="Q241" s="478"/>
      <c r="R241" s="478"/>
      <c r="S241" s="478"/>
      <c r="T241" s="505"/>
      <c r="U241" s="478"/>
      <c r="V241" s="478"/>
      <c r="W241" s="506"/>
      <c r="X241" s="507"/>
      <c r="Y241" s="507"/>
      <c r="Z241" s="507"/>
      <c r="AA241" s="507"/>
      <c r="AB241" s="507"/>
      <c r="AC241" s="507"/>
      <c r="AD241" s="507"/>
      <c r="AE241" s="507"/>
      <c r="AF241" s="507"/>
      <c r="AG241" s="507"/>
      <c r="AH241" s="507"/>
      <c r="AI241" s="507"/>
      <c r="AJ241" s="507"/>
      <c r="AK241" s="507"/>
      <c r="AL241" s="478"/>
      <c r="AM241" s="478"/>
      <c r="AN241" s="478"/>
      <c r="AO241" s="478"/>
      <c r="AP241" s="478"/>
      <c r="AQ241" s="478"/>
      <c r="AR241" s="478"/>
      <c r="AS241" s="478"/>
      <c r="AT241" s="478"/>
      <c r="AU241" s="478"/>
      <c r="AV241" s="478"/>
      <c r="AW241" s="478"/>
      <c r="AX241" s="478"/>
      <c r="AY241" s="478"/>
      <c r="AZ241" s="478"/>
      <c r="BA241" s="478"/>
      <c r="BB241" s="478"/>
      <c r="BC241" s="478"/>
      <c r="BD241" s="478"/>
      <c r="BE241" s="478"/>
      <c r="BF241" s="478"/>
      <c r="BG241" s="478"/>
      <c r="BH241" s="478"/>
      <c r="BI241" s="478"/>
      <c r="BJ241" s="478"/>
      <c r="BK241" s="478"/>
      <c r="BL241" s="478"/>
      <c r="BM241" s="478"/>
      <c r="BN241" s="478"/>
      <c r="BO241" s="478"/>
      <c r="BP241" s="478"/>
      <c r="BQ241" s="478"/>
      <c r="BR241" s="478"/>
      <c r="BS241" s="478"/>
      <c r="BT241" s="478"/>
      <c r="BU241" s="478"/>
      <c r="BV241" s="478"/>
      <c r="BW241" s="478"/>
      <c r="BX241" s="478"/>
      <c r="BY241" s="478"/>
      <c r="BZ241" s="478"/>
      <c r="CA241" s="478"/>
      <c r="CB241" s="478"/>
      <c r="CC241" s="478"/>
      <c r="CD241" s="478"/>
      <c r="CE241" s="478"/>
      <c r="CF241" s="478"/>
      <c r="CG241" s="478"/>
      <c r="CH241" s="478"/>
      <c r="CI241" s="478"/>
      <c r="CJ241" s="478"/>
      <c r="CK241" s="478"/>
      <c r="CL241" s="478"/>
      <c r="CM241" s="478"/>
      <c r="CN241" s="478"/>
      <c r="CO241" s="478"/>
      <c r="CP241" s="478"/>
      <c r="CQ241" s="478"/>
      <c r="CR241" s="478"/>
      <c r="CS241" s="478"/>
      <c r="CT241" s="478"/>
      <c r="CU241" s="478"/>
      <c r="CV241" s="478"/>
      <c r="CW241" s="478"/>
      <c r="CX241" s="478"/>
      <c r="CY241" s="478"/>
      <c r="CZ241" s="478"/>
    </row>
    <row r="242" spans="1:104" ht="14.25" customHeight="1" x14ac:dyDescent="0.2">
      <c r="A242" s="478"/>
      <c r="B242" s="504"/>
      <c r="C242" s="478"/>
      <c r="D242" s="478"/>
      <c r="E242" s="478"/>
      <c r="F242" s="478"/>
      <c r="G242" s="478"/>
      <c r="H242" s="478"/>
      <c r="I242" s="478"/>
      <c r="J242" s="478"/>
      <c r="K242" s="478"/>
      <c r="L242" s="478"/>
      <c r="M242" s="478"/>
      <c r="N242" s="478"/>
      <c r="O242" s="478"/>
      <c r="P242" s="478"/>
      <c r="Q242" s="478"/>
      <c r="R242" s="478"/>
      <c r="S242" s="478"/>
      <c r="T242" s="505"/>
      <c r="U242" s="478"/>
      <c r="V242" s="478"/>
      <c r="W242" s="506"/>
      <c r="X242" s="507"/>
      <c r="Y242" s="507"/>
      <c r="Z242" s="507"/>
      <c r="AA242" s="507"/>
      <c r="AB242" s="507"/>
      <c r="AC242" s="507"/>
      <c r="AD242" s="507"/>
      <c r="AE242" s="507"/>
      <c r="AF242" s="507"/>
      <c r="AG242" s="507"/>
      <c r="AH242" s="507"/>
      <c r="AI242" s="507"/>
      <c r="AJ242" s="507"/>
      <c r="AK242" s="507"/>
      <c r="AL242" s="478"/>
      <c r="AM242" s="478"/>
      <c r="AN242" s="478"/>
      <c r="AO242" s="478"/>
      <c r="AP242" s="478"/>
      <c r="AQ242" s="478"/>
      <c r="AR242" s="478"/>
      <c r="AS242" s="478"/>
      <c r="AT242" s="478"/>
      <c r="AU242" s="478"/>
      <c r="AV242" s="478"/>
      <c r="AW242" s="478"/>
      <c r="AX242" s="478"/>
      <c r="AY242" s="478"/>
      <c r="AZ242" s="478"/>
      <c r="BA242" s="478"/>
      <c r="BB242" s="478"/>
      <c r="BC242" s="478"/>
      <c r="BD242" s="478"/>
      <c r="BE242" s="478"/>
      <c r="BF242" s="478"/>
      <c r="BG242" s="478"/>
      <c r="BH242" s="478"/>
      <c r="BI242" s="478"/>
      <c r="BJ242" s="478"/>
      <c r="BK242" s="478"/>
      <c r="BL242" s="478"/>
      <c r="BM242" s="478"/>
      <c r="BN242" s="478"/>
      <c r="BO242" s="478"/>
      <c r="BP242" s="478"/>
      <c r="BQ242" s="478"/>
      <c r="BR242" s="478"/>
      <c r="BS242" s="478"/>
      <c r="BT242" s="478"/>
      <c r="BU242" s="478"/>
      <c r="BV242" s="478"/>
      <c r="BW242" s="478"/>
      <c r="BX242" s="478"/>
      <c r="BY242" s="478"/>
      <c r="BZ242" s="478"/>
      <c r="CA242" s="478"/>
      <c r="CB242" s="478"/>
      <c r="CC242" s="478"/>
      <c r="CD242" s="478"/>
      <c r="CE242" s="478"/>
      <c r="CF242" s="478"/>
      <c r="CG242" s="478"/>
      <c r="CH242" s="478"/>
      <c r="CI242" s="478"/>
      <c r="CJ242" s="478"/>
      <c r="CK242" s="478"/>
      <c r="CL242" s="478"/>
      <c r="CM242" s="478"/>
      <c r="CN242" s="478"/>
      <c r="CO242" s="478"/>
      <c r="CP242" s="478"/>
      <c r="CQ242" s="478"/>
      <c r="CR242" s="478"/>
      <c r="CS242" s="478"/>
      <c r="CT242" s="478"/>
      <c r="CU242" s="478"/>
      <c r="CV242" s="478"/>
      <c r="CW242" s="478"/>
      <c r="CX242" s="478"/>
      <c r="CY242" s="478"/>
      <c r="CZ242" s="478"/>
    </row>
    <row r="243" spans="1:104" ht="14.25" customHeight="1" x14ac:dyDescent="0.2">
      <c r="A243" s="478"/>
      <c r="B243" s="504"/>
      <c r="C243" s="478"/>
      <c r="D243" s="478"/>
      <c r="E243" s="478"/>
      <c r="F243" s="478"/>
      <c r="G243" s="478"/>
      <c r="H243" s="478"/>
      <c r="I243" s="478"/>
      <c r="J243" s="478"/>
      <c r="K243" s="478"/>
      <c r="L243" s="478"/>
      <c r="M243" s="478"/>
      <c r="N243" s="478"/>
      <c r="O243" s="478"/>
      <c r="P243" s="478"/>
      <c r="Q243" s="478"/>
      <c r="R243" s="478"/>
      <c r="S243" s="478"/>
      <c r="T243" s="505"/>
      <c r="U243" s="478"/>
      <c r="V243" s="478"/>
      <c r="W243" s="506"/>
      <c r="X243" s="507"/>
      <c r="Y243" s="507"/>
      <c r="Z243" s="507"/>
      <c r="AA243" s="507"/>
      <c r="AB243" s="507"/>
      <c r="AC243" s="507"/>
      <c r="AD243" s="507"/>
      <c r="AE243" s="507"/>
      <c r="AF243" s="507"/>
      <c r="AG243" s="507"/>
      <c r="AH243" s="507"/>
      <c r="AI243" s="507"/>
      <c r="AJ243" s="507"/>
      <c r="AK243" s="507"/>
      <c r="AL243" s="478"/>
      <c r="AM243" s="478"/>
      <c r="AN243" s="478"/>
      <c r="AO243" s="478"/>
      <c r="AP243" s="478"/>
      <c r="AQ243" s="478"/>
      <c r="AR243" s="478"/>
      <c r="AS243" s="478"/>
      <c r="AT243" s="478"/>
      <c r="AU243" s="478"/>
      <c r="AV243" s="478"/>
      <c r="AW243" s="478"/>
      <c r="AX243" s="478"/>
      <c r="AY243" s="478"/>
      <c r="AZ243" s="478"/>
      <c r="BA243" s="478"/>
      <c r="BB243" s="478"/>
      <c r="BC243" s="478"/>
      <c r="BD243" s="478"/>
      <c r="BE243" s="478"/>
      <c r="BF243" s="478"/>
      <c r="BG243" s="478"/>
      <c r="BH243" s="478"/>
      <c r="BI243" s="478"/>
      <c r="BJ243" s="478"/>
      <c r="BK243" s="478"/>
      <c r="BL243" s="478"/>
      <c r="BM243" s="478"/>
      <c r="BN243" s="478"/>
      <c r="BO243" s="478"/>
      <c r="BP243" s="478"/>
      <c r="BQ243" s="478"/>
      <c r="BR243" s="478"/>
      <c r="BS243" s="478"/>
      <c r="BT243" s="478"/>
      <c r="BU243" s="478"/>
      <c r="BV243" s="478"/>
      <c r="BW243" s="478"/>
      <c r="BX243" s="478"/>
      <c r="BY243" s="478"/>
      <c r="BZ243" s="478"/>
      <c r="CA243" s="478"/>
      <c r="CB243" s="478"/>
      <c r="CC243" s="478"/>
      <c r="CD243" s="478"/>
      <c r="CE243" s="478"/>
      <c r="CF243" s="478"/>
      <c r="CG243" s="478"/>
      <c r="CH243" s="478"/>
      <c r="CI243" s="478"/>
      <c r="CJ243" s="478"/>
      <c r="CK243" s="478"/>
      <c r="CL243" s="478"/>
      <c r="CM243" s="478"/>
      <c r="CN243" s="478"/>
      <c r="CO243" s="478"/>
      <c r="CP243" s="478"/>
      <c r="CQ243" s="478"/>
      <c r="CR243" s="478"/>
      <c r="CS243" s="478"/>
      <c r="CT243" s="478"/>
      <c r="CU243" s="478"/>
      <c r="CV243" s="478"/>
      <c r="CW243" s="478"/>
      <c r="CX243" s="478"/>
      <c r="CY243" s="478"/>
      <c r="CZ243" s="478"/>
    </row>
    <row r="244" spans="1:104" ht="14.25" customHeight="1" x14ac:dyDescent="0.2">
      <c r="A244" s="478"/>
      <c r="B244" s="504"/>
      <c r="C244" s="478"/>
      <c r="D244" s="478"/>
      <c r="E244" s="478"/>
      <c r="F244" s="478"/>
      <c r="G244" s="478"/>
      <c r="H244" s="478"/>
      <c r="I244" s="478"/>
      <c r="J244" s="478"/>
      <c r="K244" s="478"/>
      <c r="L244" s="478"/>
      <c r="M244" s="478"/>
      <c r="N244" s="478"/>
      <c r="O244" s="478"/>
      <c r="P244" s="478"/>
      <c r="Q244" s="478"/>
      <c r="R244" s="478"/>
      <c r="S244" s="478"/>
      <c r="T244" s="505"/>
      <c r="U244" s="478"/>
      <c r="V244" s="478"/>
      <c r="W244" s="506"/>
      <c r="X244" s="507"/>
      <c r="Y244" s="507"/>
      <c r="Z244" s="507"/>
      <c r="AA244" s="507"/>
      <c r="AB244" s="507"/>
      <c r="AC244" s="507"/>
      <c r="AD244" s="507"/>
      <c r="AE244" s="507"/>
      <c r="AF244" s="507"/>
      <c r="AG244" s="507"/>
      <c r="AH244" s="507"/>
      <c r="AI244" s="507"/>
      <c r="AJ244" s="507"/>
      <c r="AK244" s="507"/>
      <c r="AL244" s="478"/>
      <c r="AM244" s="478"/>
      <c r="AN244" s="478"/>
      <c r="AO244" s="478"/>
      <c r="AP244" s="478"/>
      <c r="AQ244" s="478"/>
      <c r="AR244" s="478"/>
      <c r="AS244" s="478"/>
      <c r="AT244" s="478"/>
      <c r="AU244" s="478"/>
      <c r="AV244" s="478"/>
      <c r="AW244" s="478"/>
      <c r="AX244" s="478"/>
      <c r="AY244" s="478"/>
      <c r="AZ244" s="478"/>
      <c r="BA244" s="478"/>
      <c r="BB244" s="478"/>
      <c r="BC244" s="478"/>
      <c r="BD244" s="478"/>
      <c r="BE244" s="478"/>
      <c r="BF244" s="478"/>
      <c r="BG244" s="478"/>
      <c r="BH244" s="478"/>
      <c r="BI244" s="478"/>
      <c r="BJ244" s="478"/>
      <c r="BK244" s="478"/>
      <c r="BL244" s="478"/>
      <c r="BM244" s="478"/>
      <c r="BN244" s="478"/>
      <c r="BO244" s="478"/>
      <c r="BP244" s="478"/>
      <c r="BQ244" s="478"/>
      <c r="BR244" s="478"/>
      <c r="BS244" s="478"/>
      <c r="BT244" s="478"/>
      <c r="BU244" s="478"/>
      <c r="BV244" s="478"/>
      <c r="BW244" s="478"/>
      <c r="BX244" s="478"/>
      <c r="BY244" s="478"/>
      <c r="BZ244" s="478"/>
      <c r="CA244" s="478"/>
      <c r="CB244" s="478"/>
      <c r="CC244" s="478"/>
      <c r="CD244" s="478"/>
      <c r="CE244" s="478"/>
      <c r="CF244" s="478"/>
      <c r="CG244" s="478"/>
      <c r="CH244" s="478"/>
      <c r="CI244" s="478"/>
      <c r="CJ244" s="478"/>
      <c r="CK244" s="478"/>
      <c r="CL244" s="478"/>
      <c r="CM244" s="478"/>
      <c r="CN244" s="478"/>
      <c r="CO244" s="478"/>
      <c r="CP244" s="478"/>
      <c r="CQ244" s="478"/>
      <c r="CR244" s="478"/>
      <c r="CS244" s="478"/>
      <c r="CT244" s="478"/>
      <c r="CU244" s="478"/>
      <c r="CV244" s="478"/>
      <c r="CW244" s="478"/>
      <c r="CX244" s="478"/>
      <c r="CY244" s="478"/>
      <c r="CZ244" s="478"/>
    </row>
    <row r="245" spans="1:104" ht="14.25" customHeight="1" x14ac:dyDescent="0.2">
      <c r="A245" s="478"/>
      <c r="B245" s="504"/>
      <c r="C245" s="478"/>
      <c r="D245" s="478"/>
      <c r="E245" s="478"/>
      <c r="F245" s="478"/>
      <c r="G245" s="478"/>
      <c r="H245" s="478"/>
      <c r="I245" s="478"/>
      <c r="J245" s="478"/>
      <c r="K245" s="478"/>
      <c r="L245" s="478"/>
      <c r="M245" s="478"/>
      <c r="N245" s="478"/>
      <c r="O245" s="478"/>
      <c r="P245" s="478"/>
      <c r="Q245" s="478"/>
      <c r="R245" s="478"/>
      <c r="S245" s="478"/>
      <c r="T245" s="505"/>
      <c r="U245" s="478"/>
      <c r="V245" s="478"/>
      <c r="W245" s="506"/>
      <c r="X245" s="507"/>
      <c r="Y245" s="507"/>
      <c r="Z245" s="507"/>
      <c r="AA245" s="507"/>
      <c r="AB245" s="507"/>
      <c r="AC245" s="507"/>
      <c r="AD245" s="507"/>
      <c r="AE245" s="507"/>
      <c r="AF245" s="507"/>
      <c r="AG245" s="507"/>
      <c r="AH245" s="507"/>
      <c r="AI245" s="507"/>
      <c r="AJ245" s="507"/>
      <c r="AK245" s="507"/>
      <c r="AL245" s="478"/>
      <c r="AM245" s="478"/>
      <c r="AN245" s="478"/>
      <c r="AO245" s="478"/>
      <c r="AP245" s="478"/>
      <c r="AQ245" s="478"/>
      <c r="AR245" s="478"/>
      <c r="AS245" s="478"/>
      <c r="AT245" s="478"/>
      <c r="AU245" s="478"/>
      <c r="AV245" s="478"/>
      <c r="AW245" s="478"/>
      <c r="AX245" s="478"/>
      <c r="AY245" s="478"/>
      <c r="AZ245" s="478"/>
      <c r="BA245" s="478"/>
      <c r="BB245" s="478"/>
      <c r="BC245" s="478"/>
      <c r="BD245" s="478"/>
      <c r="BE245" s="478"/>
      <c r="BF245" s="478"/>
      <c r="BG245" s="478"/>
      <c r="BH245" s="478"/>
      <c r="BI245" s="478"/>
      <c r="BJ245" s="478"/>
      <c r="BK245" s="478"/>
      <c r="BL245" s="478"/>
      <c r="BM245" s="478"/>
      <c r="BN245" s="478"/>
      <c r="BO245" s="478"/>
      <c r="BP245" s="478"/>
      <c r="BQ245" s="478"/>
      <c r="BR245" s="478"/>
      <c r="BS245" s="478"/>
      <c r="BT245" s="478"/>
      <c r="BU245" s="478"/>
      <c r="BV245" s="478"/>
      <c r="BW245" s="478"/>
      <c r="BX245" s="478"/>
      <c r="BY245" s="478"/>
      <c r="BZ245" s="478"/>
      <c r="CA245" s="478"/>
      <c r="CB245" s="478"/>
      <c r="CC245" s="478"/>
      <c r="CD245" s="478"/>
      <c r="CE245" s="478"/>
      <c r="CF245" s="478"/>
      <c r="CG245" s="478"/>
      <c r="CH245" s="478"/>
      <c r="CI245" s="478"/>
      <c r="CJ245" s="478"/>
      <c r="CK245" s="478"/>
      <c r="CL245" s="478"/>
      <c r="CM245" s="478"/>
      <c r="CN245" s="478"/>
      <c r="CO245" s="478"/>
      <c r="CP245" s="478"/>
      <c r="CQ245" s="478"/>
      <c r="CR245" s="478"/>
      <c r="CS245" s="478"/>
      <c r="CT245" s="478"/>
      <c r="CU245" s="478"/>
      <c r="CV245" s="478"/>
      <c r="CW245" s="478"/>
      <c r="CX245" s="478"/>
      <c r="CY245" s="478"/>
      <c r="CZ245" s="478"/>
    </row>
    <row r="246" spans="1:104" ht="14.25" customHeight="1" x14ac:dyDescent="0.2">
      <c r="A246" s="478"/>
      <c r="B246" s="504"/>
      <c r="C246" s="478"/>
      <c r="D246" s="478"/>
      <c r="E246" s="478"/>
      <c r="F246" s="478"/>
      <c r="G246" s="478"/>
      <c r="H246" s="478"/>
      <c r="I246" s="478"/>
      <c r="J246" s="478"/>
      <c r="K246" s="478"/>
      <c r="L246" s="478"/>
      <c r="M246" s="478"/>
      <c r="N246" s="478"/>
      <c r="O246" s="478"/>
      <c r="P246" s="478"/>
      <c r="Q246" s="478"/>
      <c r="R246" s="478"/>
      <c r="S246" s="478"/>
      <c r="T246" s="505"/>
      <c r="U246" s="478"/>
      <c r="V246" s="478"/>
      <c r="W246" s="506"/>
      <c r="X246" s="507"/>
      <c r="Y246" s="507"/>
      <c r="Z246" s="507"/>
      <c r="AA246" s="507"/>
      <c r="AB246" s="507"/>
      <c r="AC246" s="507"/>
      <c r="AD246" s="507"/>
      <c r="AE246" s="507"/>
      <c r="AF246" s="507"/>
      <c r="AG246" s="507"/>
      <c r="AH246" s="507"/>
      <c r="AI246" s="507"/>
      <c r="AJ246" s="507"/>
      <c r="AK246" s="507"/>
      <c r="AL246" s="478"/>
      <c r="AM246" s="478"/>
      <c r="AN246" s="478"/>
      <c r="AO246" s="478"/>
      <c r="AP246" s="478"/>
      <c r="AQ246" s="478"/>
      <c r="AR246" s="478"/>
      <c r="AS246" s="478"/>
      <c r="AT246" s="478"/>
      <c r="AU246" s="478"/>
      <c r="AV246" s="478"/>
      <c r="AW246" s="478"/>
      <c r="AX246" s="478"/>
      <c r="AY246" s="478"/>
      <c r="AZ246" s="478"/>
      <c r="BA246" s="478"/>
      <c r="BB246" s="478"/>
      <c r="BC246" s="478"/>
      <c r="BD246" s="478"/>
      <c r="BE246" s="478"/>
      <c r="BF246" s="478"/>
      <c r="BG246" s="478"/>
      <c r="BH246" s="478"/>
      <c r="BI246" s="478"/>
      <c r="BJ246" s="478"/>
      <c r="BK246" s="478"/>
      <c r="BL246" s="478"/>
      <c r="BM246" s="478"/>
      <c r="BN246" s="478"/>
      <c r="BO246" s="478"/>
      <c r="BP246" s="478"/>
      <c r="BQ246" s="478"/>
      <c r="BR246" s="478"/>
      <c r="BS246" s="478"/>
      <c r="BT246" s="478"/>
      <c r="BU246" s="478"/>
      <c r="BV246" s="478"/>
      <c r="BW246" s="478"/>
      <c r="BX246" s="478"/>
      <c r="BY246" s="478"/>
      <c r="BZ246" s="478"/>
      <c r="CA246" s="478"/>
      <c r="CB246" s="478"/>
      <c r="CC246" s="478"/>
      <c r="CD246" s="478"/>
      <c r="CE246" s="478"/>
      <c r="CF246" s="478"/>
      <c r="CG246" s="478"/>
      <c r="CH246" s="478"/>
      <c r="CI246" s="478"/>
      <c r="CJ246" s="478"/>
      <c r="CK246" s="478"/>
      <c r="CL246" s="478"/>
      <c r="CM246" s="478"/>
      <c r="CN246" s="478"/>
      <c r="CO246" s="478"/>
      <c r="CP246" s="478"/>
      <c r="CQ246" s="478"/>
      <c r="CR246" s="478"/>
      <c r="CS246" s="478"/>
      <c r="CT246" s="478"/>
      <c r="CU246" s="478"/>
      <c r="CV246" s="478"/>
      <c r="CW246" s="478"/>
      <c r="CX246" s="478"/>
      <c r="CY246" s="478"/>
      <c r="CZ246" s="478"/>
    </row>
    <row r="247" spans="1:104" ht="14.25" customHeight="1" x14ac:dyDescent="0.2">
      <c r="A247" s="478"/>
      <c r="B247" s="504"/>
      <c r="C247" s="478"/>
      <c r="D247" s="478"/>
      <c r="E247" s="478"/>
      <c r="F247" s="478"/>
      <c r="G247" s="478"/>
      <c r="H247" s="478"/>
      <c r="I247" s="478"/>
      <c r="J247" s="478"/>
      <c r="K247" s="478"/>
      <c r="L247" s="478"/>
      <c r="M247" s="478"/>
      <c r="N247" s="478"/>
      <c r="O247" s="478"/>
      <c r="P247" s="478"/>
      <c r="Q247" s="478"/>
      <c r="R247" s="478"/>
      <c r="S247" s="478"/>
      <c r="T247" s="505"/>
      <c r="U247" s="478"/>
      <c r="V247" s="478"/>
      <c r="W247" s="506"/>
      <c r="X247" s="507"/>
      <c r="Y247" s="507"/>
      <c r="Z247" s="507"/>
      <c r="AA247" s="507"/>
      <c r="AB247" s="507"/>
      <c r="AC247" s="507"/>
      <c r="AD247" s="507"/>
      <c r="AE247" s="507"/>
      <c r="AF247" s="507"/>
      <c r="AG247" s="507"/>
      <c r="AH247" s="507"/>
      <c r="AI247" s="507"/>
      <c r="AJ247" s="507"/>
      <c r="AK247" s="507"/>
      <c r="AL247" s="478"/>
      <c r="AM247" s="478"/>
      <c r="AN247" s="478"/>
      <c r="AO247" s="478"/>
      <c r="AP247" s="478"/>
      <c r="AQ247" s="478"/>
      <c r="AR247" s="478"/>
      <c r="AS247" s="478"/>
      <c r="AT247" s="478"/>
      <c r="AU247" s="478"/>
      <c r="AV247" s="478"/>
      <c r="AW247" s="478"/>
      <c r="AX247" s="478"/>
      <c r="AY247" s="478"/>
      <c r="AZ247" s="478"/>
      <c r="BA247" s="478"/>
      <c r="BB247" s="478"/>
      <c r="BC247" s="478"/>
      <c r="BD247" s="478"/>
      <c r="BE247" s="478"/>
      <c r="BF247" s="478"/>
      <c r="BG247" s="478"/>
      <c r="BH247" s="478"/>
      <c r="BI247" s="478"/>
      <c r="BJ247" s="478"/>
      <c r="BK247" s="478"/>
      <c r="BL247" s="478"/>
      <c r="BM247" s="478"/>
      <c r="BN247" s="478"/>
      <c r="BO247" s="478"/>
      <c r="BP247" s="478"/>
      <c r="BQ247" s="478"/>
      <c r="BR247" s="478"/>
      <c r="BS247" s="478"/>
      <c r="BT247" s="478"/>
      <c r="BU247" s="478"/>
      <c r="BV247" s="478"/>
      <c r="BW247" s="478"/>
      <c r="BX247" s="478"/>
      <c r="BY247" s="478"/>
      <c r="BZ247" s="478"/>
      <c r="CA247" s="478"/>
      <c r="CB247" s="478"/>
      <c r="CC247" s="478"/>
      <c r="CD247" s="478"/>
      <c r="CE247" s="478"/>
      <c r="CF247" s="478"/>
      <c r="CG247" s="478"/>
      <c r="CH247" s="478"/>
      <c r="CI247" s="478"/>
      <c r="CJ247" s="478"/>
      <c r="CK247" s="478"/>
      <c r="CL247" s="478"/>
      <c r="CM247" s="478"/>
      <c r="CN247" s="478"/>
      <c r="CO247" s="478"/>
      <c r="CP247" s="478"/>
      <c r="CQ247" s="478"/>
      <c r="CR247" s="478"/>
      <c r="CS247" s="478"/>
      <c r="CT247" s="478"/>
      <c r="CU247" s="478"/>
      <c r="CV247" s="478"/>
      <c r="CW247" s="478"/>
      <c r="CX247" s="478"/>
      <c r="CY247" s="478"/>
      <c r="CZ247" s="478"/>
    </row>
    <row r="248" spans="1:104" ht="14.25" customHeight="1" x14ac:dyDescent="0.2">
      <c r="A248" s="478"/>
      <c r="B248" s="504"/>
      <c r="C248" s="478"/>
      <c r="D248" s="478"/>
      <c r="E248" s="478"/>
      <c r="F248" s="478"/>
      <c r="G248" s="478"/>
      <c r="H248" s="478"/>
      <c r="I248" s="478"/>
      <c r="J248" s="478"/>
      <c r="K248" s="478"/>
      <c r="L248" s="478"/>
      <c r="M248" s="478"/>
      <c r="N248" s="478"/>
      <c r="O248" s="478"/>
      <c r="P248" s="478"/>
      <c r="Q248" s="478"/>
      <c r="R248" s="478"/>
      <c r="S248" s="478"/>
      <c r="T248" s="505"/>
      <c r="U248" s="478"/>
      <c r="V248" s="478"/>
      <c r="W248" s="506"/>
      <c r="X248" s="507"/>
      <c r="Y248" s="507"/>
      <c r="Z248" s="507"/>
      <c r="AA248" s="507"/>
      <c r="AB248" s="507"/>
      <c r="AC248" s="507"/>
      <c r="AD248" s="507"/>
      <c r="AE248" s="507"/>
      <c r="AF248" s="507"/>
      <c r="AG248" s="507"/>
      <c r="AH248" s="507"/>
      <c r="AI248" s="507"/>
      <c r="AJ248" s="507"/>
      <c r="AK248" s="507"/>
      <c r="AL248" s="478"/>
      <c r="AM248" s="478"/>
      <c r="AN248" s="478"/>
      <c r="AO248" s="478"/>
      <c r="AP248" s="478"/>
      <c r="AQ248" s="478"/>
      <c r="AR248" s="478"/>
      <c r="AS248" s="478"/>
      <c r="AT248" s="478"/>
      <c r="AU248" s="478"/>
      <c r="AV248" s="478"/>
      <c r="AW248" s="478"/>
      <c r="AX248" s="478"/>
      <c r="AY248" s="478"/>
      <c r="AZ248" s="478"/>
      <c r="BA248" s="478"/>
      <c r="BB248" s="478"/>
      <c r="BC248" s="478"/>
      <c r="BD248" s="478"/>
      <c r="BE248" s="478"/>
      <c r="BF248" s="478"/>
      <c r="BG248" s="478"/>
      <c r="BH248" s="478"/>
      <c r="BI248" s="478"/>
      <c r="BJ248" s="478"/>
      <c r="BK248" s="478"/>
      <c r="BL248" s="478"/>
      <c r="BM248" s="478"/>
      <c r="BN248" s="478"/>
      <c r="BO248" s="478"/>
      <c r="BP248" s="478"/>
      <c r="BQ248" s="478"/>
      <c r="BR248" s="478"/>
      <c r="BS248" s="478"/>
      <c r="BT248" s="478"/>
      <c r="BU248" s="478"/>
      <c r="BV248" s="478"/>
      <c r="BW248" s="478"/>
      <c r="BX248" s="478"/>
      <c r="BY248" s="478"/>
      <c r="BZ248" s="478"/>
      <c r="CA248" s="478"/>
      <c r="CB248" s="478"/>
      <c r="CC248" s="478"/>
      <c r="CD248" s="478"/>
      <c r="CE248" s="478"/>
      <c r="CF248" s="478"/>
      <c r="CG248" s="478"/>
      <c r="CH248" s="478"/>
      <c r="CI248" s="478"/>
      <c r="CJ248" s="478"/>
      <c r="CK248" s="478"/>
      <c r="CL248" s="478"/>
      <c r="CM248" s="478"/>
      <c r="CN248" s="478"/>
      <c r="CO248" s="478"/>
      <c r="CP248" s="478"/>
      <c r="CQ248" s="478"/>
      <c r="CR248" s="478"/>
      <c r="CS248" s="478"/>
      <c r="CT248" s="478"/>
      <c r="CU248" s="478"/>
      <c r="CV248" s="478"/>
      <c r="CW248" s="478"/>
      <c r="CX248" s="478"/>
      <c r="CY248" s="478"/>
      <c r="CZ248" s="478"/>
    </row>
    <row r="249" spans="1:104" ht="14.25" customHeight="1" x14ac:dyDescent="0.2">
      <c r="A249" s="478"/>
      <c r="B249" s="504"/>
      <c r="C249" s="478"/>
      <c r="D249" s="478"/>
      <c r="E249" s="478"/>
      <c r="F249" s="478"/>
      <c r="G249" s="478"/>
      <c r="H249" s="478"/>
      <c r="I249" s="478"/>
      <c r="J249" s="478"/>
      <c r="K249" s="478"/>
      <c r="L249" s="478"/>
      <c r="M249" s="478"/>
      <c r="N249" s="478"/>
      <c r="O249" s="478"/>
      <c r="P249" s="478"/>
      <c r="Q249" s="478"/>
      <c r="R249" s="478"/>
      <c r="S249" s="478"/>
      <c r="T249" s="505"/>
      <c r="U249" s="478"/>
      <c r="V249" s="478"/>
      <c r="W249" s="506"/>
      <c r="X249" s="507"/>
      <c r="Y249" s="507"/>
      <c r="Z249" s="507"/>
      <c r="AA249" s="507"/>
      <c r="AB249" s="507"/>
      <c r="AC249" s="507"/>
      <c r="AD249" s="507"/>
      <c r="AE249" s="507"/>
      <c r="AF249" s="507"/>
      <c r="AG249" s="507"/>
      <c r="AH249" s="507"/>
      <c r="AI249" s="507"/>
      <c r="AJ249" s="507"/>
      <c r="AK249" s="507"/>
      <c r="AL249" s="478"/>
      <c r="AM249" s="478"/>
      <c r="AN249" s="478"/>
      <c r="AO249" s="478"/>
      <c r="AP249" s="478"/>
      <c r="AQ249" s="478"/>
      <c r="AR249" s="478"/>
      <c r="AS249" s="478"/>
      <c r="AT249" s="478"/>
      <c r="AU249" s="478"/>
      <c r="AV249" s="478"/>
      <c r="AW249" s="478"/>
      <c r="AX249" s="478"/>
      <c r="AY249" s="478"/>
      <c r="AZ249" s="478"/>
      <c r="BA249" s="478"/>
      <c r="BB249" s="478"/>
      <c r="BC249" s="478"/>
      <c r="BD249" s="478"/>
      <c r="BE249" s="478"/>
      <c r="BF249" s="478"/>
      <c r="BG249" s="478"/>
      <c r="BH249" s="478"/>
      <c r="BI249" s="478"/>
      <c r="BJ249" s="478"/>
      <c r="BK249" s="478"/>
      <c r="BL249" s="478"/>
      <c r="BM249" s="478"/>
      <c r="BN249" s="478"/>
      <c r="BO249" s="478"/>
      <c r="BP249" s="478"/>
      <c r="BQ249" s="478"/>
      <c r="BR249" s="478"/>
      <c r="BS249" s="478"/>
      <c r="BT249" s="478"/>
      <c r="BU249" s="478"/>
      <c r="BV249" s="478"/>
      <c r="BW249" s="478"/>
      <c r="BX249" s="478"/>
      <c r="BY249" s="478"/>
      <c r="BZ249" s="478"/>
      <c r="CA249" s="478"/>
      <c r="CB249" s="478"/>
      <c r="CC249" s="478"/>
      <c r="CD249" s="478"/>
      <c r="CE249" s="478"/>
      <c r="CF249" s="478"/>
      <c r="CG249" s="478"/>
      <c r="CH249" s="478"/>
      <c r="CI249" s="478"/>
      <c r="CJ249" s="478"/>
      <c r="CK249" s="478"/>
      <c r="CL249" s="478"/>
      <c r="CM249" s="478"/>
      <c r="CN249" s="478"/>
      <c r="CO249" s="478"/>
      <c r="CP249" s="478"/>
      <c r="CQ249" s="478"/>
      <c r="CR249" s="478"/>
      <c r="CS249" s="478"/>
      <c r="CT249" s="478"/>
      <c r="CU249" s="478"/>
      <c r="CV249" s="478"/>
      <c r="CW249" s="478"/>
      <c r="CX249" s="478"/>
      <c r="CY249" s="478"/>
      <c r="CZ249" s="478"/>
    </row>
    <row r="250" spans="1:104" ht="14.25" customHeight="1" x14ac:dyDescent="0.2">
      <c r="A250" s="478"/>
      <c r="B250" s="504"/>
      <c r="C250" s="478"/>
      <c r="D250" s="478"/>
      <c r="E250" s="478"/>
      <c r="F250" s="478"/>
      <c r="G250" s="478"/>
      <c r="H250" s="478"/>
      <c r="I250" s="478"/>
      <c r="J250" s="478"/>
      <c r="K250" s="478"/>
      <c r="L250" s="478"/>
      <c r="M250" s="478"/>
      <c r="N250" s="478"/>
      <c r="O250" s="478"/>
      <c r="P250" s="478"/>
      <c r="Q250" s="478"/>
      <c r="R250" s="478"/>
      <c r="S250" s="478"/>
      <c r="T250" s="505"/>
      <c r="U250" s="478"/>
      <c r="V250" s="478"/>
      <c r="W250" s="506"/>
      <c r="X250" s="507"/>
      <c r="Y250" s="507"/>
      <c r="Z250" s="507"/>
      <c r="AA250" s="507"/>
      <c r="AB250" s="507"/>
      <c r="AC250" s="507"/>
      <c r="AD250" s="507"/>
      <c r="AE250" s="507"/>
      <c r="AF250" s="507"/>
      <c r="AG250" s="507"/>
      <c r="AH250" s="507"/>
      <c r="AI250" s="507"/>
      <c r="AJ250" s="507"/>
      <c r="AK250" s="507"/>
      <c r="AL250" s="478"/>
      <c r="AM250" s="478"/>
      <c r="AN250" s="478"/>
      <c r="AO250" s="478"/>
      <c r="AP250" s="478"/>
      <c r="AQ250" s="478"/>
      <c r="AR250" s="478"/>
      <c r="AS250" s="478"/>
      <c r="AT250" s="478"/>
      <c r="AU250" s="478"/>
      <c r="AV250" s="478"/>
      <c r="AW250" s="478"/>
      <c r="AX250" s="478"/>
      <c r="AY250" s="478"/>
      <c r="AZ250" s="478"/>
      <c r="BA250" s="478"/>
      <c r="BB250" s="478"/>
      <c r="BC250" s="478"/>
      <c r="BD250" s="478"/>
      <c r="BE250" s="478"/>
      <c r="BF250" s="478"/>
      <c r="BG250" s="478"/>
      <c r="BH250" s="478"/>
      <c r="BI250" s="478"/>
      <c r="BJ250" s="478"/>
      <c r="BK250" s="478"/>
      <c r="BL250" s="478"/>
      <c r="BM250" s="478"/>
      <c r="BN250" s="478"/>
      <c r="BO250" s="478"/>
      <c r="BP250" s="478"/>
      <c r="BQ250" s="478"/>
      <c r="BR250" s="478"/>
      <c r="BS250" s="478"/>
      <c r="BT250" s="478"/>
      <c r="BU250" s="478"/>
      <c r="BV250" s="478"/>
      <c r="BW250" s="478"/>
      <c r="BX250" s="478"/>
      <c r="BY250" s="478"/>
      <c r="BZ250" s="478"/>
      <c r="CA250" s="478"/>
      <c r="CB250" s="478"/>
      <c r="CC250" s="478"/>
      <c r="CD250" s="478"/>
      <c r="CE250" s="478"/>
      <c r="CF250" s="478"/>
      <c r="CG250" s="478"/>
      <c r="CH250" s="478"/>
      <c r="CI250" s="478"/>
      <c r="CJ250" s="478"/>
      <c r="CK250" s="478"/>
      <c r="CL250" s="478"/>
      <c r="CM250" s="478"/>
      <c r="CN250" s="478"/>
      <c r="CO250" s="478"/>
      <c r="CP250" s="478"/>
      <c r="CQ250" s="478"/>
      <c r="CR250" s="478"/>
      <c r="CS250" s="478"/>
      <c r="CT250" s="478"/>
      <c r="CU250" s="478"/>
      <c r="CV250" s="478"/>
      <c r="CW250" s="478"/>
      <c r="CX250" s="478"/>
      <c r="CY250" s="478"/>
      <c r="CZ250" s="478"/>
    </row>
    <row r="251" spans="1:104" ht="14.25" customHeight="1" x14ac:dyDescent="0.2">
      <c r="A251" s="478"/>
      <c r="B251" s="504"/>
      <c r="C251" s="478"/>
      <c r="D251" s="478"/>
      <c r="E251" s="478"/>
      <c r="F251" s="478"/>
      <c r="G251" s="478"/>
      <c r="H251" s="478"/>
      <c r="I251" s="478"/>
      <c r="J251" s="478"/>
      <c r="K251" s="478"/>
      <c r="L251" s="478"/>
      <c r="M251" s="478"/>
      <c r="N251" s="478"/>
      <c r="O251" s="478"/>
      <c r="P251" s="478"/>
      <c r="Q251" s="478"/>
      <c r="R251" s="478"/>
      <c r="S251" s="478"/>
      <c r="T251" s="505"/>
      <c r="U251" s="478"/>
      <c r="V251" s="478"/>
      <c r="W251" s="506"/>
      <c r="X251" s="507"/>
      <c r="Y251" s="507"/>
      <c r="Z251" s="507"/>
      <c r="AA251" s="507"/>
      <c r="AB251" s="507"/>
      <c r="AC251" s="507"/>
      <c r="AD251" s="507"/>
      <c r="AE251" s="507"/>
      <c r="AF251" s="507"/>
      <c r="AG251" s="507"/>
      <c r="AH251" s="507"/>
      <c r="AI251" s="507"/>
      <c r="AJ251" s="507"/>
      <c r="AK251" s="507"/>
      <c r="AL251" s="478"/>
      <c r="AM251" s="478"/>
      <c r="AN251" s="478"/>
      <c r="AO251" s="478"/>
      <c r="AP251" s="478"/>
      <c r="AQ251" s="478"/>
      <c r="AR251" s="478"/>
      <c r="AS251" s="478"/>
      <c r="AT251" s="478"/>
      <c r="AU251" s="478"/>
      <c r="AV251" s="478"/>
      <c r="AW251" s="478"/>
      <c r="AX251" s="478"/>
      <c r="AY251" s="478"/>
      <c r="AZ251" s="478"/>
      <c r="BA251" s="478"/>
      <c r="BB251" s="478"/>
      <c r="BC251" s="478"/>
      <c r="BD251" s="478"/>
      <c r="BE251" s="478"/>
      <c r="BF251" s="478"/>
      <c r="BG251" s="478"/>
      <c r="BH251" s="478"/>
      <c r="BI251" s="478"/>
      <c r="BJ251" s="478"/>
      <c r="BK251" s="478"/>
      <c r="BL251" s="478"/>
      <c r="BM251" s="478"/>
      <c r="BN251" s="478"/>
      <c r="BO251" s="478"/>
      <c r="BP251" s="478"/>
      <c r="BQ251" s="478"/>
      <c r="BR251" s="478"/>
      <c r="BS251" s="478"/>
      <c r="BT251" s="478"/>
      <c r="BU251" s="478"/>
      <c r="BV251" s="478"/>
      <c r="BW251" s="478"/>
      <c r="BX251" s="478"/>
      <c r="BY251" s="478"/>
      <c r="BZ251" s="478"/>
      <c r="CA251" s="478"/>
      <c r="CB251" s="478"/>
      <c r="CC251" s="478"/>
      <c r="CD251" s="478"/>
      <c r="CE251" s="478"/>
      <c r="CF251" s="478"/>
      <c r="CG251" s="478"/>
      <c r="CH251" s="478"/>
      <c r="CI251" s="478"/>
      <c r="CJ251" s="478"/>
      <c r="CK251" s="478"/>
      <c r="CL251" s="478"/>
      <c r="CM251" s="478"/>
      <c r="CN251" s="478"/>
      <c r="CO251" s="478"/>
      <c r="CP251" s="478"/>
      <c r="CQ251" s="478"/>
      <c r="CR251" s="478"/>
      <c r="CS251" s="478"/>
      <c r="CT251" s="478"/>
      <c r="CU251" s="478"/>
      <c r="CV251" s="478"/>
      <c r="CW251" s="478"/>
      <c r="CX251" s="478"/>
      <c r="CY251" s="478"/>
      <c r="CZ251" s="478"/>
    </row>
    <row r="252" spans="1:104" ht="14.25" customHeight="1" x14ac:dyDescent="0.2">
      <c r="A252" s="478"/>
      <c r="B252" s="504"/>
      <c r="C252" s="478"/>
      <c r="D252" s="478"/>
      <c r="E252" s="478"/>
      <c r="F252" s="478"/>
      <c r="G252" s="478"/>
      <c r="H252" s="478"/>
      <c r="I252" s="478"/>
      <c r="J252" s="478"/>
      <c r="K252" s="478"/>
      <c r="L252" s="478"/>
      <c r="M252" s="478"/>
      <c r="N252" s="478"/>
      <c r="O252" s="478"/>
      <c r="P252" s="478"/>
      <c r="Q252" s="478"/>
      <c r="R252" s="478"/>
      <c r="S252" s="478"/>
      <c r="T252" s="505"/>
      <c r="U252" s="478"/>
      <c r="V252" s="478"/>
      <c r="W252" s="506"/>
      <c r="X252" s="507"/>
      <c r="Y252" s="507"/>
      <c r="Z252" s="507"/>
      <c r="AA252" s="507"/>
      <c r="AB252" s="507"/>
      <c r="AC252" s="507"/>
      <c r="AD252" s="507"/>
      <c r="AE252" s="507"/>
      <c r="AF252" s="507"/>
      <c r="AG252" s="507"/>
      <c r="AH252" s="507"/>
      <c r="AI252" s="507"/>
      <c r="AJ252" s="507"/>
      <c r="AK252" s="507"/>
      <c r="AL252" s="478"/>
      <c r="AM252" s="478"/>
      <c r="AN252" s="478"/>
      <c r="AO252" s="478"/>
      <c r="AP252" s="478"/>
      <c r="AQ252" s="478"/>
      <c r="AR252" s="478"/>
      <c r="AS252" s="478"/>
      <c r="AT252" s="478"/>
      <c r="AU252" s="478"/>
      <c r="AV252" s="478"/>
      <c r="AW252" s="478"/>
      <c r="AX252" s="478"/>
      <c r="AY252" s="478"/>
      <c r="AZ252" s="478"/>
      <c r="BA252" s="478"/>
      <c r="BB252" s="478"/>
      <c r="BC252" s="478"/>
      <c r="BD252" s="478"/>
      <c r="BE252" s="478"/>
      <c r="BF252" s="478"/>
      <c r="BG252" s="478"/>
      <c r="BH252" s="478"/>
      <c r="BI252" s="478"/>
      <c r="BJ252" s="478"/>
      <c r="BK252" s="478"/>
      <c r="BL252" s="478"/>
      <c r="BM252" s="478"/>
      <c r="BN252" s="478"/>
      <c r="BO252" s="478"/>
      <c r="BP252" s="478"/>
      <c r="BQ252" s="478"/>
      <c r="BR252" s="478"/>
      <c r="BS252" s="478"/>
      <c r="BT252" s="478"/>
      <c r="BU252" s="478"/>
      <c r="BV252" s="478"/>
      <c r="BW252" s="478"/>
      <c r="BX252" s="478"/>
      <c r="BY252" s="478"/>
      <c r="BZ252" s="478"/>
      <c r="CA252" s="478"/>
      <c r="CB252" s="478"/>
      <c r="CC252" s="478"/>
      <c r="CD252" s="478"/>
      <c r="CE252" s="478"/>
      <c r="CF252" s="478"/>
      <c r="CG252" s="478"/>
      <c r="CH252" s="478"/>
      <c r="CI252" s="478"/>
      <c r="CJ252" s="478"/>
      <c r="CK252" s="478"/>
      <c r="CL252" s="478"/>
      <c r="CM252" s="478"/>
      <c r="CN252" s="478"/>
      <c r="CO252" s="478"/>
      <c r="CP252" s="478"/>
      <c r="CQ252" s="478"/>
      <c r="CR252" s="478"/>
      <c r="CS252" s="478"/>
      <c r="CT252" s="478"/>
      <c r="CU252" s="478"/>
      <c r="CV252" s="478"/>
      <c r="CW252" s="478"/>
      <c r="CX252" s="478"/>
      <c r="CY252" s="478"/>
      <c r="CZ252" s="478"/>
    </row>
    <row r="253" spans="1:104" ht="14.25" customHeight="1" x14ac:dyDescent="0.2">
      <c r="A253" s="478"/>
      <c r="B253" s="504"/>
      <c r="C253" s="478"/>
      <c r="D253" s="478"/>
      <c r="E253" s="478"/>
      <c r="F253" s="478"/>
      <c r="G253" s="478"/>
      <c r="H253" s="478"/>
      <c r="I253" s="478"/>
      <c r="J253" s="478"/>
      <c r="K253" s="478"/>
      <c r="L253" s="478"/>
      <c r="M253" s="478"/>
      <c r="N253" s="478"/>
      <c r="O253" s="478"/>
      <c r="P253" s="478"/>
      <c r="Q253" s="478"/>
      <c r="R253" s="478"/>
      <c r="S253" s="478"/>
      <c r="T253" s="505"/>
      <c r="U253" s="478"/>
      <c r="V253" s="478"/>
      <c r="W253" s="506"/>
      <c r="X253" s="507"/>
      <c r="Y253" s="507"/>
      <c r="Z253" s="507"/>
      <c r="AA253" s="507"/>
      <c r="AB253" s="507"/>
      <c r="AC253" s="507"/>
      <c r="AD253" s="507"/>
      <c r="AE253" s="507"/>
      <c r="AF253" s="507"/>
      <c r="AG253" s="507"/>
      <c r="AH253" s="507"/>
      <c r="AI253" s="507"/>
      <c r="AJ253" s="507"/>
      <c r="AK253" s="507"/>
      <c r="AL253" s="478"/>
      <c r="AM253" s="478"/>
      <c r="AN253" s="478"/>
      <c r="AO253" s="478"/>
      <c r="AP253" s="478"/>
      <c r="AQ253" s="478"/>
      <c r="AR253" s="478"/>
      <c r="AS253" s="478"/>
      <c r="AT253" s="478"/>
      <c r="AU253" s="478"/>
      <c r="AV253" s="478"/>
      <c r="AW253" s="478"/>
      <c r="AX253" s="478"/>
      <c r="AY253" s="478"/>
      <c r="AZ253" s="478"/>
      <c r="BA253" s="478"/>
      <c r="BB253" s="478"/>
      <c r="BC253" s="478"/>
      <c r="BD253" s="478"/>
      <c r="BE253" s="478"/>
      <c r="BF253" s="478"/>
      <c r="BG253" s="478"/>
      <c r="BH253" s="478"/>
      <c r="BI253" s="478"/>
      <c r="BJ253" s="478"/>
      <c r="BK253" s="478"/>
      <c r="BL253" s="478"/>
      <c r="BM253" s="478"/>
      <c r="BN253" s="478"/>
      <c r="BO253" s="478"/>
      <c r="BP253" s="478"/>
      <c r="BQ253" s="478"/>
      <c r="BR253" s="478"/>
      <c r="BS253" s="478"/>
      <c r="BT253" s="478"/>
      <c r="BU253" s="478"/>
      <c r="BV253" s="478"/>
      <c r="BW253" s="478"/>
      <c r="BX253" s="478"/>
      <c r="BY253" s="478"/>
      <c r="BZ253" s="478"/>
      <c r="CA253" s="478"/>
      <c r="CB253" s="478"/>
      <c r="CC253" s="478"/>
      <c r="CD253" s="478"/>
      <c r="CE253" s="478"/>
      <c r="CF253" s="478"/>
      <c r="CG253" s="478"/>
      <c r="CH253" s="478"/>
      <c r="CI253" s="478"/>
      <c r="CJ253" s="478"/>
      <c r="CK253" s="478"/>
      <c r="CL253" s="478"/>
      <c r="CM253" s="478"/>
      <c r="CN253" s="478"/>
      <c r="CO253" s="478"/>
      <c r="CP253" s="478"/>
      <c r="CQ253" s="478"/>
      <c r="CR253" s="478"/>
      <c r="CS253" s="478"/>
      <c r="CT253" s="478"/>
      <c r="CU253" s="478"/>
      <c r="CV253" s="478"/>
      <c r="CW253" s="478"/>
      <c r="CX253" s="478"/>
      <c r="CY253" s="478"/>
      <c r="CZ253" s="478"/>
    </row>
    <row r="254" spans="1:104" ht="14.25" customHeight="1" x14ac:dyDescent="0.2">
      <c r="A254" s="478"/>
      <c r="B254" s="504"/>
      <c r="C254" s="478"/>
      <c r="D254" s="478"/>
      <c r="E254" s="478"/>
      <c r="F254" s="478"/>
      <c r="G254" s="478"/>
      <c r="H254" s="478"/>
      <c r="I254" s="478"/>
      <c r="J254" s="478"/>
      <c r="K254" s="478"/>
      <c r="L254" s="478"/>
      <c r="M254" s="478"/>
      <c r="N254" s="478"/>
      <c r="O254" s="478"/>
      <c r="P254" s="478"/>
      <c r="Q254" s="478"/>
      <c r="R254" s="478"/>
      <c r="S254" s="478"/>
      <c r="T254" s="505"/>
      <c r="U254" s="478"/>
      <c r="V254" s="478"/>
      <c r="W254" s="506"/>
      <c r="X254" s="507"/>
      <c r="Y254" s="507"/>
      <c r="Z254" s="507"/>
      <c r="AA254" s="507"/>
      <c r="AB254" s="507"/>
      <c r="AC254" s="507"/>
      <c r="AD254" s="507"/>
      <c r="AE254" s="507"/>
      <c r="AF254" s="507"/>
      <c r="AG254" s="507"/>
      <c r="AH254" s="507"/>
      <c r="AI254" s="507"/>
      <c r="AJ254" s="507"/>
      <c r="AK254" s="507"/>
      <c r="AL254" s="478"/>
      <c r="AM254" s="478"/>
      <c r="AN254" s="478"/>
      <c r="AO254" s="478"/>
      <c r="AP254" s="478"/>
      <c r="AQ254" s="478"/>
      <c r="AR254" s="478"/>
      <c r="AS254" s="478"/>
      <c r="AT254" s="478"/>
      <c r="AU254" s="478"/>
      <c r="AV254" s="478"/>
      <c r="AW254" s="478"/>
      <c r="AX254" s="478"/>
      <c r="AY254" s="478"/>
      <c r="AZ254" s="478"/>
      <c r="BA254" s="478"/>
      <c r="BB254" s="478"/>
      <c r="BC254" s="478"/>
      <c r="BD254" s="478"/>
      <c r="BE254" s="478"/>
      <c r="BF254" s="478"/>
      <c r="BG254" s="478"/>
      <c r="BH254" s="478"/>
      <c r="BI254" s="478"/>
      <c r="BJ254" s="478"/>
      <c r="BK254" s="478"/>
      <c r="BL254" s="478"/>
      <c r="BM254" s="478"/>
      <c r="BN254" s="478"/>
      <c r="BO254" s="478"/>
      <c r="BP254" s="478"/>
      <c r="BQ254" s="478"/>
      <c r="BR254" s="478"/>
      <c r="BS254" s="478"/>
      <c r="BT254" s="478"/>
      <c r="BU254" s="478"/>
      <c r="BV254" s="478"/>
      <c r="BW254" s="478"/>
      <c r="BX254" s="478"/>
      <c r="BY254" s="478"/>
      <c r="BZ254" s="478"/>
      <c r="CA254" s="478"/>
      <c r="CB254" s="478"/>
      <c r="CC254" s="478"/>
      <c r="CD254" s="478"/>
      <c r="CE254" s="478"/>
      <c r="CF254" s="478"/>
      <c r="CG254" s="478"/>
      <c r="CH254" s="478"/>
      <c r="CI254" s="478"/>
      <c r="CJ254" s="478"/>
      <c r="CK254" s="478"/>
      <c r="CL254" s="478"/>
      <c r="CM254" s="478"/>
      <c r="CN254" s="478"/>
      <c r="CO254" s="478"/>
      <c r="CP254" s="478"/>
      <c r="CQ254" s="478"/>
      <c r="CR254" s="478"/>
      <c r="CS254" s="478"/>
      <c r="CT254" s="478"/>
      <c r="CU254" s="478"/>
      <c r="CV254" s="478"/>
      <c r="CW254" s="478"/>
      <c r="CX254" s="478"/>
      <c r="CY254" s="478"/>
      <c r="CZ254" s="478"/>
    </row>
    <row r="255" spans="1:104" ht="14.25" customHeight="1" x14ac:dyDescent="0.2">
      <c r="A255" s="478"/>
      <c r="B255" s="504"/>
      <c r="C255" s="478"/>
      <c r="D255" s="478"/>
      <c r="E255" s="478"/>
      <c r="F255" s="478"/>
      <c r="G255" s="478"/>
      <c r="H255" s="478"/>
      <c r="I255" s="478"/>
      <c r="J255" s="478"/>
      <c r="K255" s="478"/>
      <c r="L255" s="478"/>
      <c r="M255" s="478"/>
      <c r="N255" s="478"/>
      <c r="O255" s="478"/>
      <c r="P255" s="478"/>
      <c r="Q255" s="478"/>
      <c r="R255" s="478"/>
      <c r="S255" s="478"/>
      <c r="T255" s="505"/>
      <c r="U255" s="478"/>
      <c r="V255" s="478"/>
      <c r="W255" s="506"/>
      <c r="X255" s="507"/>
      <c r="Y255" s="507"/>
      <c r="Z255" s="507"/>
      <c r="AA255" s="507"/>
      <c r="AB255" s="507"/>
      <c r="AC255" s="507"/>
      <c r="AD255" s="507"/>
      <c r="AE255" s="507"/>
      <c r="AF255" s="507"/>
      <c r="AG255" s="507"/>
      <c r="AH255" s="507"/>
      <c r="AI255" s="507"/>
      <c r="AJ255" s="507"/>
      <c r="AK255" s="507"/>
      <c r="AL255" s="478"/>
      <c r="AM255" s="478"/>
      <c r="AN255" s="478"/>
      <c r="AO255" s="478"/>
      <c r="AP255" s="478"/>
      <c r="AQ255" s="478"/>
      <c r="AR255" s="478"/>
      <c r="AS255" s="478"/>
      <c r="AT255" s="478"/>
      <c r="AU255" s="478"/>
      <c r="AV255" s="478"/>
      <c r="AW255" s="478"/>
      <c r="AX255" s="478"/>
      <c r="AY255" s="478"/>
      <c r="AZ255" s="478"/>
      <c r="BA255" s="478"/>
      <c r="BB255" s="478"/>
      <c r="BC255" s="478"/>
      <c r="BD255" s="478"/>
      <c r="BE255" s="478"/>
      <c r="BF255" s="478"/>
      <c r="BG255" s="478"/>
      <c r="BH255" s="478"/>
      <c r="BI255" s="478"/>
      <c r="BJ255" s="478"/>
      <c r="BK255" s="478"/>
      <c r="BL255" s="478"/>
      <c r="BM255" s="478"/>
      <c r="BN255" s="478"/>
      <c r="BO255" s="478"/>
      <c r="BP255" s="478"/>
      <c r="BQ255" s="478"/>
      <c r="BR255" s="478"/>
      <c r="BS255" s="478"/>
      <c r="BT255" s="478"/>
      <c r="BU255" s="478"/>
      <c r="BV255" s="478"/>
      <c r="BW255" s="478"/>
      <c r="BX255" s="478"/>
      <c r="BY255" s="478"/>
      <c r="BZ255" s="478"/>
      <c r="CA255" s="478"/>
      <c r="CB255" s="478"/>
      <c r="CC255" s="478"/>
      <c r="CD255" s="478"/>
      <c r="CE255" s="478"/>
      <c r="CF255" s="478"/>
      <c r="CG255" s="478"/>
      <c r="CH255" s="478"/>
      <c r="CI255" s="478"/>
      <c r="CJ255" s="478"/>
      <c r="CK255" s="478"/>
      <c r="CL255" s="478"/>
      <c r="CM255" s="478"/>
      <c r="CN255" s="478"/>
      <c r="CO255" s="478"/>
      <c r="CP255" s="478"/>
      <c r="CQ255" s="478"/>
      <c r="CR255" s="478"/>
      <c r="CS255" s="478"/>
      <c r="CT255" s="478"/>
      <c r="CU255" s="478"/>
      <c r="CV255" s="478"/>
      <c r="CW255" s="478"/>
      <c r="CX255" s="478"/>
      <c r="CY255" s="478"/>
      <c r="CZ255" s="478"/>
    </row>
    <row r="256" spans="1:104" ht="14.25" customHeight="1" x14ac:dyDescent="0.2">
      <c r="A256" s="478"/>
      <c r="B256" s="504"/>
      <c r="C256" s="478"/>
      <c r="D256" s="478"/>
      <c r="E256" s="478"/>
      <c r="F256" s="478"/>
      <c r="G256" s="478"/>
      <c r="H256" s="478"/>
      <c r="I256" s="478"/>
      <c r="J256" s="478"/>
      <c r="K256" s="478"/>
      <c r="L256" s="478"/>
      <c r="M256" s="478"/>
      <c r="N256" s="478"/>
      <c r="O256" s="478"/>
      <c r="P256" s="478"/>
      <c r="Q256" s="478"/>
      <c r="R256" s="478"/>
      <c r="S256" s="478"/>
      <c r="T256" s="505"/>
      <c r="U256" s="478"/>
      <c r="V256" s="478"/>
      <c r="W256" s="506"/>
      <c r="X256" s="507"/>
      <c r="Y256" s="507"/>
      <c r="Z256" s="507"/>
      <c r="AA256" s="507"/>
      <c r="AB256" s="507"/>
      <c r="AC256" s="507"/>
      <c r="AD256" s="507"/>
      <c r="AE256" s="507"/>
      <c r="AF256" s="507"/>
      <c r="AG256" s="507"/>
      <c r="AH256" s="507"/>
      <c r="AI256" s="507"/>
      <c r="AJ256" s="507"/>
      <c r="AK256" s="507"/>
      <c r="AL256" s="478"/>
      <c r="AM256" s="478"/>
      <c r="AN256" s="478"/>
      <c r="AO256" s="478"/>
      <c r="AP256" s="478"/>
      <c r="AQ256" s="478"/>
      <c r="AR256" s="478"/>
      <c r="AS256" s="478"/>
      <c r="AT256" s="478"/>
      <c r="AU256" s="478"/>
      <c r="AV256" s="478"/>
      <c r="AW256" s="478"/>
      <c r="AX256" s="478"/>
      <c r="AY256" s="478"/>
      <c r="AZ256" s="478"/>
      <c r="BA256" s="478"/>
      <c r="BB256" s="478"/>
      <c r="BC256" s="478"/>
      <c r="BD256" s="478"/>
      <c r="BE256" s="478"/>
      <c r="BF256" s="478"/>
      <c r="BG256" s="478"/>
      <c r="BH256" s="478"/>
      <c r="BI256" s="478"/>
      <c r="BJ256" s="478"/>
      <c r="BK256" s="478"/>
      <c r="BL256" s="478"/>
      <c r="BM256" s="478"/>
      <c r="BN256" s="478"/>
      <c r="BO256" s="478"/>
      <c r="BP256" s="478"/>
      <c r="BQ256" s="478"/>
      <c r="BR256" s="478"/>
      <c r="BS256" s="478"/>
      <c r="BT256" s="478"/>
      <c r="BU256" s="478"/>
      <c r="BV256" s="478"/>
      <c r="BW256" s="478"/>
      <c r="BX256" s="478"/>
      <c r="BY256" s="478"/>
      <c r="BZ256" s="478"/>
      <c r="CA256" s="478"/>
      <c r="CB256" s="478"/>
      <c r="CC256" s="478"/>
      <c r="CD256" s="478"/>
      <c r="CE256" s="478"/>
      <c r="CF256" s="478"/>
      <c r="CG256" s="478"/>
      <c r="CH256" s="478"/>
      <c r="CI256" s="478"/>
      <c r="CJ256" s="478"/>
      <c r="CK256" s="478"/>
      <c r="CL256" s="478"/>
      <c r="CM256" s="478"/>
      <c r="CN256" s="478"/>
      <c r="CO256" s="478"/>
      <c r="CP256" s="478"/>
      <c r="CQ256" s="478"/>
      <c r="CR256" s="478"/>
      <c r="CS256" s="478"/>
      <c r="CT256" s="478"/>
      <c r="CU256" s="478"/>
      <c r="CV256" s="478"/>
      <c r="CW256" s="478"/>
      <c r="CX256" s="478"/>
      <c r="CY256" s="478"/>
      <c r="CZ256" s="478"/>
    </row>
    <row r="257" spans="1:104" ht="14.25" customHeight="1" x14ac:dyDescent="0.2">
      <c r="A257" s="478"/>
      <c r="B257" s="504"/>
      <c r="C257" s="478"/>
      <c r="D257" s="478"/>
      <c r="E257" s="478"/>
      <c r="F257" s="478"/>
      <c r="G257" s="478"/>
      <c r="H257" s="478"/>
      <c r="I257" s="478"/>
      <c r="J257" s="478"/>
      <c r="K257" s="478"/>
      <c r="L257" s="478"/>
      <c r="M257" s="478"/>
      <c r="N257" s="478"/>
      <c r="O257" s="478"/>
      <c r="P257" s="478"/>
      <c r="Q257" s="478"/>
      <c r="R257" s="478"/>
      <c r="S257" s="478"/>
      <c r="T257" s="505"/>
      <c r="U257" s="478"/>
      <c r="V257" s="478"/>
      <c r="W257" s="506"/>
      <c r="X257" s="507"/>
      <c r="Y257" s="507"/>
      <c r="Z257" s="507"/>
      <c r="AA257" s="507"/>
      <c r="AB257" s="507"/>
      <c r="AC257" s="507"/>
      <c r="AD257" s="507"/>
      <c r="AE257" s="507"/>
      <c r="AF257" s="507"/>
      <c r="AG257" s="507"/>
      <c r="AH257" s="507"/>
      <c r="AI257" s="507"/>
      <c r="AJ257" s="507"/>
      <c r="AK257" s="507"/>
      <c r="AL257" s="478"/>
      <c r="AM257" s="478"/>
      <c r="AN257" s="478"/>
      <c r="AO257" s="478"/>
      <c r="AP257" s="478"/>
      <c r="AQ257" s="478"/>
      <c r="AR257" s="478"/>
      <c r="AS257" s="478"/>
      <c r="AT257" s="478"/>
      <c r="AU257" s="478"/>
      <c r="AV257" s="478"/>
      <c r="AW257" s="478"/>
      <c r="AX257" s="478"/>
      <c r="AY257" s="478"/>
      <c r="AZ257" s="478"/>
      <c r="BA257" s="478"/>
      <c r="BB257" s="478"/>
      <c r="BC257" s="478"/>
      <c r="BD257" s="478"/>
      <c r="BE257" s="478"/>
      <c r="BF257" s="478"/>
      <c r="BG257" s="478"/>
      <c r="BH257" s="478"/>
      <c r="BI257" s="478"/>
      <c r="BJ257" s="478"/>
      <c r="BK257" s="478"/>
      <c r="BL257" s="478"/>
      <c r="BM257" s="478"/>
      <c r="BN257" s="478"/>
      <c r="BO257" s="478"/>
      <c r="BP257" s="478"/>
      <c r="BQ257" s="478"/>
      <c r="BR257" s="478"/>
      <c r="BS257" s="478"/>
      <c r="BT257" s="478"/>
      <c r="BU257" s="478"/>
      <c r="BV257" s="478"/>
      <c r="BW257" s="478"/>
      <c r="BX257" s="478"/>
      <c r="BY257" s="478"/>
      <c r="BZ257" s="478"/>
      <c r="CA257" s="478"/>
      <c r="CB257" s="478"/>
      <c r="CC257" s="478"/>
      <c r="CD257" s="478"/>
      <c r="CE257" s="478"/>
      <c r="CF257" s="478"/>
      <c r="CG257" s="478"/>
      <c r="CH257" s="478"/>
      <c r="CI257" s="478"/>
      <c r="CJ257" s="478"/>
      <c r="CK257" s="478"/>
      <c r="CL257" s="478"/>
      <c r="CM257" s="478"/>
      <c r="CN257" s="478"/>
      <c r="CO257" s="478"/>
      <c r="CP257" s="478"/>
      <c r="CQ257" s="478"/>
      <c r="CR257" s="478"/>
      <c r="CS257" s="478"/>
      <c r="CT257" s="478"/>
      <c r="CU257" s="478"/>
      <c r="CV257" s="478"/>
      <c r="CW257" s="478"/>
      <c r="CX257" s="478"/>
      <c r="CY257" s="478"/>
      <c r="CZ257" s="478"/>
    </row>
    <row r="258" spans="1:104" ht="14.25" customHeight="1" x14ac:dyDescent="0.2">
      <c r="A258" s="478"/>
      <c r="B258" s="504"/>
      <c r="C258" s="478"/>
      <c r="D258" s="478"/>
      <c r="E258" s="478"/>
      <c r="F258" s="478"/>
      <c r="G258" s="478"/>
      <c r="H258" s="478"/>
      <c r="I258" s="478"/>
      <c r="J258" s="478"/>
      <c r="K258" s="478"/>
      <c r="L258" s="478"/>
      <c r="M258" s="478"/>
      <c r="N258" s="478"/>
      <c r="O258" s="478"/>
      <c r="P258" s="478"/>
      <c r="Q258" s="478"/>
      <c r="R258" s="478"/>
      <c r="S258" s="478"/>
      <c r="T258" s="505"/>
      <c r="U258" s="478"/>
      <c r="V258" s="478"/>
      <c r="W258" s="506"/>
      <c r="X258" s="507"/>
      <c r="Y258" s="507"/>
      <c r="Z258" s="507"/>
      <c r="AA258" s="507"/>
      <c r="AB258" s="507"/>
      <c r="AC258" s="507"/>
      <c r="AD258" s="507"/>
      <c r="AE258" s="507"/>
      <c r="AF258" s="507"/>
      <c r="AG258" s="507"/>
      <c r="AH258" s="507"/>
      <c r="AI258" s="507"/>
      <c r="AJ258" s="507"/>
      <c r="AK258" s="507"/>
      <c r="AL258" s="478"/>
      <c r="AM258" s="478"/>
      <c r="AN258" s="478"/>
      <c r="AO258" s="478"/>
      <c r="AP258" s="478"/>
      <c r="AQ258" s="478"/>
      <c r="AR258" s="478"/>
      <c r="AS258" s="478"/>
      <c r="AT258" s="478"/>
      <c r="AU258" s="478"/>
      <c r="AV258" s="478"/>
      <c r="AW258" s="478"/>
      <c r="AX258" s="478"/>
      <c r="AY258" s="478"/>
      <c r="AZ258" s="478"/>
      <c r="BA258" s="478"/>
      <c r="BB258" s="478"/>
      <c r="BC258" s="478"/>
      <c r="BD258" s="478"/>
      <c r="BE258" s="478"/>
      <c r="BF258" s="478"/>
      <c r="BG258" s="478"/>
      <c r="BH258" s="478"/>
      <c r="BI258" s="478"/>
      <c r="BJ258" s="478"/>
      <c r="BK258" s="478"/>
      <c r="BL258" s="478"/>
      <c r="BM258" s="478"/>
      <c r="BN258" s="478"/>
      <c r="BO258" s="478"/>
      <c r="BP258" s="478"/>
      <c r="BQ258" s="478"/>
      <c r="BR258" s="478"/>
      <c r="BS258" s="478"/>
      <c r="BT258" s="478"/>
      <c r="BU258" s="478"/>
      <c r="BV258" s="478"/>
      <c r="BW258" s="478"/>
      <c r="BX258" s="478"/>
      <c r="BY258" s="478"/>
      <c r="BZ258" s="478"/>
      <c r="CA258" s="478"/>
      <c r="CB258" s="478"/>
      <c r="CC258" s="478"/>
      <c r="CD258" s="478"/>
      <c r="CE258" s="478"/>
      <c r="CF258" s="478"/>
      <c r="CG258" s="478"/>
      <c r="CH258" s="478"/>
      <c r="CI258" s="478"/>
      <c r="CJ258" s="478"/>
      <c r="CK258" s="478"/>
      <c r="CL258" s="478"/>
      <c r="CM258" s="478"/>
      <c r="CN258" s="478"/>
      <c r="CO258" s="478"/>
      <c r="CP258" s="478"/>
      <c r="CQ258" s="478"/>
      <c r="CR258" s="478"/>
      <c r="CS258" s="478"/>
      <c r="CT258" s="478"/>
      <c r="CU258" s="478"/>
      <c r="CV258" s="478"/>
      <c r="CW258" s="478"/>
      <c r="CX258" s="478"/>
      <c r="CY258" s="478"/>
      <c r="CZ258" s="478"/>
    </row>
    <row r="259" spans="1:104" ht="14.25" customHeight="1" x14ac:dyDescent="0.2">
      <c r="A259" s="478"/>
      <c r="B259" s="504"/>
      <c r="C259" s="478"/>
      <c r="D259" s="478"/>
      <c r="E259" s="478"/>
      <c r="F259" s="478"/>
      <c r="G259" s="478"/>
      <c r="H259" s="478"/>
      <c r="I259" s="478"/>
      <c r="J259" s="478"/>
      <c r="K259" s="478"/>
      <c r="L259" s="478"/>
      <c r="M259" s="478"/>
      <c r="N259" s="478"/>
      <c r="O259" s="478"/>
      <c r="P259" s="478"/>
      <c r="Q259" s="478"/>
      <c r="R259" s="478"/>
      <c r="S259" s="478"/>
      <c r="T259" s="505"/>
      <c r="U259" s="478"/>
      <c r="V259" s="478"/>
      <c r="W259" s="506"/>
      <c r="X259" s="507"/>
      <c r="Y259" s="507"/>
      <c r="Z259" s="507"/>
      <c r="AA259" s="507"/>
      <c r="AB259" s="507"/>
      <c r="AC259" s="507"/>
      <c r="AD259" s="507"/>
      <c r="AE259" s="507"/>
      <c r="AF259" s="507"/>
      <c r="AG259" s="507"/>
      <c r="AH259" s="507"/>
      <c r="AI259" s="507"/>
      <c r="AJ259" s="507"/>
      <c r="AK259" s="507"/>
      <c r="AL259" s="478"/>
      <c r="AM259" s="478"/>
      <c r="AN259" s="478"/>
      <c r="AO259" s="478"/>
      <c r="AP259" s="478"/>
      <c r="AQ259" s="478"/>
      <c r="AR259" s="478"/>
      <c r="AS259" s="478"/>
      <c r="AT259" s="478"/>
      <c r="AU259" s="478"/>
      <c r="AV259" s="478"/>
      <c r="AW259" s="478"/>
      <c r="AX259" s="478"/>
      <c r="AY259" s="478"/>
      <c r="AZ259" s="478"/>
      <c r="BA259" s="478"/>
      <c r="BB259" s="478"/>
      <c r="BC259" s="478"/>
      <c r="BD259" s="478"/>
      <c r="BE259" s="478"/>
      <c r="BF259" s="478"/>
      <c r="BG259" s="478"/>
      <c r="BH259" s="478"/>
      <c r="BI259" s="478"/>
      <c r="BJ259" s="478"/>
      <c r="BK259" s="478"/>
      <c r="BL259" s="478"/>
      <c r="BM259" s="478"/>
      <c r="BN259" s="478"/>
      <c r="BO259" s="478"/>
      <c r="BP259" s="478"/>
      <c r="BQ259" s="478"/>
      <c r="BR259" s="478"/>
      <c r="BS259" s="478"/>
      <c r="BT259" s="478"/>
      <c r="BU259" s="478"/>
      <c r="BV259" s="478"/>
      <c r="BW259" s="478"/>
      <c r="BX259" s="478"/>
      <c r="BY259" s="478"/>
      <c r="BZ259" s="478"/>
      <c r="CA259" s="478"/>
      <c r="CB259" s="478"/>
      <c r="CC259" s="478"/>
      <c r="CD259" s="478"/>
      <c r="CE259" s="478"/>
      <c r="CF259" s="478"/>
      <c r="CG259" s="478"/>
      <c r="CH259" s="478"/>
      <c r="CI259" s="478"/>
      <c r="CJ259" s="478"/>
      <c r="CK259" s="478"/>
      <c r="CL259" s="478"/>
      <c r="CM259" s="478"/>
      <c r="CN259" s="478"/>
      <c r="CO259" s="478"/>
      <c r="CP259" s="478"/>
      <c r="CQ259" s="478"/>
      <c r="CR259" s="478"/>
      <c r="CS259" s="478"/>
      <c r="CT259" s="478"/>
      <c r="CU259" s="478"/>
      <c r="CV259" s="478"/>
      <c r="CW259" s="478"/>
      <c r="CX259" s="478"/>
      <c r="CY259" s="478"/>
      <c r="CZ259" s="478"/>
    </row>
    <row r="260" spans="1:104" ht="14.25" customHeight="1" x14ac:dyDescent="0.2">
      <c r="A260" s="478"/>
      <c r="B260" s="504"/>
      <c r="C260" s="478"/>
      <c r="D260" s="478"/>
      <c r="E260" s="478"/>
      <c r="F260" s="478"/>
      <c r="G260" s="478"/>
      <c r="H260" s="478"/>
      <c r="I260" s="478"/>
      <c r="J260" s="478"/>
      <c r="K260" s="478"/>
      <c r="L260" s="478"/>
      <c r="M260" s="478"/>
      <c r="N260" s="478"/>
      <c r="O260" s="478"/>
      <c r="P260" s="478"/>
      <c r="Q260" s="478"/>
      <c r="R260" s="478"/>
      <c r="S260" s="478"/>
      <c r="T260" s="505"/>
      <c r="U260" s="478"/>
      <c r="V260" s="478"/>
      <c r="W260" s="506"/>
      <c r="X260" s="507"/>
      <c r="Y260" s="507"/>
      <c r="Z260" s="507"/>
      <c r="AA260" s="507"/>
      <c r="AB260" s="507"/>
      <c r="AC260" s="507"/>
      <c r="AD260" s="507"/>
      <c r="AE260" s="507"/>
      <c r="AF260" s="507"/>
      <c r="AG260" s="507"/>
      <c r="AH260" s="507"/>
      <c r="AI260" s="507"/>
      <c r="AJ260" s="507"/>
      <c r="AK260" s="507"/>
      <c r="AL260" s="478"/>
      <c r="AM260" s="478"/>
      <c r="AN260" s="478"/>
      <c r="AO260" s="478"/>
      <c r="AP260" s="478"/>
      <c r="AQ260" s="478"/>
      <c r="AR260" s="478"/>
      <c r="AS260" s="478"/>
      <c r="AT260" s="478"/>
      <c r="AU260" s="478"/>
      <c r="AV260" s="478"/>
      <c r="AW260" s="478"/>
      <c r="AX260" s="478"/>
      <c r="AY260" s="478"/>
      <c r="AZ260" s="478"/>
      <c r="BA260" s="478"/>
      <c r="BB260" s="478"/>
      <c r="BC260" s="478"/>
      <c r="BD260" s="478"/>
      <c r="BE260" s="478"/>
      <c r="BF260" s="478"/>
      <c r="BG260" s="478"/>
      <c r="BH260" s="478"/>
      <c r="BI260" s="478"/>
      <c r="BJ260" s="478"/>
      <c r="BK260" s="478"/>
      <c r="BL260" s="478"/>
      <c r="BM260" s="478"/>
      <c r="BN260" s="478"/>
      <c r="BO260" s="478"/>
      <c r="BP260" s="478"/>
      <c r="BQ260" s="478"/>
      <c r="BR260" s="478"/>
      <c r="BS260" s="478"/>
      <c r="BT260" s="478"/>
      <c r="BU260" s="478"/>
      <c r="BV260" s="478"/>
      <c r="BW260" s="478"/>
      <c r="BX260" s="478"/>
      <c r="BY260" s="478"/>
      <c r="BZ260" s="478"/>
      <c r="CA260" s="478"/>
      <c r="CB260" s="478"/>
      <c r="CC260" s="478"/>
      <c r="CD260" s="478"/>
      <c r="CE260" s="478"/>
      <c r="CF260" s="478"/>
      <c r="CG260" s="478"/>
      <c r="CH260" s="478"/>
      <c r="CI260" s="478"/>
      <c r="CJ260" s="478"/>
      <c r="CK260" s="478"/>
      <c r="CL260" s="478"/>
      <c r="CM260" s="478"/>
      <c r="CN260" s="478"/>
      <c r="CO260" s="478"/>
      <c r="CP260" s="478"/>
      <c r="CQ260" s="478"/>
      <c r="CR260" s="478"/>
      <c r="CS260" s="478"/>
      <c r="CT260" s="478"/>
      <c r="CU260" s="478"/>
      <c r="CV260" s="478"/>
      <c r="CW260" s="478"/>
      <c r="CX260" s="478"/>
      <c r="CY260" s="478"/>
      <c r="CZ260" s="478"/>
    </row>
    <row r="261" spans="1:104" ht="14.25" customHeight="1" x14ac:dyDescent="0.2">
      <c r="A261" s="478"/>
      <c r="B261" s="504"/>
      <c r="C261" s="478"/>
      <c r="D261" s="478"/>
      <c r="E261" s="478"/>
      <c r="F261" s="478"/>
      <c r="G261" s="478"/>
      <c r="H261" s="478"/>
      <c r="I261" s="478"/>
      <c r="J261" s="478"/>
      <c r="K261" s="478"/>
      <c r="L261" s="478"/>
      <c r="M261" s="478"/>
      <c r="N261" s="478"/>
      <c r="O261" s="478"/>
      <c r="P261" s="478"/>
      <c r="Q261" s="478"/>
      <c r="R261" s="478"/>
      <c r="S261" s="478"/>
      <c r="T261" s="505"/>
      <c r="U261" s="478"/>
      <c r="V261" s="478"/>
      <c r="W261" s="506"/>
      <c r="X261" s="507"/>
      <c r="Y261" s="507"/>
      <c r="Z261" s="507"/>
      <c r="AA261" s="507"/>
      <c r="AB261" s="507"/>
      <c r="AC261" s="507"/>
      <c r="AD261" s="507"/>
      <c r="AE261" s="507"/>
      <c r="AF261" s="507"/>
      <c r="AG261" s="507"/>
      <c r="AH261" s="507"/>
      <c r="AI261" s="507"/>
      <c r="AJ261" s="507"/>
      <c r="AK261" s="507"/>
      <c r="AL261" s="478"/>
      <c r="AM261" s="478"/>
      <c r="AN261" s="478"/>
      <c r="AO261" s="478"/>
      <c r="AP261" s="478"/>
      <c r="AQ261" s="478"/>
      <c r="AR261" s="478"/>
      <c r="AS261" s="478"/>
      <c r="AT261" s="478"/>
      <c r="AU261" s="478"/>
      <c r="AV261" s="478"/>
      <c r="AW261" s="478"/>
      <c r="AX261" s="478"/>
      <c r="AY261" s="478"/>
      <c r="AZ261" s="478"/>
      <c r="BA261" s="478"/>
      <c r="BB261" s="478"/>
      <c r="BC261" s="478"/>
      <c r="BD261" s="478"/>
      <c r="BE261" s="478"/>
      <c r="BF261" s="478"/>
      <c r="BG261" s="478"/>
      <c r="BH261" s="478"/>
      <c r="BI261" s="478"/>
      <c r="BJ261" s="478"/>
      <c r="BK261" s="478"/>
      <c r="BL261" s="478"/>
      <c r="BM261" s="478"/>
      <c r="BN261" s="478"/>
      <c r="BO261" s="478"/>
      <c r="BP261" s="478"/>
      <c r="BQ261" s="478"/>
      <c r="BR261" s="478"/>
      <c r="BS261" s="478"/>
      <c r="BT261" s="478"/>
      <c r="BU261" s="478"/>
      <c r="BV261" s="478"/>
      <c r="BW261" s="478"/>
      <c r="BX261" s="478"/>
      <c r="BY261" s="478"/>
      <c r="BZ261" s="478"/>
      <c r="CA261" s="478"/>
      <c r="CB261" s="478"/>
      <c r="CC261" s="478"/>
      <c r="CD261" s="478"/>
      <c r="CE261" s="478"/>
      <c r="CF261" s="478"/>
      <c r="CG261" s="478"/>
      <c r="CH261" s="478"/>
      <c r="CI261" s="478"/>
      <c r="CJ261" s="478"/>
      <c r="CK261" s="478"/>
      <c r="CL261" s="478"/>
      <c r="CM261" s="478"/>
      <c r="CN261" s="478"/>
      <c r="CO261" s="478"/>
      <c r="CP261" s="478"/>
      <c r="CQ261" s="478"/>
      <c r="CR261" s="478"/>
      <c r="CS261" s="478"/>
      <c r="CT261" s="478"/>
      <c r="CU261" s="478"/>
      <c r="CV261" s="478"/>
      <c r="CW261" s="478"/>
      <c r="CX261" s="478"/>
      <c r="CY261" s="478"/>
      <c r="CZ261" s="478"/>
    </row>
    <row r="262" spans="1:104" ht="14.25" customHeight="1" x14ac:dyDescent="0.2">
      <c r="A262" s="478"/>
      <c r="B262" s="504"/>
      <c r="C262" s="478"/>
      <c r="D262" s="478"/>
      <c r="E262" s="478"/>
      <c r="F262" s="478"/>
      <c r="G262" s="478"/>
      <c r="H262" s="478"/>
      <c r="I262" s="478"/>
      <c r="J262" s="478"/>
      <c r="K262" s="478"/>
      <c r="L262" s="478"/>
      <c r="M262" s="478"/>
      <c r="N262" s="478"/>
      <c r="O262" s="478"/>
      <c r="P262" s="478"/>
      <c r="Q262" s="478"/>
      <c r="R262" s="478"/>
      <c r="S262" s="478"/>
      <c r="T262" s="505"/>
      <c r="U262" s="478"/>
      <c r="V262" s="478"/>
      <c r="W262" s="506"/>
      <c r="X262" s="507"/>
      <c r="Y262" s="507"/>
      <c r="Z262" s="507"/>
      <c r="AA262" s="507"/>
      <c r="AB262" s="507"/>
      <c r="AC262" s="507"/>
      <c r="AD262" s="507"/>
      <c r="AE262" s="507"/>
      <c r="AF262" s="507"/>
      <c r="AG262" s="507"/>
      <c r="AH262" s="507"/>
      <c r="AI262" s="507"/>
      <c r="AJ262" s="507"/>
      <c r="AK262" s="507"/>
      <c r="AL262" s="478"/>
      <c r="AM262" s="478"/>
      <c r="AN262" s="478"/>
      <c r="AO262" s="478"/>
      <c r="AP262" s="478"/>
      <c r="AQ262" s="478"/>
      <c r="AR262" s="478"/>
      <c r="AS262" s="478"/>
      <c r="AT262" s="478"/>
      <c r="AU262" s="478"/>
      <c r="AV262" s="478"/>
      <c r="AW262" s="478"/>
      <c r="AX262" s="478"/>
      <c r="AY262" s="478"/>
      <c r="AZ262" s="478"/>
      <c r="BA262" s="478"/>
      <c r="BB262" s="478"/>
      <c r="BC262" s="478"/>
      <c r="BD262" s="478"/>
      <c r="BE262" s="478"/>
      <c r="BF262" s="478"/>
      <c r="BG262" s="478"/>
      <c r="BH262" s="478"/>
      <c r="BI262" s="478"/>
      <c r="BJ262" s="478"/>
      <c r="BK262" s="478"/>
      <c r="BL262" s="478"/>
      <c r="BM262" s="478"/>
      <c r="BN262" s="478"/>
      <c r="BO262" s="478"/>
      <c r="BP262" s="478"/>
      <c r="BQ262" s="478"/>
      <c r="BR262" s="478"/>
      <c r="BS262" s="478"/>
      <c r="BT262" s="478"/>
      <c r="BU262" s="478"/>
      <c r="BV262" s="478"/>
      <c r="BW262" s="478"/>
      <c r="BX262" s="478"/>
      <c r="BY262" s="478"/>
      <c r="BZ262" s="478"/>
      <c r="CA262" s="478"/>
      <c r="CB262" s="478"/>
      <c r="CC262" s="478"/>
      <c r="CD262" s="478"/>
      <c r="CE262" s="478"/>
      <c r="CF262" s="478"/>
      <c r="CG262" s="478"/>
      <c r="CH262" s="478"/>
      <c r="CI262" s="478"/>
      <c r="CJ262" s="478"/>
      <c r="CK262" s="478"/>
      <c r="CL262" s="478"/>
      <c r="CM262" s="478"/>
      <c r="CN262" s="478"/>
      <c r="CO262" s="478"/>
      <c r="CP262" s="478"/>
      <c r="CQ262" s="478"/>
      <c r="CR262" s="478"/>
      <c r="CS262" s="478"/>
      <c r="CT262" s="478"/>
      <c r="CU262" s="478"/>
      <c r="CV262" s="478"/>
      <c r="CW262" s="478"/>
      <c r="CX262" s="478"/>
      <c r="CY262" s="478"/>
      <c r="CZ262" s="478"/>
    </row>
    <row r="263" spans="1:104" ht="14.25" customHeight="1" x14ac:dyDescent="0.2">
      <c r="A263" s="478"/>
      <c r="B263" s="504"/>
      <c r="C263" s="478"/>
      <c r="D263" s="478"/>
      <c r="E263" s="478"/>
      <c r="F263" s="478"/>
      <c r="G263" s="478"/>
      <c r="H263" s="478"/>
      <c r="I263" s="478"/>
      <c r="J263" s="478"/>
      <c r="K263" s="478"/>
      <c r="L263" s="478"/>
      <c r="M263" s="478"/>
      <c r="N263" s="478"/>
      <c r="O263" s="478"/>
      <c r="P263" s="478"/>
      <c r="Q263" s="478"/>
      <c r="R263" s="478"/>
      <c r="S263" s="478"/>
      <c r="T263" s="505"/>
      <c r="U263" s="478"/>
      <c r="V263" s="478"/>
      <c r="W263" s="506"/>
      <c r="X263" s="507"/>
      <c r="Y263" s="507"/>
      <c r="Z263" s="507"/>
      <c r="AA263" s="507"/>
      <c r="AB263" s="507"/>
      <c r="AC263" s="507"/>
      <c r="AD263" s="507"/>
      <c r="AE263" s="507"/>
      <c r="AF263" s="507"/>
      <c r="AG263" s="507"/>
      <c r="AH263" s="507"/>
      <c r="AI263" s="507"/>
      <c r="AJ263" s="507"/>
      <c r="AK263" s="507"/>
      <c r="AL263" s="478"/>
      <c r="AM263" s="478"/>
      <c r="AN263" s="478"/>
      <c r="AO263" s="478"/>
      <c r="AP263" s="478"/>
      <c r="AQ263" s="478"/>
      <c r="AR263" s="478"/>
      <c r="AS263" s="478"/>
      <c r="AT263" s="478"/>
      <c r="AU263" s="478"/>
      <c r="AV263" s="478"/>
      <c r="AW263" s="478"/>
      <c r="AX263" s="478"/>
      <c r="AY263" s="478"/>
      <c r="AZ263" s="478"/>
      <c r="BA263" s="478"/>
      <c r="BB263" s="478"/>
      <c r="BC263" s="478"/>
      <c r="BD263" s="478"/>
      <c r="BE263" s="478"/>
      <c r="BF263" s="478"/>
      <c r="BG263" s="478"/>
      <c r="BH263" s="478"/>
      <c r="BI263" s="478"/>
      <c r="BJ263" s="478"/>
      <c r="BK263" s="478"/>
      <c r="BL263" s="478"/>
      <c r="BM263" s="478"/>
      <c r="BN263" s="478"/>
      <c r="BO263" s="478"/>
      <c r="BP263" s="478"/>
      <c r="BQ263" s="478"/>
      <c r="BR263" s="478"/>
      <c r="BS263" s="478"/>
      <c r="BT263" s="478"/>
      <c r="BU263" s="478"/>
      <c r="BV263" s="478"/>
      <c r="BW263" s="478"/>
      <c r="BX263" s="478"/>
      <c r="BY263" s="478"/>
      <c r="BZ263" s="478"/>
      <c r="CA263" s="478"/>
      <c r="CB263" s="478"/>
      <c r="CC263" s="478"/>
      <c r="CD263" s="478"/>
      <c r="CE263" s="478"/>
      <c r="CF263" s="478"/>
      <c r="CG263" s="478"/>
      <c r="CH263" s="478"/>
      <c r="CI263" s="478"/>
      <c r="CJ263" s="478"/>
      <c r="CK263" s="478"/>
      <c r="CL263" s="478"/>
      <c r="CM263" s="478"/>
      <c r="CN263" s="478"/>
      <c r="CO263" s="478"/>
      <c r="CP263" s="478"/>
      <c r="CQ263" s="478"/>
      <c r="CR263" s="478"/>
      <c r="CS263" s="478"/>
      <c r="CT263" s="478"/>
      <c r="CU263" s="478"/>
      <c r="CV263" s="478"/>
      <c r="CW263" s="478"/>
      <c r="CX263" s="478"/>
      <c r="CY263" s="478"/>
      <c r="CZ263" s="478"/>
    </row>
    <row r="264" spans="1:104" ht="14.25" customHeight="1" x14ac:dyDescent="0.2">
      <c r="A264" s="478"/>
      <c r="B264" s="504"/>
      <c r="C264" s="478"/>
      <c r="D264" s="478"/>
      <c r="E264" s="478"/>
      <c r="F264" s="478"/>
      <c r="G264" s="478"/>
      <c r="H264" s="478"/>
      <c r="I264" s="478"/>
      <c r="J264" s="478"/>
      <c r="K264" s="478"/>
      <c r="L264" s="478"/>
      <c r="M264" s="478"/>
      <c r="N264" s="478"/>
      <c r="O264" s="478"/>
      <c r="P264" s="478"/>
      <c r="Q264" s="478"/>
      <c r="R264" s="478"/>
      <c r="S264" s="478"/>
      <c r="T264" s="505"/>
      <c r="U264" s="478"/>
      <c r="V264" s="478"/>
      <c r="W264" s="506"/>
      <c r="X264" s="507"/>
      <c r="Y264" s="507"/>
      <c r="Z264" s="507"/>
      <c r="AA264" s="507"/>
      <c r="AB264" s="507"/>
      <c r="AC264" s="507"/>
      <c r="AD264" s="507"/>
      <c r="AE264" s="507"/>
      <c r="AF264" s="507"/>
      <c r="AG264" s="507"/>
      <c r="AH264" s="507"/>
      <c r="AI264" s="507"/>
      <c r="AJ264" s="507"/>
      <c r="AK264" s="507"/>
      <c r="AL264" s="478"/>
      <c r="AM264" s="478"/>
      <c r="AN264" s="478"/>
      <c r="AO264" s="478"/>
      <c r="AP264" s="478"/>
      <c r="AQ264" s="478"/>
      <c r="AR264" s="478"/>
      <c r="AS264" s="478"/>
      <c r="AT264" s="478"/>
      <c r="AU264" s="478"/>
      <c r="AV264" s="478"/>
      <c r="AW264" s="478"/>
      <c r="AX264" s="478"/>
      <c r="AY264" s="478"/>
      <c r="AZ264" s="478"/>
      <c r="BA264" s="478"/>
      <c r="BB264" s="478"/>
      <c r="BC264" s="478"/>
      <c r="BD264" s="478"/>
      <c r="BE264" s="478"/>
      <c r="BF264" s="478"/>
      <c r="BG264" s="478"/>
      <c r="BH264" s="478"/>
      <c r="BI264" s="478"/>
      <c r="BJ264" s="478"/>
      <c r="BK264" s="478"/>
      <c r="BL264" s="478"/>
      <c r="BM264" s="478"/>
      <c r="BN264" s="478"/>
      <c r="BO264" s="478"/>
      <c r="BP264" s="478"/>
      <c r="BQ264" s="478"/>
      <c r="BR264" s="478"/>
      <c r="BS264" s="478"/>
      <c r="BT264" s="478"/>
      <c r="BU264" s="478"/>
      <c r="BV264" s="478"/>
      <c r="BW264" s="478"/>
      <c r="BX264" s="478"/>
      <c r="BY264" s="478"/>
      <c r="BZ264" s="478"/>
      <c r="CA264" s="478"/>
      <c r="CB264" s="478"/>
      <c r="CC264" s="478"/>
      <c r="CD264" s="478"/>
      <c r="CE264" s="478"/>
      <c r="CF264" s="478"/>
      <c r="CG264" s="478"/>
      <c r="CH264" s="478"/>
      <c r="CI264" s="478"/>
      <c r="CJ264" s="478"/>
      <c r="CK264" s="478"/>
      <c r="CL264" s="478"/>
      <c r="CM264" s="478"/>
      <c r="CN264" s="478"/>
      <c r="CO264" s="478"/>
      <c r="CP264" s="478"/>
      <c r="CQ264" s="478"/>
      <c r="CR264" s="478"/>
      <c r="CS264" s="478"/>
      <c r="CT264" s="478"/>
      <c r="CU264" s="478"/>
      <c r="CV264" s="478"/>
      <c r="CW264" s="478"/>
      <c r="CX264" s="478"/>
      <c r="CY264" s="478"/>
      <c r="CZ264" s="478"/>
    </row>
    <row r="265" spans="1:104" ht="14.25" customHeight="1" x14ac:dyDescent="0.2">
      <c r="A265" s="478"/>
      <c r="B265" s="504"/>
      <c r="C265" s="478"/>
      <c r="D265" s="478"/>
      <c r="E265" s="478"/>
      <c r="F265" s="478"/>
      <c r="G265" s="478"/>
      <c r="H265" s="478"/>
      <c r="I265" s="478"/>
      <c r="J265" s="478"/>
      <c r="K265" s="478"/>
      <c r="L265" s="478"/>
      <c r="M265" s="478"/>
      <c r="N265" s="478"/>
      <c r="O265" s="478"/>
      <c r="P265" s="478"/>
      <c r="Q265" s="478"/>
      <c r="R265" s="478"/>
      <c r="S265" s="478"/>
      <c r="T265" s="505"/>
      <c r="U265" s="478"/>
      <c r="V265" s="478"/>
      <c r="W265" s="506"/>
      <c r="X265" s="507"/>
      <c r="Y265" s="507"/>
      <c r="Z265" s="507"/>
      <c r="AA265" s="507"/>
      <c r="AB265" s="507"/>
      <c r="AC265" s="507"/>
      <c r="AD265" s="507"/>
      <c r="AE265" s="507"/>
      <c r="AF265" s="507"/>
      <c r="AG265" s="507"/>
      <c r="AH265" s="507"/>
      <c r="AI265" s="507"/>
      <c r="AJ265" s="507"/>
      <c r="AK265" s="507"/>
      <c r="AL265" s="478"/>
      <c r="AM265" s="478"/>
      <c r="AN265" s="478"/>
      <c r="AO265" s="478"/>
      <c r="AP265" s="478"/>
      <c r="AQ265" s="478"/>
      <c r="AR265" s="478"/>
      <c r="AS265" s="478"/>
      <c r="AT265" s="478"/>
      <c r="AU265" s="478"/>
      <c r="AV265" s="478"/>
      <c r="AW265" s="478"/>
      <c r="AX265" s="478"/>
      <c r="AY265" s="478"/>
      <c r="AZ265" s="478"/>
      <c r="BA265" s="478"/>
      <c r="BB265" s="478"/>
      <c r="BC265" s="478"/>
      <c r="BD265" s="478"/>
      <c r="BE265" s="478"/>
      <c r="BF265" s="478"/>
      <c r="BG265" s="478"/>
      <c r="BH265" s="478"/>
      <c r="BI265" s="478"/>
      <c r="BJ265" s="478"/>
      <c r="BK265" s="478"/>
      <c r="BL265" s="478"/>
      <c r="BM265" s="478"/>
      <c r="BN265" s="478"/>
      <c r="BO265" s="478"/>
      <c r="BP265" s="478"/>
      <c r="BQ265" s="478"/>
      <c r="BR265" s="478"/>
      <c r="BS265" s="478"/>
      <c r="BT265" s="478"/>
      <c r="BU265" s="478"/>
      <c r="BV265" s="478"/>
      <c r="BW265" s="478"/>
      <c r="BX265" s="478"/>
      <c r="BY265" s="478"/>
      <c r="BZ265" s="478"/>
      <c r="CA265" s="478"/>
      <c r="CB265" s="478"/>
      <c r="CC265" s="478"/>
      <c r="CD265" s="478"/>
      <c r="CE265" s="478"/>
      <c r="CF265" s="478"/>
      <c r="CG265" s="478"/>
      <c r="CH265" s="478"/>
      <c r="CI265" s="478"/>
      <c r="CJ265" s="478"/>
      <c r="CK265" s="478"/>
      <c r="CL265" s="478"/>
      <c r="CM265" s="478"/>
      <c r="CN265" s="478"/>
      <c r="CO265" s="478"/>
      <c r="CP265" s="478"/>
      <c r="CQ265" s="478"/>
      <c r="CR265" s="478"/>
      <c r="CS265" s="478"/>
      <c r="CT265" s="478"/>
      <c r="CU265" s="478"/>
      <c r="CV265" s="478"/>
      <c r="CW265" s="478"/>
      <c r="CX265" s="478"/>
      <c r="CY265" s="478"/>
      <c r="CZ265" s="478"/>
    </row>
    <row r="266" spans="1:104" ht="14.25" customHeight="1" x14ac:dyDescent="0.2">
      <c r="A266" s="478"/>
      <c r="B266" s="504"/>
      <c r="C266" s="478"/>
      <c r="D266" s="478"/>
      <c r="E266" s="478"/>
      <c r="F266" s="478"/>
      <c r="G266" s="478"/>
      <c r="H266" s="478"/>
      <c r="I266" s="478"/>
      <c r="J266" s="478"/>
      <c r="K266" s="478"/>
      <c r="L266" s="478"/>
      <c r="M266" s="478"/>
      <c r="N266" s="478"/>
      <c r="O266" s="478"/>
      <c r="P266" s="478"/>
      <c r="Q266" s="478"/>
      <c r="R266" s="478"/>
      <c r="S266" s="478"/>
      <c r="T266" s="505"/>
      <c r="U266" s="478"/>
      <c r="V266" s="478"/>
      <c r="W266" s="506"/>
      <c r="X266" s="507"/>
      <c r="Y266" s="507"/>
      <c r="Z266" s="507"/>
      <c r="AA266" s="507"/>
      <c r="AB266" s="507"/>
      <c r="AC266" s="507"/>
      <c r="AD266" s="507"/>
      <c r="AE266" s="507"/>
      <c r="AF266" s="507"/>
      <c r="AG266" s="507"/>
      <c r="AH266" s="507"/>
      <c r="AI266" s="507"/>
      <c r="AJ266" s="507"/>
      <c r="AK266" s="507"/>
      <c r="AL266" s="478"/>
      <c r="AM266" s="478"/>
      <c r="AN266" s="478"/>
      <c r="AO266" s="478"/>
      <c r="AP266" s="478"/>
      <c r="AQ266" s="478"/>
      <c r="AR266" s="478"/>
      <c r="AS266" s="478"/>
      <c r="AT266" s="478"/>
      <c r="AU266" s="478"/>
      <c r="AV266" s="478"/>
      <c r="AW266" s="478"/>
      <c r="AX266" s="478"/>
      <c r="AY266" s="478"/>
      <c r="AZ266" s="478"/>
      <c r="BA266" s="478"/>
      <c r="BB266" s="478"/>
      <c r="BC266" s="478"/>
      <c r="BD266" s="478"/>
      <c r="BE266" s="478"/>
      <c r="BF266" s="478"/>
      <c r="BG266" s="478"/>
      <c r="BH266" s="478"/>
      <c r="BI266" s="478"/>
      <c r="BJ266" s="478"/>
      <c r="BK266" s="478"/>
      <c r="BL266" s="478"/>
      <c r="BM266" s="478"/>
      <c r="BN266" s="478"/>
      <c r="BO266" s="478"/>
      <c r="BP266" s="478"/>
      <c r="BQ266" s="478"/>
      <c r="BR266" s="478"/>
      <c r="BS266" s="478"/>
      <c r="BT266" s="478"/>
      <c r="BU266" s="478"/>
      <c r="BV266" s="478"/>
      <c r="BW266" s="478"/>
      <c r="BX266" s="478"/>
      <c r="BY266" s="478"/>
      <c r="BZ266" s="478"/>
      <c r="CA266" s="478"/>
      <c r="CB266" s="478"/>
      <c r="CC266" s="478"/>
      <c r="CD266" s="478"/>
      <c r="CE266" s="478"/>
      <c r="CF266" s="478"/>
      <c r="CG266" s="478"/>
      <c r="CH266" s="478"/>
      <c r="CI266" s="478"/>
      <c r="CJ266" s="478"/>
      <c r="CK266" s="478"/>
      <c r="CL266" s="478"/>
      <c r="CM266" s="478"/>
      <c r="CN266" s="478"/>
      <c r="CO266" s="478"/>
      <c r="CP266" s="478"/>
      <c r="CQ266" s="478"/>
      <c r="CR266" s="478"/>
      <c r="CS266" s="478"/>
      <c r="CT266" s="478"/>
      <c r="CU266" s="478"/>
      <c r="CV266" s="478"/>
      <c r="CW266" s="478"/>
      <c r="CX266" s="478"/>
      <c r="CY266" s="478"/>
      <c r="CZ266" s="478"/>
    </row>
    <row r="267" spans="1:104" ht="14.25" customHeight="1" x14ac:dyDescent="0.2">
      <c r="A267" s="478"/>
      <c r="B267" s="504"/>
      <c r="C267" s="478"/>
      <c r="D267" s="478"/>
      <c r="E267" s="478"/>
      <c r="F267" s="478"/>
      <c r="G267" s="478"/>
      <c r="H267" s="478"/>
      <c r="I267" s="478"/>
      <c r="J267" s="478"/>
      <c r="K267" s="478"/>
      <c r="L267" s="478"/>
      <c r="M267" s="478"/>
      <c r="N267" s="478"/>
      <c r="O267" s="478"/>
      <c r="P267" s="478"/>
      <c r="Q267" s="478"/>
      <c r="R267" s="478"/>
      <c r="S267" s="478"/>
      <c r="T267" s="505"/>
      <c r="U267" s="478"/>
      <c r="V267" s="478"/>
      <c r="W267" s="506"/>
      <c r="X267" s="507"/>
      <c r="Y267" s="507"/>
      <c r="Z267" s="507"/>
      <c r="AA267" s="507"/>
      <c r="AB267" s="507"/>
      <c r="AC267" s="507"/>
      <c r="AD267" s="507"/>
      <c r="AE267" s="507"/>
      <c r="AF267" s="507"/>
      <c r="AG267" s="507"/>
      <c r="AH267" s="507"/>
      <c r="AI267" s="507"/>
      <c r="AJ267" s="507"/>
      <c r="AK267" s="507"/>
      <c r="AL267" s="478"/>
      <c r="AM267" s="478"/>
      <c r="AN267" s="478"/>
      <c r="AO267" s="478"/>
      <c r="AP267" s="478"/>
      <c r="AQ267" s="478"/>
      <c r="AR267" s="478"/>
      <c r="AS267" s="478"/>
      <c r="AT267" s="478"/>
      <c r="AU267" s="478"/>
      <c r="AV267" s="478"/>
      <c r="AW267" s="478"/>
      <c r="AX267" s="478"/>
      <c r="AY267" s="478"/>
      <c r="AZ267" s="478"/>
      <c r="BA267" s="478"/>
      <c r="BB267" s="478"/>
      <c r="BC267" s="478"/>
      <c r="BD267" s="478"/>
      <c r="BE267" s="478"/>
      <c r="BF267" s="478"/>
      <c r="BG267" s="478"/>
      <c r="BH267" s="478"/>
      <c r="BI267" s="478"/>
      <c r="BJ267" s="478"/>
      <c r="BK267" s="478"/>
      <c r="BL267" s="478"/>
      <c r="BM267" s="478"/>
      <c r="BN267" s="478"/>
      <c r="BO267" s="478"/>
      <c r="BP267" s="478"/>
      <c r="BQ267" s="478"/>
      <c r="BR267" s="478"/>
      <c r="BS267" s="478"/>
      <c r="BT267" s="478"/>
      <c r="BU267" s="478"/>
      <c r="BV267" s="478"/>
      <c r="BW267" s="478"/>
      <c r="BX267" s="478"/>
      <c r="BY267" s="478"/>
      <c r="BZ267" s="478"/>
      <c r="CA267" s="478"/>
      <c r="CB267" s="478"/>
      <c r="CC267" s="478"/>
      <c r="CD267" s="478"/>
      <c r="CE267" s="478"/>
      <c r="CF267" s="478"/>
      <c r="CG267" s="478"/>
      <c r="CH267" s="478"/>
      <c r="CI267" s="478"/>
      <c r="CJ267" s="478"/>
      <c r="CK267" s="478"/>
      <c r="CL267" s="478"/>
      <c r="CM267" s="478"/>
      <c r="CN267" s="478"/>
      <c r="CO267" s="478"/>
      <c r="CP267" s="478"/>
      <c r="CQ267" s="478"/>
      <c r="CR267" s="478"/>
      <c r="CS267" s="478"/>
      <c r="CT267" s="478"/>
      <c r="CU267" s="478"/>
      <c r="CV267" s="478"/>
      <c r="CW267" s="478"/>
      <c r="CX267" s="478"/>
      <c r="CY267" s="478"/>
      <c r="CZ267" s="478"/>
    </row>
    <row r="268" spans="1:104" ht="14.25" customHeight="1" x14ac:dyDescent="0.2">
      <c r="A268" s="478"/>
      <c r="B268" s="504"/>
      <c r="C268" s="478"/>
      <c r="D268" s="478"/>
      <c r="E268" s="478"/>
      <c r="F268" s="478"/>
      <c r="G268" s="478"/>
      <c r="H268" s="478"/>
      <c r="I268" s="478"/>
      <c r="J268" s="478"/>
      <c r="K268" s="478"/>
      <c r="L268" s="478"/>
      <c r="M268" s="478"/>
      <c r="N268" s="478"/>
      <c r="O268" s="478"/>
      <c r="P268" s="478"/>
      <c r="Q268" s="478"/>
      <c r="R268" s="478"/>
      <c r="S268" s="478"/>
      <c r="T268" s="505"/>
      <c r="U268" s="478"/>
      <c r="V268" s="478"/>
      <c r="W268" s="506"/>
      <c r="X268" s="507"/>
      <c r="Y268" s="507"/>
      <c r="Z268" s="507"/>
      <c r="AA268" s="507"/>
      <c r="AB268" s="507"/>
      <c r="AC268" s="507"/>
      <c r="AD268" s="507"/>
      <c r="AE268" s="507"/>
      <c r="AF268" s="507"/>
      <c r="AG268" s="507"/>
      <c r="AH268" s="507"/>
      <c r="AI268" s="507"/>
      <c r="AJ268" s="507"/>
      <c r="AK268" s="507"/>
      <c r="AL268" s="478"/>
      <c r="AM268" s="478"/>
      <c r="AN268" s="478"/>
      <c r="AO268" s="478"/>
      <c r="AP268" s="478"/>
      <c r="AQ268" s="478"/>
      <c r="AR268" s="478"/>
      <c r="AS268" s="478"/>
      <c r="AT268" s="478"/>
      <c r="AU268" s="478"/>
      <c r="AV268" s="478"/>
      <c r="AW268" s="478"/>
      <c r="AX268" s="478"/>
      <c r="AY268" s="478"/>
      <c r="AZ268" s="478"/>
      <c r="BA268" s="478"/>
      <c r="BB268" s="478"/>
      <c r="BC268" s="478"/>
      <c r="BD268" s="478"/>
      <c r="BE268" s="478"/>
      <c r="BF268" s="478"/>
      <c r="BG268" s="478"/>
      <c r="BH268" s="478"/>
      <c r="BI268" s="478"/>
      <c r="BJ268" s="478"/>
      <c r="BK268" s="478"/>
      <c r="BL268" s="478"/>
      <c r="BM268" s="478"/>
      <c r="BN268" s="478"/>
      <c r="BO268" s="478"/>
      <c r="BP268" s="478"/>
      <c r="BQ268" s="478"/>
      <c r="BR268" s="478"/>
      <c r="BS268" s="478"/>
      <c r="BT268" s="478"/>
      <c r="BU268" s="478"/>
      <c r="BV268" s="478"/>
      <c r="BW268" s="478"/>
      <c r="BX268" s="478"/>
      <c r="BY268" s="478"/>
      <c r="BZ268" s="478"/>
      <c r="CA268" s="478"/>
      <c r="CB268" s="478"/>
      <c r="CC268" s="478"/>
      <c r="CD268" s="478"/>
      <c r="CE268" s="478"/>
      <c r="CF268" s="478"/>
      <c r="CG268" s="478"/>
      <c r="CH268" s="478"/>
      <c r="CI268" s="478"/>
      <c r="CJ268" s="478"/>
      <c r="CK268" s="478"/>
      <c r="CL268" s="478"/>
      <c r="CM268" s="478"/>
      <c r="CN268" s="478"/>
      <c r="CO268" s="478"/>
      <c r="CP268" s="478"/>
      <c r="CQ268" s="478"/>
      <c r="CR268" s="478"/>
      <c r="CS268" s="478"/>
      <c r="CT268" s="478"/>
      <c r="CU268" s="478"/>
      <c r="CV268" s="478"/>
      <c r="CW268" s="478"/>
      <c r="CX268" s="478"/>
      <c r="CY268" s="478"/>
      <c r="CZ268" s="478"/>
    </row>
    <row r="269" spans="1:104" ht="14.25" customHeight="1" x14ac:dyDescent="0.2">
      <c r="A269" s="478"/>
      <c r="B269" s="504"/>
      <c r="C269" s="478"/>
      <c r="D269" s="478"/>
      <c r="E269" s="478"/>
      <c r="F269" s="478"/>
      <c r="G269" s="478"/>
      <c r="H269" s="478"/>
      <c r="I269" s="478"/>
      <c r="J269" s="478"/>
      <c r="K269" s="478"/>
      <c r="L269" s="478"/>
      <c r="M269" s="478"/>
      <c r="N269" s="478"/>
      <c r="O269" s="478"/>
      <c r="P269" s="478"/>
      <c r="Q269" s="478"/>
      <c r="R269" s="478"/>
      <c r="S269" s="478"/>
      <c r="T269" s="505"/>
      <c r="U269" s="478"/>
      <c r="V269" s="478"/>
      <c r="W269" s="506"/>
      <c r="X269" s="507"/>
      <c r="Y269" s="507"/>
      <c r="Z269" s="507"/>
      <c r="AA269" s="507"/>
      <c r="AB269" s="507"/>
      <c r="AC269" s="507"/>
      <c r="AD269" s="507"/>
      <c r="AE269" s="507"/>
      <c r="AF269" s="507"/>
      <c r="AG269" s="507"/>
      <c r="AH269" s="507"/>
      <c r="AI269" s="507"/>
      <c r="AJ269" s="507"/>
      <c r="AK269" s="507"/>
      <c r="AL269" s="478"/>
      <c r="AM269" s="478"/>
      <c r="AN269" s="478"/>
      <c r="AO269" s="478"/>
      <c r="AP269" s="478"/>
      <c r="AQ269" s="478"/>
      <c r="AR269" s="478"/>
      <c r="AS269" s="478"/>
      <c r="AT269" s="478"/>
      <c r="AU269" s="478"/>
      <c r="AV269" s="478"/>
      <c r="AW269" s="478"/>
      <c r="AX269" s="478"/>
      <c r="AY269" s="478"/>
      <c r="AZ269" s="478"/>
      <c r="BA269" s="478"/>
      <c r="BB269" s="478"/>
      <c r="BC269" s="478"/>
      <c r="BD269" s="478"/>
      <c r="BE269" s="478"/>
      <c r="BF269" s="478"/>
      <c r="BG269" s="478"/>
      <c r="BH269" s="478"/>
      <c r="BI269" s="478"/>
      <c r="BJ269" s="478"/>
      <c r="BK269" s="478"/>
      <c r="BL269" s="478"/>
      <c r="BM269" s="478"/>
      <c r="BN269" s="478"/>
      <c r="BO269" s="478"/>
      <c r="BP269" s="478"/>
      <c r="BQ269" s="478"/>
      <c r="BR269" s="478"/>
      <c r="BS269" s="478"/>
      <c r="BT269" s="478"/>
      <c r="BU269" s="478"/>
      <c r="BV269" s="478"/>
      <c r="BW269" s="478"/>
      <c r="BX269" s="478"/>
      <c r="BY269" s="478"/>
      <c r="BZ269" s="478"/>
      <c r="CA269" s="478"/>
      <c r="CB269" s="478"/>
      <c r="CC269" s="478"/>
      <c r="CD269" s="478"/>
      <c r="CE269" s="478"/>
      <c r="CF269" s="478"/>
      <c r="CG269" s="478"/>
      <c r="CH269" s="478"/>
      <c r="CI269" s="478"/>
      <c r="CJ269" s="478"/>
      <c r="CK269" s="478"/>
      <c r="CL269" s="478"/>
      <c r="CM269" s="478"/>
      <c r="CN269" s="478"/>
      <c r="CO269" s="478"/>
      <c r="CP269" s="478"/>
      <c r="CQ269" s="478"/>
      <c r="CR269" s="478"/>
      <c r="CS269" s="478"/>
      <c r="CT269" s="478"/>
      <c r="CU269" s="478"/>
      <c r="CV269" s="478"/>
      <c r="CW269" s="478"/>
      <c r="CX269" s="478"/>
      <c r="CY269" s="478"/>
      <c r="CZ269" s="478"/>
    </row>
    <row r="270" spans="1:104" ht="14.25" customHeight="1" x14ac:dyDescent="0.2">
      <c r="A270" s="478"/>
      <c r="B270" s="504"/>
      <c r="C270" s="478"/>
      <c r="D270" s="478"/>
      <c r="E270" s="478"/>
      <c r="F270" s="478"/>
      <c r="G270" s="478"/>
      <c r="H270" s="478"/>
      <c r="I270" s="478"/>
      <c r="J270" s="478"/>
      <c r="K270" s="478"/>
      <c r="L270" s="478"/>
      <c r="M270" s="478"/>
      <c r="N270" s="478"/>
      <c r="O270" s="478"/>
      <c r="P270" s="478"/>
      <c r="Q270" s="478"/>
      <c r="R270" s="478"/>
      <c r="S270" s="478"/>
      <c r="T270" s="505"/>
      <c r="U270" s="478"/>
      <c r="V270" s="478"/>
      <c r="W270" s="506"/>
      <c r="X270" s="507"/>
      <c r="Y270" s="507"/>
      <c r="Z270" s="507"/>
      <c r="AA270" s="507"/>
      <c r="AB270" s="507"/>
      <c r="AC270" s="507"/>
      <c r="AD270" s="507"/>
      <c r="AE270" s="507"/>
      <c r="AF270" s="507"/>
      <c r="AG270" s="507"/>
      <c r="AH270" s="507"/>
      <c r="AI270" s="507"/>
      <c r="AJ270" s="507"/>
      <c r="AK270" s="507"/>
      <c r="AL270" s="478"/>
      <c r="AM270" s="478"/>
      <c r="AN270" s="478"/>
      <c r="AO270" s="478"/>
      <c r="AP270" s="478"/>
      <c r="AQ270" s="478"/>
      <c r="AR270" s="478"/>
      <c r="AS270" s="478"/>
      <c r="AT270" s="478"/>
      <c r="AU270" s="478"/>
      <c r="AV270" s="478"/>
      <c r="AW270" s="478"/>
      <c r="AX270" s="478"/>
      <c r="AY270" s="478"/>
      <c r="AZ270" s="478"/>
      <c r="BA270" s="478"/>
      <c r="BB270" s="478"/>
      <c r="BC270" s="478"/>
      <c r="BD270" s="478"/>
      <c r="BE270" s="478"/>
      <c r="BF270" s="478"/>
      <c r="BG270" s="478"/>
      <c r="BH270" s="478"/>
      <c r="BI270" s="478"/>
      <c r="BJ270" s="478"/>
      <c r="BK270" s="478"/>
      <c r="BL270" s="478"/>
      <c r="BM270" s="478"/>
      <c r="BN270" s="478"/>
      <c r="BO270" s="478"/>
      <c r="BP270" s="478"/>
      <c r="BQ270" s="478"/>
      <c r="BR270" s="478"/>
      <c r="BS270" s="478"/>
      <c r="BT270" s="478"/>
      <c r="BU270" s="478"/>
      <c r="BV270" s="478"/>
      <c r="BW270" s="478"/>
      <c r="BX270" s="478"/>
      <c r="BY270" s="478"/>
      <c r="BZ270" s="478"/>
      <c r="CA270" s="478"/>
      <c r="CB270" s="478"/>
      <c r="CC270" s="478"/>
      <c r="CD270" s="478"/>
      <c r="CE270" s="478"/>
      <c r="CF270" s="478"/>
      <c r="CG270" s="478"/>
      <c r="CH270" s="478"/>
      <c r="CI270" s="478"/>
      <c r="CJ270" s="478"/>
      <c r="CK270" s="478"/>
      <c r="CL270" s="478"/>
      <c r="CM270" s="478"/>
      <c r="CN270" s="478"/>
      <c r="CO270" s="478"/>
      <c r="CP270" s="478"/>
      <c r="CQ270" s="478"/>
      <c r="CR270" s="478"/>
      <c r="CS270" s="478"/>
      <c r="CT270" s="478"/>
      <c r="CU270" s="478"/>
      <c r="CV270" s="478"/>
      <c r="CW270" s="478"/>
      <c r="CX270" s="478"/>
      <c r="CY270" s="478"/>
      <c r="CZ270" s="478"/>
    </row>
    <row r="271" spans="1:104" ht="14.25" customHeight="1" x14ac:dyDescent="0.2">
      <c r="A271" s="478"/>
      <c r="B271" s="504"/>
      <c r="C271" s="478"/>
      <c r="D271" s="478"/>
      <c r="E271" s="478"/>
      <c r="F271" s="478"/>
      <c r="G271" s="478"/>
      <c r="H271" s="478"/>
      <c r="I271" s="478"/>
      <c r="J271" s="478"/>
      <c r="K271" s="478"/>
      <c r="L271" s="478"/>
      <c r="M271" s="478"/>
      <c r="N271" s="478"/>
      <c r="O271" s="478"/>
      <c r="P271" s="478"/>
      <c r="Q271" s="478"/>
      <c r="R271" s="478"/>
      <c r="S271" s="478"/>
      <c r="T271" s="505"/>
      <c r="U271" s="478"/>
      <c r="V271" s="478"/>
      <c r="W271" s="506"/>
      <c r="X271" s="507"/>
      <c r="Y271" s="507"/>
      <c r="Z271" s="507"/>
      <c r="AA271" s="507"/>
      <c r="AB271" s="507"/>
      <c r="AC271" s="507"/>
      <c r="AD271" s="507"/>
      <c r="AE271" s="507"/>
      <c r="AF271" s="507"/>
      <c r="AG271" s="507"/>
      <c r="AH271" s="507"/>
      <c r="AI271" s="507"/>
      <c r="AJ271" s="507"/>
      <c r="AK271" s="507"/>
      <c r="AL271" s="478"/>
      <c r="AM271" s="478"/>
      <c r="AN271" s="478"/>
      <c r="AO271" s="478"/>
      <c r="AP271" s="478"/>
      <c r="AQ271" s="478"/>
      <c r="AR271" s="478"/>
      <c r="AS271" s="478"/>
      <c r="AT271" s="478"/>
      <c r="AU271" s="478"/>
      <c r="AV271" s="478"/>
      <c r="AW271" s="478"/>
      <c r="AX271" s="478"/>
      <c r="AY271" s="478"/>
      <c r="AZ271" s="478"/>
      <c r="BA271" s="478"/>
      <c r="BB271" s="478"/>
      <c r="BC271" s="478"/>
      <c r="BD271" s="478"/>
      <c r="BE271" s="478"/>
      <c r="BF271" s="478"/>
      <c r="BG271" s="478"/>
      <c r="BH271" s="478"/>
      <c r="BI271" s="478"/>
      <c r="BJ271" s="478"/>
      <c r="BK271" s="478"/>
      <c r="BL271" s="478"/>
      <c r="BM271" s="478"/>
      <c r="BN271" s="478"/>
      <c r="BO271" s="478"/>
      <c r="BP271" s="478"/>
      <c r="BQ271" s="478"/>
      <c r="BR271" s="478"/>
      <c r="BS271" s="478"/>
      <c r="BT271" s="478"/>
      <c r="BU271" s="478"/>
      <c r="BV271" s="478"/>
      <c r="BW271" s="478"/>
      <c r="BX271" s="478"/>
      <c r="BY271" s="478"/>
      <c r="BZ271" s="478"/>
      <c r="CA271" s="478"/>
      <c r="CB271" s="478"/>
      <c r="CC271" s="478"/>
      <c r="CD271" s="478"/>
      <c r="CE271" s="478"/>
      <c r="CF271" s="478"/>
      <c r="CG271" s="478"/>
      <c r="CH271" s="478"/>
      <c r="CI271" s="478"/>
      <c r="CJ271" s="478"/>
      <c r="CK271" s="478"/>
      <c r="CL271" s="478"/>
      <c r="CM271" s="478"/>
      <c r="CN271" s="478"/>
      <c r="CO271" s="478"/>
      <c r="CP271" s="478"/>
      <c r="CQ271" s="478"/>
      <c r="CR271" s="478"/>
      <c r="CS271" s="478"/>
      <c r="CT271" s="478"/>
      <c r="CU271" s="478"/>
      <c r="CV271" s="478"/>
      <c r="CW271" s="478"/>
      <c r="CX271" s="478"/>
      <c r="CY271" s="478"/>
      <c r="CZ271" s="478"/>
    </row>
    <row r="272" spans="1:104" ht="14.25" customHeight="1" x14ac:dyDescent="0.2">
      <c r="A272" s="478"/>
      <c r="B272" s="504"/>
      <c r="C272" s="478"/>
      <c r="D272" s="478"/>
      <c r="E272" s="478"/>
      <c r="F272" s="478"/>
      <c r="G272" s="478"/>
      <c r="H272" s="478"/>
      <c r="I272" s="478"/>
      <c r="J272" s="478"/>
      <c r="K272" s="478"/>
      <c r="L272" s="478"/>
      <c r="M272" s="478"/>
      <c r="N272" s="478"/>
      <c r="O272" s="478"/>
      <c r="P272" s="478"/>
      <c r="Q272" s="478"/>
      <c r="R272" s="478"/>
      <c r="S272" s="478"/>
      <c r="T272" s="505"/>
      <c r="U272" s="478"/>
      <c r="V272" s="478"/>
      <c r="W272" s="506"/>
      <c r="X272" s="507"/>
      <c r="Y272" s="507"/>
      <c r="Z272" s="507"/>
      <c r="AA272" s="507"/>
      <c r="AB272" s="507"/>
      <c r="AC272" s="507"/>
      <c r="AD272" s="507"/>
      <c r="AE272" s="507"/>
      <c r="AF272" s="507"/>
      <c r="AG272" s="507"/>
      <c r="AH272" s="507"/>
      <c r="AI272" s="507"/>
      <c r="AJ272" s="507"/>
      <c r="AK272" s="507"/>
      <c r="AL272" s="478"/>
      <c r="AM272" s="478"/>
      <c r="AN272" s="478"/>
      <c r="AO272" s="478"/>
      <c r="AP272" s="478"/>
      <c r="AQ272" s="478"/>
      <c r="AR272" s="478"/>
      <c r="AS272" s="478"/>
      <c r="AT272" s="478"/>
      <c r="AU272" s="478"/>
      <c r="AV272" s="478"/>
      <c r="AW272" s="478"/>
      <c r="AX272" s="478"/>
      <c r="AY272" s="478"/>
      <c r="AZ272" s="478"/>
      <c r="BA272" s="478"/>
      <c r="BB272" s="478"/>
      <c r="BC272" s="478"/>
      <c r="BD272" s="478"/>
      <c r="BE272" s="478"/>
      <c r="BF272" s="478"/>
      <c r="BG272" s="478"/>
      <c r="BH272" s="478"/>
      <c r="BI272" s="478"/>
      <c r="BJ272" s="478"/>
      <c r="BK272" s="478"/>
      <c r="BL272" s="478"/>
      <c r="BM272" s="478"/>
      <c r="BN272" s="478"/>
      <c r="BO272" s="478"/>
      <c r="BP272" s="478"/>
      <c r="BQ272" s="478"/>
      <c r="BR272" s="478"/>
      <c r="BS272" s="478"/>
      <c r="BT272" s="478"/>
      <c r="BU272" s="478"/>
      <c r="BV272" s="478"/>
      <c r="BW272" s="478"/>
      <c r="BX272" s="478"/>
      <c r="BY272" s="478"/>
      <c r="BZ272" s="478"/>
      <c r="CA272" s="478"/>
      <c r="CB272" s="478"/>
      <c r="CC272" s="478"/>
      <c r="CD272" s="478"/>
      <c r="CE272" s="478"/>
      <c r="CF272" s="478"/>
      <c r="CG272" s="478"/>
      <c r="CH272" s="478"/>
      <c r="CI272" s="478"/>
      <c r="CJ272" s="478"/>
      <c r="CK272" s="478"/>
      <c r="CL272" s="478"/>
      <c r="CM272" s="478"/>
      <c r="CN272" s="478"/>
      <c r="CO272" s="478"/>
      <c r="CP272" s="478"/>
      <c r="CQ272" s="478"/>
      <c r="CR272" s="478"/>
      <c r="CS272" s="478"/>
      <c r="CT272" s="478"/>
      <c r="CU272" s="478"/>
      <c r="CV272" s="478"/>
      <c r="CW272" s="478"/>
      <c r="CX272" s="478"/>
      <c r="CY272" s="478"/>
      <c r="CZ272" s="478"/>
    </row>
    <row r="273" spans="1:104" ht="14.25" customHeight="1" x14ac:dyDescent="0.2">
      <c r="A273" s="478"/>
      <c r="B273" s="504"/>
      <c r="C273" s="478"/>
      <c r="D273" s="478"/>
      <c r="E273" s="478"/>
      <c r="F273" s="478"/>
      <c r="G273" s="478"/>
      <c r="H273" s="478"/>
      <c r="I273" s="478"/>
      <c r="J273" s="478"/>
      <c r="K273" s="478"/>
      <c r="L273" s="478"/>
      <c r="M273" s="478"/>
      <c r="N273" s="478"/>
      <c r="O273" s="478"/>
      <c r="P273" s="478"/>
      <c r="Q273" s="478"/>
      <c r="R273" s="478"/>
      <c r="S273" s="478"/>
      <c r="T273" s="505"/>
      <c r="U273" s="478"/>
      <c r="V273" s="478"/>
      <c r="W273" s="506"/>
      <c r="X273" s="507"/>
      <c r="Y273" s="507"/>
      <c r="Z273" s="507"/>
      <c r="AA273" s="507"/>
      <c r="AB273" s="507"/>
      <c r="AC273" s="507"/>
      <c r="AD273" s="507"/>
      <c r="AE273" s="507"/>
      <c r="AF273" s="507"/>
      <c r="AG273" s="507"/>
      <c r="AH273" s="507"/>
      <c r="AI273" s="507"/>
      <c r="AJ273" s="507"/>
      <c r="AK273" s="507"/>
      <c r="AL273" s="478"/>
      <c r="AM273" s="478"/>
      <c r="AN273" s="478"/>
      <c r="AO273" s="478"/>
      <c r="AP273" s="478"/>
      <c r="AQ273" s="478"/>
      <c r="AR273" s="478"/>
      <c r="AS273" s="478"/>
      <c r="AT273" s="478"/>
      <c r="AU273" s="478"/>
      <c r="AV273" s="478"/>
      <c r="AW273" s="478"/>
      <c r="AX273" s="478"/>
      <c r="AY273" s="478"/>
      <c r="AZ273" s="478"/>
      <c r="BA273" s="478"/>
      <c r="BB273" s="478"/>
      <c r="BC273" s="478"/>
      <c r="BD273" s="478"/>
      <c r="BE273" s="478"/>
      <c r="BF273" s="478"/>
      <c r="BG273" s="478"/>
      <c r="BH273" s="478"/>
      <c r="BI273" s="478"/>
      <c r="BJ273" s="478"/>
      <c r="BK273" s="478"/>
      <c r="BL273" s="478"/>
      <c r="BM273" s="478"/>
      <c r="BN273" s="478"/>
      <c r="BO273" s="478"/>
      <c r="BP273" s="478"/>
      <c r="BQ273" s="478"/>
      <c r="BR273" s="478"/>
      <c r="BS273" s="478"/>
      <c r="BT273" s="478"/>
      <c r="BU273" s="478"/>
      <c r="BV273" s="478"/>
      <c r="BW273" s="478"/>
      <c r="BX273" s="478"/>
      <c r="BY273" s="478"/>
      <c r="BZ273" s="478"/>
      <c r="CA273" s="478"/>
      <c r="CB273" s="478"/>
      <c r="CC273" s="478"/>
      <c r="CD273" s="478"/>
      <c r="CE273" s="478"/>
      <c r="CF273" s="478"/>
      <c r="CG273" s="478"/>
      <c r="CH273" s="478"/>
      <c r="CI273" s="478"/>
      <c r="CJ273" s="478"/>
      <c r="CK273" s="478"/>
      <c r="CL273" s="478"/>
      <c r="CM273" s="478"/>
      <c r="CN273" s="478"/>
      <c r="CO273" s="478"/>
      <c r="CP273" s="478"/>
      <c r="CQ273" s="478"/>
      <c r="CR273" s="478"/>
      <c r="CS273" s="478"/>
      <c r="CT273" s="478"/>
      <c r="CU273" s="478"/>
      <c r="CV273" s="478"/>
      <c r="CW273" s="478"/>
      <c r="CX273" s="478"/>
      <c r="CY273" s="478"/>
      <c r="CZ273" s="478"/>
    </row>
    <row r="274" spans="1:104" ht="14.25" customHeight="1" x14ac:dyDescent="0.2">
      <c r="A274" s="478"/>
      <c r="B274" s="504"/>
      <c r="C274" s="478"/>
      <c r="D274" s="478"/>
      <c r="E274" s="478"/>
      <c r="F274" s="478"/>
      <c r="G274" s="478"/>
      <c r="H274" s="478"/>
      <c r="I274" s="478"/>
      <c r="J274" s="478"/>
      <c r="K274" s="478"/>
      <c r="L274" s="478"/>
      <c r="M274" s="478"/>
      <c r="N274" s="478"/>
      <c r="O274" s="478"/>
      <c r="P274" s="478"/>
      <c r="Q274" s="478"/>
      <c r="R274" s="478"/>
      <c r="S274" s="478"/>
      <c r="T274" s="505"/>
      <c r="U274" s="478"/>
      <c r="V274" s="478"/>
      <c r="W274" s="506"/>
      <c r="X274" s="507"/>
      <c r="Y274" s="507"/>
      <c r="Z274" s="507"/>
      <c r="AA274" s="507"/>
      <c r="AB274" s="507"/>
      <c r="AC274" s="507"/>
      <c r="AD274" s="507"/>
      <c r="AE274" s="507"/>
      <c r="AF274" s="507"/>
      <c r="AG274" s="507"/>
      <c r="AH274" s="507"/>
      <c r="AI274" s="507"/>
      <c r="AJ274" s="507"/>
      <c r="AK274" s="507"/>
      <c r="AL274" s="478"/>
      <c r="AM274" s="478"/>
      <c r="AN274" s="478"/>
      <c r="AO274" s="478"/>
      <c r="AP274" s="478"/>
      <c r="AQ274" s="478"/>
      <c r="AR274" s="478"/>
      <c r="AS274" s="478"/>
      <c r="AT274" s="478"/>
      <c r="AU274" s="478"/>
      <c r="AV274" s="478"/>
      <c r="AW274" s="478"/>
      <c r="AX274" s="478"/>
      <c r="AY274" s="478"/>
      <c r="AZ274" s="478"/>
      <c r="BA274" s="478"/>
      <c r="BB274" s="478"/>
      <c r="BC274" s="478"/>
      <c r="BD274" s="478"/>
      <c r="BE274" s="478"/>
      <c r="BF274" s="478"/>
      <c r="BG274" s="478"/>
      <c r="BH274" s="478"/>
      <c r="BI274" s="478"/>
      <c r="BJ274" s="478"/>
      <c r="BK274" s="478"/>
      <c r="BL274" s="478"/>
      <c r="BM274" s="478"/>
      <c r="BN274" s="478"/>
      <c r="BO274" s="478"/>
      <c r="BP274" s="478"/>
      <c r="BQ274" s="478"/>
      <c r="BR274" s="478"/>
      <c r="BS274" s="478"/>
      <c r="BT274" s="478"/>
      <c r="BU274" s="478"/>
      <c r="BV274" s="478"/>
      <c r="BW274" s="478"/>
      <c r="BX274" s="478"/>
      <c r="BY274" s="478"/>
      <c r="BZ274" s="478"/>
      <c r="CA274" s="478"/>
      <c r="CB274" s="478"/>
      <c r="CC274" s="478"/>
      <c r="CD274" s="478"/>
      <c r="CE274" s="478"/>
      <c r="CF274" s="478"/>
      <c r="CG274" s="478"/>
      <c r="CH274" s="478"/>
      <c r="CI274" s="478"/>
      <c r="CJ274" s="478"/>
      <c r="CK274" s="478"/>
      <c r="CL274" s="478"/>
      <c r="CM274" s="478"/>
      <c r="CN274" s="478"/>
      <c r="CO274" s="478"/>
      <c r="CP274" s="478"/>
      <c r="CQ274" s="478"/>
      <c r="CR274" s="478"/>
      <c r="CS274" s="478"/>
      <c r="CT274" s="478"/>
      <c r="CU274" s="478"/>
      <c r="CV274" s="478"/>
      <c r="CW274" s="478"/>
      <c r="CX274" s="478"/>
      <c r="CY274" s="478"/>
      <c r="CZ274" s="478"/>
    </row>
    <row r="275" spans="1:104" ht="14.25" customHeight="1" x14ac:dyDescent="0.2">
      <c r="A275" s="478"/>
      <c r="B275" s="504"/>
      <c r="C275" s="478"/>
      <c r="D275" s="478"/>
      <c r="E275" s="478"/>
      <c r="F275" s="478"/>
      <c r="G275" s="478"/>
      <c r="H275" s="478"/>
      <c r="I275" s="478"/>
      <c r="J275" s="478"/>
      <c r="K275" s="478"/>
      <c r="L275" s="478"/>
      <c r="M275" s="478"/>
      <c r="N275" s="478"/>
      <c r="O275" s="478"/>
      <c r="P275" s="478"/>
      <c r="Q275" s="478"/>
      <c r="R275" s="478"/>
      <c r="S275" s="478"/>
      <c r="T275" s="505"/>
      <c r="U275" s="478"/>
      <c r="V275" s="478"/>
      <c r="W275" s="506"/>
      <c r="X275" s="507"/>
      <c r="Y275" s="507"/>
      <c r="Z275" s="507"/>
      <c r="AA275" s="507"/>
      <c r="AB275" s="507"/>
      <c r="AC275" s="507"/>
      <c r="AD275" s="507"/>
      <c r="AE275" s="507"/>
      <c r="AF275" s="507"/>
      <c r="AG275" s="507"/>
      <c r="AH275" s="507"/>
      <c r="AI275" s="507"/>
      <c r="AJ275" s="507"/>
      <c r="AK275" s="507"/>
      <c r="AL275" s="478"/>
      <c r="AM275" s="478"/>
      <c r="AN275" s="478"/>
      <c r="AO275" s="478"/>
      <c r="AP275" s="478"/>
      <c r="AQ275" s="478"/>
      <c r="AR275" s="478"/>
      <c r="AS275" s="478"/>
      <c r="AT275" s="478"/>
      <c r="AU275" s="478"/>
      <c r="AV275" s="478"/>
      <c r="AW275" s="478"/>
      <c r="AX275" s="478"/>
      <c r="AY275" s="478"/>
      <c r="AZ275" s="478"/>
      <c r="BA275" s="478"/>
      <c r="BB275" s="478"/>
      <c r="BC275" s="478"/>
      <c r="BD275" s="478"/>
      <c r="BE275" s="478"/>
      <c r="BF275" s="478"/>
      <c r="BG275" s="478"/>
      <c r="BH275" s="478"/>
      <c r="BI275" s="478"/>
      <c r="BJ275" s="478"/>
      <c r="BK275" s="478"/>
      <c r="BL275" s="478"/>
      <c r="BM275" s="478"/>
      <c r="BN275" s="478"/>
      <c r="BO275" s="478"/>
      <c r="BP275" s="478"/>
      <c r="BQ275" s="478"/>
      <c r="BR275" s="478"/>
      <c r="BS275" s="478"/>
      <c r="BT275" s="478"/>
      <c r="BU275" s="478"/>
      <c r="BV275" s="478"/>
      <c r="BW275" s="478"/>
      <c r="BX275" s="478"/>
      <c r="BY275" s="478"/>
      <c r="BZ275" s="478"/>
      <c r="CA275" s="478"/>
      <c r="CB275" s="478"/>
      <c r="CC275" s="478"/>
      <c r="CD275" s="478"/>
      <c r="CE275" s="478"/>
      <c r="CF275" s="478"/>
      <c r="CG275" s="478"/>
      <c r="CH275" s="478"/>
      <c r="CI275" s="478"/>
      <c r="CJ275" s="478"/>
      <c r="CK275" s="478"/>
      <c r="CL275" s="478"/>
      <c r="CM275" s="478"/>
      <c r="CN275" s="478"/>
      <c r="CO275" s="478"/>
      <c r="CP275" s="478"/>
      <c r="CQ275" s="478"/>
      <c r="CR275" s="478"/>
      <c r="CS275" s="478"/>
      <c r="CT275" s="478"/>
      <c r="CU275" s="478"/>
      <c r="CV275" s="478"/>
      <c r="CW275" s="478"/>
      <c r="CX275" s="478"/>
      <c r="CY275" s="478"/>
      <c r="CZ275" s="478"/>
    </row>
    <row r="276" spans="1:104" ht="14.25" customHeight="1" x14ac:dyDescent="0.2">
      <c r="A276" s="478"/>
      <c r="B276" s="504"/>
      <c r="C276" s="478"/>
      <c r="D276" s="478"/>
      <c r="E276" s="478"/>
      <c r="F276" s="478"/>
      <c r="G276" s="478"/>
      <c r="H276" s="478"/>
      <c r="I276" s="478"/>
      <c r="J276" s="478"/>
      <c r="K276" s="478"/>
      <c r="L276" s="478"/>
      <c r="M276" s="478"/>
      <c r="N276" s="478"/>
      <c r="O276" s="478"/>
      <c r="P276" s="478"/>
      <c r="Q276" s="478"/>
      <c r="R276" s="478"/>
      <c r="S276" s="478"/>
      <c r="T276" s="505"/>
      <c r="U276" s="478"/>
      <c r="V276" s="478"/>
      <c r="W276" s="506"/>
      <c r="X276" s="507"/>
      <c r="Y276" s="507"/>
      <c r="Z276" s="507"/>
      <c r="AA276" s="507"/>
      <c r="AB276" s="507"/>
      <c r="AC276" s="507"/>
      <c r="AD276" s="507"/>
      <c r="AE276" s="507"/>
      <c r="AF276" s="507"/>
      <c r="AG276" s="507"/>
      <c r="AH276" s="507"/>
      <c r="AI276" s="507"/>
      <c r="AJ276" s="507"/>
      <c r="AK276" s="507"/>
      <c r="AL276" s="478"/>
      <c r="AM276" s="478"/>
      <c r="AN276" s="478"/>
      <c r="AO276" s="478"/>
      <c r="AP276" s="478"/>
      <c r="AQ276" s="478"/>
      <c r="AR276" s="478"/>
      <c r="AS276" s="478"/>
      <c r="AT276" s="478"/>
      <c r="AU276" s="478"/>
      <c r="AV276" s="478"/>
      <c r="AW276" s="478"/>
      <c r="AX276" s="478"/>
      <c r="AY276" s="478"/>
      <c r="AZ276" s="478"/>
      <c r="BA276" s="478"/>
      <c r="BB276" s="478"/>
      <c r="BC276" s="478"/>
      <c r="BD276" s="478"/>
      <c r="BE276" s="478"/>
      <c r="BF276" s="478"/>
      <c r="BG276" s="478"/>
      <c r="BH276" s="478"/>
      <c r="BI276" s="478"/>
      <c r="BJ276" s="478"/>
      <c r="BK276" s="478"/>
      <c r="BL276" s="478"/>
      <c r="BM276" s="478"/>
      <c r="BN276" s="478"/>
      <c r="BO276" s="478"/>
      <c r="BP276" s="478"/>
      <c r="BQ276" s="478"/>
      <c r="BR276" s="478"/>
      <c r="BS276" s="478"/>
      <c r="BT276" s="478"/>
      <c r="BU276" s="478"/>
      <c r="BV276" s="478"/>
      <c r="BW276" s="478"/>
      <c r="BX276" s="478"/>
      <c r="BY276" s="478"/>
      <c r="BZ276" s="478"/>
      <c r="CA276" s="478"/>
      <c r="CB276" s="478"/>
      <c r="CC276" s="478"/>
      <c r="CD276" s="478"/>
      <c r="CE276" s="478"/>
      <c r="CF276" s="478"/>
      <c r="CG276" s="478"/>
      <c r="CH276" s="478"/>
      <c r="CI276" s="478"/>
      <c r="CJ276" s="478"/>
      <c r="CK276" s="478"/>
      <c r="CL276" s="478"/>
      <c r="CM276" s="478"/>
      <c r="CN276" s="478"/>
      <c r="CO276" s="478"/>
      <c r="CP276" s="478"/>
      <c r="CQ276" s="478"/>
      <c r="CR276" s="478"/>
      <c r="CS276" s="478"/>
      <c r="CT276" s="478"/>
      <c r="CU276" s="478"/>
      <c r="CV276" s="478"/>
      <c r="CW276" s="478"/>
      <c r="CX276" s="478"/>
      <c r="CY276" s="478"/>
      <c r="CZ276" s="478"/>
    </row>
    <row r="277" spans="1:104" ht="14.25" customHeight="1" x14ac:dyDescent="0.2">
      <c r="A277" s="478"/>
      <c r="B277" s="504"/>
      <c r="C277" s="478"/>
      <c r="D277" s="478"/>
      <c r="E277" s="478"/>
      <c r="F277" s="478"/>
      <c r="G277" s="478"/>
      <c r="H277" s="478"/>
      <c r="I277" s="478"/>
      <c r="J277" s="478"/>
      <c r="K277" s="478"/>
      <c r="L277" s="478"/>
      <c r="M277" s="478"/>
      <c r="N277" s="478"/>
      <c r="O277" s="478"/>
      <c r="P277" s="478"/>
      <c r="Q277" s="478"/>
      <c r="R277" s="478"/>
      <c r="S277" s="478"/>
      <c r="T277" s="505"/>
      <c r="U277" s="478"/>
      <c r="V277" s="478"/>
      <c r="W277" s="506"/>
      <c r="X277" s="507"/>
      <c r="Y277" s="507"/>
      <c r="Z277" s="507"/>
      <c r="AA277" s="507"/>
      <c r="AB277" s="507"/>
      <c r="AC277" s="507"/>
      <c r="AD277" s="507"/>
      <c r="AE277" s="507"/>
      <c r="AF277" s="507"/>
      <c r="AG277" s="507"/>
      <c r="AH277" s="507"/>
      <c r="AI277" s="507"/>
      <c r="AJ277" s="507"/>
      <c r="AK277" s="507"/>
      <c r="AL277" s="478"/>
      <c r="AM277" s="478"/>
      <c r="AN277" s="478"/>
      <c r="AO277" s="478"/>
      <c r="AP277" s="478"/>
      <c r="AQ277" s="478"/>
      <c r="AR277" s="478"/>
      <c r="AS277" s="478"/>
      <c r="AT277" s="478"/>
      <c r="AU277" s="478"/>
      <c r="AV277" s="478"/>
      <c r="AW277" s="478"/>
      <c r="AX277" s="478"/>
      <c r="AY277" s="478"/>
      <c r="AZ277" s="478"/>
      <c r="BA277" s="478"/>
      <c r="BB277" s="478"/>
      <c r="BC277" s="478"/>
      <c r="BD277" s="478"/>
      <c r="BE277" s="478"/>
      <c r="BF277" s="478"/>
      <c r="BG277" s="478"/>
      <c r="BH277" s="478"/>
      <c r="BI277" s="478"/>
      <c r="BJ277" s="478"/>
      <c r="BK277" s="478"/>
      <c r="BL277" s="478"/>
      <c r="BM277" s="478"/>
      <c r="BN277" s="478"/>
      <c r="BO277" s="478"/>
      <c r="BP277" s="478"/>
      <c r="BQ277" s="478"/>
      <c r="BR277" s="478"/>
      <c r="BS277" s="478"/>
      <c r="BT277" s="478"/>
      <c r="BU277" s="478"/>
      <c r="BV277" s="478"/>
      <c r="BW277" s="478"/>
      <c r="BX277" s="478"/>
      <c r="BY277" s="478"/>
      <c r="BZ277" s="478"/>
      <c r="CA277" s="478"/>
      <c r="CB277" s="478"/>
      <c r="CC277" s="478"/>
      <c r="CD277" s="478"/>
      <c r="CE277" s="478"/>
      <c r="CF277" s="478"/>
      <c r="CG277" s="478"/>
      <c r="CH277" s="478"/>
      <c r="CI277" s="478"/>
      <c r="CJ277" s="478"/>
      <c r="CK277" s="478"/>
      <c r="CL277" s="478"/>
      <c r="CM277" s="478"/>
      <c r="CN277" s="478"/>
      <c r="CO277" s="478"/>
      <c r="CP277" s="478"/>
      <c r="CQ277" s="478"/>
      <c r="CR277" s="478"/>
      <c r="CS277" s="478"/>
      <c r="CT277" s="478"/>
      <c r="CU277" s="478"/>
      <c r="CV277" s="478"/>
      <c r="CW277" s="478"/>
      <c r="CX277" s="478"/>
      <c r="CY277" s="478"/>
      <c r="CZ277" s="478"/>
    </row>
    <row r="278" spans="1:104" ht="14.25" customHeight="1" x14ac:dyDescent="0.2">
      <c r="A278" s="478"/>
      <c r="B278" s="504"/>
      <c r="C278" s="478"/>
      <c r="D278" s="478"/>
      <c r="E278" s="478"/>
      <c r="F278" s="478"/>
      <c r="G278" s="478"/>
      <c r="H278" s="478"/>
      <c r="I278" s="478"/>
      <c r="J278" s="478"/>
      <c r="K278" s="478"/>
      <c r="L278" s="478"/>
      <c r="M278" s="478"/>
      <c r="N278" s="478"/>
      <c r="O278" s="478"/>
      <c r="P278" s="478"/>
      <c r="Q278" s="478"/>
      <c r="R278" s="478"/>
      <c r="S278" s="478"/>
      <c r="T278" s="505"/>
      <c r="U278" s="478"/>
      <c r="V278" s="478"/>
      <c r="W278" s="506"/>
      <c r="X278" s="507"/>
      <c r="Y278" s="507"/>
      <c r="Z278" s="507"/>
      <c r="AA278" s="507"/>
      <c r="AB278" s="507"/>
      <c r="AC278" s="507"/>
      <c r="AD278" s="507"/>
      <c r="AE278" s="507"/>
      <c r="AF278" s="507"/>
      <c r="AG278" s="507"/>
      <c r="AH278" s="507"/>
      <c r="AI278" s="507"/>
      <c r="AJ278" s="507"/>
      <c r="AK278" s="507"/>
      <c r="AL278" s="478"/>
      <c r="AM278" s="478"/>
      <c r="AN278" s="478"/>
      <c r="AO278" s="478"/>
      <c r="AP278" s="478"/>
      <c r="AQ278" s="478"/>
      <c r="AR278" s="478"/>
      <c r="AS278" s="478"/>
      <c r="AT278" s="478"/>
      <c r="AU278" s="478"/>
      <c r="AV278" s="478"/>
      <c r="AW278" s="478"/>
      <c r="AX278" s="478"/>
      <c r="AY278" s="478"/>
      <c r="AZ278" s="478"/>
      <c r="BA278" s="478"/>
      <c r="BB278" s="478"/>
      <c r="BC278" s="478"/>
      <c r="BD278" s="478"/>
      <c r="BE278" s="478"/>
      <c r="BF278" s="478"/>
      <c r="BG278" s="478"/>
      <c r="BH278" s="478"/>
      <c r="BI278" s="478"/>
      <c r="BJ278" s="478"/>
      <c r="BK278" s="478"/>
      <c r="BL278" s="478"/>
      <c r="BM278" s="478"/>
      <c r="BN278" s="478"/>
      <c r="BO278" s="478"/>
      <c r="BP278" s="478"/>
      <c r="BQ278" s="478"/>
      <c r="BR278" s="478"/>
      <c r="BS278" s="478"/>
      <c r="BT278" s="478"/>
      <c r="BU278" s="478"/>
      <c r="BV278" s="478"/>
      <c r="BW278" s="478"/>
      <c r="BX278" s="478"/>
      <c r="BY278" s="478"/>
      <c r="BZ278" s="478"/>
      <c r="CA278" s="478"/>
      <c r="CB278" s="478"/>
      <c r="CC278" s="478"/>
      <c r="CD278" s="478"/>
      <c r="CE278" s="478"/>
      <c r="CF278" s="478"/>
      <c r="CG278" s="478"/>
      <c r="CH278" s="478"/>
      <c r="CI278" s="478"/>
      <c r="CJ278" s="478"/>
      <c r="CK278" s="478"/>
      <c r="CL278" s="478"/>
      <c r="CM278" s="478"/>
      <c r="CN278" s="478"/>
      <c r="CO278" s="478"/>
      <c r="CP278" s="478"/>
      <c r="CQ278" s="478"/>
      <c r="CR278" s="478"/>
      <c r="CS278" s="478"/>
      <c r="CT278" s="478"/>
      <c r="CU278" s="478"/>
      <c r="CV278" s="478"/>
      <c r="CW278" s="478"/>
      <c r="CX278" s="478"/>
      <c r="CY278" s="478"/>
      <c r="CZ278" s="478"/>
    </row>
    <row r="279" spans="1:104" ht="14.25" customHeight="1" x14ac:dyDescent="0.2">
      <c r="A279" s="478"/>
      <c r="B279" s="504"/>
      <c r="C279" s="478"/>
      <c r="D279" s="478"/>
      <c r="E279" s="478"/>
      <c r="F279" s="478"/>
      <c r="G279" s="478"/>
      <c r="H279" s="478"/>
      <c r="I279" s="478"/>
      <c r="J279" s="478"/>
      <c r="K279" s="478"/>
      <c r="L279" s="478"/>
      <c r="M279" s="478"/>
      <c r="N279" s="478"/>
      <c r="O279" s="478"/>
      <c r="P279" s="478"/>
      <c r="Q279" s="478"/>
      <c r="R279" s="478"/>
      <c r="S279" s="478"/>
      <c r="T279" s="505"/>
      <c r="U279" s="478"/>
      <c r="V279" s="478"/>
      <c r="W279" s="506"/>
      <c r="X279" s="507"/>
      <c r="Y279" s="507"/>
      <c r="Z279" s="507"/>
      <c r="AA279" s="507"/>
      <c r="AB279" s="507"/>
      <c r="AC279" s="507"/>
      <c r="AD279" s="507"/>
      <c r="AE279" s="507"/>
      <c r="AF279" s="507"/>
      <c r="AG279" s="507"/>
      <c r="AH279" s="507"/>
      <c r="AI279" s="507"/>
      <c r="AJ279" s="507"/>
      <c r="AK279" s="507"/>
      <c r="AL279" s="478"/>
      <c r="AM279" s="478"/>
      <c r="AN279" s="478"/>
      <c r="AO279" s="478"/>
      <c r="AP279" s="478"/>
      <c r="AQ279" s="478"/>
      <c r="AR279" s="478"/>
      <c r="AS279" s="478"/>
      <c r="AT279" s="478"/>
      <c r="AU279" s="478"/>
      <c r="AV279" s="478"/>
      <c r="AW279" s="478"/>
      <c r="AX279" s="478"/>
      <c r="AY279" s="478"/>
      <c r="AZ279" s="478"/>
      <c r="BA279" s="478"/>
      <c r="BB279" s="478"/>
      <c r="BC279" s="478"/>
      <c r="BD279" s="478"/>
      <c r="BE279" s="478"/>
      <c r="BF279" s="478"/>
      <c r="BG279" s="478"/>
      <c r="BH279" s="478"/>
      <c r="BI279" s="478"/>
      <c r="BJ279" s="478"/>
      <c r="BK279" s="478"/>
      <c r="BL279" s="478"/>
      <c r="BM279" s="478"/>
      <c r="BN279" s="478"/>
      <c r="BO279" s="478"/>
      <c r="BP279" s="478"/>
      <c r="BQ279" s="478"/>
      <c r="BR279" s="478"/>
      <c r="BS279" s="478"/>
      <c r="BT279" s="478"/>
      <c r="BU279" s="478"/>
      <c r="BV279" s="478"/>
      <c r="BW279" s="478"/>
      <c r="BX279" s="478"/>
      <c r="BY279" s="478"/>
      <c r="BZ279" s="478"/>
      <c r="CA279" s="478"/>
      <c r="CB279" s="478"/>
      <c r="CC279" s="478"/>
      <c r="CD279" s="478"/>
      <c r="CE279" s="478"/>
      <c r="CF279" s="478"/>
      <c r="CG279" s="478"/>
      <c r="CH279" s="478"/>
      <c r="CI279" s="478"/>
      <c r="CJ279" s="478"/>
      <c r="CK279" s="478"/>
      <c r="CL279" s="478"/>
      <c r="CM279" s="478"/>
      <c r="CN279" s="478"/>
      <c r="CO279" s="478"/>
      <c r="CP279" s="478"/>
      <c r="CQ279" s="478"/>
      <c r="CR279" s="478"/>
      <c r="CS279" s="478"/>
      <c r="CT279" s="478"/>
      <c r="CU279" s="478"/>
      <c r="CV279" s="478"/>
      <c r="CW279" s="478"/>
      <c r="CX279" s="478"/>
      <c r="CY279" s="478"/>
      <c r="CZ279" s="478"/>
    </row>
    <row r="280" spans="1:104" ht="14.25" customHeight="1" x14ac:dyDescent="0.2">
      <c r="A280" s="478"/>
      <c r="B280" s="504"/>
      <c r="C280" s="478"/>
      <c r="D280" s="478"/>
      <c r="E280" s="478"/>
      <c r="F280" s="478"/>
      <c r="G280" s="478"/>
      <c r="H280" s="478"/>
      <c r="I280" s="478"/>
      <c r="J280" s="478"/>
      <c r="K280" s="478"/>
      <c r="L280" s="478"/>
      <c r="M280" s="478"/>
      <c r="N280" s="478"/>
      <c r="O280" s="478"/>
      <c r="P280" s="478"/>
      <c r="Q280" s="478"/>
      <c r="R280" s="478"/>
      <c r="S280" s="478"/>
      <c r="T280" s="505"/>
      <c r="U280" s="478"/>
      <c r="V280" s="478"/>
      <c r="W280" s="506"/>
      <c r="X280" s="507"/>
      <c r="Y280" s="507"/>
      <c r="Z280" s="507"/>
      <c r="AA280" s="507"/>
      <c r="AB280" s="507"/>
      <c r="AC280" s="507"/>
      <c r="AD280" s="507"/>
      <c r="AE280" s="507"/>
      <c r="AF280" s="507"/>
      <c r="AG280" s="507"/>
      <c r="AH280" s="507"/>
      <c r="AI280" s="507"/>
      <c r="AJ280" s="507"/>
      <c r="AK280" s="507"/>
      <c r="AL280" s="478"/>
      <c r="AM280" s="478"/>
      <c r="AN280" s="478"/>
      <c r="AO280" s="478"/>
      <c r="AP280" s="478"/>
      <c r="AQ280" s="478"/>
      <c r="AR280" s="478"/>
      <c r="AS280" s="478"/>
      <c r="AT280" s="478"/>
      <c r="AU280" s="478"/>
      <c r="AV280" s="478"/>
      <c r="AW280" s="478"/>
      <c r="AX280" s="478"/>
      <c r="AY280" s="478"/>
      <c r="AZ280" s="478"/>
      <c r="BA280" s="478"/>
      <c r="BB280" s="478"/>
      <c r="BC280" s="478"/>
      <c r="BD280" s="478"/>
      <c r="BE280" s="478"/>
      <c r="BF280" s="478"/>
      <c r="BG280" s="478"/>
      <c r="BH280" s="478"/>
      <c r="BI280" s="478"/>
      <c r="BJ280" s="478"/>
      <c r="BK280" s="478"/>
      <c r="BL280" s="478"/>
      <c r="BM280" s="478"/>
      <c r="BN280" s="478"/>
      <c r="BO280" s="478"/>
      <c r="BP280" s="478"/>
      <c r="BQ280" s="478"/>
      <c r="BR280" s="478"/>
      <c r="BS280" s="478"/>
      <c r="BT280" s="478"/>
      <c r="BU280" s="478"/>
      <c r="BV280" s="478"/>
      <c r="BW280" s="478"/>
      <c r="BX280" s="478"/>
      <c r="BY280" s="478"/>
      <c r="BZ280" s="478"/>
      <c r="CA280" s="478"/>
      <c r="CB280" s="478"/>
      <c r="CC280" s="478"/>
      <c r="CD280" s="478"/>
      <c r="CE280" s="478"/>
      <c r="CF280" s="478"/>
      <c r="CG280" s="478"/>
      <c r="CH280" s="478"/>
      <c r="CI280" s="478"/>
      <c r="CJ280" s="478"/>
      <c r="CK280" s="478"/>
      <c r="CL280" s="478"/>
      <c r="CM280" s="478"/>
      <c r="CN280" s="478"/>
      <c r="CO280" s="478"/>
      <c r="CP280" s="478"/>
      <c r="CQ280" s="478"/>
      <c r="CR280" s="478"/>
      <c r="CS280" s="478"/>
      <c r="CT280" s="478"/>
      <c r="CU280" s="478"/>
      <c r="CV280" s="478"/>
      <c r="CW280" s="478"/>
      <c r="CX280" s="478"/>
      <c r="CY280" s="478"/>
      <c r="CZ280" s="478"/>
    </row>
    <row r="281" spans="1:104" ht="14.25" customHeight="1" x14ac:dyDescent="0.2">
      <c r="A281" s="478"/>
      <c r="B281" s="504"/>
      <c r="C281" s="478"/>
      <c r="D281" s="478"/>
      <c r="E281" s="478"/>
      <c r="F281" s="478"/>
      <c r="G281" s="478"/>
      <c r="H281" s="478"/>
      <c r="I281" s="478"/>
      <c r="J281" s="478"/>
      <c r="K281" s="478"/>
      <c r="L281" s="478"/>
      <c r="M281" s="478"/>
      <c r="N281" s="478"/>
      <c r="O281" s="478"/>
      <c r="P281" s="478"/>
      <c r="Q281" s="478"/>
      <c r="R281" s="478"/>
      <c r="S281" s="478"/>
      <c r="T281" s="505"/>
      <c r="U281" s="478"/>
      <c r="V281" s="478"/>
      <c r="W281" s="506"/>
      <c r="X281" s="507"/>
      <c r="Y281" s="507"/>
      <c r="Z281" s="507"/>
      <c r="AA281" s="507"/>
      <c r="AB281" s="507"/>
      <c r="AC281" s="507"/>
      <c r="AD281" s="507"/>
      <c r="AE281" s="507"/>
      <c r="AF281" s="507"/>
      <c r="AG281" s="507"/>
      <c r="AH281" s="507"/>
      <c r="AI281" s="507"/>
      <c r="AJ281" s="507"/>
      <c r="AK281" s="507"/>
      <c r="AL281" s="478"/>
      <c r="AM281" s="478"/>
      <c r="AN281" s="478"/>
      <c r="AO281" s="478"/>
      <c r="AP281" s="478"/>
      <c r="AQ281" s="478"/>
      <c r="AR281" s="478"/>
      <c r="AS281" s="478"/>
      <c r="AT281" s="478"/>
      <c r="AU281" s="478"/>
      <c r="AV281" s="478"/>
      <c r="AW281" s="478"/>
      <c r="AX281" s="478"/>
      <c r="AY281" s="478"/>
      <c r="AZ281" s="478"/>
      <c r="BA281" s="478"/>
      <c r="BB281" s="478"/>
      <c r="BC281" s="478"/>
      <c r="BD281" s="478"/>
      <c r="BE281" s="478"/>
      <c r="BF281" s="478"/>
      <c r="BG281" s="478"/>
      <c r="BH281" s="478"/>
      <c r="BI281" s="478"/>
      <c r="BJ281" s="478"/>
      <c r="BK281" s="478"/>
      <c r="BL281" s="478"/>
      <c r="BM281" s="478"/>
      <c r="BN281" s="478"/>
      <c r="BO281" s="478"/>
      <c r="BP281" s="478"/>
      <c r="BQ281" s="478"/>
      <c r="BR281" s="478"/>
      <c r="BS281" s="478"/>
      <c r="BT281" s="478"/>
      <c r="BU281" s="478"/>
      <c r="BV281" s="478"/>
      <c r="BW281" s="478"/>
      <c r="BX281" s="478"/>
      <c r="BY281" s="478"/>
      <c r="BZ281" s="478"/>
      <c r="CA281" s="478"/>
      <c r="CB281" s="478"/>
      <c r="CC281" s="478"/>
      <c r="CD281" s="478"/>
      <c r="CE281" s="478"/>
      <c r="CF281" s="478"/>
      <c r="CG281" s="478"/>
      <c r="CH281" s="478"/>
      <c r="CI281" s="478"/>
      <c r="CJ281" s="478"/>
      <c r="CK281" s="478"/>
      <c r="CL281" s="478"/>
      <c r="CM281" s="478"/>
      <c r="CN281" s="478"/>
      <c r="CO281" s="478"/>
      <c r="CP281" s="478"/>
      <c r="CQ281" s="478"/>
      <c r="CR281" s="478"/>
      <c r="CS281" s="478"/>
      <c r="CT281" s="478"/>
      <c r="CU281" s="478"/>
      <c r="CV281" s="478"/>
      <c r="CW281" s="478"/>
      <c r="CX281" s="478"/>
      <c r="CY281" s="478"/>
      <c r="CZ281" s="478"/>
    </row>
    <row r="282" spans="1:104" ht="14.25" customHeight="1" x14ac:dyDescent="0.2">
      <c r="A282" s="478"/>
      <c r="B282" s="504"/>
      <c r="C282" s="478"/>
      <c r="D282" s="478"/>
      <c r="E282" s="478"/>
      <c r="F282" s="478"/>
      <c r="G282" s="478"/>
      <c r="H282" s="478"/>
      <c r="I282" s="478"/>
      <c r="J282" s="478"/>
      <c r="K282" s="478"/>
      <c r="L282" s="478"/>
      <c r="M282" s="478"/>
      <c r="N282" s="478"/>
      <c r="O282" s="478"/>
      <c r="P282" s="478"/>
      <c r="Q282" s="478"/>
      <c r="R282" s="478"/>
      <c r="S282" s="478"/>
      <c r="T282" s="505"/>
      <c r="U282" s="478"/>
      <c r="V282" s="478"/>
      <c r="W282" s="506"/>
      <c r="X282" s="507"/>
      <c r="Y282" s="507"/>
      <c r="Z282" s="507"/>
      <c r="AA282" s="507"/>
      <c r="AB282" s="507"/>
      <c r="AC282" s="507"/>
      <c r="AD282" s="507"/>
      <c r="AE282" s="507"/>
      <c r="AF282" s="507"/>
      <c r="AG282" s="507"/>
      <c r="AH282" s="507"/>
      <c r="AI282" s="507"/>
      <c r="AJ282" s="507"/>
      <c r="AK282" s="507"/>
      <c r="AL282" s="478"/>
      <c r="AM282" s="478"/>
      <c r="AN282" s="478"/>
      <c r="AO282" s="478"/>
      <c r="AP282" s="478"/>
      <c r="AQ282" s="478"/>
      <c r="AR282" s="478"/>
      <c r="AS282" s="478"/>
      <c r="AT282" s="478"/>
      <c r="AU282" s="478"/>
      <c r="AV282" s="478"/>
      <c r="AW282" s="478"/>
      <c r="AX282" s="478"/>
      <c r="AY282" s="478"/>
      <c r="AZ282" s="478"/>
      <c r="BA282" s="478"/>
      <c r="BB282" s="478"/>
      <c r="BC282" s="478"/>
      <c r="BD282" s="478"/>
      <c r="BE282" s="478"/>
      <c r="BF282" s="478"/>
      <c r="BG282" s="478"/>
      <c r="BH282" s="478"/>
      <c r="BI282" s="478"/>
      <c r="BJ282" s="478"/>
      <c r="BK282" s="478"/>
      <c r="BL282" s="478"/>
      <c r="BM282" s="478"/>
      <c r="BN282" s="478"/>
      <c r="BO282" s="478"/>
      <c r="BP282" s="478"/>
      <c r="BQ282" s="478"/>
      <c r="BR282" s="478"/>
      <c r="BS282" s="478"/>
      <c r="BT282" s="478"/>
      <c r="BU282" s="478"/>
      <c r="BV282" s="478"/>
      <c r="BW282" s="478"/>
      <c r="BX282" s="478"/>
      <c r="BY282" s="478"/>
      <c r="BZ282" s="478"/>
      <c r="CA282" s="478"/>
      <c r="CB282" s="478"/>
      <c r="CC282" s="478"/>
      <c r="CD282" s="478"/>
      <c r="CE282" s="478"/>
      <c r="CF282" s="478"/>
      <c r="CG282" s="478"/>
      <c r="CH282" s="478"/>
      <c r="CI282" s="478"/>
      <c r="CJ282" s="478"/>
      <c r="CK282" s="478"/>
      <c r="CL282" s="478"/>
      <c r="CM282" s="478"/>
      <c r="CN282" s="478"/>
      <c r="CO282" s="478"/>
      <c r="CP282" s="478"/>
      <c r="CQ282" s="478"/>
      <c r="CR282" s="478"/>
      <c r="CS282" s="478"/>
      <c r="CT282" s="478"/>
      <c r="CU282" s="478"/>
      <c r="CV282" s="478"/>
      <c r="CW282" s="478"/>
      <c r="CX282" s="478"/>
      <c r="CY282" s="478"/>
      <c r="CZ282" s="478"/>
    </row>
    <row r="283" spans="1:104" ht="14.25" customHeight="1" x14ac:dyDescent="0.2">
      <c r="A283" s="478"/>
      <c r="B283" s="504"/>
      <c r="C283" s="478"/>
      <c r="D283" s="478"/>
      <c r="E283" s="478"/>
      <c r="F283" s="478"/>
      <c r="G283" s="478"/>
      <c r="H283" s="478"/>
      <c r="I283" s="478"/>
      <c r="J283" s="478"/>
      <c r="K283" s="478"/>
      <c r="L283" s="478"/>
      <c r="M283" s="478"/>
      <c r="N283" s="478"/>
      <c r="O283" s="478"/>
      <c r="P283" s="478"/>
      <c r="Q283" s="478"/>
      <c r="R283" s="478"/>
      <c r="S283" s="478"/>
      <c r="T283" s="505"/>
      <c r="U283" s="478"/>
      <c r="V283" s="478"/>
      <c r="W283" s="506"/>
      <c r="X283" s="507"/>
      <c r="Y283" s="507"/>
      <c r="Z283" s="507"/>
      <c r="AA283" s="507"/>
      <c r="AB283" s="507"/>
      <c r="AC283" s="507"/>
      <c r="AD283" s="507"/>
      <c r="AE283" s="507"/>
      <c r="AF283" s="507"/>
      <c r="AG283" s="507"/>
      <c r="AH283" s="507"/>
      <c r="AI283" s="507"/>
      <c r="AJ283" s="507"/>
      <c r="AK283" s="507"/>
      <c r="AL283" s="478"/>
      <c r="AM283" s="478"/>
      <c r="AN283" s="478"/>
      <c r="AO283" s="478"/>
      <c r="AP283" s="478"/>
      <c r="AQ283" s="478"/>
      <c r="AR283" s="478"/>
      <c r="AS283" s="478"/>
      <c r="AT283" s="478"/>
      <c r="AU283" s="478"/>
      <c r="AV283" s="478"/>
      <c r="AW283" s="478"/>
      <c r="AX283" s="478"/>
      <c r="AY283" s="478"/>
      <c r="AZ283" s="478"/>
      <c r="BA283" s="478"/>
      <c r="BB283" s="478"/>
      <c r="BC283" s="478"/>
      <c r="BD283" s="478"/>
      <c r="BE283" s="478"/>
      <c r="BF283" s="478"/>
      <c r="BG283" s="478"/>
      <c r="BH283" s="478"/>
      <c r="BI283" s="478"/>
      <c r="BJ283" s="478"/>
      <c r="BK283" s="478"/>
      <c r="BL283" s="478"/>
      <c r="BM283" s="478"/>
      <c r="BN283" s="478"/>
      <c r="BO283" s="478"/>
      <c r="BP283" s="478"/>
      <c r="BQ283" s="478"/>
      <c r="BR283" s="478"/>
      <c r="BS283" s="478"/>
      <c r="BT283" s="478"/>
      <c r="BU283" s="478"/>
      <c r="BV283" s="478"/>
      <c r="BW283" s="478"/>
      <c r="BX283" s="478"/>
      <c r="BY283" s="478"/>
      <c r="BZ283" s="478"/>
      <c r="CA283" s="478"/>
      <c r="CB283" s="478"/>
      <c r="CC283" s="478"/>
      <c r="CD283" s="478"/>
      <c r="CE283" s="478"/>
      <c r="CF283" s="478"/>
      <c r="CG283" s="478"/>
      <c r="CH283" s="478"/>
      <c r="CI283" s="478"/>
      <c r="CJ283" s="478"/>
      <c r="CK283" s="478"/>
      <c r="CL283" s="478"/>
      <c r="CM283" s="478"/>
      <c r="CN283" s="478"/>
      <c r="CO283" s="478"/>
      <c r="CP283" s="478"/>
      <c r="CQ283" s="478"/>
      <c r="CR283" s="478"/>
      <c r="CS283" s="478"/>
      <c r="CT283" s="478"/>
      <c r="CU283" s="478"/>
      <c r="CV283" s="478"/>
      <c r="CW283" s="478"/>
      <c r="CX283" s="478"/>
      <c r="CY283" s="478"/>
      <c r="CZ283" s="478"/>
    </row>
    <row r="284" spans="1:104" ht="14.25" customHeight="1" x14ac:dyDescent="0.2">
      <c r="A284" s="478"/>
      <c r="B284" s="504"/>
      <c r="C284" s="478"/>
      <c r="D284" s="478"/>
      <c r="E284" s="478"/>
      <c r="F284" s="478"/>
      <c r="G284" s="478"/>
      <c r="H284" s="478"/>
      <c r="I284" s="478"/>
      <c r="J284" s="478"/>
      <c r="K284" s="478"/>
      <c r="L284" s="478"/>
      <c r="M284" s="478"/>
      <c r="N284" s="478"/>
      <c r="O284" s="478"/>
      <c r="P284" s="478"/>
      <c r="Q284" s="478"/>
      <c r="R284" s="478"/>
      <c r="S284" s="478"/>
      <c r="T284" s="505"/>
      <c r="U284" s="478"/>
      <c r="V284" s="478"/>
      <c r="W284" s="506"/>
      <c r="X284" s="507"/>
      <c r="Y284" s="507"/>
      <c r="Z284" s="507"/>
      <c r="AA284" s="507"/>
      <c r="AB284" s="507"/>
      <c r="AC284" s="507"/>
      <c r="AD284" s="507"/>
      <c r="AE284" s="507"/>
      <c r="AF284" s="507"/>
      <c r="AG284" s="507"/>
      <c r="AH284" s="507"/>
      <c r="AI284" s="507"/>
      <c r="AJ284" s="507"/>
      <c r="AK284" s="507"/>
      <c r="AL284" s="478"/>
      <c r="AM284" s="478"/>
      <c r="AN284" s="478"/>
      <c r="AO284" s="478"/>
      <c r="AP284" s="478"/>
      <c r="AQ284" s="478"/>
      <c r="AR284" s="478"/>
      <c r="AS284" s="478"/>
      <c r="AT284" s="478"/>
      <c r="AU284" s="478"/>
      <c r="AV284" s="478"/>
      <c r="AW284" s="478"/>
      <c r="AX284" s="478"/>
      <c r="AY284" s="478"/>
      <c r="AZ284" s="478"/>
      <c r="BA284" s="478"/>
      <c r="BB284" s="478"/>
      <c r="BC284" s="478"/>
      <c r="BD284" s="478"/>
      <c r="BE284" s="478"/>
      <c r="BF284" s="478"/>
      <c r="BG284" s="478"/>
      <c r="BH284" s="478"/>
      <c r="BI284" s="478"/>
      <c r="BJ284" s="478"/>
      <c r="BK284" s="478"/>
      <c r="BL284" s="478"/>
      <c r="BM284" s="478"/>
      <c r="BN284" s="478"/>
      <c r="BO284" s="478"/>
      <c r="BP284" s="478"/>
      <c r="BQ284" s="478"/>
      <c r="BR284" s="478"/>
      <c r="BS284" s="478"/>
      <c r="BT284" s="478"/>
      <c r="BU284" s="478"/>
      <c r="BV284" s="478"/>
      <c r="BW284" s="478"/>
      <c r="BX284" s="478"/>
      <c r="BY284" s="478"/>
      <c r="BZ284" s="478"/>
      <c r="CA284" s="478"/>
      <c r="CB284" s="478"/>
      <c r="CC284" s="478"/>
      <c r="CD284" s="478"/>
      <c r="CE284" s="478"/>
      <c r="CF284" s="478"/>
      <c r="CG284" s="478"/>
      <c r="CH284" s="478"/>
      <c r="CI284" s="478"/>
      <c r="CJ284" s="478"/>
      <c r="CK284" s="478"/>
      <c r="CL284" s="478"/>
      <c r="CM284" s="478"/>
      <c r="CN284" s="478"/>
      <c r="CO284" s="478"/>
      <c r="CP284" s="478"/>
      <c r="CQ284" s="478"/>
      <c r="CR284" s="478"/>
      <c r="CS284" s="478"/>
      <c r="CT284" s="478"/>
      <c r="CU284" s="478"/>
      <c r="CV284" s="478"/>
      <c r="CW284" s="478"/>
      <c r="CX284" s="478"/>
      <c r="CY284" s="478"/>
      <c r="CZ284" s="478"/>
    </row>
    <row r="285" spans="1:104" ht="14.25" customHeight="1" x14ac:dyDescent="0.2">
      <c r="A285" s="478"/>
      <c r="B285" s="504"/>
      <c r="C285" s="478"/>
      <c r="D285" s="478"/>
      <c r="E285" s="478"/>
      <c r="F285" s="478"/>
      <c r="G285" s="478"/>
      <c r="H285" s="478"/>
      <c r="I285" s="478"/>
      <c r="J285" s="478"/>
      <c r="K285" s="478"/>
      <c r="L285" s="478"/>
      <c r="M285" s="478"/>
      <c r="N285" s="478"/>
      <c r="O285" s="478"/>
      <c r="P285" s="478"/>
      <c r="Q285" s="478"/>
      <c r="R285" s="478"/>
      <c r="S285" s="478"/>
      <c r="T285" s="505"/>
      <c r="U285" s="478"/>
      <c r="V285" s="478"/>
      <c r="W285" s="506"/>
      <c r="X285" s="507"/>
      <c r="Y285" s="507"/>
      <c r="Z285" s="507"/>
      <c r="AA285" s="507"/>
      <c r="AB285" s="507"/>
      <c r="AC285" s="507"/>
      <c r="AD285" s="507"/>
      <c r="AE285" s="507"/>
      <c r="AF285" s="507"/>
      <c r="AG285" s="507"/>
      <c r="AH285" s="507"/>
      <c r="AI285" s="507"/>
      <c r="AJ285" s="507"/>
      <c r="AK285" s="507"/>
      <c r="AL285" s="478"/>
      <c r="AM285" s="478"/>
      <c r="AN285" s="478"/>
      <c r="AO285" s="478"/>
      <c r="AP285" s="478"/>
      <c r="AQ285" s="478"/>
      <c r="AR285" s="478"/>
      <c r="AS285" s="478"/>
      <c r="AT285" s="478"/>
      <c r="AU285" s="478"/>
      <c r="AV285" s="478"/>
      <c r="AW285" s="478"/>
      <c r="AX285" s="478"/>
      <c r="AY285" s="478"/>
      <c r="AZ285" s="478"/>
      <c r="BA285" s="478"/>
      <c r="BB285" s="478"/>
      <c r="BC285" s="478"/>
      <c r="BD285" s="478"/>
      <c r="BE285" s="478"/>
      <c r="BF285" s="478"/>
      <c r="BG285" s="478"/>
      <c r="BH285" s="478"/>
      <c r="BI285" s="478"/>
      <c r="BJ285" s="478"/>
      <c r="BK285" s="478"/>
      <c r="BL285" s="478"/>
      <c r="BM285" s="478"/>
      <c r="BN285" s="478"/>
      <c r="BO285" s="478"/>
      <c r="BP285" s="478"/>
      <c r="BQ285" s="478"/>
      <c r="BR285" s="478"/>
      <c r="BS285" s="478"/>
      <c r="BT285" s="478"/>
      <c r="BU285" s="478"/>
      <c r="BV285" s="478"/>
      <c r="BW285" s="478"/>
      <c r="BX285" s="478"/>
      <c r="BY285" s="478"/>
      <c r="BZ285" s="478"/>
      <c r="CA285" s="478"/>
      <c r="CB285" s="478"/>
      <c r="CC285" s="478"/>
      <c r="CD285" s="478"/>
      <c r="CE285" s="478"/>
      <c r="CF285" s="478"/>
      <c r="CG285" s="478"/>
      <c r="CH285" s="478"/>
      <c r="CI285" s="478"/>
      <c r="CJ285" s="478"/>
      <c r="CK285" s="478"/>
      <c r="CL285" s="478"/>
      <c r="CM285" s="478"/>
      <c r="CN285" s="478"/>
      <c r="CO285" s="478"/>
      <c r="CP285" s="478"/>
      <c r="CQ285" s="478"/>
      <c r="CR285" s="478"/>
      <c r="CS285" s="478"/>
      <c r="CT285" s="478"/>
      <c r="CU285" s="478"/>
      <c r="CV285" s="478"/>
      <c r="CW285" s="478"/>
      <c r="CX285" s="478"/>
      <c r="CY285" s="478"/>
      <c r="CZ285" s="478"/>
    </row>
    <row r="286" spans="1:104" ht="14.25" customHeight="1" x14ac:dyDescent="0.2">
      <c r="A286" s="478"/>
      <c r="B286" s="504"/>
      <c r="C286" s="478"/>
      <c r="D286" s="478"/>
      <c r="E286" s="478"/>
      <c r="F286" s="478"/>
      <c r="G286" s="478"/>
      <c r="H286" s="478"/>
      <c r="I286" s="478"/>
      <c r="J286" s="478"/>
      <c r="K286" s="478"/>
      <c r="L286" s="478"/>
      <c r="M286" s="478"/>
      <c r="N286" s="478"/>
      <c r="O286" s="478"/>
      <c r="P286" s="478"/>
      <c r="Q286" s="478"/>
      <c r="R286" s="478"/>
      <c r="S286" s="478"/>
      <c r="T286" s="505"/>
      <c r="U286" s="478"/>
      <c r="V286" s="478"/>
      <c r="W286" s="506"/>
      <c r="X286" s="507"/>
      <c r="Y286" s="507"/>
      <c r="Z286" s="507"/>
      <c r="AA286" s="507"/>
      <c r="AB286" s="507"/>
      <c r="AC286" s="507"/>
      <c r="AD286" s="507"/>
      <c r="AE286" s="507"/>
      <c r="AF286" s="507"/>
      <c r="AG286" s="507"/>
      <c r="AH286" s="507"/>
      <c r="AI286" s="507"/>
      <c r="AJ286" s="507"/>
      <c r="AK286" s="507"/>
      <c r="AL286" s="478"/>
      <c r="AM286" s="478"/>
      <c r="AN286" s="478"/>
      <c r="AO286" s="478"/>
      <c r="AP286" s="478"/>
      <c r="AQ286" s="478"/>
      <c r="AR286" s="478"/>
      <c r="AS286" s="478"/>
      <c r="AT286" s="478"/>
      <c r="AU286" s="478"/>
      <c r="AV286" s="478"/>
      <c r="AW286" s="478"/>
      <c r="AX286" s="478"/>
      <c r="AY286" s="478"/>
      <c r="AZ286" s="478"/>
      <c r="BA286" s="478"/>
      <c r="BB286" s="478"/>
      <c r="BC286" s="478"/>
      <c r="BD286" s="478"/>
      <c r="BE286" s="478"/>
      <c r="BF286" s="478"/>
      <c r="BG286" s="478"/>
      <c r="BH286" s="478"/>
      <c r="BI286" s="478"/>
      <c r="BJ286" s="478"/>
      <c r="BK286" s="478"/>
      <c r="BL286" s="478"/>
      <c r="BM286" s="478"/>
      <c r="BN286" s="478"/>
      <c r="BO286" s="478"/>
      <c r="BP286" s="478"/>
      <c r="BQ286" s="478"/>
      <c r="BR286" s="478"/>
      <c r="BS286" s="478"/>
      <c r="BT286" s="478"/>
      <c r="BU286" s="478"/>
      <c r="BV286" s="478"/>
      <c r="BW286" s="478"/>
      <c r="BX286" s="478"/>
      <c r="BY286" s="478"/>
      <c r="BZ286" s="478"/>
      <c r="CA286" s="478"/>
      <c r="CB286" s="478"/>
      <c r="CC286" s="478"/>
      <c r="CD286" s="478"/>
      <c r="CE286" s="478"/>
      <c r="CF286" s="478"/>
      <c r="CG286" s="478"/>
      <c r="CH286" s="478"/>
      <c r="CI286" s="478"/>
      <c r="CJ286" s="478"/>
      <c r="CK286" s="478"/>
      <c r="CL286" s="478"/>
      <c r="CM286" s="478"/>
      <c r="CN286" s="478"/>
      <c r="CO286" s="478"/>
      <c r="CP286" s="478"/>
      <c r="CQ286" s="478"/>
      <c r="CR286" s="478"/>
      <c r="CS286" s="478"/>
      <c r="CT286" s="478"/>
      <c r="CU286" s="478"/>
      <c r="CV286" s="478"/>
      <c r="CW286" s="478"/>
      <c r="CX286" s="478"/>
      <c r="CY286" s="478"/>
      <c r="CZ286" s="478"/>
    </row>
    <row r="287" spans="1:104" ht="14.25" customHeight="1" x14ac:dyDescent="0.2">
      <c r="A287" s="478"/>
      <c r="B287" s="504"/>
      <c r="C287" s="478"/>
      <c r="D287" s="478"/>
      <c r="E287" s="478"/>
      <c r="F287" s="478"/>
      <c r="G287" s="478"/>
      <c r="H287" s="478"/>
      <c r="I287" s="478"/>
      <c r="J287" s="478"/>
      <c r="K287" s="478"/>
      <c r="L287" s="478"/>
      <c r="M287" s="478"/>
      <c r="N287" s="478"/>
      <c r="O287" s="478"/>
      <c r="P287" s="478"/>
      <c r="Q287" s="478"/>
      <c r="R287" s="478"/>
      <c r="S287" s="478"/>
      <c r="T287" s="505"/>
      <c r="U287" s="478"/>
      <c r="V287" s="478"/>
      <c r="W287" s="506"/>
      <c r="X287" s="507"/>
      <c r="Y287" s="507"/>
      <c r="Z287" s="507"/>
      <c r="AA287" s="507"/>
      <c r="AB287" s="507"/>
      <c r="AC287" s="507"/>
      <c r="AD287" s="507"/>
      <c r="AE287" s="507"/>
      <c r="AF287" s="507"/>
      <c r="AG287" s="507"/>
      <c r="AH287" s="507"/>
      <c r="AI287" s="507"/>
      <c r="AJ287" s="507"/>
      <c r="AK287" s="507"/>
      <c r="AL287" s="478"/>
      <c r="AM287" s="478"/>
      <c r="AN287" s="478"/>
      <c r="AO287" s="478"/>
      <c r="AP287" s="478"/>
      <c r="AQ287" s="478"/>
      <c r="AR287" s="478"/>
      <c r="AS287" s="478"/>
      <c r="AT287" s="478"/>
      <c r="AU287" s="478"/>
      <c r="AV287" s="478"/>
      <c r="AW287" s="478"/>
      <c r="AX287" s="478"/>
      <c r="AY287" s="478"/>
      <c r="AZ287" s="478"/>
      <c r="BA287" s="478"/>
      <c r="BB287" s="478"/>
      <c r="BC287" s="478"/>
      <c r="BD287" s="478"/>
      <c r="BE287" s="478"/>
      <c r="BF287" s="478"/>
      <c r="BG287" s="478"/>
      <c r="BH287" s="478"/>
      <c r="BI287" s="478"/>
      <c r="BJ287" s="478"/>
      <c r="BK287" s="478"/>
      <c r="BL287" s="478"/>
      <c r="BM287" s="478"/>
      <c r="BN287" s="478"/>
      <c r="BO287" s="478"/>
      <c r="BP287" s="478"/>
      <c r="BQ287" s="478"/>
      <c r="BR287" s="478"/>
      <c r="BS287" s="478"/>
      <c r="BT287" s="478"/>
      <c r="BU287" s="478"/>
      <c r="BV287" s="478"/>
      <c r="BW287" s="478"/>
      <c r="BX287" s="478"/>
      <c r="BY287" s="478"/>
      <c r="BZ287" s="478"/>
      <c r="CA287" s="478"/>
      <c r="CB287" s="478"/>
      <c r="CC287" s="478"/>
      <c r="CD287" s="478"/>
      <c r="CE287" s="478"/>
      <c r="CF287" s="478"/>
      <c r="CG287" s="478"/>
      <c r="CH287" s="478"/>
      <c r="CI287" s="478"/>
      <c r="CJ287" s="478"/>
      <c r="CK287" s="478"/>
      <c r="CL287" s="478"/>
      <c r="CM287" s="478"/>
      <c r="CN287" s="478"/>
      <c r="CO287" s="478"/>
      <c r="CP287" s="478"/>
      <c r="CQ287" s="478"/>
      <c r="CR287" s="478"/>
      <c r="CS287" s="478"/>
      <c r="CT287" s="478"/>
      <c r="CU287" s="478"/>
      <c r="CV287" s="478"/>
      <c r="CW287" s="478"/>
      <c r="CX287" s="478"/>
      <c r="CY287" s="478"/>
      <c r="CZ287" s="478"/>
    </row>
  </sheetData>
  <sheetProtection algorithmName="SHA-512" hashValue="Pz/ctFiZfap22RicNJdshTyoTCEbCKyZfU9vUUJNZv6PqywdV8JYnQM8BEO/8IZe5py1BQJ3P8a1cZxPcbapJQ==" saltValue="xEGY9II/AEBqQlP6xg6WuQ==" spinCount="100000" sheet="1" objects="1" scenarios="1"/>
  <autoFilter ref="A1:CV88"/>
  <mergeCells count="25">
    <mergeCell ref="T2:T11"/>
    <mergeCell ref="T34:T36"/>
    <mergeCell ref="T37:T40"/>
    <mergeCell ref="T12:T15"/>
    <mergeCell ref="T16:T19"/>
    <mergeCell ref="T20:T24"/>
    <mergeCell ref="T25:T29"/>
    <mergeCell ref="T30:T33"/>
    <mergeCell ref="T41:T45"/>
    <mergeCell ref="T48:T53"/>
    <mergeCell ref="T68:T70"/>
    <mergeCell ref="T85:T86"/>
    <mergeCell ref="T82:T84"/>
    <mergeCell ref="T76:T80"/>
    <mergeCell ref="T74:T75"/>
    <mergeCell ref="T72:T73"/>
    <mergeCell ref="T64:T66"/>
    <mergeCell ref="T59:T63"/>
    <mergeCell ref="T54:T57"/>
    <mergeCell ref="T46:T47"/>
    <mergeCell ref="A2:A88"/>
    <mergeCell ref="B59:B71"/>
    <mergeCell ref="B72:B81"/>
    <mergeCell ref="B82:B87"/>
    <mergeCell ref="B2:B58"/>
  </mergeCells>
  <pageMargins left="0.70866141732283472" right="0.70866141732283472" top="0.74803149606299213" bottom="0.74803149606299213" header="0" footer="0"/>
  <pageSetup paperSize="5" scale="50"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344"/>
  <sheetViews>
    <sheetView zoomScaleNormal="100" workbookViewId="0">
      <pane xSplit="23" ySplit="1" topLeftCell="BB2" activePane="bottomRight" state="frozen"/>
      <selection pane="topRight" activeCell="X1" sqref="X1"/>
      <selection pane="bottomLeft" activeCell="A2" sqref="A2"/>
      <selection pane="bottomRight" activeCell="BI129" sqref="BI129"/>
    </sheetView>
  </sheetViews>
  <sheetFormatPr baseColWidth="10" defaultColWidth="12.625" defaultRowHeight="15" customHeight="1" x14ac:dyDescent="0.2"/>
  <cols>
    <col min="1" max="1" width="3.75" customWidth="1"/>
    <col min="2" max="2" width="3.875" customWidth="1"/>
    <col min="3" max="3" width="3.75" hidden="1" customWidth="1"/>
    <col min="4" max="4" width="0.25" customWidth="1"/>
    <col min="5" max="17" width="9.375" hidden="1" customWidth="1"/>
    <col min="18" max="18" width="7.25" hidden="1" customWidth="1"/>
    <col min="19" max="19" width="4.25" hidden="1" customWidth="1"/>
    <col min="20" max="20" width="11.375" customWidth="1"/>
    <col min="21" max="22" width="0.125" customWidth="1"/>
    <col min="23" max="23" width="13.125" customWidth="1"/>
    <col min="24" max="24" width="7.125" customWidth="1"/>
    <col min="25" max="25" width="0.375" customWidth="1"/>
    <col min="26" max="26" width="9.375" hidden="1" customWidth="1"/>
    <col min="27" max="27" width="10.125" customWidth="1"/>
    <col min="28" max="29" width="0.375" customWidth="1"/>
    <col min="30" max="30" width="7" customWidth="1"/>
    <col min="31" max="31" width="16.25" hidden="1" customWidth="1"/>
    <col min="32" max="32" width="15.25" hidden="1" customWidth="1"/>
    <col min="33" max="33" width="1.125" hidden="1" customWidth="1"/>
    <col min="34" max="34" width="19.125" hidden="1" customWidth="1"/>
    <col min="35" max="35" width="0.25" hidden="1" customWidth="1"/>
    <col min="36" max="36" width="7.5" hidden="1" customWidth="1"/>
    <col min="37" max="37" width="10" hidden="1" customWidth="1"/>
    <col min="38" max="38" width="11.25" hidden="1" customWidth="1"/>
    <col min="39" max="39" width="10.5" hidden="1" customWidth="1"/>
    <col min="40" max="40" width="9.875" hidden="1" customWidth="1"/>
    <col min="41" max="41" width="9.375" hidden="1" customWidth="1"/>
    <col min="42" max="42" width="10" hidden="1" customWidth="1"/>
    <col min="43" max="43" width="10.625" hidden="1" customWidth="1"/>
    <col min="44" max="44" width="10" hidden="1" customWidth="1"/>
    <col min="45" max="45" width="12.625" hidden="1" customWidth="1"/>
    <col min="46" max="46" width="1.75" hidden="1" customWidth="1"/>
    <col min="47" max="47" width="4" hidden="1" customWidth="1"/>
    <col min="48" max="48" width="4.125" hidden="1" customWidth="1"/>
    <col min="49" max="49" width="0.375" customWidth="1"/>
    <col min="50" max="50" width="9.125" customWidth="1"/>
    <col min="51" max="51" width="9.875" customWidth="1"/>
    <col min="52" max="52" width="12.125" customWidth="1"/>
    <col min="53" max="53" width="9.875" customWidth="1"/>
    <col min="54" max="54" width="9.5" customWidth="1"/>
    <col min="55" max="55" width="5.125" hidden="1" customWidth="1"/>
    <col min="56" max="56" width="11.125" customWidth="1"/>
    <col min="57" max="57" width="6.5" hidden="1" customWidth="1"/>
    <col min="58" max="58" width="10.25" customWidth="1"/>
    <col min="59" max="59" width="11.5" customWidth="1"/>
    <col min="60" max="60" width="11.75" customWidth="1"/>
    <col min="61" max="61" width="11.625" customWidth="1"/>
    <col min="62" max="62" width="12" customWidth="1"/>
    <col min="63" max="63" width="9.875" customWidth="1"/>
    <col min="64" max="64" width="11.125" customWidth="1"/>
    <col min="65" max="65" width="11" customWidth="1"/>
    <col min="66" max="100" width="10" customWidth="1"/>
    <col min="101" max="101" width="0.375" customWidth="1"/>
    <col min="102" max="102" width="0.125" customWidth="1"/>
  </cols>
  <sheetData>
    <row r="1" spans="1:102" s="1671" customFormat="1" ht="77.25" customHeight="1" x14ac:dyDescent="0.15">
      <c r="A1" s="1661" t="s">
        <v>92</v>
      </c>
      <c r="B1" s="1661" t="s">
        <v>114</v>
      </c>
      <c r="C1" s="1661" t="s">
        <v>115</v>
      </c>
      <c r="D1" s="1661" t="s">
        <v>116</v>
      </c>
      <c r="E1" s="1661" t="s">
        <v>117</v>
      </c>
      <c r="F1" s="1661" t="s">
        <v>118</v>
      </c>
      <c r="G1" s="1661" t="s">
        <v>119</v>
      </c>
      <c r="H1" s="1661" t="s">
        <v>120</v>
      </c>
      <c r="I1" s="1661" t="s">
        <v>121</v>
      </c>
      <c r="J1" s="1661" t="s">
        <v>122</v>
      </c>
      <c r="K1" s="1661" t="s">
        <v>123</v>
      </c>
      <c r="L1" s="1661" t="s">
        <v>124</v>
      </c>
      <c r="M1" s="1661" t="s">
        <v>12</v>
      </c>
      <c r="N1" s="1661" t="s">
        <v>13</v>
      </c>
      <c r="O1" s="1661" t="s">
        <v>14</v>
      </c>
      <c r="P1" s="1661" t="s">
        <v>15</v>
      </c>
      <c r="Q1" s="1661" t="s">
        <v>16</v>
      </c>
      <c r="R1" s="1661" t="s">
        <v>17</v>
      </c>
      <c r="S1" s="1661" t="s">
        <v>18</v>
      </c>
      <c r="T1" s="1662" t="s">
        <v>125</v>
      </c>
      <c r="U1" s="1662" t="s">
        <v>126</v>
      </c>
      <c r="V1" s="1662" t="s">
        <v>116</v>
      </c>
      <c r="W1" s="1662" t="s">
        <v>127</v>
      </c>
      <c r="X1" s="1661" t="s">
        <v>128</v>
      </c>
      <c r="Y1" s="1661" t="s">
        <v>129</v>
      </c>
      <c r="Z1" s="1661" t="s">
        <v>130</v>
      </c>
      <c r="AA1" s="1663" t="s">
        <v>131</v>
      </c>
      <c r="AB1" s="1661" t="s">
        <v>132</v>
      </c>
      <c r="AC1" s="1661" t="s">
        <v>133</v>
      </c>
      <c r="AD1" s="1663" t="s">
        <v>134</v>
      </c>
      <c r="AE1" s="1661" t="s">
        <v>135</v>
      </c>
      <c r="AF1" s="1661" t="s">
        <v>136</v>
      </c>
      <c r="AG1" s="1661" t="s">
        <v>26</v>
      </c>
      <c r="AH1" s="1664" t="s">
        <v>137</v>
      </c>
      <c r="AI1" s="1661" t="s">
        <v>28</v>
      </c>
      <c r="AJ1" s="1661" t="s">
        <v>29</v>
      </c>
      <c r="AK1" s="1661" t="s">
        <v>30</v>
      </c>
      <c r="AL1" s="1661" t="s">
        <v>31</v>
      </c>
      <c r="AM1" s="1661" t="s">
        <v>32</v>
      </c>
      <c r="AN1" s="1665" t="s">
        <v>130</v>
      </c>
      <c r="AO1" s="1665" t="s">
        <v>138</v>
      </c>
      <c r="AP1" s="1666" t="s">
        <v>26</v>
      </c>
      <c r="AQ1" s="1665" t="s">
        <v>139</v>
      </c>
      <c r="AR1" s="1666" t="s">
        <v>26</v>
      </c>
      <c r="AS1" s="1667" t="s">
        <v>140</v>
      </c>
      <c r="AT1" s="1666" t="s">
        <v>26</v>
      </c>
      <c r="AU1" s="1661" t="s">
        <v>141</v>
      </c>
      <c r="AV1" s="1666" t="s">
        <v>26</v>
      </c>
      <c r="AW1" s="1668" t="s">
        <v>38</v>
      </c>
      <c r="AX1" s="1668" t="s">
        <v>39</v>
      </c>
      <c r="AY1" s="1668" t="s">
        <v>40</v>
      </c>
      <c r="AZ1" s="1668" t="s">
        <v>41</v>
      </c>
      <c r="BA1" s="1665" t="s">
        <v>131</v>
      </c>
      <c r="BB1" s="1665" t="s">
        <v>142</v>
      </c>
      <c r="BC1" s="1665" t="s">
        <v>26</v>
      </c>
      <c r="BD1" s="1665" t="s">
        <v>143</v>
      </c>
      <c r="BE1" s="1665" t="s">
        <v>26</v>
      </c>
      <c r="BF1" s="1665" t="s">
        <v>144</v>
      </c>
      <c r="BG1" s="1665" t="s">
        <v>26</v>
      </c>
      <c r="BH1" s="1652" t="s">
        <v>145</v>
      </c>
      <c r="BI1" s="1652" t="s">
        <v>26</v>
      </c>
      <c r="BJ1" s="1665" t="s">
        <v>47</v>
      </c>
      <c r="BK1" s="1665" t="s">
        <v>48</v>
      </c>
      <c r="BL1" s="1665" t="s">
        <v>49</v>
      </c>
      <c r="BM1" s="1665" t="s">
        <v>50</v>
      </c>
      <c r="BN1" s="1661" t="s">
        <v>146</v>
      </c>
      <c r="BO1" s="1661" t="s">
        <v>147</v>
      </c>
      <c r="BP1" s="1666" t="s">
        <v>26</v>
      </c>
      <c r="BQ1" s="1661" t="s">
        <v>148</v>
      </c>
      <c r="BR1" s="1666" t="s">
        <v>26</v>
      </c>
      <c r="BS1" s="1661" t="s">
        <v>149</v>
      </c>
      <c r="BT1" s="1666" t="s">
        <v>26</v>
      </c>
      <c r="BU1" s="1661" t="s">
        <v>150</v>
      </c>
      <c r="BV1" s="1666" t="s">
        <v>26</v>
      </c>
      <c r="BW1" s="1669" t="s">
        <v>56</v>
      </c>
      <c r="BX1" s="1669" t="s">
        <v>57</v>
      </c>
      <c r="BY1" s="1669" t="s">
        <v>58</v>
      </c>
      <c r="BZ1" s="1669" t="s">
        <v>59</v>
      </c>
      <c r="CA1" s="1661" t="s">
        <v>151</v>
      </c>
      <c r="CB1" s="1661" t="s">
        <v>152</v>
      </c>
      <c r="CC1" s="1661" t="s">
        <v>153</v>
      </c>
      <c r="CD1" s="1661" t="s">
        <v>154</v>
      </c>
      <c r="CE1" s="1661" t="s">
        <v>155</v>
      </c>
      <c r="CF1" s="1662" t="s">
        <v>156</v>
      </c>
      <c r="CG1" s="1662" t="s">
        <v>157</v>
      </c>
      <c r="CH1" s="1661" t="s">
        <v>158</v>
      </c>
      <c r="CI1" s="1670" t="s">
        <v>68</v>
      </c>
      <c r="CJ1" s="1661" t="s">
        <v>159</v>
      </c>
      <c r="CK1" s="1670" t="s">
        <v>70</v>
      </c>
      <c r="CL1" s="1670" t="s">
        <v>71</v>
      </c>
      <c r="CM1" s="1670" t="s">
        <v>72</v>
      </c>
      <c r="CN1" s="1670" t="s">
        <v>73</v>
      </c>
      <c r="CO1" s="1661" t="s">
        <v>160</v>
      </c>
      <c r="CP1" s="1661" t="s">
        <v>161</v>
      </c>
      <c r="CQ1" s="1661" t="s">
        <v>76</v>
      </c>
      <c r="CR1" s="1661" t="s">
        <v>77</v>
      </c>
      <c r="CS1" s="1661" t="s">
        <v>78</v>
      </c>
      <c r="CT1" s="1661" t="s">
        <v>79</v>
      </c>
      <c r="CU1" s="1661" t="s">
        <v>80</v>
      </c>
      <c r="CV1" s="1661" t="s">
        <v>81</v>
      </c>
      <c r="CW1" s="1661" t="s">
        <v>82</v>
      </c>
      <c r="CX1" s="1661" t="s">
        <v>83</v>
      </c>
    </row>
    <row r="2" spans="1:102" s="1299" customFormat="1" ht="46.5" customHeight="1" x14ac:dyDescent="0.2">
      <c r="A2" s="1855" t="s">
        <v>1461</v>
      </c>
      <c r="B2" s="1857" t="s">
        <v>1462</v>
      </c>
      <c r="C2" s="566" t="s">
        <v>1463</v>
      </c>
      <c r="D2" s="1348">
        <v>0.57699999999999996</v>
      </c>
      <c r="E2" s="1349"/>
      <c r="F2" s="1349"/>
      <c r="G2" s="1349"/>
      <c r="H2" s="1349"/>
      <c r="I2" s="1349"/>
      <c r="J2" s="1349"/>
      <c r="K2" s="1349"/>
      <c r="L2" s="1349"/>
      <c r="M2" s="1349"/>
      <c r="N2" s="1349"/>
      <c r="O2" s="1349"/>
      <c r="P2" s="1349"/>
      <c r="Q2" s="1349"/>
      <c r="R2" s="1349"/>
      <c r="S2" s="1349"/>
      <c r="T2" s="1850" t="s">
        <v>1464</v>
      </c>
      <c r="U2" s="566" t="s">
        <v>1465</v>
      </c>
      <c r="V2" s="567" t="s">
        <v>1466</v>
      </c>
      <c r="W2" s="1350" t="s">
        <v>1467</v>
      </c>
      <c r="X2" s="1288">
        <v>7</v>
      </c>
      <c r="Y2" s="1288">
        <v>1</v>
      </c>
      <c r="Z2" s="1288">
        <v>3</v>
      </c>
      <c r="AA2" s="1288">
        <v>3</v>
      </c>
      <c r="AB2" s="1291">
        <f>+Y2/X2</f>
        <v>0.14285714285714285</v>
      </c>
      <c r="AC2" s="1291">
        <f>+Z2/X2</f>
        <v>0.42857142857142855</v>
      </c>
      <c r="AD2" s="1291"/>
      <c r="AE2" s="1288">
        <v>0</v>
      </c>
      <c r="AF2" s="1288">
        <v>0</v>
      </c>
      <c r="AG2" s="1288"/>
      <c r="AH2" s="1288">
        <v>0</v>
      </c>
      <c r="AI2" s="1351"/>
      <c r="AJ2" s="1288">
        <f>+AH2</f>
        <v>0</v>
      </c>
      <c r="AK2" s="1291">
        <v>0</v>
      </c>
      <c r="AL2" s="1288">
        <v>0</v>
      </c>
      <c r="AM2" s="1291">
        <v>0</v>
      </c>
      <c r="AN2" s="1288">
        <v>3</v>
      </c>
      <c r="AO2" s="1287">
        <v>0</v>
      </c>
      <c r="AP2" s="1352"/>
      <c r="AQ2" s="1288">
        <v>0</v>
      </c>
      <c r="AR2" s="1353"/>
      <c r="AS2" s="1288">
        <v>1</v>
      </c>
      <c r="AT2" s="1287"/>
      <c r="AU2" s="1288">
        <v>1</v>
      </c>
      <c r="AV2" s="1288"/>
      <c r="AW2" s="1288">
        <v>1</v>
      </c>
      <c r="AX2" s="1294">
        <v>1</v>
      </c>
      <c r="AY2" s="1288">
        <v>2</v>
      </c>
      <c r="AZ2" s="1354">
        <v>0.14285714285714299</v>
      </c>
      <c r="BA2" s="1288">
        <v>3</v>
      </c>
      <c r="BB2" s="1288">
        <v>0.5</v>
      </c>
      <c r="BC2" s="1288"/>
      <c r="BD2" s="1708">
        <v>0.5</v>
      </c>
      <c r="BE2" s="1708"/>
      <c r="BF2" s="1708">
        <v>0.5</v>
      </c>
      <c r="BG2" s="1709"/>
      <c r="BH2" s="1708">
        <v>0.5</v>
      </c>
      <c r="BI2" s="1288"/>
      <c r="BJ2" s="1710">
        <f>+BB2+BD2+BF2+BH2</f>
        <v>2</v>
      </c>
      <c r="BK2" s="1292">
        <f>+BJ2/BA2</f>
        <v>0.66666666666666663</v>
      </c>
      <c r="BL2" s="1710">
        <f>+BJ2+AY2</f>
        <v>4</v>
      </c>
      <c r="BM2" s="1292">
        <f>+BL2/7</f>
        <v>0.5714285714285714</v>
      </c>
      <c r="BN2" s="1355"/>
      <c r="BO2" s="1355"/>
      <c r="BP2" s="1355"/>
      <c r="BQ2" s="1355"/>
      <c r="BR2" s="1355"/>
      <c r="BS2" s="1355"/>
      <c r="BT2" s="1355"/>
      <c r="BU2" s="1355"/>
      <c r="BV2" s="1355"/>
      <c r="BW2" s="1355"/>
      <c r="BX2" s="1355"/>
      <c r="BY2" s="1355"/>
      <c r="BZ2" s="1355"/>
      <c r="CA2" s="1355"/>
      <c r="CB2" s="1355"/>
      <c r="CC2" s="1355"/>
      <c r="CD2" s="1355"/>
      <c r="CE2" s="1355"/>
      <c r="CF2" s="1355"/>
      <c r="CG2" s="1355"/>
      <c r="CH2" s="1355"/>
      <c r="CI2" s="1355"/>
      <c r="CJ2" s="1355"/>
      <c r="CK2" s="1355"/>
      <c r="CL2" s="1355"/>
      <c r="CM2" s="1355"/>
      <c r="CN2" s="1355"/>
      <c r="CO2" s="1355"/>
      <c r="CP2" s="1355"/>
      <c r="CQ2" s="1355"/>
      <c r="CR2" s="1355"/>
      <c r="CS2" s="1355"/>
      <c r="CT2" s="1355"/>
      <c r="CU2" s="1355"/>
      <c r="CV2" s="1355"/>
      <c r="CW2" s="1355"/>
      <c r="CX2" s="1355"/>
    </row>
    <row r="3" spans="1:102" ht="77.25" customHeight="1" x14ac:dyDescent="0.2">
      <c r="A3" s="1856"/>
      <c r="B3" s="1858"/>
      <c r="C3" s="508"/>
      <c r="D3" s="509"/>
      <c r="E3" s="510"/>
      <c r="F3" s="510"/>
      <c r="G3" s="510"/>
      <c r="H3" s="510"/>
      <c r="I3" s="510"/>
      <c r="J3" s="510"/>
      <c r="K3" s="510"/>
      <c r="L3" s="510"/>
      <c r="M3" s="510"/>
      <c r="N3" s="510"/>
      <c r="O3" s="510"/>
      <c r="P3" s="510"/>
      <c r="Q3" s="510"/>
      <c r="R3" s="510"/>
      <c r="S3" s="510"/>
      <c r="T3" s="1851"/>
      <c r="U3" s="519" t="s">
        <v>1468</v>
      </c>
      <c r="V3" s="512">
        <v>0</v>
      </c>
      <c r="W3" s="520" t="s">
        <v>1469</v>
      </c>
      <c r="X3" s="103">
        <v>0.6</v>
      </c>
      <c r="Y3" s="103">
        <v>0.05</v>
      </c>
      <c r="Z3" s="103">
        <v>0.1</v>
      </c>
      <c r="AA3" s="103">
        <v>0.2</v>
      </c>
      <c r="AB3" s="54">
        <f>+Y3</f>
        <v>0.05</v>
      </c>
      <c r="AC3" s="54">
        <v>0.1</v>
      </c>
      <c r="AD3" s="54">
        <f>AA3/X3</f>
        <v>0.33333333333333337</v>
      </c>
      <c r="AE3" s="521">
        <v>0.01</v>
      </c>
      <c r="AF3" s="521">
        <v>0.02</v>
      </c>
      <c r="AG3" s="50"/>
      <c r="AH3" s="521">
        <v>0.02</v>
      </c>
      <c r="AI3" s="127"/>
      <c r="AJ3" s="55">
        <f>+AH3</f>
        <v>0.02</v>
      </c>
      <c r="AK3" s="54">
        <f>+AJ3/Y3</f>
        <v>0.39999999999999997</v>
      </c>
      <c r="AL3" s="55">
        <f>+AJ3</f>
        <v>0.02</v>
      </c>
      <c r="AM3" s="54">
        <v>0.05</v>
      </c>
      <c r="AN3" s="103">
        <v>0.2</v>
      </c>
      <c r="AO3" s="522">
        <v>3.6900000000000002E-2</v>
      </c>
      <c r="AP3" s="514"/>
      <c r="AQ3" s="54">
        <v>7.0000000000000007E-2</v>
      </c>
      <c r="AR3" s="515"/>
      <c r="AS3" s="54">
        <v>0.12</v>
      </c>
      <c r="AT3" s="49"/>
      <c r="AU3" s="54">
        <v>0.15</v>
      </c>
      <c r="AV3" s="50"/>
      <c r="AW3" s="57">
        <f>+AU3+AS3+AQ3+AO3</f>
        <v>0.37690000000000001</v>
      </c>
      <c r="AX3" s="57">
        <f>+AW3</f>
        <v>0.37690000000000001</v>
      </c>
      <c r="AY3" s="57">
        <f>+AW3</f>
        <v>0.37690000000000001</v>
      </c>
      <c r="AZ3" s="516">
        <f>AY3</f>
        <v>0.37690000000000001</v>
      </c>
      <c r="BA3" s="54">
        <v>0.2</v>
      </c>
      <c r="BB3" s="57">
        <v>2.6599999999999999E-2</v>
      </c>
      <c r="BC3" s="50"/>
      <c r="BD3" s="57">
        <v>6.5000000000000002E-2</v>
      </c>
      <c r="BE3" s="50"/>
      <c r="BF3" s="54">
        <v>0.12</v>
      </c>
      <c r="BG3" s="1288"/>
      <c r="BH3" s="54">
        <v>0.15</v>
      </c>
      <c r="BI3" s="50"/>
      <c r="BJ3" s="57">
        <f>+BH3</f>
        <v>0.15</v>
      </c>
      <c r="BK3" s="54">
        <f>+BJ3/BA3</f>
        <v>0.74999999999999989</v>
      </c>
      <c r="BL3" s="57">
        <f>+BJ3+AY3</f>
        <v>0.52690000000000003</v>
      </c>
      <c r="BM3" s="57">
        <f>+BL3/60%</f>
        <v>0.87816666666666676</v>
      </c>
      <c r="BN3" s="517"/>
      <c r="BO3" s="517"/>
      <c r="BP3" s="517"/>
      <c r="BQ3" s="517"/>
      <c r="BR3" s="517"/>
      <c r="BS3" s="517"/>
      <c r="BT3" s="517"/>
      <c r="BU3" s="517"/>
      <c r="BV3" s="517"/>
      <c r="BW3" s="517"/>
      <c r="BX3" s="517"/>
      <c r="BY3" s="517"/>
      <c r="BZ3" s="517"/>
      <c r="CA3" s="517"/>
      <c r="CB3" s="517"/>
      <c r="CC3" s="517"/>
      <c r="CD3" s="517"/>
      <c r="CE3" s="517"/>
      <c r="CF3" s="517"/>
      <c r="CG3" s="517"/>
      <c r="CH3" s="517"/>
      <c r="CI3" s="517"/>
      <c r="CJ3" s="517"/>
      <c r="CK3" s="517"/>
      <c r="CL3" s="517"/>
      <c r="CM3" s="517"/>
      <c r="CN3" s="517"/>
      <c r="CO3" s="517"/>
      <c r="CP3" s="517"/>
      <c r="CQ3" s="517"/>
      <c r="CR3" s="517"/>
      <c r="CS3" s="517"/>
      <c r="CT3" s="517"/>
      <c r="CU3" s="517"/>
      <c r="CV3" s="517"/>
      <c r="CW3" s="517"/>
      <c r="CX3" s="517"/>
    </row>
    <row r="4" spans="1:102" ht="20.25" customHeight="1" x14ac:dyDescent="0.2">
      <c r="A4" s="1856"/>
      <c r="B4" s="1858"/>
      <c r="C4" s="508"/>
      <c r="D4" s="509"/>
      <c r="E4" s="510"/>
      <c r="F4" s="510"/>
      <c r="G4" s="510"/>
      <c r="H4" s="510"/>
      <c r="I4" s="510"/>
      <c r="J4" s="510"/>
      <c r="K4" s="510"/>
      <c r="L4" s="510"/>
      <c r="M4" s="510"/>
      <c r="N4" s="510"/>
      <c r="O4" s="510"/>
      <c r="P4" s="510"/>
      <c r="Q4" s="510"/>
      <c r="R4" s="510"/>
      <c r="S4" s="510"/>
      <c r="T4" s="1852"/>
      <c r="U4" s="85"/>
      <c r="V4" s="85"/>
      <c r="W4" s="102"/>
      <c r="X4" s="72"/>
      <c r="Y4" s="72"/>
      <c r="Z4" s="72"/>
      <c r="AA4" s="72"/>
      <c r="AB4" s="86">
        <f>AVERAGE(AB2:AB3)</f>
        <v>9.6428571428571419E-2</v>
      </c>
      <c r="AC4" s="86">
        <f>AVERAGE(AC2:AC3)</f>
        <v>0.26428571428571429</v>
      </c>
      <c r="AD4" s="86">
        <f>AVERAGE(AD2:AD3)</f>
        <v>0.33333333333333337</v>
      </c>
      <c r="AE4" s="72"/>
      <c r="AF4" s="72"/>
      <c r="AG4" s="72"/>
      <c r="AH4" s="72"/>
      <c r="AI4" s="525"/>
      <c r="AJ4" s="72"/>
      <c r="AK4" s="86">
        <f>AVERAGE(AK2:AK3)</f>
        <v>0.19999999999999998</v>
      </c>
      <c r="AL4" s="74"/>
      <c r="AM4" s="86">
        <f>AVERAGE(AM2:AM3)</f>
        <v>2.5000000000000001E-2</v>
      </c>
      <c r="AN4" s="72"/>
      <c r="AO4" s="510"/>
      <c r="AP4" s="526"/>
      <c r="AQ4" s="50"/>
      <c r="AR4" s="527"/>
      <c r="AS4" s="510"/>
      <c r="AT4" s="510"/>
      <c r="AU4" s="528"/>
      <c r="AV4" s="510"/>
      <c r="AW4" s="510"/>
      <c r="AX4" s="86">
        <f>AVERAGE(AX2:AX3)</f>
        <v>0.68845000000000001</v>
      </c>
      <c r="AY4" s="529"/>
      <c r="AZ4" s="530">
        <f>AVERAGE(AZ2:AZ3)</f>
        <v>0.25987857142857151</v>
      </c>
      <c r="BA4" s="74"/>
      <c r="BB4" s="74"/>
      <c r="BC4" s="74"/>
      <c r="BD4" s="74"/>
      <c r="BE4" s="74"/>
      <c r="BF4" s="74"/>
      <c r="BG4" s="74"/>
      <c r="BH4" s="74"/>
      <c r="BI4" s="74"/>
      <c r="BJ4" s="74"/>
      <c r="BK4" s="73">
        <f>AVERAGE(BK2:BK3)</f>
        <v>0.70833333333333326</v>
      </c>
      <c r="BL4" s="74"/>
      <c r="BM4" s="107">
        <f>AVERAGE(BM2:BM3)</f>
        <v>0.72479761904761908</v>
      </c>
      <c r="BN4" s="517"/>
      <c r="BO4" s="517"/>
      <c r="BP4" s="517"/>
      <c r="BQ4" s="517"/>
      <c r="BR4" s="517"/>
      <c r="BS4" s="517"/>
      <c r="BT4" s="517"/>
      <c r="BU4" s="517"/>
      <c r="BV4" s="517"/>
      <c r="BW4" s="517"/>
      <c r="BX4" s="517"/>
      <c r="BY4" s="517"/>
      <c r="BZ4" s="517"/>
      <c r="CA4" s="517"/>
      <c r="CB4" s="517"/>
      <c r="CC4" s="517"/>
      <c r="CD4" s="517"/>
      <c r="CE4" s="517"/>
      <c r="CF4" s="517"/>
      <c r="CG4" s="517"/>
      <c r="CH4" s="517"/>
      <c r="CI4" s="517"/>
      <c r="CJ4" s="517"/>
      <c r="CK4" s="517"/>
      <c r="CL4" s="517"/>
      <c r="CM4" s="517"/>
      <c r="CN4" s="517"/>
      <c r="CO4" s="517"/>
      <c r="CP4" s="517"/>
      <c r="CQ4" s="517"/>
      <c r="CR4" s="517"/>
      <c r="CS4" s="517"/>
      <c r="CT4" s="517"/>
      <c r="CU4" s="517"/>
      <c r="CV4" s="517"/>
      <c r="CW4" s="517"/>
      <c r="CX4" s="517"/>
    </row>
    <row r="5" spans="1:102" ht="49.5" customHeight="1" x14ac:dyDescent="0.2">
      <c r="A5" s="1856"/>
      <c r="B5" s="1858"/>
      <c r="C5" s="533" t="s">
        <v>1470</v>
      </c>
      <c r="D5" s="534">
        <v>0</v>
      </c>
      <c r="E5" s="510"/>
      <c r="F5" s="510"/>
      <c r="G5" s="510"/>
      <c r="H5" s="510"/>
      <c r="I5" s="510"/>
      <c r="J5" s="510"/>
      <c r="K5" s="510"/>
      <c r="L5" s="510"/>
      <c r="M5" s="510"/>
      <c r="N5" s="510"/>
      <c r="O5" s="510"/>
      <c r="P5" s="510"/>
      <c r="Q5" s="510"/>
      <c r="R5" s="510"/>
      <c r="S5" s="510"/>
      <c r="T5" s="1850" t="s">
        <v>2234</v>
      </c>
      <c r="U5" s="508" t="s">
        <v>1471</v>
      </c>
      <c r="V5" s="512" t="s">
        <v>1472</v>
      </c>
      <c r="W5" s="512" t="s">
        <v>1473</v>
      </c>
      <c r="X5" s="50">
        <v>8</v>
      </c>
      <c r="Y5" s="50">
        <v>2</v>
      </c>
      <c r="Z5" s="50">
        <v>2</v>
      </c>
      <c r="AA5" s="50">
        <v>2</v>
      </c>
      <c r="AB5" s="54">
        <f>+Y5/X5</f>
        <v>0.25</v>
      </c>
      <c r="AC5" s="54">
        <f>+Z5/X5</f>
        <v>0.25</v>
      </c>
      <c r="AD5" s="54">
        <f>AA5/X5</f>
        <v>0.25</v>
      </c>
      <c r="AE5" s="50">
        <v>1</v>
      </c>
      <c r="AF5" s="50">
        <v>2</v>
      </c>
      <c r="AG5" s="50"/>
      <c r="AH5" s="100">
        <v>2</v>
      </c>
      <c r="AI5" s="127"/>
      <c r="AJ5" s="50">
        <v>2</v>
      </c>
      <c r="AK5" s="54">
        <f>+AJ5/Y5</f>
        <v>1</v>
      </c>
      <c r="AL5" s="50">
        <f>+AJ5</f>
        <v>2</v>
      </c>
      <c r="AM5" s="54">
        <f>+AL5/X5</f>
        <v>0.25</v>
      </c>
      <c r="AN5" s="50">
        <v>2</v>
      </c>
      <c r="AO5" s="50">
        <v>0</v>
      </c>
      <c r="AP5" s="535"/>
      <c r="AQ5" s="50">
        <v>0</v>
      </c>
      <c r="AR5" s="536"/>
      <c r="AS5" s="50">
        <v>1</v>
      </c>
      <c r="AT5" s="50"/>
      <c r="AU5" s="50">
        <v>0</v>
      </c>
      <c r="AV5" s="50"/>
      <c r="AW5" s="56">
        <f>+AS5/AN5</f>
        <v>0.5</v>
      </c>
      <c r="AX5" s="54">
        <v>0.5</v>
      </c>
      <c r="AY5" s="56">
        <f>+AW5+AL5</f>
        <v>2.5</v>
      </c>
      <c r="AZ5" s="537">
        <f>+AY5/8</f>
        <v>0.3125</v>
      </c>
      <c r="BA5" s="87">
        <v>2</v>
      </c>
      <c r="BB5" s="50">
        <v>1</v>
      </c>
      <c r="BC5" s="50"/>
      <c r="BD5" s="50"/>
      <c r="BE5" s="50"/>
      <c r="BF5" s="50">
        <v>1</v>
      </c>
      <c r="BG5" s="50"/>
      <c r="BH5" s="50">
        <v>1</v>
      </c>
      <c r="BI5" s="50"/>
      <c r="BJ5" s="50">
        <f>+BB5+BD5+BF5</f>
        <v>2</v>
      </c>
      <c r="BK5" s="1154">
        <v>1</v>
      </c>
      <c r="BL5" s="56">
        <v>5</v>
      </c>
      <c r="BM5" s="55">
        <f>+BL5/X5</f>
        <v>0.625</v>
      </c>
      <c r="BN5" s="517"/>
      <c r="BO5" s="517"/>
      <c r="BP5" s="517"/>
      <c r="BQ5" s="517"/>
      <c r="BR5" s="517"/>
      <c r="BS5" s="517"/>
      <c r="BT5" s="517"/>
      <c r="BU5" s="517"/>
      <c r="BV5" s="517"/>
      <c r="BW5" s="517"/>
      <c r="BX5" s="517"/>
      <c r="BY5" s="517"/>
      <c r="BZ5" s="517"/>
      <c r="CA5" s="517"/>
      <c r="CB5" s="517"/>
      <c r="CC5" s="517"/>
      <c r="CD5" s="517"/>
      <c r="CE5" s="517"/>
      <c r="CF5" s="517"/>
      <c r="CG5" s="517"/>
      <c r="CH5" s="517"/>
      <c r="CI5" s="517"/>
      <c r="CJ5" s="517"/>
      <c r="CK5" s="517"/>
      <c r="CL5" s="517"/>
      <c r="CM5" s="517"/>
      <c r="CN5" s="517"/>
      <c r="CO5" s="517"/>
      <c r="CP5" s="517"/>
      <c r="CQ5" s="517"/>
      <c r="CR5" s="517"/>
      <c r="CS5" s="517"/>
      <c r="CT5" s="517"/>
      <c r="CU5" s="517"/>
      <c r="CV5" s="517"/>
      <c r="CW5" s="517"/>
      <c r="CX5" s="517"/>
    </row>
    <row r="6" spans="1:102" ht="55.5" customHeight="1" x14ac:dyDescent="0.2">
      <c r="A6" s="1856"/>
      <c r="B6" s="1858"/>
      <c r="C6" s="533" t="s">
        <v>1474</v>
      </c>
      <c r="D6" s="538" t="s">
        <v>1475</v>
      </c>
      <c r="E6" s="510"/>
      <c r="F6" s="510"/>
      <c r="G6" s="510"/>
      <c r="H6" s="510"/>
      <c r="I6" s="510"/>
      <c r="J6" s="510"/>
      <c r="K6" s="510"/>
      <c r="L6" s="510"/>
      <c r="M6" s="510"/>
      <c r="N6" s="510"/>
      <c r="O6" s="510"/>
      <c r="P6" s="510"/>
      <c r="Q6" s="510"/>
      <c r="R6" s="510"/>
      <c r="S6" s="510"/>
      <c r="T6" s="1851"/>
      <c r="U6" s="508" t="s">
        <v>1476</v>
      </c>
      <c r="V6" s="512" t="s">
        <v>201</v>
      </c>
      <c r="W6" s="512" t="s">
        <v>1477</v>
      </c>
      <c r="X6" s="50">
        <v>1</v>
      </c>
      <c r="Y6" s="50">
        <v>1</v>
      </c>
      <c r="Z6" s="50">
        <v>1</v>
      </c>
      <c r="AA6" s="50">
        <v>1</v>
      </c>
      <c r="AB6" s="54">
        <v>0.25</v>
      </c>
      <c r="AC6" s="54">
        <v>0.25</v>
      </c>
      <c r="AD6" s="54">
        <f>AA6/X6</f>
        <v>1</v>
      </c>
      <c r="AE6" s="50">
        <v>1</v>
      </c>
      <c r="AF6" s="50">
        <v>1</v>
      </c>
      <c r="AG6" s="50"/>
      <c r="AH6" s="100">
        <v>1</v>
      </c>
      <c r="AI6" s="127"/>
      <c r="AJ6" s="50">
        <v>1</v>
      </c>
      <c r="AK6" s="54">
        <f>+AJ6/Y6</f>
        <v>1</v>
      </c>
      <c r="AL6" s="50">
        <f>+AJ6</f>
        <v>1</v>
      </c>
      <c r="AM6" s="54">
        <v>1</v>
      </c>
      <c r="AN6" s="50">
        <v>1</v>
      </c>
      <c r="AO6" s="50">
        <v>0</v>
      </c>
      <c r="AP6" s="535"/>
      <c r="AQ6" s="50">
        <v>0</v>
      </c>
      <c r="AR6" s="536"/>
      <c r="AS6" s="50">
        <v>1</v>
      </c>
      <c r="AT6" s="50"/>
      <c r="AU6" s="50">
        <v>1</v>
      </c>
      <c r="AV6" s="50"/>
      <c r="AW6" s="50">
        <v>0</v>
      </c>
      <c r="AX6" s="57">
        <v>1</v>
      </c>
      <c r="AY6" s="50">
        <f>+AW6+AL6</f>
        <v>1</v>
      </c>
      <c r="AZ6" s="537">
        <v>1</v>
      </c>
      <c r="BA6" s="50">
        <v>1</v>
      </c>
      <c r="BB6" s="50">
        <v>0</v>
      </c>
      <c r="BC6" s="50"/>
      <c r="BD6" s="50">
        <v>0</v>
      </c>
      <c r="BE6" s="50"/>
      <c r="BF6" s="50">
        <v>1</v>
      </c>
      <c r="BG6" s="50"/>
      <c r="BH6" s="50"/>
      <c r="BI6" s="50"/>
      <c r="BJ6" s="50">
        <f>+BB6</f>
        <v>0</v>
      </c>
      <c r="BK6" s="54">
        <v>1</v>
      </c>
      <c r="BL6" s="50">
        <f>+BJ6+AY6</f>
        <v>1</v>
      </c>
      <c r="BM6" s="54">
        <f>+BL6/X6</f>
        <v>1</v>
      </c>
      <c r="BN6" s="517"/>
      <c r="BO6" s="517"/>
      <c r="BP6" s="517"/>
      <c r="BQ6" s="517"/>
      <c r="BR6" s="517"/>
      <c r="BS6" s="517"/>
      <c r="BT6" s="517"/>
      <c r="BU6" s="517"/>
      <c r="BV6" s="517"/>
      <c r="BW6" s="517"/>
      <c r="BX6" s="517"/>
      <c r="BY6" s="517"/>
      <c r="BZ6" s="517"/>
      <c r="CA6" s="517"/>
      <c r="CB6" s="517"/>
      <c r="CC6" s="517"/>
      <c r="CD6" s="517"/>
      <c r="CE6" s="517"/>
      <c r="CF6" s="517"/>
      <c r="CG6" s="517"/>
      <c r="CH6" s="517"/>
      <c r="CI6" s="517"/>
      <c r="CJ6" s="517"/>
      <c r="CK6" s="517"/>
      <c r="CL6" s="517"/>
      <c r="CM6" s="517"/>
      <c r="CN6" s="517"/>
      <c r="CO6" s="517"/>
      <c r="CP6" s="517"/>
      <c r="CQ6" s="517"/>
      <c r="CR6" s="517"/>
      <c r="CS6" s="517"/>
      <c r="CT6" s="517"/>
      <c r="CU6" s="517"/>
      <c r="CV6" s="517"/>
      <c r="CW6" s="517"/>
      <c r="CX6" s="517"/>
    </row>
    <row r="7" spans="1:102" ht="12" customHeight="1" x14ac:dyDescent="0.2">
      <c r="A7" s="1856"/>
      <c r="B7" s="1858"/>
      <c r="C7" s="508"/>
      <c r="D7" s="534"/>
      <c r="E7" s="510"/>
      <c r="F7" s="510"/>
      <c r="G7" s="510"/>
      <c r="H7" s="510"/>
      <c r="I7" s="510"/>
      <c r="J7" s="510"/>
      <c r="K7" s="510"/>
      <c r="L7" s="510"/>
      <c r="M7" s="510"/>
      <c r="N7" s="510"/>
      <c r="O7" s="510"/>
      <c r="P7" s="510"/>
      <c r="Q7" s="510"/>
      <c r="R7" s="510"/>
      <c r="S7" s="510"/>
      <c r="T7" s="1852"/>
      <c r="U7" s="85"/>
      <c r="V7" s="85"/>
      <c r="W7" s="539"/>
      <c r="X7" s="540"/>
      <c r="Y7" s="540"/>
      <c r="Z7" s="540"/>
      <c r="AA7" s="540"/>
      <c r="AB7" s="541">
        <f>AVERAGE(AB6)</f>
        <v>0.25</v>
      </c>
      <c r="AC7" s="541">
        <v>0.25</v>
      </c>
      <c r="AD7" s="541">
        <f>AVERAGE(AD5:AD6)</f>
        <v>0.625</v>
      </c>
      <c r="AE7" s="540"/>
      <c r="AF7" s="540"/>
      <c r="AG7" s="540"/>
      <c r="AH7" s="540"/>
      <c r="AI7" s="525"/>
      <c r="AJ7" s="72"/>
      <c r="AK7" s="73">
        <f>AVERAGE(AK5:AK6)</f>
        <v>1</v>
      </c>
      <c r="AL7" s="73"/>
      <c r="AM7" s="73">
        <f>AVERAGE(AM5:AM6)</f>
        <v>0.625</v>
      </c>
      <c r="AN7" s="540"/>
      <c r="AO7" s="510"/>
      <c r="AP7" s="526"/>
      <c r="AQ7" s="50"/>
      <c r="AR7" s="527"/>
      <c r="AS7" s="510"/>
      <c r="AT7" s="510"/>
      <c r="AU7" s="528"/>
      <c r="AV7" s="510"/>
      <c r="AW7" s="510"/>
      <c r="AX7" s="73">
        <f>AVERAGE(AX5:AX6)</f>
        <v>0.75</v>
      </c>
      <c r="AY7" s="73"/>
      <c r="AZ7" s="542">
        <f>AVERAGE(AZ5:AZ6)</f>
        <v>0.65625</v>
      </c>
      <c r="BA7" s="1015"/>
      <c r="BB7" s="1015"/>
      <c r="BC7" s="1015"/>
      <c r="BD7" s="1015"/>
      <c r="BE7" s="1015"/>
      <c r="BF7" s="1015"/>
      <c r="BG7" s="1015"/>
      <c r="BH7" s="1015"/>
      <c r="BI7" s="1015"/>
      <c r="BJ7" s="1015"/>
      <c r="BK7" s="1014">
        <f>AVERAGE(BK5:BK6)</f>
        <v>1</v>
      </c>
      <c r="BL7" s="1015"/>
      <c r="BM7" s="542">
        <f>AVERAGE(BM5:BM6)</f>
        <v>0.8125</v>
      </c>
      <c r="BN7" s="517"/>
      <c r="BO7" s="517"/>
      <c r="BP7" s="517"/>
      <c r="BQ7" s="517"/>
      <c r="BR7" s="517"/>
      <c r="BS7" s="517"/>
      <c r="BT7" s="517"/>
      <c r="BU7" s="517"/>
      <c r="BV7" s="517"/>
      <c r="BW7" s="517"/>
      <c r="BX7" s="517"/>
      <c r="BY7" s="517"/>
      <c r="BZ7" s="517"/>
      <c r="CA7" s="517"/>
      <c r="CB7" s="517"/>
      <c r="CC7" s="517"/>
      <c r="CD7" s="517"/>
      <c r="CE7" s="517"/>
      <c r="CF7" s="517"/>
      <c r="CG7" s="517"/>
      <c r="CH7" s="517"/>
      <c r="CI7" s="517"/>
      <c r="CJ7" s="517"/>
      <c r="CK7" s="517"/>
      <c r="CL7" s="517"/>
      <c r="CM7" s="517"/>
      <c r="CN7" s="517"/>
      <c r="CO7" s="517"/>
      <c r="CP7" s="517"/>
      <c r="CQ7" s="517"/>
      <c r="CR7" s="517"/>
      <c r="CS7" s="517"/>
      <c r="CT7" s="517"/>
      <c r="CU7" s="517"/>
      <c r="CV7" s="517"/>
      <c r="CW7" s="517"/>
      <c r="CX7" s="517"/>
    </row>
    <row r="8" spans="1:102" ht="12" customHeight="1" x14ac:dyDescent="0.2">
      <c r="A8" s="1856"/>
      <c r="B8" s="1859"/>
      <c r="C8" s="109"/>
      <c r="D8" s="543"/>
      <c r="E8" s="544"/>
      <c r="F8" s="544"/>
      <c r="G8" s="544"/>
      <c r="H8" s="544"/>
      <c r="I8" s="544"/>
      <c r="J8" s="544"/>
      <c r="K8" s="544"/>
      <c r="L8" s="544"/>
      <c r="M8" s="544"/>
      <c r="N8" s="544"/>
      <c r="O8" s="544"/>
      <c r="P8" s="544"/>
      <c r="Q8" s="544"/>
      <c r="R8" s="544"/>
      <c r="S8" s="544"/>
      <c r="T8" s="108"/>
      <c r="U8" s="109"/>
      <c r="V8" s="109"/>
      <c r="W8" s="109"/>
      <c r="X8" s="110"/>
      <c r="Y8" s="110"/>
      <c r="Z8" s="110"/>
      <c r="AA8" s="110"/>
      <c r="AB8" s="112">
        <f>+(AB7+AB4)/2</f>
        <v>0.17321428571428571</v>
      </c>
      <c r="AC8" s="112">
        <f>+(AC7+AC4)/2</f>
        <v>0.25714285714285712</v>
      </c>
      <c r="AD8" s="112">
        <f>+(AD7+AD4)/2</f>
        <v>0.47916666666666669</v>
      </c>
      <c r="AE8" s="110"/>
      <c r="AF8" s="110"/>
      <c r="AG8" s="110"/>
      <c r="AH8" s="110"/>
      <c r="AI8" s="545"/>
      <c r="AJ8" s="110"/>
      <c r="AK8" s="112">
        <f>+(AK7+AK4)/2</f>
        <v>0.6</v>
      </c>
      <c r="AL8" s="150"/>
      <c r="AM8" s="112">
        <f>+(AM7+AM4)/2</f>
        <v>0.32500000000000001</v>
      </c>
      <c r="AN8" s="110"/>
      <c r="AO8" s="510"/>
      <c r="AP8" s="526"/>
      <c r="AQ8" s="50"/>
      <c r="AR8" s="527"/>
      <c r="AS8" s="510"/>
      <c r="AT8" s="510"/>
      <c r="AU8" s="528"/>
      <c r="AV8" s="510"/>
      <c r="AW8" s="510"/>
      <c r="AX8" s="112">
        <f>+(AX7+AX4)/2</f>
        <v>0.719225</v>
      </c>
      <c r="AY8" s="150"/>
      <c r="AZ8" s="546">
        <f>+(AZ7+AZ4)/2</f>
        <v>0.45806428571428576</v>
      </c>
      <c r="BA8" s="1016"/>
      <c r="BB8" s="1016"/>
      <c r="BC8" s="1016"/>
      <c r="BD8" s="1016"/>
      <c r="BE8" s="1016"/>
      <c r="BF8" s="1016"/>
      <c r="BG8" s="1016"/>
      <c r="BH8" s="1016"/>
      <c r="BI8" s="1016"/>
      <c r="BJ8" s="1016"/>
      <c r="BK8" s="546">
        <f>+(BK7+BK4)/2</f>
        <v>0.85416666666666663</v>
      </c>
      <c r="BL8" s="1016"/>
      <c r="BM8" s="546">
        <f>+(BM7+BM4)/2</f>
        <v>0.76864880952380954</v>
      </c>
      <c r="BN8" s="517"/>
      <c r="BO8" s="517"/>
      <c r="BP8" s="517"/>
      <c r="BQ8" s="517"/>
      <c r="BR8" s="517"/>
      <c r="BS8" s="517"/>
      <c r="BT8" s="517"/>
      <c r="BU8" s="517"/>
      <c r="BV8" s="517"/>
      <c r="BW8" s="517"/>
      <c r="BX8" s="517"/>
      <c r="BY8" s="517"/>
      <c r="BZ8" s="517"/>
      <c r="CA8" s="517"/>
      <c r="CB8" s="517"/>
      <c r="CC8" s="517"/>
      <c r="CD8" s="517"/>
      <c r="CE8" s="517"/>
      <c r="CF8" s="517"/>
      <c r="CG8" s="517"/>
      <c r="CH8" s="517"/>
      <c r="CI8" s="517"/>
      <c r="CJ8" s="517"/>
      <c r="CK8" s="517"/>
      <c r="CL8" s="517"/>
      <c r="CM8" s="517"/>
      <c r="CN8" s="517"/>
      <c r="CO8" s="517"/>
      <c r="CP8" s="517"/>
      <c r="CQ8" s="517"/>
      <c r="CR8" s="517"/>
      <c r="CS8" s="517"/>
      <c r="CT8" s="517"/>
      <c r="CU8" s="517"/>
      <c r="CV8" s="517"/>
      <c r="CW8" s="517"/>
      <c r="CX8" s="517"/>
    </row>
    <row r="9" spans="1:102" ht="37.5" customHeight="1" x14ac:dyDescent="0.2">
      <c r="A9" s="1856"/>
      <c r="B9" s="1806" t="s">
        <v>1478</v>
      </c>
      <c r="C9" s="508" t="s">
        <v>1479</v>
      </c>
      <c r="D9" s="508" t="s">
        <v>201</v>
      </c>
      <c r="E9" s="510"/>
      <c r="F9" s="510"/>
      <c r="G9" s="510"/>
      <c r="H9" s="510"/>
      <c r="I9" s="510"/>
      <c r="J9" s="510"/>
      <c r="K9" s="510"/>
      <c r="L9" s="510"/>
      <c r="M9" s="510"/>
      <c r="N9" s="510"/>
      <c r="O9" s="510"/>
      <c r="P9" s="510"/>
      <c r="Q9" s="510"/>
      <c r="R9" s="510"/>
      <c r="S9" s="510"/>
      <c r="T9" s="1850" t="s">
        <v>1480</v>
      </c>
      <c r="U9" s="508" t="s">
        <v>1481</v>
      </c>
      <c r="V9" s="512" t="s">
        <v>1482</v>
      </c>
      <c r="W9" s="512" t="s">
        <v>1483</v>
      </c>
      <c r="X9" s="61">
        <v>1</v>
      </c>
      <c r="Y9" s="61" t="s">
        <v>177</v>
      </c>
      <c r="Z9" s="61">
        <v>1</v>
      </c>
      <c r="AA9" s="61">
        <v>1</v>
      </c>
      <c r="AB9" s="50"/>
      <c r="AC9" s="103">
        <v>0.33</v>
      </c>
      <c r="AD9" s="54">
        <f>AA9/X9</f>
        <v>1</v>
      </c>
      <c r="AE9" s="50"/>
      <c r="AF9" s="50"/>
      <c r="AG9" s="50"/>
      <c r="AH9" s="50"/>
      <c r="AI9" s="535"/>
      <c r="AJ9" s="50"/>
      <c r="AK9" s="50"/>
      <c r="AL9" s="50"/>
      <c r="AM9" s="50"/>
      <c r="AN9" s="61">
        <v>1</v>
      </c>
      <c r="AO9" s="49">
        <v>0</v>
      </c>
      <c r="AP9" s="514"/>
      <c r="AQ9" s="50">
        <v>0</v>
      </c>
      <c r="AR9" s="515"/>
      <c r="AS9" s="49">
        <v>0</v>
      </c>
      <c r="AT9" s="49"/>
      <c r="AU9" s="50">
        <v>0</v>
      </c>
      <c r="AV9" s="49"/>
      <c r="AW9" s="49">
        <f>AO9</f>
        <v>0</v>
      </c>
      <c r="AX9" s="522">
        <f>AW9/AN9</f>
        <v>0</v>
      </c>
      <c r="AY9" s="49">
        <f>AW9+AL9</f>
        <v>0</v>
      </c>
      <c r="AZ9" s="547">
        <f>AY9/X9</f>
        <v>0</v>
      </c>
      <c r="BA9" s="50">
        <v>1</v>
      </c>
      <c r="BB9" s="50">
        <v>0</v>
      </c>
      <c r="BC9" s="50"/>
      <c r="BD9" s="50">
        <v>0</v>
      </c>
      <c r="BE9" s="50"/>
      <c r="BF9" s="50">
        <v>0</v>
      </c>
      <c r="BG9" s="50"/>
      <c r="BH9" s="50">
        <v>0</v>
      </c>
      <c r="BI9" s="50"/>
      <c r="BJ9" s="50">
        <f t="shared" ref="BJ9:BJ15" si="0">+BB9</f>
        <v>0</v>
      </c>
      <c r="BK9" s="54">
        <v>0</v>
      </c>
      <c r="BL9" s="50">
        <f>+BJ9+AY9</f>
        <v>0</v>
      </c>
      <c r="BM9" s="54">
        <f t="shared" ref="BM9:BM15" si="1">+BL9/X9</f>
        <v>0</v>
      </c>
      <c r="BN9" s="517"/>
      <c r="BO9" s="517"/>
      <c r="BP9" s="517"/>
      <c r="BQ9" s="517"/>
      <c r="BR9" s="517"/>
      <c r="BS9" s="517"/>
      <c r="BT9" s="517"/>
      <c r="BU9" s="517"/>
      <c r="BV9" s="517"/>
      <c r="BW9" s="517"/>
      <c r="BX9" s="517"/>
      <c r="BY9" s="517"/>
      <c r="BZ9" s="517"/>
      <c r="CA9" s="517"/>
      <c r="CB9" s="517"/>
      <c r="CC9" s="517"/>
      <c r="CD9" s="517"/>
      <c r="CE9" s="517"/>
      <c r="CF9" s="517"/>
      <c r="CG9" s="517"/>
      <c r="CH9" s="517"/>
      <c r="CI9" s="517"/>
      <c r="CJ9" s="517"/>
      <c r="CK9" s="517"/>
      <c r="CL9" s="517"/>
      <c r="CM9" s="517"/>
      <c r="CN9" s="517"/>
      <c r="CO9" s="517"/>
      <c r="CP9" s="517"/>
      <c r="CQ9" s="517"/>
      <c r="CR9" s="517"/>
      <c r="CS9" s="517"/>
      <c r="CT9" s="517"/>
      <c r="CU9" s="517"/>
      <c r="CV9" s="517"/>
      <c r="CW9" s="517"/>
      <c r="CX9" s="517"/>
    </row>
    <row r="10" spans="1:102" ht="54.75" customHeight="1" x14ac:dyDescent="0.2">
      <c r="A10" s="1856"/>
      <c r="B10" s="1860"/>
      <c r="C10" s="508"/>
      <c r="D10" s="508"/>
      <c r="E10" s="510"/>
      <c r="F10" s="510"/>
      <c r="G10" s="510"/>
      <c r="H10" s="510"/>
      <c r="I10" s="510"/>
      <c r="J10" s="510"/>
      <c r="K10" s="510"/>
      <c r="L10" s="510"/>
      <c r="M10" s="510"/>
      <c r="N10" s="510"/>
      <c r="O10" s="510"/>
      <c r="P10" s="510"/>
      <c r="Q10" s="510"/>
      <c r="R10" s="510"/>
      <c r="S10" s="510"/>
      <c r="T10" s="1851"/>
      <c r="U10" s="508" t="s">
        <v>1484</v>
      </c>
      <c r="V10" s="512">
        <v>0</v>
      </c>
      <c r="W10" s="513" t="s">
        <v>1485</v>
      </c>
      <c r="X10" s="61">
        <v>1</v>
      </c>
      <c r="Y10" s="61" t="s">
        <v>177</v>
      </c>
      <c r="Z10" s="61">
        <v>1</v>
      </c>
      <c r="AA10" s="61">
        <v>1</v>
      </c>
      <c r="AB10" s="50"/>
      <c r="AC10" s="103">
        <v>0.33</v>
      </c>
      <c r="AD10" s="54">
        <f>AA10/X10</f>
        <v>1</v>
      </c>
      <c r="AE10" s="50"/>
      <c r="AF10" s="50"/>
      <c r="AG10" s="50"/>
      <c r="AH10" s="50"/>
      <c r="AI10" s="535"/>
      <c r="AJ10" s="50"/>
      <c r="AK10" s="50"/>
      <c r="AL10" s="50"/>
      <c r="AM10" s="50"/>
      <c r="AN10" s="61">
        <v>1</v>
      </c>
      <c r="AO10" s="49">
        <v>0</v>
      </c>
      <c r="AP10" s="514"/>
      <c r="AQ10" s="50">
        <v>0</v>
      </c>
      <c r="AR10" s="515"/>
      <c r="AS10" s="49">
        <v>0</v>
      </c>
      <c r="AT10" s="49"/>
      <c r="AU10" s="50">
        <v>0</v>
      </c>
      <c r="AV10" s="49"/>
      <c r="AW10" s="49">
        <f>AO10</f>
        <v>0</v>
      </c>
      <c r="AX10" s="522">
        <f>AW10/AN10</f>
        <v>0</v>
      </c>
      <c r="AY10" s="49">
        <f>AW10+AL10</f>
        <v>0</v>
      </c>
      <c r="AZ10" s="547">
        <v>0</v>
      </c>
      <c r="BA10" s="50">
        <v>1</v>
      </c>
      <c r="BB10" s="50">
        <v>0</v>
      </c>
      <c r="BC10" s="50"/>
      <c r="BD10" s="50">
        <v>0</v>
      </c>
      <c r="BE10" s="50"/>
      <c r="BF10" s="50">
        <v>0</v>
      </c>
      <c r="BG10" s="50"/>
      <c r="BH10" s="50">
        <v>0</v>
      </c>
      <c r="BI10" s="50"/>
      <c r="BJ10" s="50">
        <f t="shared" si="0"/>
        <v>0</v>
      </c>
      <c r="BK10" s="54">
        <v>0</v>
      </c>
      <c r="BL10" s="50">
        <f>+BJ10+AY10</f>
        <v>0</v>
      </c>
      <c r="BM10" s="54">
        <f t="shared" si="1"/>
        <v>0</v>
      </c>
      <c r="BN10" s="517"/>
      <c r="BO10" s="517"/>
      <c r="BP10" s="517"/>
      <c r="BQ10" s="517"/>
      <c r="BR10" s="517"/>
      <c r="BS10" s="517"/>
      <c r="BT10" s="517"/>
      <c r="BU10" s="517"/>
      <c r="BV10" s="517"/>
      <c r="BW10" s="517"/>
      <c r="BX10" s="517"/>
      <c r="BY10" s="517"/>
      <c r="BZ10" s="517"/>
      <c r="CA10" s="517"/>
      <c r="CB10" s="517"/>
      <c r="CC10" s="517"/>
      <c r="CD10" s="517"/>
      <c r="CE10" s="517"/>
      <c r="CF10" s="517"/>
      <c r="CG10" s="517"/>
      <c r="CH10" s="517"/>
      <c r="CI10" s="517"/>
      <c r="CJ10" s="517"/>
      <c r="CK10" s="517"/>
      <c r="CL10" s="517"/>
      <c r="CM10" s="517"/>
      <c r="CN10" s="517"/>
      <c r="CO10" s="517"/>
      <c r="CP10" s="517"/>
      <c r="CQ10" s="517"/>
      <c r="CR10" s="517"/>
      <c r="CS10" s="517"/>
      <c r="CT10" s="517"/>
      <c r="CU10" s="517"/>
      <c r="CV10" s="517"/>
      <c r="CW10" s="517"/>
      <c r="CX10" s="517"/>
    </row>
    <row r="11" spans="1:102" ht="47.25" customHeight="1" x14ac:dyDescent="0.2">
      <c r="A11" s="1856"/>
      <c r="B11" s="1860"/>
      <c r="C11" s="508"/>
      <c r="D11" s="508"/>
      <c r="E11" s="510"/>
      <c r="F11" s="510"/>
      <c r="G11" s="510"/>
      <c r="H11" s="510"/>
      <c r="I11" s="510"/>
      <c r="J11" s="510"/>
      <c r="K11" s="510"/>
      <c r="L11" s="510"/>
      <c r="M11" s="510"/>
      <c r="N11" s="510"/>
      <c r="O11" s="510"/>
      <c r="P11" s="510"/>
      <c r="Q11" s="510"/>
      <c r="R11" s="510"/>
      <c r="S11" s="510"/>
      <c r="T11" s="1851"/>
      <c r="U11" s="508" t="s">
        <v>1486</v>
      </c>
      <c r="V11" s="512">
        <v>0</v>
      </c>
      <c r="W11" s="513" t="s">
        <v>1487</v>
      </c>
      <c r="X11" s="61">
        <v>1</v>
      </c>
      <c r="Y11" s="61" t="s">
        <v>177</v>
      </c>
      <c r="Z11" s="61">
        <v>1</v>
      </c>
      <c r="AA11" s="61">
        <v>1</v>
      </c>
      <c r="AB11" s="50"/>
      <c r="AC11" s="103">
        <v>0.33</v>
      </c>
      <c r="AD11" s="54"/>
      <c r="AE11" s="50"/>
      <c r="AF11" s="50"/>
      <c r="AG11" s="50"/>
      <c r="AH11" s="50"/>
      <c r="AI11" s="535"/>
      <c r="AJ11" s="50"/>
      <c r="AK11" s="50"/>
      <c r="AL11" s="50"/>
      <c r="AM11" s="50"/>
      <c r="AN11" s="61">
        <v>1</v>
      </c>
      <c r="AO11" s="49">
        <v>0</v>
      </c>
      <c r="AP11" s="514"/>
      <c r="AQ11" s="50">
        <v>0</v>
      </c>
      <c r="AR11" s="515"/>
      <c r="AS11" s="49">
        <v>0</v>
      </c>
      <c r="AT11" s="49"/>
      <c r="AU11" s="50">
        <v>1</v>
      </c>
      <c r="AV11" s="49"/>
      <c r="AW11" s="49">
        <f>+AU11</f>
        <v>1</v>
      </c>
      <c r="AX11" s="522">
        <f>AW11/AN11</f>
        <v>1</v>
      </c>
      <c r="AY11" s="49">
        <f>AW11+AL11</f>
        <v>1</v>
      </c>
      <c r="AZ11" s="547">
        <v>1</v>
      </c>
      <c r="BA11" s="50">
        <v>1</v>
      </c>
      <c r="BB11" s="50">
        <v>0</v>
      </c>
      <c r="BC11" s="50"/>
      <c r="BD11" s="50">
        <v>1</v>
      </c>
      <c r="BE11" s="50"/>
      <c r="BF11" s="50">
        <v>1</v>
      </c>
      <c r="BG11" s="50"/>
      <c r="BH11" s="50">
        <v>1</v>
      </c>
      <c r="BI11" s="50"/>
      <c r="BJ11" s="50">
        <f>+BD11</f>
        <v>1</v>
      </c>
      <c r="BK11" s="54">
        <v>1</v>
      </c>
      <c r="BL11" s="50">
        <f>+BJ11+AY11</f>
        <v>2</v>
      </c>
      <c r="BM11" s="54">
        <v>1</v>
      </c>
      <c r="BN11" s="517"/>
      <c r="BO11" s="517"/>
      <c r="BP11" s="517"/>
      <c r="BQ11" s="517"/>
      <c r="BR11" s="517"/>
      <c r="BS11" s="517"/>
      <c r="BT11" s="517"/>
      <c r="BU11" s="517"/>
      <c r="BV11" s="517"/>
      <c r="BW11" s="517"/>
      <c r="BX11" s="517"/>
      <c r="BY11" s="517"/>
      <c r="BZ11" s="517"/>
      <c r="CA11" s="517"/>
      <c r="CB11" s="517"/>
      <c r="CC11" s="517"/>
      <c r="CD11" s="517"/>
      <c r="CE11" s="517"/>
      <c r="CF11" s="517"/>
      <c r="CG11" s="517"/>
      <c r="CH11" s="517"/>
      <c r="CI11" s="517"/>
      <c r="CJ11" s="517"/>
      <c r="CK11" s="517"/>
      <c r="CL11" s="517"/>
      <c r="CM11" s="517"/>
      <c r="CN11" s="517"/>
      <c r="CO11" s="517"/>
      <c r="CP11" s="517"/>
      <c r="CQ11" s="517"/>
      <c r="CR11" s="517"/>
      <c r="CS11" s="517"/>
      <c r="CT11" s="517"/>
      <c r="CU11" s="517"/>
      <c r="CV11" s="517"/>
      <c r="CW11" s="517"/>
      <c r="CX11" s="517"/>
    </row>
    <row r="12" spans="1:102" ht="26.25" customHeight="1" x14ac:dyDescent="0.2">
      <c r="A12" s="1856"/>
      <c r="B12" s="1860"/>
      <c r="C12" s="508"/>
      <c r="D12" s="508"/>
      <c r="E12" s="510"/>
      <c r="F12" s="510"/>
      <c r="G12" s="510"/>
      <c r="H12" s="510"/>
      <c r="I12" s="510"/>
      <c r="J12" s="510"/>
      <c r="K12" s="510"/>
      <c r="L12" s="510"/>
      <c r="M12" s="510"/>
      <c r="N12" s="510"/>
      <c r="O12" s="510"/>
      <c r="P12" s="510"/>
      <c r="Q12" s="510"/>
      <c r="R12" s="510"/>
      <c r="S12" s="510"/>
      <c r="T12" s="1851"/>
      <c r="U12" s="508" t="s">
        <v>1488</v>
      </c>
      <c r="V12" s="548">
        <v>0</v>
      </c>
      <c r="W12" s="594" t="s">
        <v>1489</v>
      </c>
      <c r="X12" s="61">
        <v>1</v>
      </c>
      <c r="Y12" s="61" t="s">
        <v>177</v>
      </c>
      <c r="Z12" s="61" t="s">
        <v>177</v>
      </c>
      <c r="AA12" s="61">
        <v>1</v>
      </c>
      <c r="AB12" s="50"/>
      <c r="AC12" s="61"/>
      <c r="AD12" s="54">
        <f>AA12/X12</f>
        <v>1</v>
      </c>
      <c r="AE12" s="50"/>
      <c r="AF12" s="50"/>
      <c r="AG12" s="50"/>
      <c r="AH12" s="50"/>
      <c r="AI12" s="535"/>
      <c r="AJ12" s="50"/>
      <c r="AK12" s="50"/>
      <c r="AL12" s="50"/>
      <c r="AM12" s="50"/>
      <c r="AN12" s="61" t="s">
        <v>177</v>
      </c>
      <c r="AO12" s="49"/>
      <c r="AP12" s="514"/>
      <c r="AQ12" s="549">
        <v>0</v>
      </c>
      <c r="AR12" s="550"/>
      <c r="AS12" s="551">
        <v>0</v>
      </c>
      <c r="AT12" s="551"/>
      <c r="AU12" s="50">
        <v>0</v>
      </c>
      <c r="AV12" s="49"/>
      <c r="AW12" s="49"/>
      <c r="AX12" s="522"/>
      <c r="AY12" s="49"/>
      <c r="AZ12" s="547"/>
      <c r="BA12" s="50">
        <v>1</v>
      </c>
      <c r="BB12" s="50">
        <v>0</v>
      </c>
      <c r="BC12" s="50"/>
      <c r="BD12" s="50">
        <v>0</v>
      </c>
      <c r="BE12" s="50"/>
      <c r="BF12" s="50">
        <v>0</v>
      </c>
      <c r="BG12" s="50"/>
      <c r="BH12" s="50">
        <v>0</v>
      </c>
      <c r="BI12" s="50"/>
      <c r="BJ12" s="50">
        <f t="shared" si="0"/>
        <v>0</v>
      </c>
      <c r="BK12" s="54">
        <v>0</v>
      </c>
      <c r="BL12" s="50">
        <f>+BJ12+AY12</f>
        <v>0</v>
      </c>
      <c r="BM12" s="54">
        <v>0</v>
      </c>
      <c r="BN12" s="517"/>
      <c r="BO12" s="517"/>
      <c r="BP12" s="517"/>
      <c r="BQ12" s="517"/>
      <c r="BR12" s="517"/>
      <c r="BS12" s="517"/>
      <c r="BT12" s="517"/>
      <c r="BU12" s="517"/>
      <c r="BV12" s="517"/>
      <c r="BW12" s="517"/>
      <c r="BX12" s="517"/>
      <c r="BY12" s="517"/>
      <c r="BZ12" s="517"/>
      <c r="CA12" s="517"/>
      <c r="CB12" s="517"/>
      <c r="CC12" s="517"/>
      <c r="CD12" s="517"/>
      <c r="CE12" s="517"/>
      <c r="CF12" s="517"/>
      <c r="CG12" s="517"/>
      <c r="CH12" s="517"/>
      <c r="CI12" s="517"/>
      <c r="CJ12" s="517"/>
      <c r="CK12" s="517"/>
      <c r="CL12" s="517"/>
      <c r="CM12" s="517"/>
      <c r="CN12" s="517"/>
      <c r="CO12" s="517"/>
      <c r="CP12" s="517"/>
      <c r="CQ12" s="517"/>
      <c r="CR12" s="517"/>
      <c r="CS12" s="517"/>
      <c r="CT12" s="517"/>
      <c r="CU12" s="517"/>
      <c r="CV12" s="517"/>
      <c r="CW12" s="517"/>
      <c r="CX12" s="517"/>
    </row>
    <row r="13" spans="1:102" ht="33.75" customHeight="1" x14ac:dyDescent="0.2">
      <c r="A13" s="1856"/>
      <c r="B13" s="1860"/>
      <c r="C13" s="508"/>
      <c r="D13" s="508"/>
      <c r="E13" s="510"/>
      <c r="F13" s="510"/>
      <c r="G13" s="510"/>
      <c r="H13" s="510"/>
      <c r="I13" s="510"/>
      <c r="J13" s="510"/>
      <c r="K13" s="510"/>
      <c r="L13" s="510"/>
      <c r="M13" s="510"/>
      <c r="N13" s="510"/>
      <c r="O13" s="510"/>
      <c r="P13" s="510"/>
      <c r="Q13" s="510"/>
      <c r="R13" s="510"/>
      <c r="S13" s="510"/>
      <c r="T13" s="1851"/>
      <c r="U13" s="508" t="s">
        <v>1490</v>
      </c>
      <c r="V13" s="512">
        <v>1</v>
      </c>
      <c r="W13" s="513" t="s">
        <v>1491</v>
      </c>
      <c r="X13" s="61">
        <v>1</v>
      </c>
      <c r="Y13" s="61" t="s">
        <v>177</v>
      </c>
      <c r="Z13" s="103">
        <v>0.5</v>
      </c>
      <c r="AA13" s="61">
        <v>0.5</v>
      </c>
      <c r="AB13" s="50"/>
      <c r="AC13" s="103">
        <v>0.5</v>
      </c>
      <c r="AD13" s="54"/>
      <c r="AE13" s="50"/>
      <c r="AF13" s="50"/>
      <c r="AG13" s="50"/>
      <c r="AH13" s="50"/>
      <c r="AI13" s="535"/>
      <c r="AJ13" s="50"/>
      <c r="AK13" s="50"/>
      <c r="AL13" s="50"/>
      <c r="AM13" s="50"/>
      <c r="AN13" s="103">
        <v>0.5</v>
      </c>
      <c r="AO13" s="96">
        <v>0.1</v>
      </c>
      <c r="AP13" s="514"/>
      <c r="AQ13" s="50">
        <v>0</v>
      </c>
      <c r="AR13" s="515"/>
      <c r="AS13" s="96">
        <v>0.64</v>
      </c>
      <c r="AT13" s="49"/>
      <c r="AU13" s="54">
        <v>0.26</v>
      </c>
      <c r="AV13" s="49"/>
      <c r="AW13" s="96">
        <f>AO13+AS13+AU13</f>
        <v>1</v>
      </c>
      <c r="AX13" s="522">
        <f>+AW13</f>
        <v>1</v>
      </c>
      <c r="AY13" s="96">
        <f>AW13+AL13</f>
        <v>1</v>
      </c>
      <c r="AZ13" s="547">
        <f>AY13/X13</f>
        <v>1</v>
      </c>
      <c r="BA13" s="50">
        <v>0.5</v>
      </c>
      <c r="BB13" s="50">
        <v>1</v>
      </c>
      <c r="BC13" s="50"/>
      <c r="BD13" s="50">
        <v>1</v>
      </c>
      <c r="BE13" s="50"/>
      <c r="BF13" s="50">
        <v>1</v>
      </c>
      <c r="BG13" s="50"/>
      <c r="BH13" s="54">
        <v>0.69</v>
      </c>
      <c r="BI13" s="50"/>
      <c r="BJ13" s="50">
        <f t="shared" si="0"/>
        <v>1</v>
      </c>
      <c r="BK13" s="54">
        <v>1</v>
      </c>
      <c r="BL13" s="83">
        <v>1</v>
      </c>
      <c r="BM13" s="54">
        <f t="shared" si="1"/>
        <v>1</v>
      </c>
      <c r="BN13" s="517"/>
      <c r="BO13" s="517"/>
      <c r="BP13" s="517"/>
      <c r="BQ13" s="517"/>
      <c r="BR13" s="517"/>
      <c r="BS13" s="517"/>
      <c r="BT13" s="517"/>
      <c r="BU13" s="517"/>
      <c r="BV13" s="517"/>
      <c r="BW13" s="517"/>
      <c r="BX13" s="517"/>
      <c r="BY13" s="517"/>
      <c r="BZ13" s="517"/>
      <c r="CA13" s="517"/>
      <c r="CB13" s="517"/>
      <c r="CC13" s="517"/>
      <c r="CD13" s="517"/>
      <c r="CE13" s="517"/>
      <c r="CF13" s="517"/>
      <c r="CG13" s="517"/>
      <c r="CH13" s="517"/>
      <c r="CI13" s="517"/>
      <c r="CJ13" s="517"/>
      <c r="CK13" s="517"/>
      <c r="CL13" s="517"/>
      <c r="CM13" s="517"/>
      <c r="CN13" s="517"/>
      <c r="CO13" s="517"/>
      <c r="CP13" s="517"/>
      <c r="CQ13" s="517"/>
      <c r="CR13" s="517"/>
      <c r="CS13" s="517"/>
      <c r="CT13" s="517"/>
      <c r="CU13" s="517"/>
      <c r="CV13" s="517"/>
      <c r="CW13" s="517"/>
      <c r="CX13" s="517"/>
    </row>
    <row r="14" spans="1:102" ht="33.75" customHeight="1" x14ac:dyDescent="0.2">
      <c r="A14" s="1856"/>
      <c r="B14" s="1860"/>
      <c r="C14" s="508"/>
      <c r="D14" s="508"/>
      <c r="E14" s="510"/>
      <c r="F14" s="510"/>
      <c r="G14" s="510"/>
      <c r="H14" s="510"/>
      <c r="I14" s="510"/>
      <c r="J14" s="510"/>
      <c r="K14" s="510"/>
      <c r="L14" s="510"/>
      <c r="M14" s="510"/>
      <c r="N14" s="510"/>
      <c r="O14" s="510"/>
      <c r="P14" s="510"/>
      <c r="Q14" s="510"/>
      <c r="R14" s="510"/>
      <c r="S14" s="510"/>
      <c r="T14" s="1851"/>
      <c r="U14" s="508" t="s">
        <v>1492</v>
      </c>
      <c r="V14" s="512">
        <v>0</v>
      </c>
      <c r="W14" s="513" t="s">
        <v>1493</v>
      </c>
      <c r="X14" s="61">
        <v>4</v>
      </c>
      <c r="Y14" s="61">
        <v>1</v>
      </c>
      <c r="Z14" s="61">
        <v>2</v>
      </c>
      <c r="AA14" s="61">
        <v>2</v>
      </c>
      <c r="AB14" s="103">
        <f>+Y14/X14</f>
        <v>0.25</v>
      </c>
      <c r="AC14" s="103">
        <v>0.5</v>
      </c>
      <c r="AD14" s="54"/>
      <c r="AE14" s="61">
        <v>1</v>
      </c>
      <c r="AF14" s="61">
        <v>1</v>
      </c>
      <c r="AG14" s="50"/>
      <c r="AH14" s="50">
        <v>1</v>
      </c>
      <c r="AI14" s="535"/>
      <c r="AJ14" s="50">
        <f>+AH14</f>
        <v>1</v>
      </c>
      <c r="AK14" s="54">
        <f>+AJ14/Y14</f>
        <v>1</v>
      </c>
      <c r="AL14" s="50">
        <f>+AJ14</f>
        <v>1</v>
      </c>
      <c r="AM14" s="54">
        <f>+AL14/X14</f>
        <v>0.25</v>
      </c>
      <c r="AN14" s="61">
        <v>2</v>
      </c>
      <c r="AO14" s="49">
        <v>2</v>
      </c>
      <c r="AP14" s="514"/>
      <c r="AQ14" s="50">
        <v>0</v>
      </c>
      <c r="AR14" s="515"/>
      <c r="AS14" s="49">
        <v>2</v>
      </c>
      <c r="AT14" s="49"/>
      <c r="AU14" s="50">
        <v>1</v>
      </c>
      <c r="AV14" s="49"/>
      <c r="AW14" s="49">
        <f>AO14+AU14</f>
        <v>3</v>
      </c>
      <c r="AX14" s="522">
        <v>1</v>
      </c>
      <c r="AY14" s="49">
        <f>AW14+AL14</f>
        <v>4</v>
      </c>
      <c r="AZ14" s="547">
        <f>AY14/X14</f>
        <v>1</v>
      </c>
      <c r="BA14" s="50">
        <v>2</v>
      </c>
      <c r="BB14" s="50">
        <v>0</v>
      </c>
      <c r="BC14" s="50"/>
      <c r="BD14" s="50">
        <v>1</v>
      </c>
      <c r="BE14" s="50"/>
      <c r="BF14" s="50">
        <v>1</v>
      </c>
      <c r="BG14" s="50"/>
      <c r="BH14" s="50">
        <v>2</v>
      </c>
      <c r="BI14" s="50"/>
      <c r="BJ14" s="50">
        <f>+BD14+BF14</f>
        <v>2</v>
      </c>
      <c r="BK14" s="54">
        <v>1</v>
      </c>
      <c r="BL14" s="50">
        <f>+BJ14+AY14</f>
        <v>6</v>
      </c>
      <c r="BM14" s="54">
        <v>1</v>
      </c>
      <c r="BN14" s="517"/>
      <c r="BO14" s="517"/>
      <c r="BP14" s="517"/>
      <c r="BQ14" s="517"/>
      <c r="BR14" s="517"/>
      <c r="BS14" s="517"/>
      <c r="BT14" s="517"/>
      <c r="BU14" s="517"/>
      <c r="BV14" s="517"/>
      <c r="BW14" s="517"/>
      <c r="BX14" s="517"/>
      <c r="BY14" s="517"/>
      <c r="BZ14" s="517"/>
      <c r="CA14" s="517"/>
      <c r="CB14" s="517"/>
      <c r="CC14" s="517"/>
      <c r="CD14" s="517"/>
      <c r="CE14" s="517"/>
      <c r="CF14" s="517"/>
      <c r="CG14" s="517"/>
      <c r="CH14" s="517"/>
      <c r="CI14" s="517"/>
      <c r="CJ14" s="517"/>
      <c r="CK14" s="517"/>
      <c r="CL14" s="517"/>
      <c r="CM14" s="517"/>
      <c r="CN14" s="517"/>
      <c r="CO14" s="517"/>
      <c r="CP14" s="517"/>
      <c r="CQ14" s="517"/>
      <c r="CR14" s="517"/>
      <c r="CS14" s="517"/>
      <c r="CT14" s="517"/>
      <c r="CU14" s="517"/>
      <c r="CV14" s="517"/>
      <c r="CW14" s="517"/>
      <c r="CX14" s="517"/>
    </row>
    <row r="15" spans="1:102" ht="60.75" customHeight="1" x14ac:dyDescent="0.2">
      <c r="A15" s="1856"/>
      <c r="B15" s="1860"/>
      <c r="C15" s="508"/>
      <c r="D15" s="508"/>
      <c r="E15" s="510"/>
      <c r="F15" s="510"/>
      <c r="G15" s="510"/>
      <c r="H15" s="510"/>
      <c r="I15" s="510"/>
      <c r="J15" s="510"/>
      <c r="K15" s="510"/>
      <c r="L15" s="510"/>
      <c r="M15" s="510"/>
      <c r="N15" s="510"/>
      <c r="O15" s="510"/>
      <c r="P15" s="510"/>
      <c r="Q15" s="510"/>
      <c r="R15" s="510"/>
      <c r="S15" s="510"/>
      <c r="T15" s="1851"/>
      <c r="U15" s="508" t="s">
        <v>1494</v>
      </c>
      <c r="V15" s="512" t="s">
        <v>343</v>
      </c>
      <c r="W15" s="513" t="s">
        <v>1495</v>
      </c>
      <c r="X15" s="61">
        <v>1</v>
      </c>
      <c r="Y15" s="61" t="s">
        <v>177</v>
      </c>
      <c r="Z15" s="61">
        <v>1</v>
      </c>
      <c r="AA15" s="61">
        <v>1</v>
      </c>
      <c r="AB15" s="50"/>
      <c r="AC15" s="103">
        <v>0.33</v>
      </c>
      <c r="AD15" s="54"/>
      <c r="AE15" s="50"/>
      <c r="AF15" s="50"/>
      <c r="AG15" s="50"/>
      <c r="AH15" s="50"/>
      <c r="AI15" s="535"/>
      <c r="AJ15" s="50"/>
      <c r="AK15" s="50"/>
      <c r="AL15" s="50"/>
      <c r="AM15" s="50"/>
      <c r="AN15" s="61">
        <v>1</v>
      </c>
      <c r="AO15" s="49">
        <v>0</v>
      </c>
      <c r="AP15" s="514"/>
      <c r="AQ15" s="50">
        <v>0</v>
      </c>
      <c r="AR15" s="515"/>
      <c r="AS15" s="96">
        <v>0.01</v>
      </c>
      <c r="AT15" s="49"/>
      <c r="AU15" s="50">
        <v>1</v>
      </c>
      <c r="AV15" s="49"/>
      <c r="AW15" s="96">
        <v>1</v>
      </c>
      <c r="AX15" s="522">
        <f>AW15/AN15</f>
        <v>1</v>
      </c>
      <c r="AY15" s="96">
        <f>AW15+AL15</f>
        <v>1</v>
      </c>
      <c r="AZ15" s="547">
        <v>1</v>
      </c>
      <c r="BA15" s="50">
        <v>1</v>
      </c>
      <c r="BB15" s="50">
        <v>1</v>
      </c>
      <c r="BC15" s="50"/>
      <c r="BD15" s="50">
        <v>1</v>
      </c>
      <c r="BE15" s="50"/>
      <c r="BF15" s="50">
        <v>1</v>
      </c>
      <c r="BG15" s="50"/>
      <c r="BH15" s="50">
        <v>1</v>
      </c>
      <c r="BI15" s="50"/>
      <c r="BJ15" s="50">
        <f t="shared" si="0"/>
        <v>1</v>
      </c>
      <c r="BK15" s="54">
        <f>+BJ15/BA15</f>
        <v>1</v>
      </c>
      <c r="BL15" s="54">
        <v>1</v>
      </c>
      <c r="BM15" s="54">
        <f t="shared" si="1"/>
        <v>1</v>
      </c>
      <c r="BN15" s="517"/>
      <c r="BO15" s="517"/>
      <c r="BP15" s="517"/>
      <c r="BQ15" s="517"/>
      <c r="BR15" s="517"/>
      <c r="BS15" s="517"/>
      <c r="BT15" s="517"/>
      <c r="BU15" s="517"/>
      <c r="BV15" s="517"/>
      <c r="BW15" s="517"/>
      <c r="BX15" s="517"/>
      <c r="BY15" s="517"/>
      <c r="BZ15" s="517"/>
      <c r="CA15" s="517"/>
      <c r="CB15" s="517"/>
      <c r="CC15" s="517"/>
      <c r="CD15" s="517"/>
      <c r="CE15" s="517"/>
      <c r="CF15" s="517"/>
      <c r="CG15" s="517"/>
      <c r="CH15" s="517"/>
      <c r="CI15" s="517"/>
      <c r="CJ15" s="517"/>
      <c r="CK15" s="517"/>
      <c r="CL15" s="517"/>
      <c r="CM15" s="517"/>
      <c r="CN15" s="517"/>
      <c r="CO15" s="517"/>
      <c r="CP15" s="517"/>
      <c r="CQ15" s="517"/>
      <c r="CR15" s="517"/>
      <c r="CS15" s="517"/>
      <c r="CT15" s="517"/>
      <c r="CU15" s="517"/>
      <c r="CV15" s="517"/>
      <c r="CW15" s="517"/>
      <c r="CX15" s="517"/>
    </row>
    <row r="16" spans="1:102" ht="27.75" customHeight="1" x14ac:dyDescent="0.2">
      <c r="A16" s="1856"/>
      <c r="B16" s="1860"/>
      <c r="C16" s="508"/>
      <c r="D16" s="508"/>
      <c r="E16" s="510"/>
      <c r="F16" s="510"/>
      <c r="G16" s="510"/>
      <c r="H16" s="510"/>
      <c r="I16" s="510"/>
      <c r="J16" s="510"/>
      <c r="K16" s="510"/>
      <c r="L16" s="510"/>
      <c r="M16" s="510"/>
      <c r="N16" s="510"/>
      <c r="O16" s="510"/>
      <c r="P16" s="510"/>
      <c r="Q16" s="510"/>
      <c r="R16" s="510"/>
      <c r="S16" s="510"/>
      <c r="T16" s="1852"/>
      <c r="U16" s="85"/>
      <c r="V16" s="85"/>
      <c r="W16" s="85"/>
      <c r="X16" s="72"/>
      <c r="Y16" s="72"/>
      <c r="Z16" s="72"/>
      <c r="AA16" s="72"/>
      <c r="AB16" s="86">
        <f>+AB14</f>
        <v>0.25</v>
      </c>
      <c r="AC16" s="86">
        <f>+(AC9+AC10+AC11+AC13+AC14+AC15)/6</f>
        <v>0.38666666666666666</v>
      </c>
      <c r="AD16" s="86">
        <f>AVERAGE(AD9:AD15)</f>
        <v>1</v>
      </c>
      <c r="AE16" s="72"/>
      <c r="AF16" s="72"/>
      <c r="AG16" s="72"/>
      <c r="AH16" s="72"/>
      <c r="AI16" s="552"/>
      <c r="AJ16" s="72"/>
      <c r="AK16" s="86">
        <f>AVERAGE(AK9:AK15)</f>
        <v>1</v>
      </c>
      <c r="AL16" s="74"/>
      <c r="AM16" s="86">
        <f>AVERAGE(AM9:AM15)</f>
        <v>0.25</v>
      </c>
      <c r="AN16" s="72"/>
      <c r="AO16" s="510"/>
      <c r="AP16" s="526"/>
      <c r="AQ16" s="50"/>
      <c r="AR16" s="527"/>
      <c r="AS16" s="510"/>
      <c r="AT16" s="510"/>
      <c r="AU16" s="528"/>
      <c r="AV16" s="510"/>
      <c r="AW16" s="510"/>
      <c r="AX16" s="553">
        <f>AVERAGE(AX9:AX15)</f>
        <v>0.66666666666666663</v>
      </c>
      <c r="AY16" s="554"/>
      <c r="AZ16" s="555">
        <f>AVERAGE(AZ9:AZ15)</f>
        <v>0.66666666666666663</v>
      </c>
      <c r="BA16" s="50"/>
      <c r="BB16" s="50"/>
      <c r="BC16" s="50"/>
      <c r="BD16" s="50"/>
      <c r="BE16" s="50"/>
      <c r="BF16" s="50"/>
      <c r="BG16" s="50"/>
      <c r="BH16" s="50"/>
      <c r="BI16" s="50"/>
      <c r="BJ16" s="50"/>
      <c r="BK16" s="73">
        <f>AVERAGE(BK9:BK15)</f>
        <v>0.5714285714285714</v>
      </c>
      <c r="BL16" s="50"/>
      <c r="BM16" s="73">
        <f>AVERAGE(BM9:BM15)</f>
        <v>0.5714285714285714</v>
      </c>
      <c r="BN16" s="517"/>
      <c r="BO16" s="517"/>
      <c r="BP16" s="517"/>
      <c r="BQ16" s="517"/>
      <c r="BR16" s="517"/>
      <c r="BS16" s="517"/>
      <c r="BT16" s="517"/>
      <c r="BU16" s="517"/>
      <c r="BV16" s="517"/>
      <c r="BW16" s="517"/>
      <c r="BX16" s="517"/>
      <c r="BY16" s="517"/>
      <c r="BZ16" s="517"/>
      <c r="CA16" s="517"/>
      <c r="CB16" s="517"/>
      <c r="CC16" s="517"/>
      <c r="CD16" s="517"/>
      <c r="CE16" s="517"/>
      <c r="CF16" s="517"/>
      <c r="CG16" s="517"/>
      <c r="CH16" s="517"/>
      <c r="CI16" s="517"/>
      <c r="CJ16" s="517"/>
      <c r="CK16" s="517"/>
      <c r="CL16" s="517"/>
      <c r="CM16" s="517"/>
      <c r="CN16" s="517"/>
      <c r="CO16" s="517"/>
      <c r="CP16" s="517"/>
      <c r="CQ16" s="517"/>
      <c r="CR16" s="517"/>
      <c r="CS16" s="517"/>
      <c r="CT16" s="517"/>
      <c r="CU16" s="517"/>
      <c r="CV16" s="517"/>
      <c r="CW16" s="517"/>
      <c r="CX16" s="517"/>
    </row>
    <row r="17" spans="1:102" ht="30.75" customHeight="1" x14ac:dyDescent="0.2">
      <c r="A17" s="1856"/>
      <c r="B17" s="1860"/>
      <c r="C17" s="508"/>
      <c r="D17" s="508"/>
      <c r="E17" s="510"/>
      <c r="F17" s="510"/>
      <c r="G17" s="510"/>
      <c r="H17" s="510"/>
      <c r="I17" s="510"/>
      <c r="J17" s="510"/>
      <c r="K17" s="510"/>
      <c r="L17" s="510"/>
      <c r="M17" s="510"/>
      <c r="N17" s="510"/>
      <c r="O17" s="510"/>
      <c r="P17" s="510"/>
      <c r="Q17" s="510"/>
      <c r="R17" s="510"/>
      <c r="S17" s="510"/>
      <c r="T17" s="1850" t="s">
        <v>1496</v>
      </c>
      <c r="U17" s="508" t="s">
        <v>1497</v>
      </c>
      <c r="V17" s="512">
        <v>0</v>
      </c>
      <c r="W17" s="513" t="s">
        <v>1498</v>
      </c>
      <c r="X17" s="70">
        <v>8</v>
      </c>
      <c r="Y17" s="70">
        <v>3</v>
      </c>
      <c r="Z17" s="70">
        <v>3</v>
      </c>
      <c r="AA17" s="70">
        <v>2</v>
      </c>
      <c r="AB17" s="178">
        <f>+Y17/X17</f>
        <v>0.375</v>
      </c>
      <c r="AC17" s="178">
        <f>+Z17/X17</f>
        <v>0.375</v>
      </c>
      <c r="AD17" s="54"/>
      <c r="AE17" s="50">
        <v>0</v>
      </c>
      <c r="AF17" s="50">
        <v>3</v>
      </c>
      <c r="AG17" s="50"/>
      <c r="AH17" s="50">
        <v>3</v>
      </c>
      <c r="AI17" s="535"/>
      <c r="AJ17" s="50">
        <f>+AH17</f>
        <v>3</v>
      </c>
      <c r="AK17" s="54">
        <f>+AJ17/Y17</f>
        <v>1</v>
      </c>
      <c r="AL17" s="50">
        <f>+AJ17</f>
        <v>3</v>
      </c>
      <c r="AM17" s="54">
        <f>+AL17/X17</f>
        <v>0.375</v>
      </c>
      <c r="AN17" s="70">
        <v>3</v>
      </c>
      <c r="AO17" s="549">
        <v>0</v>
      </c>
      <c r="AP17" s="556"/>
      <c r="AQ17" s="549">
        <v>0</v>
      </c>
      <c r="AR17" s="557"/>
      <c r="AS17" s="549">
        <v>0</v>
      </c>
      <c r="AT17" s="549"/>
      <c r="AU17" s="50">
        <v>14</v>
      </c>
      <c r="AV17" s="549"/>
      <c r="AW17" s="549">
        <f>+AU17</f>
        <v>14</v>
      </c>
      <c r="AX17" s="558">
        <v>1</v>
      </c>
      <c r="AY17" s="549">
        <f>+AW17+AL17</f>
        <v>17</v>
      </c>
      <c r="AZ17" s="559">
        <v>1</v>
      </c>
      <c r="BA17" s="50">
        <v>2</v>
      </c>
      <c r="BB17" s="50">
        <v>8</v>
      </c>
      <c r="BC17" s="50"/>
      <c r="BD17" s="50">
        <v>0</v>
      </c>
      <c r="BE17" s="50"/>
      <c r="BF17" s="50">
        <v>15</v>
      </c>
      <c r="BG17" s="50"/>
      <c r="BH17" s="50">
        <v>15</v>
      </c>
      <c r="BI17" s="50"/>
      <c r="BJ17" s="50">
        <f>+BF17</f>
        <v>15</v>
      </c>
      <c r="BK17" s="54">
        <v>1</v>
      </c>
      <c r="BL17" s="50">
        <f>+BJ17+AY17</f>
        <v>32</v>
      </c>
      <c r="BM17" s="54">
        <v>1</v>
      </c>
      <c r="BN17" s="517"/>
      <c r="BO17" s="517"/>
      <c r="BP17" s="517"/>
      <c r="BQ17" s="517"/>
      <c r="BR17" s="517"/>
      <c r="BS17" s="517"/>
      <c r="BT17" s="517"/>
      <c r="BU17" s="517"/>
      <c r="BV17" s="517"/>
      <c r="BW17" s="517"/>
      <c r="BX17" s="517"/>
      <c r="BY17" s="517"/>
      <c r="BZ17" s="517"/>
      <c r="CA17" s="517"/>
      <c r="CB17" s="517"/>
      <c r="CC17" s="517"/>
      <c r="CD17" s="517"/>
      <c r="CE17" s="517"/>
      <c r="CF17" s="517"/>
      <c r="CG17" s="517"/>
      <c r="CH17" s="517"/>
      <c r="CI17" s="517"/>
      <c r="CJ17" s="517"/>
      <c r="CK17" s="517"/>
      <c r="CL17" s="517"/>
      <c r="CM17" s="517"/>
      <c r="CN17" s="517"/>
      <c r="CO17" s="517"/>
      <c r="CP17" s="517"/>
      <c r="CQ17" s="517"/>
      <c r="CR17" s="517"/>
      <c r="CS17" s="517"/>
      <c r="CT17" s="517"/>
      <c r="CU17" s="517"/>
      <c r="CV17" s="517"/>
      <c r="CW17" s="517"/>
      <c r="CX17" s="517"/>
    </row>
    <row r="18" spans="1:102" ht="49.5" customHeight="1" x14ac:dyDescent="0.2">
      <c r="A18" s="1856"/>
      <c r="B18" s="1860"/>
      <c r="C18" s="508"/>
      <c r="D18" s="508"/>
      <c r="E18" s="510"/>
      <c r="F18" s="510"/>
      <c r="G18" s="510"/>
      <c r="H18" s="510"/>
      <c r="I18" s="510"/>
      <c r="J18" s="510"/>
      <c r="K18" s="510"/>
      <c r="L18" s="510"/>
      <c r="M18" s="510"/>
      <c r="N18" s="510"/>
      <c r="O18" s="510"/>
      <c r="P18" s="510"/>
      <c r="Q18" s="510"/>
      <c r="R18" s="510"/>
      <c r="S18" s="510"/>
      <c r="T18" s="1851"/>
      <c r="U18" s="508" t="s">
        <v>1499</v>
      </c>
      <c r="V18" s="512">
        <v>0</v>
      </c>
      <c r="W18" s="513" t="s">
        <v>1500</v>
      </c>
      <c r="X18" s="70">
        <v>3</v>
      </c>
      <c r="Y18" s="70" t="s">
        <v>177</v>
      </c>
      <c r="Z18" s="70" t="s">
        <v>177</v>
      </c>
      <c r="AA18" s="70">
        <v>3</v>
      </c>
      <c r="AB18" s="70"/>
      <c r="AC18" s="70"/>
      <c r="AD18" s="54"/>
      <c r="AE18" s="50"/>
      <c r="AF18" s="50"/>
      <c r="AG18" s="50"/>
      <c r="AH18" s="50"/>
      <c r="AI18" s="535"/>
      <c r="AJ18" s="50"/>
      <c r="AK18" s="54"/>
      <c r="AL18" s="50"/>
      <c r="AM18" s="54"/>
      <c r="AN18" s="70" t="s">
        <v>177</v>
      </c>
      <c r="AO18" s="549"/>
      <c r="AP18" s="556"/>
      <c r="AQ18" s="549"/>
      <c r="AR18" s="557"/>
      <c r="AS18" s="549">
        <v>3</v>
      </c>
      <c r="AT18" s="549"/>
      <c r="AU18" s="50"/>
      <c r="AV18" s="549"/>
      <c r="AW18" s="549">
        <v>0</v>
      </c>
      <c r="AX18" s="549"/>
      <c r="AY18" s="549">
        <v>3</v>
      </c>
      <c r="AZ18" s="559">
        <v>1</v>
      </c>
      <c r="BA18" s="50">
        <v>3</v>
      </c>
      <c r="BB18" s="50">
        <v>3</v>
      </c>
      <c r="BC18" s="50"/>
      <c r="BD18" s="50">
        <v>2</v>
      </c>
      <c r="BE18" s="50"/>
      <c r="BF18" s="50">
        <v>3</v>
      </c>
      <c r="BG18" s="50"/>
      <c r="BH18" s="50">
        <v>3</v>
      </c>
      <c r="BI18" s="50"/>
      <c r="BJ18" s="50">
        <f>+BB18</f>
        <v>3</v>
      </c>
      <c r="BK18" s="54">
        <f>+BJ18/BA18</f>
        <v>1</v>
      </c>
      <c r="BL18" s="50">
        <f>+BJ18+AY18</f>
        <v>6</v>
      </c>
      <c r="BM18" s="54">
        <v>1</v>
      </c>
      <c r="BN18" s="517"/>
      <c r="BO18" s="517"/>
      <c r="BP18" s="517"/>
      <c r="BQ18" s="517"/>
      <c r="BR18" s="517"/>
      <c r="BS18" s="517"/>
      <c r="BT18" s="517"/>
      <c r="BU18" s="517"/>
      <c r="BV18" s="517"/>
      <c r="BW18" s="517"/>
      <c r="BX18" s="517"/>
      <c r="BY18" s="517"/>
      <c r="BZ18" s="517"/>
      <c r="CA18" s="517"/>
      <c r="CB18" s="517"/>
      <c r="CC18" s="517"/>
      <c r="CD18" s="517"/>
      <c r="CE18" s="517"/>
      <c r="CF18" s="517"/>
      <c r="CG18" s="517"/>
      <c r="CH18" s="517"/>
      <c r="CI18" s="517"/>
      <c r="CJ18" s="517"/>
      <c r="CK18" s="517"/>
      <c r="CL18" s="517"/>
      <c r="CM18" s="517"/>
      <c r="CN18" s="517"/>
      <c r="CO18" s="517"/>
      <c r="CP18" s="517"/>
      <c r="CQ18" s="517"/>
      <c r="CR18" s="517"/>
      <c r="CS18" s="517"/>
      <c r="CT18" s="517"/>
      <c r="CU18" s="517"/>
      <c r="CV18" s="517"/>
      <c r="CW18" s="517"/>
      <c r="CX18" s="517"/>
    </row>
    <row r="19" spans="1:102" ht="12" customHeight="1" x14ac:dyDescent="0.2">
      <c r="A19" s="1856"/>
      <c r="B19" s="1860"/>
      <c r="C19" s="508"/>
      <c r="D19" s="508"/>
      <c r="E19" s="510"/>
      <c r="F19" s="510"/>
      <c r="G19" s="510"/>
      <c r="H19" s="510"/>
      <c r="I19" s="510"/>
      <c r="J19" s="510"/>
      <c r="K19" s="510"/>
      <c r="L19" s="510"/>
      <c r="M19" s="510"/>
      <c r="N19" s="510"/>
      <c r="O19" s="510"/>
      <c r="P19" s="510"/>
      <c r="Q19" s="510"/>
      <c r="R19" s="510"/>
      <c r="S19" s="510"/>
      <c r="T19" s="1852"/>
      <c r="U19" s="85"/>
      <c r="V19" s="85"/>
      <c r="W19" s="85"/>
      <c r="X19" s="72"/>
      <c r="Y19" s="72"/>
      <c r="Z19" s="72"/>
      <c r="AA19" s="72"/>
      <c r="AB19" s="86">
        <f>+AB17</f>
        <v>0.375</v>
      </c>
      <c r="AC19" s="86">
        <f>+AC17</f>
        <v>0.375</v>
      </c>
      <c r="AD19" s="86">
        <v>0</v>
      </c>
      <c r="AE19" s="72"/>
      <c r="AF19" s="72"/>
      <c r="AG19" s="72"/>
      <c r="AH19" s="72"/>
      <c r="AI19" s="552"/>
      <c r="AJ19" s="72"/>
      <c r="AK19" s="86">
        <f>AVERAGE(AK17:AK18)</f>
        <v>1</v>
      </c>
      <c r="AL19" s="74"/>
      <c r="AM19" s="73">
        <f>AVERAGE(AM17:AM18)</f>
        <v>0.375</v>
      </c>
      <c r="AN19" s="72"/>
      <c r="AO19" s="510"/>
      <c r="AP19" s="526"/>
      <c r="AQ19" s="50"/>
      <c r="AR19" s="527"/>
      <c r="AS19" s="510"/>
      <c r="AT19" s="510"/>
      <c r="AU19" s="528"/>
      <c r="AV19" s="510"/>
      <c r="AW19" s="510"/>
      <c r="AX19" s="553">
        <f>AVERAGE(AX17:AX18)</f>
        <v>1</v>
      </c>
      <c r="AY19" s="1165"/>
      <c r="AZ19" s="1166">
        <f>AVERAGE(AZ17:AZ18)</f>
        <v>1</v>
      </c>
      <c r="BA19" s="1015"/>
      <c r="BB19" s="1015"/>
      <c r="BC19" s="1015"/>
      <c r="BD19" s="1015"/>
      <c r="BE19" s="1015"/>
      <c r="BF19" s="1015"/>
      <c r="BG19" s="1015"/>
      <c r="BH19" s="1015"/>
      <c r="BI19" s="1015"/>
      <c r="BJ19" s="1015"/>
      <c r="BK19" s="86">
        <f>AVERAGE(BK17:BK18)</f>
        <v>1</v>
      </c>
      <c r="BL19" s="74"/>
      <c r="BM19" s="86">
        <f>AVERAGE(BM17:BM18)</f>
        <v>1</v>
      </c>
      <c r="BN19" s="517"/>
      <c r="BO19" s="517"/>
      <c r="BP19" s="517"/>
      <c r="BQ19" s="517"/>
      <c r="BR19" s="517"/>
      <c r="BS19" s="517"/>
      <c r="BT19" s="517"/>
      <c r="BU19" s="517"/>
      <c r="BV19" s="517"/>
      <c r="BW19" s="517"/>
      <c r="BX19" s="517"/>
      <c r="BY19" s="517"/>
      <c r="BZ19" s="517"/>
      <c r="CA19" s="517"/>
      <c r="CB19" s="517"/>
      <c r="CC19" s="517"/>
      <c r="CD19" s="517"/>
      <c r="CE19" s="517"/>
      <c r="CF19" s="517"/>
      <c r="CG19" s="517"/>
      <c r="CH19" s="517"/>
      <c r="CI19" s="517"/>
      <c r="CJ19" s="517"/>
      <c r="CK19" s="517"/>
      <c r="CL19" s="517"/>
      <c r="CM19" s="517"/>
      <c r="CN19" s="517"/>
      <c r="CO19" s="517"/>
      <c r="CP19" s="517"/>
      <c r="CQ19" s="517"/>
      <c r="CR19" s="517"/>
      <c r="CS19" s="517"/>
      <c r="CT19" s="517"/>
      <c r="CU19" s="517"/>
      <c r="CV19" s="517"/>
      <c r="CW19" s="517"/>
      <c r="CX19" s="517"/>
    </row>
    <row r="20" spans="1:102" ht="52.5" customHeight="1" x14ac:dyDescent="0.2">
      <c r="A20" s="1856"/>
      <c r="B20" s="1860"/>
      <c r="C20" s="508"/>
      <c r="D20" s="508"/>
      <c r="E20" s="510"/>
      <c r="F20" s="510"/>
      <c r="G20" s="510"/>
      <c r="H20" s="510"/>
      <c r="I20" s="510"/>
      <c r="J20" s="510"/>
      <c r="K20" s="510"/>
      <c r="L20" s="510"/>
      <c r="M20" s="510"/>
      <c r="N20" s="510"/>
      <c r="O20" s="510"/>
      <c r="P20" s="510"/>
      <c r="Q20" s="510"/>
      <c r="R20" s="510"/>
      <c r="S20" s="510"/>
      <c r="T20" s="1850" t="s">
        <v>1501</v>
      </c>
      <c r="U20" s="508" t="s">
        <v>1502</v>
      </c>
      <c r="V20" s="512" t="s">
        <v>1503</v>
      </c>
      <c r="W20" s="513" t="s">
        <v>1504</v>
      </c>
      <c r="X20" s="61">
        <v>5</v>
      </c>
      <c r="Y20" s="61">
        <v>2</v>
      </c>
      <c r="Z20" s="61">
        <v>2</v>
      </c>
      <c r="AA20" s="61">
        <v>1</v>
      </c>
      <c r="AB20" s="103">
        <f>+Y20/X20</f>
        <v>0.4</v>
      </c>
      <c r="AC20" s="103">
        <f>+Z20/X20</f>
        <v>0.4</v>
      </c>
      <c r="AD20" s="54">
        <f>AA20/X20</f>
        <v>0.2</v>
      </c>
      <c r="AE20" s="61">
        <v>1</v>
      </c>
      <c r="AF20" s="61">
        <v>1</v>
      </c>
      <c r="AG20" s="50"/>
      <c r="AH20" s="50">
        <v>1</v>
      </c>
      <c r="AI20" s="535"/>
      <c r="AJ20" s="50">
        <f>+AH20</f>
        <v>1</v>
      </c>
      <c r="AK20" s="54">
        <f>+AJ20/Y20</f>
        <v>0.5</v>
      </c>
      <c r="AL20" s="50">
        <f>+AJ20</f>
        <v>1</v>
      </c>
      <c r="AM20" s="54">
        <f>+AL20/X20</f>
        <v>0.2</v>
      </c>
      <c r="AN20" s="61">
        <v>2</v>
      </c>
      <c r="AO20" s="49">
        <v>0</v>
      </c>
      <c r="AP20" s="514"/>
      <c r="AQ20" s="50">
        <v>0</v>
      </c>
      <c r="AR20" s="515"/>
      <c r="AS20" s="49">
        <v>3</v>
      </c>
      <c r="AT20" s="49"/>
      <c r="AU20" s="50">
        <f>+AS20</f>
        <v>3</v>
      </c>
      <c r="AV20" s="49"/>
      <c r="AW20" s="49">
        <f>+AS20</f>
        <v>3</v>
      </c>
      <c r="AX20" s="96">
        <v>1</v>
      </c>
      <c r="AY20" s="50">
        <v>3</v>
      </c>
      <c r="AZ20" s="516">
        <f>+AY20/5</f>
        <v>0.6</v>
      </c>
      <c r="BA20" s="50">
        <v>1</v>
      </c>
      <c r="BB20" s="50">
        <v>0</v>
      </c>
      <c r="BC20" s="50"/>
      <c r="BD20" s="50">
        <v>0</v>
      </c>
      <c r="BE20" s="50"/>
      <c r="BF20" s="1474">
        <v>0.79</v>
      </c>
      <c r="BG20" s="50"/>
      <c r="BH20" s="50">
        <v>0.01</v>
      </c>
      <c r="BI20" s="50"/>
      <c r="BJ20" s="1486">
        <f>+BF20+BH20</f>
        <v>0.8</v>
      </c>
      <c r="BK20" s="1154">
        <f>+BJ20</f>
        <v>0.8</v>
      </c>
      <c r="BL20" s="50">
        <f>+BJ20+AY20</f>
        <v>3.8</v>
      </c>
      <c r="BM20" s="55">
        <f>+BL20/5</f>
        <v>0.76</v>
      </c>
      <c r="BN20" s="517"/>
      <c r="BO20" s="517"/>
      <c r="BP20" s="517"/>
      <c r="BQ20" s="517"/>
      <c r="BR20" s="517"/>
      <c r="BS20" s="517"/>
      <c r="BT20" s="517"/>
      <c r="BU20" s="517"/>
      <c r="BV20" s="517"/>
      <c r="BW20" s="517"/>
      <c r="BX20" s="517"/>
      <c r="BY20" s="517"/>
      <c r="BZ20" s="517"/>
      <c r="CA20" s="517"/>
      <c r="CB20" s="517"/>
      <c r="CC20" s="517"/>
      <c r="CD20" s="517"/>
      <c r="CE20" s="517"/>
      <c r="CF20" s="517"/>
      <c r="CG20" s="517"/>
      <c r="CH20" s="517"/>
      <c r="CI20" s="517"/>
      <c r="CJ20" s="517"/>
      <c r="CK20" s="517"/>
      <c r="CL20" s="517"/>
      <c r="CM20" s="517"/>
      <c r="CN20" s="517"/>
      <c r="CO20" s="517"/>
      <c r="CP20" s="517"/>
      <c r="CQ20" s="517"/>
      <c r="CR20" s="517"/>
      <c r="CS20" s="517"/>
      <c r="CT20" s="517"/>
      <c r="CU20" s="517"/>
      <c r="CV20" s="517"/>
      <c r="CW20" s="517"/>
      <c r="CX20" s="517"/>
    </row>
    <row r="21" spans="1:102" ht="50.25" customHeight="1" x14ac:dyDescent="0.2">
      <c r="A21" s="1856"/>
      <c r="B21" s="1860"/>
      <c r="C21" s="508"/>
      <c r="D21" s="508"/>
      <c r="E21" s="510"/>
      <c r="F21" s="510"/>
      <c r="G21" s="510"/>
      <c r="H21" s="510"/>
      <c r="I21" s="510"/>
      <c r="J21" s="510"/>
      <c r="K21" s="510"/>
      <c r="L21" s="510"/>
      <c r="M21" s="510"/>
      <c r="N21" s="510"/>
      <c r="O21" s="510"/>
      <c r="P21" s="510"/>
      <c r="Q21" s="510"/>
      <c r="R21" s="510"/>
      <c r="S21" s="510"/>
      <c r="T21" s="1851"/>
      <c r="U21" s="508" t="s">
        <v>1505</v>
      </c>
      <c r="V21" s="512" t="s">
        <v>201</v>
      </c>
      <c r="W21" s="513" t="s">
        <v>1506</v>
      </c>
      <c r="X21" s="50">
        <v>1</v>
      </c>
      <c r="Y21" s="50" t="s">
        <v>177</v>
      </c>
      <c r="Z21" s="50" t="s">
        <v>177</v>
      </c>
      <c r="AA21" s="50">
        <v>1</v>
      </c>
      <c r="AB21" s="50"/>
      <c r="AC21" s="50"/>
      <c r="AD21" s="54">
        <f>AA21/X21</f>
        <v>1</v>
      </c>
      <c r="AE21" s="50"/>
      <c r="AF21" s="50"/>
      <c r="AG21" s="50"/>
      <c r="AH21" s="50"/>
      <c r="AI21" s="535"/>
      <c r="AJ21" s="50"/>
      <c r="AK21" s="50"/>
      <c r="AL21" s="50"/>
      <c r="AM21" s="50"/>
      <c r="AN21" s="50" t="s">
        <v>177</v>
      </c>
      <c r="AO21" s="49"/>
      <c r="AP21" s="514"/>
      <c r="AQ21" s="50"/>
      <c r="AR21" s="515"/>
      <c r="AS21" s="49"/>
      <c r="AT21" s="49"/>
      <c r="AU21" s="50"/>
      <c r="AV21" s="49"/>
      <c r="AW21" s="49"/>
      <c r="AX21" s="49"/>
      <c r="AY21" s="49"/>
      <c r="AZ21" s="514"/>
      <c r="BA21" s="50">
        <v>1</v>
      </c>
      <c r="BB21" s="50">
        <v>0</v>
      </c>
      <c r="BC21" s="50"/>
      <c r="BD21" s="50">
        <v>2</v>
      </c>
      <c r="BE21" s="50"/>
      <c r="BF21" s="50">
        <v>2</v>
      </c>
      <c r="BG21" s="50"/>
      <c r="BH21" s="50">
        <v>0</v>
      </c>
      <c r="BI21" s="50"/>
      <c r="BJ21" s="50">
        <v>1</v>
      </c>
      <c r="BK21" s="54">
        <v>1</v>
      </c>
      <c r="BL21" s="50">
        <f>+BJ21+AY21</f>
        <v>1</v>
      </c>
      <c r="BM21" s="1154">
        <f>+BK21+AZ21</f>
        <v>1</v>
      </c>
      <c r="BN21" s="517"/>
      <c r="BO21" s="517"/>
      <c r="BP21" s="517"/>
      <c r="BQ21" s="517"/>
      <c r="BR21" s="517"/>
      <c r="BS21" s="517"/>
      <c r="BT21" s="517"/>
      <c r="BU21" s="517"/>
      <c r="BV21" s="517"/>
      <c r="BW21" s="517"/>
      <c r="BX21" s="517"/>
      <c r="BY21" s="517"/>
      <c r="BZ21" s="517"/>
      <c r="CA21" s="517"/>
      <c r="CB21" s="517"/>
      <c r="CC21" s="517"/>
      <c r="CD21" s="517"/>
      <c r="CE21" s="517"/>
      <c r="CF21" s="517"/>
      <c r="CG21" s="517"/>
      <c r="CH21" s="517"/>
      <c r="CI21" s="517"/>
      <c r="CJ21" s="517"/>
      <c r="CK21" s="517"/>
      <c r="CL21" s="517"/>
      <c r="CM21" s="517"/>
      <c r="CN21" s="517"/>
      <c r="CO21" s="517"/>
      <c r="CP21" s="517"/>
      <c r="CQ21" s="517"/>
      <c r="CR21" s="517"/>
      <c r="CS21" s="517"/>
      <c r="CT21" s="517"/>
      <c r="CU21" s="517"/>
      <c r="CV21" s="517"/>
      <c r="CW21" s="517"/>
      <c r="CX21" s="517"/>
    </row>
    <row r="22" spans="1:102" ht="12" customHeight="1" x14ac:dyDescent="0.2">
      <c r="A22" s="1856"/>
      <c r="B22" s="1860"/>
      <c r="C22" s="508"/>
      <c r="D22" s="508"/>
      <c r="E22" s="510"/>
      <c r="F22" s="510"/>
      <c r="G22" s="510"/>
      <c r="H22" s="510"/>
      <c r="I22" s="510"/>
      <c r="J22" s="510"/>
      <c r="K22" s="510"/>
      <c r="L22" s="510"/>
      <c r="M22" s="510"/>
      <c r="N22" s="510"/>
      <c r="O22" s="510"/>
      <c r="P22" s="510"/>
      <c r="Q22" s="510"/>
      <c r="R22" s="510"/>
      <c r="S22" s="510"/>
      <c r="T22" s="1852"/>
      <c r="U22" s="85"/>
      <c r="V22" s="85"/>
      <c r="W22" s="85"/>
      <c r="X22" s="72"/>
      <c r="Y22" s="72"/>
      <c r="Z22" s="72"/>
      <c r="AA22" s="72"/>
      <c r="AB22" s="86">
        <f>+AB20</f>
        <v>0.4</v>
      </c>
      <c r="AC22" s="86">
        <f>+AC20</f>
        <v>0.4</v>
      </c>
      <c r="AD22" s="86">
        <f>AVERAGE(AD20:AD21)</f>
        <v>0.6</v>
      </c>
      <c r="AE22" s="72"/>
      <c r="AF22" s="72"/>
      <c r="AG22" s="72"/>
      <c r="AH22" s="72"/>
      <c r="AI22" s="552"/>
      <c r="AJ22" s="72"/>
      <c r="AK22" s="86">
        <f>AVERAGE(AK20:AK21)</f>
        <v>0.5</v>
      </c>
      <c r="AL22" s="74"/>
      <c r="AM22" s="86">
        <f>AVERAGE(AM20:AM21)</f>
        <v>0.2</v>
      </c>
      <c r="AN22" s="72"/>
      <c r="AO22" s="49"/>
      <c r="AP22" s="514"/>
      <c r="AQ22" s="50"/>
      <c r="AR22" s="515"/>
      <c r="AS22" s="49"/>
      <c r="AT22" s="49"/>
      <c r="AU22" s="50"/>
      <c r="AV22" s="49"/>
      <c r="AW22" s="49"/>
      <c r="AX22" s="560">
        <f>AVERAGE(AX20:AX21)</f>
        <v>1</v>
      </c>
      <c r="AY22" s="561"/>
      <c r="AZ22" s="562">
        <f>AVERAGE(AZ20:AZ21)</f>
        <v>0.6</v>
      </c>
      <c r="BA22" s="1015"/>
      <c r="BB22" s="1015"/>
      <c r="BC22" s="1015"/>
      <c r="BD22" s="1015"/>
      <c r="BE22" s="1015"/>
      <c r="BF22" s="1015"/>
      <c r="BG22" s="1015"/>
      <c r="BH22" s="1015"/>
      <c r="BI22" s="1015"/>
      <c r="BJ22" s="1015"/>
      <c r="BK22" s="1269">
        <f>AVERAGE(BK20:BK21)</f>
        <v>0.9</v>
      </c>
      <c r="BL22" s="1015"/>
      <c r="BM22" s="73">
        <f>AVERAGE(BM20:BM21)</f>
        <v>0.88</v>
      </c>
      <c r="BN22" s="517"/>
      <c r="BO22" s="517"/>
      <c r="BP22" s="517"/>
      <c r="BQ22" s="517"/>
      <c r="BR22" s="517"/>
      <c r="BS22" s="517"/>
      <c r="BT22" s="517"/>
      <c r="BU22" s="517"/>
      <c r="BV22" s="517"/>
      <c r="BW22" s="517"/>
      <c r="BX22" s="517"/>
      <c r="BY22" s="517"/>
      <c r="BZ22" s="517"/>
      <c r="CA22" s="517"/>
      <c r="CB22" s="517"/>
      <c r="CC22" s="517"/>
      <c r="CD22" s="517"/>
      <c r="CE22" s="517"/>
      <c r="CF22" s="517"/>
      <c r="CG22" s="517"/>
      <c r="CH22" s="517"/>
      <c r="CI22" s="517"/>
      <c r="CJ22" s="517"/>
      <c r="CK22" s="517"/>
      <c r="CL22" s="517"/>
      <c r="CM22" s="517"/>
      <c r="CN22" s="517"/>
      <c r="CO22" s="517"/>
      <c r="CP22" s="517"/>
      <c r="CQ22" s="517"/>
      <c r="CR22" s="517"/>
      <c r="CS22" s="517"/>
      <c r="CT22" s="517"/>
      <c r="CU22" s="517"/>
      <c r="CV22" s="517"/>
      <c r="CW22" s="517"/>
      <c r="CX22" s="517"/>
    </row>
    <row r="23" spans="1:102" ht="27.75" customHeight="1" x14ac:dyDescent="0.2">
      <c r="A23" s="1856"/>
      <c r="B23" s="1860"/>
      <c r="C23" s="508"/>
      <c r="D23" s="508"/>
      <c r="E23" s="510"/>
      <c r="F23" s="510"/>
      <c r="G23" s="510"/>
      <c r="H23" s="510"/>
      <c r="I23" s="510"/>
      <c r="J23" s="510"/>
      <c r="K23" s="510"/>
      <c r="L23" s="510"/>
      <c r="M23" s="510"/>
      <c r="N23" s="510"/>
      <c r="O23" s="510"/>
      <c r="P23" s="510"/>
      <c r="Q23" s="510"/>
      <c r="R23" s="510"/>
      <c r="S23" s="510"/>
      <c r="T23" s="1850" t="s">
        <v>1507</v>
      </c>
      <c r="U23" s="508" t="s">
        <v>1508</v>
      </c>
      <c r="V23" s="512">
        <v>0</v>
      </c>
      <c r="W23" s="513" t="s">
        <v>1509</v>
      </c>
      <c r="X23" s="50">
        <v>1</v>
      </c>
      <c r="Y23" s="50" t="s">
        <v>177</v>
      </c>
      <c r="Z23" s="50"/>
      <c r="AA23" s="50">
        <v>1</v>
      </c>
      <c r="AB23" s="50"/>
      <c r="AC23" s="50"/>
      <c r="AD23" s="54">
        <f>AA23/X23</f>
        <v>1</v>
      </c>
      <c r="AE23" s="50"/>
      <c r="AF23" s="50"/>
      <c r="AG23" s="50"/>
      <c r="AH23" s="50"/>
      <c r="AI23" s="535"/>
      <c r="AJ23" s="50"/>
      <c r="AK23" s="50"/>
      <c r="AL23" s="50"/>
      <c r="AM23" s="50"/>
      <c r="AN23" s="50" t="s">
        <v>177</v>
      </c>
      <c r="AO23" s="510"/>
      <c r="AP23" s="526"/>
      <c r="AQ23" s="50"/>
      <c r="AR23" s="527"/>
      <c r="AS23" s="510"/>
      <c r="AT23" s="510"/>
      <c r="AU23" s="528"/>
      <c r="AV23" s="510"/>
      <c r="AW23" s="510"/>
      <c r="AX23" s="510"/>
      <c r="AY23" s="510"/>
      <c r="AZ23" s="526"/>
      <c r="BA23" s="50">
        <v>1</v>
      </c>
      <c r="BB23" s="50">
        <v>0</v>
      </c>
      <c r="BC23" s="50"/>
      <c r="BD23" s="50">
        <v>0</v>
      </c>
      <c r="BE23" s="50"/>
      <c r="BF23" s="54">
        <v>0</v>
      </c>
      <c r="BG23" s="50"/>
      <c r="BH23" s="50">
        <v>1</v>
      </c>
      <c r="BI23" s="50"/>
      <c r="BJ23" s="50">
        <f>+BB23</f>
        <v>0</v>
      </c>
      <c r="BK23" s="54">
        <v>1</v>
      </c>
      <c r="BL23" s="50">
        <f>+BJ23+AY23</f>
        <v>0</v>
      </c>
      <c r="BM23" s="1183">
        <v>1</v>
      </c>
      <c r="BN23" s="517"/>
      <c r="BO23" s="517"/>
      <c r="BP23" s="517"/>
      <c r="BQ23" s="517"/>
      <c r="BR23" s="517"/>
      <c r="BS23" s="517"/>
      <c r="BT23" s="517"/>
      <c r="BU23" s="517"/>
      <c r="BV23" s="517"/>
      <c r="BW23" s="517"/>
      <c r="BX23" s="517"/>
      <c r="BY23" s="517"/>
      <c r="BZ23" s="517"/>
      <c r="CA23" s="517"/>
      <c r="CB23" s="517"/>
      <c r="CC23" s="517"/>
      <c r="CD23" s="517"/>
      <c r="CE23" s="517"/>
      <c r="CF23" s="517"/>
      <c r="CG23" s="517"/>
      <c r="CH23" s="517"/>
      <c r="CI23" s="517"/>
      <c r="CJ23" s="517"/>
      <c r="CK23" s="517"/>
      <c r="CL23" s="517"/>
      <c r="CM23" s="517"/>
      <c r="CN23" s="517"/>
      <c r="CO23" s="517"/>
      <c r="CP23" s="517"/>
      <c r="CQ23" s="517"/>
      <c r="CR23" s="517"/>
      <c r="CS23" s="517"/>
      <c r="CT23" s="517"/>
      <c r="CU23" s="517"/>
      <c r="CV23" s="517"/>
      <c r="CW23" s="517"/>
      <c r="CX23" s="517"/>
    </row>
    <row r="24" spans="1:102" ht="52.5" customHeight="1" x14ac:dyDescent="0.2">
      <c r="A24" s="1856"/>
      <c r="B24" s="1860"/>
      <c r="C24" s="508"/>
      <c r="D24" s="508"/>
      <c r="E24" s="510"/>
      <c r="F24" s="510"/>
      <c r="G24" s="510"/>
      <c r="H24" s="510"/>
      <c r="I24" s="510"/>
      <c r="J24" s="510"/>
      <c r="K24" s="510"/>
      <c r="L24" s="510"/>
      <c r="M24" s="510"/>
      <c r="N24" s="510"/>
      <c r="O24" s="510"/>
      <c r="P24" s="510"/>
      <c r="Q24" s="510"/>
      <c r="R24" s="510"/>
      <c r="S24" s="510"/>
      <c r="T24" s="1851"/>
      <c r="U24" s="563" t="s">
        <v>1510</v>
      </c>
      <c r="V24" s="564" t="s">
        <v>1511</v>
      </c>
      <c r="W24" s="513" t="s">
        <v>1512</v>
      </c>
      <c r="X24" s="61">
        <v>1</v>
      </c>
      <c r="Y24" s="103">
        <v>0.25</v>
      </c>
      <c r="Z24" s="103">
        <v>0.5</v>
      </c>
      <c r="AA24" s="61">
        <v>0.25</v>
      </c>
      <c r="AB24" s="103">
        <f>+Y24</f>
        <v>0.25</v>
      </c>
      <c r="AC24" s="103">
        <v>0.5</v>
      </c>
      <c r="AD24" s="54">
        <f>AA24/X24</f>
        <v>0.25</v>
      </c>
      <c r="AE24" s="61">
        <v>0</v>
      </c>
      <c r="AF24" s="61">
        <v>0</v>
      </c>
      <c r="AG24" s="50"/>
      <c r="AH24" s="50">
        <v>0</v>
      </c>
      <c r="AI24" s="535"/>
      <c r="AJ24" s="50">
        <v>0</v>
      </c>
      <c r="AK24" s="54">
        <v>0</v>
      </c>
      <c r="AL24" s="50">
        <v>0</v>
      </c>
      <c r="AM24" s="54">
        <v>0</v>
      </c>
      <c r="AN24" s="103">
        <v>0.25</v>
      </c>
      <c r="AO24" s="50">
        <v>0</v>
      </c>
      <c r="AP24" s="535"/>
      <c r="AQ24" s="50"/>
      <c r="AR24" s="527"/>
      <c r="AS24" s="510"/>
      <c r="AT24" s="510"/>
      <c r="AU24" s="528"/>
      <c r="AV24" s="510"/>
      <c r="AW24" s="49">
        <v>0.36</v>
      </c>
      <c r="AX24" s="522">
        <v>1</v>
      </c>
      <c r="AY24" s="49">
        <f>AW24+AL24</f>
        <v>0.36</v>
      </c>
      <c r="AZ24" s="547">
        <f>+AY24</f>
        <v>0.36</v>
      </c>
      <c r="BA24" s="50">
        <v>0.25</v>
      </c>
      <c r="BB24" s="50">
        <v>0.1</v>
      </c>
      <c r="BC24" s="50"/>
      <c r="BD24" s="1474">
        <v>0.1</v>
      </c>
      <c r="BE24" s="50"/>
      <c r="BF24" s="54">
        <v>0.32</v>
      </c>
      <c r="BG24" s="50"/>
      <c r="BH24" s="50">
        <v>0.42</v>
      </c>
      <c r="BI24" s="50"/>
      <c r="BJ24" s="1486">
        <f>+BB24+BD24+BF24+BH24</f>
        <v>0.94</v>
      </c>
      <c r="BK24" s="1154">
        <v>1</v>
      </c>
      <c r="BL24" s="1474">
        <f>+BJ24+AY24</f>
        <v>1.2999999999999998</v>
      </c>
      <c r="BM24" s="54">
        <v>1</v>
      </c>
      <c r="BN24" s="517"/>
      <c r="BO24" s="517"/>
      <c r="BP24" s="517"/>
      <c r="BQ24" s="517"/>
      <c r="BR24" s="517"/>
      <c r="BS24" s="517"/>
      <c r="BT24" s="517"/>
      <c r="BU24" s="517"/>
      <c r="BV24" s="517"/>
      <c r="BW24" s="517"/>
      <c r="BX24" s="517"/>
      <c r="BY24" s="517"/>
      <c r="BZ24" s="517"/>
      <c r="CA24" s="517"/>
      <c r="CB24" s="517"/>
      <c r="CC24" s="517"/>
      <c r="CD24" s="517"/>
      <c r="CE24" s="517"/>
      <c r="CF24" s="517"/>
      <c r="CG24" s="517"/>
      <c r="CH24" s="517"/>
      <c r="CI24" s="517"/>
      <c r="CJ24" s="517"/>
      <c r="CK24" s="517"/>
      <c r="CL24" s="517"/>
      <c r="CM24" s="517"/>
      <c r="CN24" s="517"/>
      <c r="CO24" s="517"/>
      <c r="CP24" s="517"/>
      <c r="CQ24" s="517"/>
      <c r="CR24" s="517"/>
      <c r="CS24" s="517"/>
      <c r="CT24" s="517"/>
      <c r="CU24" s="517"/>
      <c r="CV24" s="517"/>
      <c r="CW24" s="517"/>
      <c r="CX24" s="517"/>
    </row>
    <row r="25" spans="1:102" ht="20.25" customHeight="1" x14ac:dyDescent="0.2">
      <c r="A25" s="1856"/>
      <c r="B25" s="1860"/>
      <c r="C25" s="508"/>
      <c r="D25" s="508"/>
      <c r="E25" s="510"/>
      <c r="F25" s="510"/>
      <c r="G25" s="510"/>
      <c r="H25" s="510"/>
      <c r="I25" s="510"/>
      <c r="J25" s="510"/>
      <c r="K25" s="510"/>
      <c r="L25" s="510"/>
      <c r="M25" s="510"/>
      <c r="N25" s="510"/>
      <c r="O25" s="510"/>
      <c r="P25" s="510"/>
      <c r="Q25" s="510"/>
      <c r="R25" s="510"/>
      <c r="S25" s="510"/>
      <c r="T25" s="1852"/>
      <c r="U25" s="85"/>
      <c r="V25" s="85"/>
      <c r="W25" s="85"/>
      <c r="X25" s="72"/>
      <c r="Y25" s="72"/>
      <c r="Z25" s="72"/>
      <c r="AA25" s="72"/>
      <c r="AB25" s="86">
        <f>+AB24</f>
        <v>0.25</v>
      </c>
      <c r="AC25" s="86">
        <f>+AC24</f>
        <v>0.5</v>
      </c>
      <c r="AD25" s="86">
        <f>AVERAGE(AD23:AD24)</f>
        <v>0.625</v>
      </c>
      <c r="AE25" s="72"/>
      <c r="AF25" s="72"/>
      <c r="AG25" s="72"/>
      <c r="AH25" s="72"/>
      <c r="AI25" s="552"/>
      <c r="AJ25" s="72"/>
      <c r="AK25" s="74">
        <v>0</v>
      </c>
      <c r="AL25" s="74"/>
      <c r="AM25" s="86">
        <f>AVERAGE(AM24)</f>
        <v>0</v>
      </c>
      <c r="AN25" s="72"/>
      <c r="AO25" s="510"/>
      <c r="AP25" s="526"/>
      <c r="AQ25" s="50"/>
      <c r="AR25" s="527"/>
      <c r="AS25" s="510"/>
      <c r="AT25" s="510"/>
      <c r="AU25" s="528"/>
      <c r="AV25" s="510"/>
      <c r="AW25" s="510"/>
      <c r="AX25" s="553">
        <f>+AX24</f>
        <v>1</v>
      </c>
      <c r="AY25" s="553"/>
      <c r="AZ25" s="555">
        <f>AVERAGE(AZ24)</f>
        <v>0.36</v>
      </c>
      <c r="BA25" s="50"/>
      <c r="BB25" s="50"/>
      <c r="BC25" s="50"/>
      <c r="BD25" s="50"/>
      <c r="BE25" s="50"/>
      <c r="BF25" s="50"/>
      <c r="BG25" s="50"/>
      <c r="BH25" s="50"/>
      <c r="BI25" s="50"/>
      <c r="BJ25" s="50"/>
      <c r="BK25" s="86">
        <f>AVERAGE(BK23:BK24)</f>
        <v>1</v>
      </c>
      <c r="BL25" s="72"/>
      <c r="BM25" s="86">
        <f>+(BM23+BM24)/2</f>
        <v>1</v>
      </c>
      <c r="BN25" s="517"/>
      <c r="BO25" s="517"/>
      <c r="BP25" s="517"/>
      <c r="BQ25" s="517"/>
      <c r="BR25" s="517"/>
      <c r="BS25" s="517"/>
      <c r="BT25" s="517"/>
      <c r="BU25" s="517"/>
      <c r="BV25" s="517"/>
      <c r="BW25" s="517"/>
      <c r="BX25" s="517"/>
      <c r="BY25" s="517"/>
      <c r="BZ25" s="517"/>
      <c r="CA25" s="517"/>
      <c r="CB25" s="517"/>
      <c r="CC25" s="517"/>
      <c r="CD25" s="517"/>
      <c r="CE25" s="517"/>
      <c r="CF25" s="517"/>
      <c r="CG25" s="517"/>
      <c r="CH25" s="517"/>
      <c r="CI25" s="517"/>
      <c r="CJ25" s="517"/>
      <c r="CK25" s="517"/>
      <c r="CL25" s="517"/>
      <c r="CM25" s="517"/>
      <c r="CN25" s="517"/>
      <c r="CO25" s="517"/>
      <c r="CP25" s="517"/>
      <c r="CQ25" s="517"/>
      <c r="CR25" s="517"/>
      <c r="CS25" s="517"/>
      <c r="CT25" s="517"/>
      <c r="CU25" s="517"/>
      <c r="CV25" s="517"/>
      <c r="CW25" s="517"/>
      <c r="CX25" s="517"/>
    </row>
    <row r="26" spans="1:102" ht="47.25" customHeight="1" x14ac:dyDescent="0.2">
      <c r="A26" s="1856"/>
      <c r="B26" s="1860"/>
      <c r="C26" s="508"/>
      <c r="D26" s="508"/>
      <c r="E26" s="510"/>
      <c r="F26" s="510"/>
      <c r="G26" s="510"/>
      <c r="H26" s="510"/>
      <c r="I26" s="510"/>
      <c r="J26" s="510"/>
      <c r="K26" s="510"/>
      <c r="L26" s="510"/>
      <c r="M26" s="510"/>
      <c r="N26" s="510"/>
      <c r="O26" s="510"/>
      <c r="P26" s="510"/>
      <c r="Q26" s="510"/>
      <c r="R26" s="510"/>
      <c r="S26" s="510"/>
      <c r="T26" s="511" t="s">
        <v>1513</v>
      </c>
      <c r="U26" s="566" t="s">
        <v>1514</v>
      </c>
      <c r="V26" s="567" t="s">
        <v>343</v>
      </c>
      <c r="W26" s="513" t="s">
        <v>1515</v>
      </c>
      <c r="X26" s="50">
        <v>12</v>
      </c>
      <c r="Y26" s="50">
        <v>3</v>
      </c>
      <c r="Z26" s="50">
        <v>3</v>
      </c>
      <c r="AA26" s="50">
        <v>3</v>
      </c>
      <c r="AB26" s="54">
        <f>+Y26/X26</f>
        <v>0.25</v>
      </c>
      <c r="AC26" s="54">
        <f>+Z26/X26</f>
        <v>0.25</v>
      </c>
      <c r="AD26" s="54">
        <f>AA26/X26</f>
        <v>0.25</v>
      </c>
      <c r="AE26" s="50">
        <v>0</v>
      </c>
      <c r="AF26" s="50">
        <v>0</v>
      </c>
      <c r="AG26" s="50"/>
      <c r="AH26" s="50">
        <v>0</v>
      </c>
      <c r="AI26" s="535"/>
      <c r="AJ26" s="50">
        <v>0</v>
      </c>
      <c r="AK26" s="54">
        <v>0</v>
      </c>
      <c r="AL26" s="50">
        <v>0</v>
      </c>
      <c r="AM26" s="54">
        <v>0</v>
      </c>
      <c r="AN26" s="50">
        <v>3</v>
      </c>
      <c r="AO26" s="49">
        <v>0</v>
      </c>
      <c r="AP26" s="526"/>
      <c r="AQ26" s="50">
        <v>0</v>
      </c>
      <c r="AR26" s="527"/>
      <c r="AS26" s="50">
        <v>0.26</v>
      </c>
      <c r="AT26" s="50"/>
      <c r="AU26" s="50">
        <v>9</v>
      </c>
      <c r="AV26" s="510"/>
      <c r="AW26" s="50">
        <f>+AU26</f>
        <v>9</v>
      </c>
      <c r="AX26" s="57">
        <f>+AW26/AN26</f>
        <v>3</v>
      </c>
      <c r="AY26" s="50">
        <f>+AW26+AL26</f>
        <v>9</v>
      </c>
      <c r="AZ26" s="516">
        <f>+AY26/X26</f>
        <v>0.75</v>
      </c>
      <c r="BA26" s="50">
        <v>3</v>
      </c>
      <c r="BB26" s="50">
        <v>0</v>
      </c>
      <c r="BC26" s="50"/>
      <c r="BD26" s="50">
        <v>0</v>
      </c>
      <c r="BE26" s="50"/>
      <c r="BF26" s="131">
        <v>0</v>
      </c>
      <c r="BG26" s="1444" t="s">
        <v>2267</v>
      </c>
      <c r="BH26" s="50"/>
      <c r="BI26" s="50"/>
      <c r="BJ26" s="50">
        <f>BB26</f>
        <v>0</v>
      </c>
      <c r="BK26" s="57">
        <f>BJ26/BA26</f>
        <v>0</v>
      </c>
      <c r="BL26" s="50">
        <f>BJ26+AY26</f>
        <v>9</v>
      </c>
      <c r="BM26" s="57">
        <f>BL26/X26</f>
        <v>0.75</v>
      </c>
      <c r="BN26" s="517"/>
      <c r="BO26" s="517"/>
      <c r="BP26" s="517"/>
      <c r="BQ26" s="517"/>
      <c r="BR26" s="517"/>
      <c r="BS26" s="517"/>
      <c r="BT26" s="517"/>
      <c r="BU26" s="517"/>
      <c r="BV26" s="517"/>
      <c r="BW26" s="517"/>
      <c r="BX26" s="517"/>
      <c r="BY26" s="517"/>
      <c r="BZ26" s="517"/>
      <c r="CA26" s="517"/>
      <c r="CB26" s="517"/>
      <c r="CC26" s="517"/>
      <c r="CD26" s="517"/>
      <c r="CE26" s="517"/>
      <c r="CF26" s="517"/>
      <c r="CG26" s="517"/>
      <c r="CH26" s="517"/>
      <c r="CI26" s="517"/>
      <c r="CJ26" s="517"/>
      <c r="CK26" s="517"/>
      <c r="CL26" s="517"/>
      <c r="CM26" s="517"/>
      <c r="CN26" s="517"/>
      <c r="CO26" s="517"/>
      <c r="CP26" s="517"/>
      <c r="CQ26" s="517"/>
      <c r="CR26" s="517"/>
      <c r="CS26" s="517"/>
      <c r="CT26" s="517"/>
      <c r="CU26" s="517"/>
      <c r="CV26" s="517"/>
      <c r="CW26" s="517"/>
      <c r="CX26" s="517"/>
    </row>
    <row r="27" spans="1:102" ht="12" customHeight="1" x14ac:dyDescent="0.2">
      <c r="A27" s="1856"/>
      <c r="B27" s="1860"/>
      <c r="C27" s="508"/>
      <c r="D27" s="508"/>
      <c r="E27" s="510"/>
      <c r="F27" s="510"/>
      <c r="G27" s="510"/>
      <c r="H27" s="510"/>
      <c r="I27" s="510"/>
      <c r="J27" s="510"/>
      <c r="K27" s="510"/>
      <c r="L27" s="510"/>
      <c r="M27" s="510"/>
      <c r="N27" s="510"/>
      <c r="O27" s="510"/>
      <c r="P27" s="510"/>
      <c r="Q27" s="510"/>
      <c r="R27" s="510"/>
      <c r="S27" s="510"/>
      <c r="T27" s="518"/>
      <c r="U27" s="85"/>
      <c r="V27" s="85"/>
      <c r="W27" s="85"/>
      <c r="X27" s="72"/>
      <c r="Y27" s="72"/>
      <c r="Z27" s="72"/>
      <c r="AA27" s="72"/>
      <c r="AB27" s="86">
        <f>+AB26</f>
        <v>0.25</v>
      </c>
      <c r="AC27" s="86">
        <f>+AC26</f>
        <v>0.25</v>
      </c>
      <c r="AD27" s="86">
        <f>AVERAGE(AD26)</f>
        <v>0.25</v>
      </c>
      <c r="AE27" s="72"/>
      <c r="AF27" s="72"/>
      <c r="AG27" s="72"/>
      <c r="AH27" s="72"/>
      <c r="AI27" s="535"/>
      <c r="AJ27" s="72"/>
      <c r="AK27" s="86">
        <f>+AK26</f>
        <v>0</v>
      </c>
      <c r="AL27" s="74"/>
      <c r="AM27" s="86">
        <f>+AM26</f>
        <v>0</v>
      </c>
      <c r="AN27" s="72"/>
      <c r="AO27" s="510"/>
      <c r="AP27" s="526"/>
      <c r="AQ27" s="50"/>
      <c r="AR27" s="527"/>
      <c r="AS27" s="510"/>
      <c r="AT27" s="510"/>
      <c r="AU27" s="528"/>
      <c r="AV27" s="510"/>
      <c r="AW27" s="510"/>
      <c r="AX27" s="86">
        <f>+AX26</f>
        <v>3</v>
      </c>
      <c r="AY27" s="74"/>
      <c r="AZ27" s="530">
        <f>+AZ26</f>
        <v>0.75</v>
      </c>
      <c r="BA27" s="50"/>
      <c r="BB27" s="50"/>
      <c r="BC27" s="50"/>
      <c r="BD27" s="50"/>
      <c r="BE27" s="50"/>
      <c r="BF27" s="50"/>
      <c r="BG27" s="50"/>
      <c r="BH27" s="50"/>
      <c r="BI27" s="50"/>
      <c r="BJ27" s="50"/>
      <c r="BK27" s="107">
        <f>BK26</f>
        <v>0</v>
      </c>
      <c r="BL27" s="74"/>
      <c r="BM27" s="107">
        <f>BM26</f>
        <v>0.75</v>
      </c>
      <c r="BN27" s="517"/>
      <c r="BO27" s="517"/>
      <c r="BP27" s="517"/>
      <c r="BQ27" s="517"/>
      <c r="BR27" s="517"/>
      <c r="BS27" s="517"/>
      <c r="BT27" s="517"/>
      <c r="BU27" s="517"/>
      <c r="BV27" s="517"/>
      <c r="BW27" s="517"/>
      <c r="BX27" s="517"/>
      <c r="BY27" s="517"/>
      <c r="BZ27" s="517"/>
      <c r="CA27" s="517"/>
      <c r="CB27" s="517"/>
      <c r="CC27" s="517"/>
      <c r="CD27" s="517"/>
      <c r="CE27" s="517"/>
      <c r="CF27" s="517"/>
      <c r="CG27" s="517"/>
      <c r="CH27" s="517"/>
      <c r="CI27" s="517"/>
      <c r="CJ27" s="517"/>
      <c r="CK27" s="517"/>
      <c r="CL27" s="517"/>
      <c r="CM27" s="517"/>
      <c r="CN27" s="517"/>
      <c r="CO27" s="517"/>
      <c r="CP27" s="517"/>
      <c r="CQ27" s="517"/>
      <c r="CR27" s="517"/>
      <c r="CS27" s="517"/>
      <c r="CT27" s="517"/>
      <c r="CU27" s="517"/>
      <c r="CV27" s="517"/>
      <c r="CW27" s="517"/>
      <c r="CX27" s="517"/>
    </row>
    <row r="28" spans="1:102" ht="12" customHeight="1" x14ac:dyDescent="0.2">
      <c r="A28" s="1856"/>
      <c r="B28" s="1861"/>
      <c r="C28" s="109"/>
      <c r="D28" s="109"/>
      <c r="E28" s="544"/>
      <c r="F28" s="544"/>
      <c r="G28" s="544"/>
      <c r="H28" s="544"/>
      <c r="I28" s="544"/>
      <c r="J28" s="544"/>
      <c r="K28" s="544"/>
      <c r="L28" s="544"/>
      <c r="M28" s="544"/>
      <c r="N28" s="544"/>
      <c r="O28" s="544"/>
      <c r="P28" s="544"/>
      <c r="Q28" s="544"/>
      <c r="R28" s="544"/>
      <c r="S28" s="544"/>
      <c r="T28" s="108"/>
      <c r="U28" s="109"/>
      <c r="V28" s="109"/>
      <c r="W28" s="109"/>
      <c r="X28" s="110"/>
      <c r="Y28" s="110"/>
      <c r="Z28" s="110"/>
      <c r="AA28" s="110"/>
      <c r="AB28" s="112">
        <f>+(AB27+AB25+AB22+AB19+AB16)/5</f>
        <v>0.30499999999999999</v>
      </c>
      <c r="AC28" s="112">
        <f>+(AC27+AC25+AC22+AC19+AC16)/5</f>
        <v>0.3823333333333333</v>
      </c>
      <c r="AD28" s="112">
        <f>+(AD27+AD25+AD22+AD19+AD16)/5</f>
        <v>0.495</v>
      </c>
      <c r="AE28" s="110"/>
      <c r="AF28" s="110"/>
      <c r="AG28" s="110"/>
      <c r="AH28" s="110"/>
      <c r="AI28" s="545"/>
      <c r="AJ28" s="110"/>
      <c r="AK28" s="112">
        <f>+(AK27+AK25+AK22+AK19+AK16)/5</f>
        <v>0.5</v>
      </c>
      <c r="AL28" s="110"/>
      <c r="AM28" s="111">
        <f>+(AM27+AM25+AM22+AM19+AM16)/6</f>
        <v>0.13749999999999998</v>
      </c>
      <c r="AN28" s="110"/>
      <c r="AO28" s="569"/>
      <c r="AP28" s="570"/>
      <c r="AQ28" s="50"/>
      <c r="AR28" s="571"/>
      <c r="AS28" s="569"/>
      <c r="AT28" s="569"/>
      <c r="AU28" s="572"/>
      <c r="AV28" s="569"/>
      <c r="AW28" s="569"/>
      <c r="AX28" s="112">
        <f>+(AX27+AX25+AX22+AX19+AX16)/5</f>
        <v>1.3333333333333335</v>
      </c>
      <c r="AY28" s="110"/>
      <c r="AZ28" s="573">
        <f>+(AZ27+AZ25+AZ22+AZ19+AZ16)/5</f>
        <v>0.67533333333333334</v>
      </c>
      <c r="BA28" s="50"/>
      <c r="BB28" s="50"/>
      <c r="BC28" s="50"/>
      <c r="BD28" s="50"/>
      <c r="BE28" s="50"/>
      <c r="BF28" s="50"/>
      <c r="BG28" s="50"/>
      <c r="BH28" s="50"/>
      <c r="BI28" s="50"/>
      <c r="BJ28" s="50"/>
      <c r="BK28" s="574">
        <f>+(BK27+BK25+BK22+BK19+BK16)/5</f>
        <v>0.69428571428571428</v>
      </c>
      <c r="BL28" s="50"/>
      <c r="BM28" s="574">
        <f>+(BM27+BM25+BM22+BM19+BM16)/5</f>
        <v>0.84028571428571419</v>
      </c>
      <c r="BN28" s="517"/>
      <c r="BO28" s="517"/>
      <c r="BP28" s="517"/>
      <c r="BQ28" s="517"/>
      <c r="BR28" s="517"/>
      <c r="BS28" s="517"/>
      <c r="BT28" s="517"/>
      <c r="BU28" s="517"/>
      <c r="BV28" s="517"/>
      <c r="BW28" s="517"/>
      <c r="BX28" s="517"/>
      <c r="BY28" s="517"/>
      <c r="BZ28" s="517"/>
      <c r="CA28" s="517"/>
      <c r="CB28" s="517"/>
      <c r="CC28" s="517"/>
      <c r="CD28" s="517"/>
      <c r="CE28" s="517"/>
      <c r="CF28" s="517"/>
      <c r="CG28" s="517"/>
      <c r="CH28" s="517"/>
      <c r="CI28" s="517"/>
      <c r="CJ28" s="517"/>
      <c r="CK28" s="517"/>
      <c r="CL28" s="517"/>
      <c r="CM28" s="517"/>
      <c r="CN28" s="517"/>
      <c r="CO28" s="517"/>
      <c r="CP28" s="517"/>
      <c r="CQ28" s="517"/>
      <c r="CR28" s="517"/>
      <c r="CS28" s="517"/>
      <c r="CT28" s="517"/>
      <c r="CU28" s="517"/>
      <c r="CV28" s="517"/>
      <c r="CW28" s="517"/>
      <c r="CX28" s="517"/>
    </row>
    <row r="29" spans="1:102" ht="68.25" customHeight="1" x14ac:dyDescent="0.2">
      <c r="A29" s="1856"/>
      <c r="B29" s="1857" t="s">
        <v>1516</v>
      </c>
      <c r="C29" s="533" t="s">
        <v>1517</v>
      </c>
      <c r="D29" s="508" t="s">
        <v>1518</v>
      </c>
      <c r="E29" s="510"/>
      <c r="F29" s="510"/>
      <c r="G29" s="510"/>
      <c r="H29" s="510"/>
      <c r="I29" s="510"/>
      <c r="J29" s="510"/>
      <c r="K29" s="510"/>
      <c r="L29" s="510"/>
      <c r="M29" s="510"/>
      <c r="N29" s="510"/>
      <c r="O29" s="510"/>
      <c r="P29" s="510"/>
      <c r="Q29" s="510"/>
      <c r="R29" s="510"/>
      <c r="S29" s="510"/>
      <c r="T29" s="1850" t="s">
        <v>1519</v>
      </c>
      <c r="U29" s="508" t="s">
        <v>1520</v>
      </c>
      <c r="V29" s="512" t="s">
        <v>1521</v>
      </c>
      <c r="W29" s="513" t="s">
        <v>1522</v>
      </c>
      <c r="X29" s="50">
        <v>1</v>
      </c>
      <c r="Y29" s="50">
        <v>1</v>
      </c>
      <c r="Z29" s="50">
        <v>1</v>
      </c>
      <c r="AA29" s="57">
        <v>0.1225</v>
      </c>
      <c r="AB29" s="54">
        <v>0.25</v>
      </c>
      <c r="AC29" s="54">
        <v>0.25</v>
      </c>
      <c r="AD29" s="54">
        <f>+AA29</f>
        <v>0.1225</v>
      </c>
      <c r="AE29" s="50">
        <v>1</v>
      </c>
      <c r="AF29" s="50">
        <v>1</v>
      </c>
      <c r="AG29" s="50"/>
      <c r="AH29" s="50">
        <v>1</v>
      </c>
      <c r="AI29" s="535"/>
      <c r="AJ29" s="50">
        <f>+AH29</f>
        <v>1</v>
      </c>
      <c r="AK29" s="54">
        <v>1</v>
      </c>
      <c r="AL29" s="50">
        <v>1</v>
      </c>
      <c r="AM29" s="54">
        <v>0.5</v>
      </c>
      <c r="AN29" s="535">
        <v>1</v>
      </c>
      <c r="AO29" s="124">
        <v>6.25E-2</v>
      </c>
      <c r="AP29" s="526"/>
      <c r="AQ29" s="57">
        <v>6.25E-2</v>
      </c>
      <c r="AR29" s="527"/>
      <c r="AS29" s="510"/>
      <c r="AT29" s="510"/>
      <c r="AU29" s="50">
        <v>0.87</v>
      </c>
      <c r="AV29" s="510"/>
      <c r="AW29" s="54">
        <f>+AO29+AQ29+AU29</f>
        <v>0.995</v>
      </c>
      <c r="AX29" s="575">
        <v>0.5</v>
      </c>
      <c r="AY29" s="54">
        <v>0.75</v>
      </c>
      <c r="AZ29" s="576">
        <v>0.75</v>
      </c>
      <c r="BA29" s="55">
        <f>+AD29</f>
        <v>0.1225</v>
      </c>
      <c r="BB29" s="1154">
        <v>3.1199999999999999E-2</v>
      </c>
      <c r="BC29" s="50"/>
      <c r="BD29" s="54">
        <v>0.06</v>
      </c>
      <c r="BE29" s="50"/>
      <c r="BF29" s="50"/>
      <c r="BG29" s="50"/>
      <c r="BH29" s="57">
        <v>0.875</v>
      </c>
      <c r="BJ29" s="55">
        <f>+BH29</f>
        <v>0.875</v>
      </c>
      <c r="BK29" s="1691">
        <f>+BJ29</f>
        <v>0.875</v>
      </c>
      <c r="BL29" s="55">
        <f>+BK29</f>
        <v>0.875</v>
      </c>
      <c r="BM29" s="55">
        <f>BL29</f>
        <v>0.875</v>
      </c>
      <c r="BN29" s="517"/>
      <c r="BO29" s="517"/>
      <c r="BP29" s="517"/>
      <c r="BQ29" s="517"/>
      <c r="BR29" s="517"/>
      <c r="BS29" s="517"/>
      <c r="BT29" s="517"/>
      <c r="BU29" s="517"/>
      <c r="BV29" s="517"/>
      <c r="BW29" s="517"/>
      <c r="BX29" s="517"/>
      <c r="BY29" s="517"/>
      <c r="BZ29" s="517"/>
      <c r="CA29" s="517"/>
      <c r="CB29" s="517"/>
      <c r="CC29" s="517"/>
      <c r="CD29" s="517"/>
      <c r="CE29" s="517"/>
      <c r="CF29" s="517"/>
      <c r="CG29" s="517"/>
      <c r="CH29" s="517"/>
      <c r="CI29" s="517"/>
      <c r="CJ29" s="517"/>
      <c r="CK29" s="517"/>
      <c r="CL29" s="517"/>
      <c r="CM29" s="517"/>
      <c r="CN29" s="517"/>
      <c r="CO29" s="517"/>
      <c r="CP29" s="517"/>
      <c r="CQ29" s="517"/>
      <c r="CR29" s="517"/>
      <c r="CS29" s="517"/>
      <c r="CT29" s="517"/>
      <c r="CU29" s="517"/>
      <c r="CV29" s="517"/>
      <c r="CW29" s="517"/>
      <c r="CX29" s="517"/>
    </row>
    <row r="30" spans="1:102" ht="12" customHeight="1" x14ac:dyDescent="0.2">
      <c r="A30" s="1856"/>
      <c r="B30" s="1858"/>
      <c r="C30" s="533"/>
      <c r="D30" s="508"/>
      <c r="E30" s="510"/>
      <c r="F30" s="510"/>
      <c r="G30" s="510"/>
      <c r="H30" s="510"/>
      <c r="I30" s="510"/>
      <c r="J30" s="510"/>
      <c r="K30" s="510"/>
      <c r="L30" s="510"/>
      <c r="M30" s="510"/>
      <c r="N30" s="510"/>
      <c r="O30" s="510"/>
      <c r="P30" s="510"/>
      <c r="Q30" s="510"/>
      <c r="R30" s="510"/>
      <c r="S30" s="510"/>
      <c r="T30" s="1852"/>
      <c r="U30" s="85"/>
      <c r="V30" s="85"/>
      <c r="W30" s="85"/>
      <c r="X30" s="72"/>
      <c r="Y30" s="72"/>
      <c r="Z30" s="72"/>
      <c r="AA30" s="72"/>
      <c r="AB30" s="97">
        <f>+AB29</f>
        <v>0.25</v>
      </c>
      <c r="AC30" s="97">
        <f>+AC29</f>
        <v>0.25</v>
      </c>
      <c r="AD30" s="1018">
        <f>+AD29</f>
        <v>0.1225</v>
      </c>
      <c r="AE30" s="72"/>
      <c r="AF30" s="72"/>
      <c r="AG30" s="72"/>
      <c r="AH30" s="72"/>
      <c r="AI30" s="552"/>
      <c r="AJ30" s="72"/>
      <c r="AK30" s="86">
        <f>+AK29</f>
        <v>1</v>
      </c>
      <c r="AL30" s="74"/>
      <c r="AM30" s="86">
        <f>+AM29</f>
        <v>0.5</v>
      </c>
      <c r="AN30" s="552"/>
      <c r="AO30" s="510"/>
      <c r="AP30" s="526"/>
      <c r="AQ30" s="50"/>
      <c r="AR30" s="527"/>
      <c r="AS30" s="510"/>
      <c r="AT30" s="510"/>
      <c r="AU30" s="528"/>
      <c r="AV30" s="510"/>
      <c r="AW30" s="510"/>
      <c r="AX30" s="577">
        <f>+AX29</f>
        <v>0.5</v>
      </c>
      <c r="AY30" s="577"/>
      <c r="AZ30" s="577">
        <f>+AZ29</f>
        <v>0.75</v>
      </c>
      <c r="BA30" s="1015"/>
      <c r="BB30" s="1015"/>
      <c r="BC30" s="1015"/>
      <c r="BD30" s="1015"/>
      <c r="BE30" s="1015"/>
      <c r="BF30" s="1015"/>
      <c r="BG30" s="1015"/>
      <c r="BH30" s="1015"/>
      <c r="BI30" s="1015"/>
      <c r="BJ30" s="1015"/>
      <c r="BK30" s="86">
        <f>+BK29</f>
        <v>0.875</v>
      </c>
      <c r="BL30" s="74"/>
      <c r="BM30" s="73">
        <f>+BM29</f>
        <v>0.875</v>
      </c>
      <c r="BN30" s="517"/>
      <c r="BO30" s="517"/>
      <c r="BP30" s="517"/>
      <c r="BQ30" s="517"/>
      <c r="BR30" s="517"/>
      <c r="BS30" s="517"/>
      <c r="BT30" s="517"/>
      <c r="BU30" s="517"/>
      <c r="BV30" s="517"/>
      <c r="BW30" s="517"/>
      <c r="BX30" s="517"/>
      <c r="BY30" s="517"/>
      <c r="BZ30" s="517"/>
      <c r="CA30" s="517"/>
      <c r="CB30" s="517"/>
      <c r="CC30" s="517"/>
      <c r="CD30" s="517"/>
      <c r="CE30" s="517"/>
      <c r="CF30" s="517"/>
      <c r="CG30" s="517"/>
      <c r="CH30" s="517"/>
      <c r="CI30" s="517"/>
      <c r="CJ30" s="517"/>
      <c r="CK30" s="517"/>
      <c r="CL30" s="517"/>
      <c r="CM30" s="517"/>
      <c r="CN30" s="517"/>
      <c r="CO30" s="517"/>
      <c r="CP30" s="517"/>
      <c r="CQ30" s="517"/>
      <c r="CR30" s="517"/>
      <c r="CS30" s="517"/>
      <c r="CT30" s="517"/>
      <c r="CU30" s="517"/>
      <c r="CV30" s="517"/>
      <c r="CW30" s="517"/>
      <c r="CX30" s="517"/>
    </row>
    <row r="31" spans="1:102" ht="43.5" customHeight="1" x14ac:dyDescent="0.2">
      <c r="A31" s="1856"/>
      <c r="B31" s="1858"/>
      <c r="C31" s="533" t="s">
        <v>1523</v>
      </c>
      <c r="D31" s="508">
        <v>595.9</v>
      </c>
      <c r="E31" s="510"/>
      <c r="F31" s="510"/>
      <c r="G31" s="510"/>
      <c r="H31" s="510"/>
      <c r="I31" s="510"/>
      <c r="J31" s="510"/>
      <c r="K31" s="510"/>
      <c r="L31" s="510"/>
      <c r="M31" s="510"/>
      <c r="N31" s="510"/>
      <c r="O31" s="510"/>
      <c r="P31" s="510"/>
      <c r="Q31" s="510"/>
      <c r="R31" s="510"/>
      <c r="S31" s="510"/>
      <c r="T31" s="1850" t="s">
        <v>1524</v>
      </c>
      <c r="U31" s="508" t="s">
        <v>1525</v>
      </c>
      <c r="V31" s="512" t="s">
        <v>201</v>
      </c>
      <c r="W31" s="513" t="s">
        <v>1526</v>
      </c>
      <c r="X31" s="50">
        <v>60</v>
      </c>
      <c r="Y31" s="61">
        <v>20</v>
      </c>
      <c r="Z31" s="61">
        <v>15</v>
      </c>
      <c r="AA31" s="50">
        <v>15</v>
      </c>
      <c r="AB31" s="103">
        <f>+Y31/X31</f>
        <v>0.33333333333333331</v>
      </c>
      <c r="AC31" s="103">
        <f>+Z31/X31</f>
        <v>0.25</v>
      </c>
      <c r="AD31" s="103"/>
      <c r="AE31" s="61">
        <v>267</v>
      </c>
      <c r="AF31" s="61">
        <v>648</v>
      </c>
      <c r="AG31" s="50"/>
      <c r="AH31" s="50">
        <v>788</v>
      </c>
      <c r="AI31" s="535"/>
      <c r="AJ31" s="50">
        <f>+AH31</f>
        <v>788</v>
      </c>
      <c r="AK31" s="54">
        <v>1</v>
      </c>
      <c r="AL31" s="50">
        <f>+AJ31</f>
        <v>788</v>
      </c>
      <c r="AM31" s="54">
        <v>1</v>
      </c>
      <c r="AN31" s="61">
        <v>15</v>
      </c>
      <c r="AO31" s="578">
        <v>203</v>
      </c>
      <c r="AP31" s="579"/>
      <c r="AQ31" s="116">
        <v>275</v>
      </c>
      <c r="AR31" s="580"/>
      <c r="AS31" s="581">
        <v>296</v>
      </c>
      <c r="AT31" s="581"/>
      <c r="AU31" s="581">
        <v>446</v>
      </c>
      <c r="AV31" s="578"/>
      <c r="AW31" s="138">
        <f>+AU31</f>
        <v>446</v>
      </c>
      <c r="AX31" s="582">
        <v>1</v>
      </c>
      <c r="AY31" s="61">
        <f>AW31+AL31</f>
        <v>1234</v>
      </c>
      <c r="AZ31" s="583">
        <v>1</v>
      </c>
      <c r="BA31" s="50">
        <v>15</v>
      </c>
      <c r="BB31" s="50">
        <v>115</v>
      </c>
      <c r="BC31" s="50"/>
      <c r="BD31" s="50">
        <v>506</v>
      </c>
      <c r="BE31" s="50"/>
      <c r="BF31" s="50">
        <v>28</v>
      </c>
      <c r="BG31" s="50"/>
      <c r="BH31" s="50">
        <v>60</v>
      </c>
      <c r="BI31" s="1202" t="s">
        <v>2301</v>
      </c>
      <c r="BJ31" s="50">
        <f>BB31+BD31+BF31+BH31</f>
        <v>709</v>
      </c>
      <c r="BK31" s="57">
        <v>1</v>
      </c>
      <c r="BL31" s="50">
        <f>BJ31+AY31</f>
        <v>1943</v>
      </c>
      <c r="BM31" s="54">
        <v>1</v>
      </c>
      <c r="BN31" s="517"/>
      <c r="BO31" s="517"/>
      <c r="BP31" s="517"/>
      <c r="BQ31" s="517"/>
      <c r="BR31" s="517"/>
      <c r="BS31" s="517"/>
      <c r="BT31" s="517"/>
      <c r="BU31" s="517"/>
      <c r="BV31" s="517"/>
      <c r="BW31" s="517"/>
      <c r="BX31" s="517"/>
      <c r="BY31" s="517"/>
      <c r="BZ31" s="517"/>
      <c r="CA31" s="517"/>
      <c r="CB31" s="517"/>
      <c r="CC31" s="517"/>
      <c r="CD31" s="517"/>
      <c r="CE31" s="517"/>
      <c r="CF31" s="517"/>
      <c r="CG31" s="517"/>
      <c r="CH31" s="517"/>
      <c r="CI31" s="517"/>
      <c r="CJ31" s="517"/>
      <c r="CK31" s="517"/>
      <c r="CL31" s="517"/>
      <c r="CM31" s="517"/>
      <c r="CN31" s="517"/>
      <c r="CO31" s="517"/>
      <c r="CP31" s="517"/>
      <c r="CQ31" s="517"/>
      <c r="CR31" s="517"/>
      <c r="CS31" s="517"/>
      <c r="CT31" s="517"/>
      <c r="CU31" s="517"/>
      <c r="CV31" s="517"/>
      <c r="CW31" s="517"/>
      <c r="CX31" s="517"/>
    </row>
    <row r="32" spans="1:102" ht="41.25" customHeight="1" x14ac:dyDescent="0.2">
      <c r="A32" s="1856"/>
      <c r="B32" s="1858"/>
      <c r="C32" s="533" t="s">
        <v>1527</v>
      </c>
      <c r="D32" s="508">
        <v>79.7</v>
      </c>
      <c r="E32" s="510"/>
      <c r="F32" s="510"/>
      <c r="G32" s="510"/>
      <c r="H32" s="510"/>
      <c r="I32" s="510"/>
      <c r="J32" s="510"/>
      <c r="K32" s="510"/>
      <c r="L32" s="510"/>
      <c r="M32" s="510"/>
      <c r="N32" s="510"/>
      <c r="O32" s="510"/>
      <c r="P32" s="510"/>
      <c r="Q32" s="510"/>
      <c r="R32" s="510"/>
      <c r="S32" s="510"/>
      <c r="T32" s="1851"/>
      <c r="U32" s="508" t="s">
        <v>1528</v>
      </c>
      <c r="V32" s="512" t="s">
        <v>1529</v>
      </c>
      <c r="W32" s="513" t="s">
        <v>1530</v>
      </c>
      <c r="X32" s="50">
        <v>60</v>
      </c>
      <c r="Y32" s="61">
        <v>20</v>
      </c>
      <c r="Z32" s="61">
        <v>15</v>
      </c>
      <c r="AA32" s="50">
        <v>15</v>
      </c>
      <c r="AB32" s="103">
        <f>+Y32/X32</f>
        <v>0.33333333333333331</v>
      </c>
      <c r="AC32" s="103">
        <f>+Z32/X32</f>
        <v>0.25</v>
      </c>
      <c r="AD32" s="103"/>
      <c r="AE32" s="61">
        <v>42</v>
      </c>
      <c r="AF32" s="61">
        <v>56</v>
      </c>
      <c r="AG32" s="50"/>
      <c r="AH32" s="50">
        <v>66</v>
      </c>
      <c r="AI32" s="535"/>
      <c r="AJ32" s="50">
        <f>+AH32</f>
        <v>66</v>
      </c>
      <c r="AK32" s="54">
        <v>1</v>
      </c>
      <c r="AL32" s="50">
        <v>56</v>
      </c>
      <c r="AM32" s="54">
        <f>+AL32/X32</f>
        <v>0.93333333333333335</v>
      </c>
      <c r="AN32" s="61">
        <v>15</v>
      </c>
      <c r="AO32" s="116">
        <v>15</v>
      </c>
      <c r="AP32" s="517"/>
      <c r="AQ32" s="116">
        <v>11</v>
      </c>
      <c r="AR32" s="517"/>
      <c r="AS32" s="116">
        <v>7</v>
      </c>
      <c r="AT32" s="510"/>
      <c r="AU32" s="50">
        <v>46</v>
      </c>
      <c r="AV32" s="517"/>
      <c r="AW32" s="138">
        <f>AO32+AQ32+AS32+AU32</f>
        <v>79</v>
      </c>
      <c r="AX32" s="54">
        <v>0.25</v>
      </c>
      <c r="AY32" s="61">
        <v>112</v>
      </c>
      <c r="AZ32" s="584">
        <v>1</v>
      </c>
      <c r="BA32" s="50">
        <v>15</v>
      </c>
      <c r="BB32" s="50">
        <v>9</v>
      </c>
      <c r="BC32" s="50"/>
      <c r="BD32" s="1418">
        <v>5</v>
      </c>
      <c r="BE32" s="50"/>
      <c r="BF32" s="50">
        <v>26</v>
      </c>
      <c r="BG32" s="50"/>
      <c r="BH32" s="50">
        <v>5</v>
      </c>
      <c r="BI32" s="50"/>
      <c r="BJ32" s="50">
        <f>BB32+BD32+BF32+BH32</f>
        <v>45</v>
      </c>
      <c r="BK32" s="57">
        <v>1</v>
      </c>
      <c r="BL32" s="50">
        <f>+BJ32+AY32</f>
        <v>157</v>
      </c>
      <c r="BM32" s="54">
        <v>1</v>
      </c>
      <c r="BN32" s="517"/>
      <c r="BO32" s="517"/>
      <c r="BP32" s="517"/>
      <c r="BQ32" s="517"/>
      <c r="BR32" s="517"/>
      <c r="BS32" s="517"/>
      <c r="BT32" s="517"/>
      <c r="BU32" s="517"/>
      <c r="BV32" s="517"/>
      <c r="BW32" s="517"/>
      <c r="BX32" s="517"/>
      <c r="BY32" s="517"/>
      <c r="BZ32" s="517"/>
      <c r="CA32" s="517"/>
      <c r="CB32" s="517"/>
      <c r="CC32" s="517"/>
      <c r="CD32" s="517"/>
      <c r="CE32" s="517"/>
      <c r="CF32" s="517"/>
      <c r="CG32" s="517"/>
      <c r="CH32" s="517"/>
      <c r="CI32" s="517"/>
      <c r="CJ32" s="517"/>
      <c r="CK32" s="517"/>
      <c r="CL32" s="517"/>
      <c r="CM32" s="517"/>
      <c r="CN32" s="517"/>
      <c r="CO32" s="517"/>
      <c r="CP32" s="517"/>
      <c r="CQ32" s="517"/>
      <c r="CR32" s="517"/>
      <c r="CS32" s="517"/>
      <c r="CT32" s="517"/>
      <c r="CU32" s="517"/>
      <c r="CV32" s="517"/>
      <c r="CW32" s="517"/>
      <c r="CX32" s="517"/>
    </row>
    <row r="33" spans="1:102" ht="12" customHeight="1" x14ac:dyDescent="0.2">
      <c r="A33" s="1856"/>
      <c r="B33" s="1858"/>
      <c r="C33" s="533"/>
      <c r="D33" s="508"/>
      <c r="E33" s="510"/>
      <c r="F33" s="510"/>
      <c r="G33" s="510"/>
      <c r="H33" s="510"/>
      <c r="I33" s="510"/>
      <c r="J33" s="510"/>
      <c r="K33" s="510"/>
      <c r="L33" s="510"/>
      <c r="M33" s="510"/>
      <c r="N33" s="510"/>
      <c r="O33" s="510"/>
      <c r="P33" s="510"/>
      <c r="Q33" s="510"/>
      <c r="R33" s="510"/>
      <c r="S33" s="510"/>
      <c r="T33" s="1852"/>
      <c r="U33" s="85"/>
      <c r="V33" s="85"/>
      <c r="W33" s="85"/>
      <c r="X33" s="72"/>
      <c r="Y33" s="72"/>
      <c r="Z33" s="72"/>
      <c r="AA33" s="72"/>
      <c r="AB33" s="97">
        <f>AVERAGE(AB31:AB32)</f>
        <v>0.33333333333333331</v>
      </c>
      <c r="AC33" s="97">
        <f>AVERAGE(AC31:AC32)</f>
        <v>0.25</v>
      </c>
      <c r="AD33" s="97"/>
      <c r="AE33" s="72"/>
      <c r="AF33" s="72"/>
      <c r="AG33" s="72"/>
      <c r="AH33" s="72"/>
      <c r="AI33" s="552"/>
      <c r="AJ33" s="72"/>
      <c r="AK33" s="86">
        <f>AVERAGE(AK31:AK32)</f>
        <v>1</v>
      </c>
      <c r="AL33" s="74"/>
      <c r="AM33" s="86">
        <f>AVERAGE(AM31:AM32)</f>
        <v>0.96666666666666667</v>
      </c>
      <c r="AN33" s="72"/>
      <c r="AO33" s="125"/>
      <c r="AP33" s="517"/>
      <c r="AQ33" s="50"/>
      <c r="AR33" s="517"/>
      <c r="AS33" s="510"/>
      <c r="AT33" s="510"/>
      <c r="AU33" s="528"/>
      <c r="AV33" s="517"/>
      <c r="AW33" s="125"/>
      <c r="AX33" s="86">
        <f>AVERAGE(AX31:AX32)</f>
        <v>0.625</v>
      </c>
      <c r="AY33" s="585"/>
      <c r="AZ33" s="530">
        <f>AVERAGE(AZ31:AZ32)</f>
        <v>1</v>
      </c>
      <c r="BA33" s="50"/>
      <c r="BB33" s="50"/>
      <c r="BC33" s="50"/>
      <c r="BD33" s="50"/>
      <c r="BE33" s="50"/>
      <c r="BF33" s="50"/>
      <c r="BG33" s="50"/>
      <c r="BH33" s="50"/>
      <c r="BI33" s="50"/>
      <c r="BJ33" s="50"/>
      <c r="BK33" s="530">
        <f>AVERAGE(BK31:BK32)</f>
        <v>1</v>
      </c>
      <c r="BL33" s="530"/>
      <c r="BM33" s="86">
        <f>AVERAGE(BM31:BM32)</f>
        <v>1</v>
      </c>
      <c r="BN33" s="517"/>
      <c r="BO33" s="517"/>
      <c r="BP33" s="517"/>
      <c r="BQ33" s="517"/>
      <c r="BR33" s="517"/>
      <c r="BS33" s="517"/>
      <c r="BT33" s="517"/>
      <c r="BU33" s="517"/>
      <c r="BV33" s="517"/>
      <c r="BW33" s="517"/>
      <c r="BX33" s="517"/>
      <c r="BY33" s="517"/>
      <c r="BZ33" s="517"/>
      <c r="CA33" s="517"/>
      <c r="CB33" s="517"/>
      <c r="CC33" s="517"/>
      <c r="CD33" s="517"/>
      <c r="CE33" s="517"/>
      <c r="CF33" s="517"/>
      <c r="CG33" s="517"/>
      <c r="CH33" s="517"/>
      <c r="CI33" s="517"/>
      <c r="CJ33" s="517"/>
      <c r="CK33" s="517"/>
      <c r="CL33" s="517"/>
      <c r="CM33" s="517"/>
      <c r="CN33" s="517"/>
      <c r="CO33" s="517"/>
      <c r="CP33" s="517"/>
      <c r="CQ33" s="517"/>
      <c r="CR33" s="517"/>
      <c r="CS33" s="517"/>
      <c r="CT33" s="517"/>
      <c r="CU33" s="517"/>
      <c r="CV33" s="517"/>
      <c r="CW33" s="517"/>
      <c r="CX33" s="517"/>
    </row>
    <row r="34" spans="1:102" ht="42.75" customHeight="1" x14ac:dyDescent="0.2">
      <c r="A34" s="1856"/>
      <c r="B34" s="1858"/>
      <c r="C34" s="533" t="s">
        <v>1531</v>
      </c>
      <c r="D34" s="586">
        <v>3184</v>
      </c>
      <c r="E34" s="510"/>
      <c r="F34" s="510"/>
      <c r="G34" s="510"/>
      <c r="H34" s="510"/>
      <c r="I34" s="510"/>
      <c r="J34" s="510"/>
      <c r="K34" s="510"/>
      <c r="L34" s="510"/>
      <c r="M34" s="510"/>
      <c r="N34" s="510"/>
      <c r="O34" s="510"/>
      <c r="P34" s="510"/>
      <c r="Q34" s="510"/>
      <c r="R34" s="510"/>
      <c r="S34" s="510"/>
      <c r="T34" s="1850" t="s">
        <v>1532</v>
      </c>
      <c r="U34" s="508" t="s">
        <v>1533</v>
      </c>
      <c r="V34" s="512">
        <v>0</v>
      </c>
      <c r="W34" s="513" t="s">
        <v>1534</v>
      </c>
      <c r="X34" s="50">
        <v>1</v>
      </c>
      <c r="Y34" s="50" t="s">
        <v>177</v>
      </c>
      <c r="Z34" s="50">
        <v>1</v>
      </c>
      <c r="AA34" s="50">
        <v>1</v>
      </c>
      <c r="AB34" s="50"/>
      <c r="AC34" s="54">
        <f>+Z34/X34</f>
        <v>1</v>
      </c>
      <c r="AD34" s="54">
        <v>1</v>
      </c>
      <c r="AE34" s="50"/>
      <c r="AF34" s="50"/>
      <c r="AG34" s="50"/>
      <c r="AH34" s="50"/>
      <c r="AI34" s="535"/>
      <c r="AJ34" s="50"/>
      <c r="AK34" s="50"/>
      <c r="AL34" s="117"/>
      <c r="AM34" s="50"/>
      <c r="AN34" s="50">
        <v>1</v>
      </c>
      <c r="AO34" s="117">
        <v>0</v>
      </c>
      <c r="AP34" s="587"/>
      <c r="AQ34" s="117">
        <v>0</v>
      </c>
      <c r="AR34" s="588"/>
      <c r="AS34" s="589">
        <v>0</v>
      </c>
      <c r="AT34" s="590"/>
      <c r="AU34" s="589">
        <v>0</v>
      </c>
      <c r="AV34" s="117"/>
      <c r="AW34" s="50">
        <f>AO34</f>
        <v>0</v>
      </c>
      <c r="AX34" s="54">
        <f>AW34/AN34</f>
        <v>0</v>
      </c>
      <c r="AY34" s="50">
        <f>AW34+AL34</f>
        <v>0</v>
      </c>
      <c r="AZ34" s="535">
        <f>AY34/X34</f>
        <v>0</v>
      </c>
      <c r="BA34" s="117">
        <v>1</v>
      </c>
      <c r="BB34" s="117">
        <v>0</v>
      </c>
      <c r="BC34" s="117"/>
      <c r="BD34" s="117">
        <v>0</v>
      </c>
      <c r="BE34" s="117"/>
      <c r="BF34" s="117">
        <v>0</v>
      </c>
      <c r="BG34" s="117"/>
      <c r="BH34" s="50">
        <v>0</v>
      </c>
      <c r="BI34" s="50"/>
      <c r="BJ34" s="50">
        <v>0</v>
      </c>
      <c r="BK34" s="54">
        <v>0</v>
      </c>
      <c r="BL34" s="50">
        <f>BJ34+AY34</f>
        <v>0</v>
      </c>
      <c r="BM34" s="54">
        <v>0</v>
      </c>
      <c r="BN34" s="517"/>
      <c r="BO34" s="517"/>
      <c r="BP34" s="517"/>
      <c r="BQ34" s="517"/>
      <c r="BR34" s="517"/>
      <c r="BS34" s="517"/>
      <c r="BT34" s="517"/>
      <c r="BU34" s="517"/>
      <c r="BV34" s="517"/>
      <c r="BW34" s="517"/>
      <c r="BX34" s="517"/>
      <c r="BY34" s="517"/>
      <c r="BZ34" s="517"/>
      <c r="CA34" s="517"/>
      <c r="CB34" s="517"/>
      <c r="CC34" s="517"/>
      <c r="CD34" s="517"/>
      <c r="CE34" s="517"/>
      <c r="CF34" s="517"/>
      <c r="CG34" s="517"/>
      <c r="CH34" s="517"/>
      <c r="CI34" s="517"/>
      <c r="CJ34" s="517"/>
      <c r="CK34" s="517"/>
      <c r="CL34" s="517"/>
      <c r="CM34" s="517"/>
      <c r="CN34" s="517"/>
      <c r="CO34" s="517"/>
      <c r="CP34" s="517"/>
      <c r="CQ34" s="517"/>
      <c r="CR34" s="517"/>
      <c r="CS34" s="517"/>
      <c r="CT34" s="517"/>
      <c r="CU34" s="517"/>
      <c r="CV34" s="517"/>
      <c r="CW34" s="517"/>
      <c r="CX34" s="517"/>
    </row>
    <row r="35" spans="1:102" ht="45" customHeight="1" x14ac:dyDescent="0.2">
      <c r="A35" s="1856"/>
      <c r="B35" s="1858"/>
      <c r="C35" s="591" t="s">
        <v>1535</v>
      </c>
      <c r="D35" s="508">
        <v>201</v>
      </c>
      <c r="E35" s="510"/>
      <c r="F35" s="510"/>
      <c r="G35" s="510"/>
      <c r="H35" s="510"/>
      <c r="I35" s="510"/>
      <c r="J35" s="510"/>
      <c r="K35" s="510"/>
      <c r="L35" s="510"/>
      <c r="M35" s="510"/>
      <c r="N35" s="510"/>
      <c r="O35" s="510"/>
      <c r="P35" s="510"/>
      <c r="Q35" s="510"/>
      <c r="R35" s="510"/>
      <c r="S35" s="510"/>
      <c r="T35" s="1851"/>
      <c r="U35" s="508" t="s">
        <v>1536</v>
      </c>
      <c r="V35" s="512" t="s">
        <v>1537</v>
      </c>
      <c r="W35" s="513" t="s">
        <v>1538</v>
      </c>
      <c r="X35" s="50">
        <v>8</v>
      </c>
      <c r="Y35" s="50" t="s">
        <v>177</v>
      </c>
      <c r="Z35" s="50">
        <v>2</v>
      </c>
      <c r="AA35" s="50">
        <v>2</v>
      </c>
      <c r="AB35" s="50"/>
      <c r="AC35" s="54">
        <f>+Z35/X35</f>
        <v>0.25</v>
      </c>
      <c r="AD35" s="54"/>
      <c r="AE35" s="50"/>
      <c r="AF35" s="50"/>
      <c r="AG35" s="50"/>
      <c r="AH35" s="50"/>
      <c r="AI35" s="535"/>
      <c r="AJ35" s="50"/>
      <c r="AK35" s="50"/>
      <c r="AL35" s="50"/>
      <c r="AM35" s="50"/>
      <c r="AN35" s="50">
        <v>2</v>
      </c>
      <c r="AO35" s="117">
        <v>1</v>
      </c>
      <c r="AP35" s="517"/>
      <c r="AQ35" s="50">
        <v>5</v>
      </c>
      <c r="AR35" s="517"/>
      <c r="AS35" s="50">
        <v>7</v>
      </c>
      <c r="AT35" s="517"/>
      <c r="AU35" s="50">
        <v>7</v>
      </c>
      <c r="AV35" s="517"/>
      <c r="AW35" s="50">
        <f>AO35+AQ35+AS35</f>
        <v>13</v>
      </c>
      <c r="AX35" s="54">
        <v>1</v>
      </c>
      <c r="AY35" s="50">
        <f>AW35+AL35</f>
        <v>13</v>
      </c>
      <c r="AZ35" s="537">
        <v>1</v>
      </c>
      <c r="BA35" s="50">
        <v>2</v>
      </c>
      <c r="BB35" s="50">
        <v>3</v>
      </c>
      <c r="BC35" s="50"/>
      <c r="BD35" s="50">
        <v>4</v>
      </c>
      <c r="BE35" s="50"/>
      <c r="BF35" s="50">
        <v>0</v>
      </c>
      <c r="BG35" s="50"/>
      <c r="BH35" s="50">
        <v>0</v>
      </c>
      <c r="BI35" s="50"/>
      <c r="BJ35" s="50">
        <f>3+BD35</f>
        <v>7</v>
      </c>
      <c r="BK35" s="54">
        <v>1</v>
      </c>
      <c r="BL35" s="50">
        <f>BJ35+AY35</f>
        <v>20</v>
      </c>
      <c r="BM35" s="54">
        <v>1</v>
      </c>
      <c r="BN35" s="517"/>
      <c r="BO35" s="517"/>
      <c r="BP35" s="517"/>
      <c r="BQ35" s="517"/>
      <c r="BR35" s="517"/>
      <c r="BS35" s="517"/>
      <c r="BT35" s="517"/>
      <c r="BU35" s="517"/>
      <c r="BV35" s="517"/>
      <c r="BW35" s="517"/>
      <c r="BX35" s="517"/>
      <c r="BY35" s="517"/>
      <c r="BZ35" s="517"/>
      <c r="CA35" s="517"/>
      <c r="CB35" s="517"/>
      <c r="CC35" s="517"/>
      <c r="CD35" s="517"/>
      <c r="CE35" s="517"/>
      <c r="CF35" s="517"/>
      <c r="CG35" s="517"/>
      <c r="CH35" s="517"/>
      <c r="CI35" s="517"/>
      <c r="CJ35" s="517"/>
      <c r="CK35" s="517"/>
      <c r="CL35" s="517"/>
      <c r="CM35" s="517"/>
      <c r="CN35" s="517"/>
      <c r="CO35" s="517"/>
      <c r="CP35" s="517"/>
      <c r="CQ35" s="517"/>
      <c r="CR35" s="517"/>
      <c r="CS35" s="517"/>
      <c r="CT35" s="517"/>
      <c r="CU35" s="517"/>
      <c r="CV35" s="517"/>
      <c r="CW35" s="517"/>
      <c r="CX35" s="517"/>
    </row>
    <row r="36" spans="1:102" ht="54" customHeight="1" x14ac:dyDescent="0.2">
      <c r="A36" s="1856"/>
      <c r="B36" s="1858"/>
      <c r="C36" s="533" t="s">
        <v>1539</v>
      </c>
      <c r="D36" s="586">
        <v>1402</v>
      </c>
      <c r="E36" s="510"/>
      <c r="F36" s="510"/>
      <c r="G36" s="510"/>
      <c r="H36" s="510"/>
      <c r="I36" s="510"/>
      <c r="J36" s="510"/>
      <c r="K36" s="510"/>
      <c r="L36" s="510"/>
      <c r="M36" s="510"/>
      <c r="N36" s="510"/>
      <c r="O36" s="510"/>
      <c r="P36" s="510"/>
      <c r="Q36" s="510"/>
      <c r="R36" s="510"/>
      <c r="S36" s="510"/>
      <c r="T36" s="1851"/>
      <c r="U36" s="508" t="s">
        <v>1540</v>
      </c>
      <c r="V36" s="512" t="s">
        <v>1541</v>
      </c>
      <c r="W36" s="513" t="s">
        <v>1542</v>
      </c>
      <c r="X36" s="50">
        <v>17</v>
      </c>
      <c r="Y36" s="50" t="s">
        <v>177</v>
      </c>
      <c r="Z36" s="50">
        <v>5</v>
      </c>
      <c r="AA36" s="50">
        <v>6</v>
      </c>
      <c r="AB36" s="50"/>
      <c r="AC36" s="54">
        <f>+Z36/X36</f>
        <v>0.29411764705882354</v>
      </c>
      <c r="AD36" s="54">
        <f>AA36/X36</f>
        <v>0.35294117647058826</v>
      </c>
      <c r="AE36" s="50"/>
      <c r="AF36" s="50"/>
      <c r="AG36" s="50"/>
      <c r="AH36" s="50"/>
      <c r="AI36" s="535"/>
      <c r="AJ36" s="50"/>
      <c r="AK36" s="50"/>
      <c r="AL36" s="50"/>
      <c r="AM36" s="50"/>
      <c r="AN36" s="50">
        <v>5</v>
      </c>
      <c r="AO36" s="117">
        <v>33</v>
      </c>
      <c r="AP36" s="517"/>
      <c r="AQ36" s="50">
        <v>33</v>
      </c>
      <c r="AR36" s="517"/>
      <c r="AS36" s="50">
        <v>33</v>
      </c>
      <c r="AT36" s="517"/>
      <c r="AU36" s="50">
        <v>33</v>
      </c>
      <c r="AV36" s="517"/>
      <c r="AW36" s="50">
        <f>AO36</f>
        <v>33</v>
      </c>
      <c r="AX36" s="124">
        <v>1</v>
      </c>
      <c r="AY36" s="50">
        <f>AW36+AL36</f>
        <v>33</v>
      </c>
      <c r="AZ36" s="584">
        <v>0.5</v>
      </c>
      <c r="BA36" s="50">
        <v>5</v>
      </c>
      <c r="BB36" s="50">
        <v>13</v>
      </c>
      <c r="BC36" s="50"/>
      <c r="BD36" s="50">
        <v>33</v>
      </c>
      <c r="BE36" s="50"/>
      <c r="BF36" s="50">
        <v>33</v>
      </c>
      <c r="BG36" s="50" t="s">
        <v>2200</v>
      </c>
      <c r="BH36" s="50">
        <v>33</v>
      </c>
      <c r="BI36" s="1202" t="s">
        <v>2302</v>
      </c>
      <c r="BJ36" s="50">
        <f>+BF36</f>
        <v>33</v>
      </c>
      <c r="BK36" s="1159">
        <v>0.5</v>
      </c>
      <c r="BL36" s="50">
        <v>33</v>
      </c>
      <c r="BM36" s="1159">
        <v>0.5</v>
      </c>
      <c r="BN36" s="517"/>
      <c r="BO36" s="517"/>
      <c r="BP36" s="517"/>
      <c r="BQ36" s="517"/>
      <c r="BR36" s="517"/>
      <c r="BS36" s="517"/>
      <c r="BT36" s="517"/>
      <c r="BU36" s="517"/>
      <c r="BV36" s="517"/>
      <c r="BW36" s="517"/>
      <c r="BX36" s="517"/>
      <c r="BY36" s="517"/>
      <c r="BZ36" s="517"/>
      <c r="CA36" s="517"/>
      <c r="CB36" s="517"/>
      <c r="CC36" s="517"/>
      <c r="CD36" s="517"/>
      <c r="CE36" s="517"/>
      <c r="CF36" s="517"/>
      <c r="CG36" s="517"/>
      <c r="CH36" s="517"/>
      <c r="CI36" s="517"/>
      <c r="CJ36" s="517"/>
      <c r="CK36" s="517"/>
      <c r="CL36" s="517"/>
      <c r="CM36" s="517"/>
      <c r="CN36" s="517"/>
      <c r="CO36" s="517"/>
      <c r="CP36" s="517"/>
      <c r="CQ36" s="517"/>
      <c r="CR36" s="517"/>
      <c r="CS36" s="517"/>
      <c r="CT36" s="517"/>
      <c r="CU36" s="517"/>
      <c r="CV36" s="517"/>
      <c r="CW36" s="517"/>
      <c r="CX36" s="517"/>
    </row>
    <row r="37" spans="1:102" ht="12" customHeight="1" x14ac:dyDescent="0.2">
      <c r="A37" s="1856"/>
      <c r="B37" s="1858"/>
      <c r="C37" s="533"/>
      <c r="D37" s="586"/>
      <c r="E37" s="510"/>
      <c r="F37" s="510"/>
      <c r="G37" s="510"/>
      <c r="H37" s="510"/>
      <c r="I37" s="510"/>
      <c r="J37" s="510"/>
      <c r="K37" s="510"/>
      <c r="L37" s="510"/>
      <c r="M37" s="510"/>
      <c r="N37" s="510"/>
      <c r="O37" s="510"/>
      <c r="P37" s="510"/>
      <c r="Q37" s="510"/>
      <c r="R37" s="510"/>
      <c r="S37" s="510"/>
      <c r="T37" s="1852"/>
      <c r="U37" s="85"/>
      <c r="V37" s="85"/>
      <c r="W37" s="155"/>
      <c r="X37" s="72"/>
      <c r="Y37" s="72"/>
      <c r="Z37" s="72"/>
      <c r="AA37" s="72"/>
      <c r="AB37" s="72"/>
      <c r="AC37" s="73">
        <f>+(AC34+AC35+AC36)/3</f>
        <v>0.51470588235294124</v>
      </c>
      <c r="AD37" s="73">
        <f>AVERAGE(AD34:AD36)</f>
        <v>0.67647058823529416</v>
      </c>
      <c r="AE37" s="72"/>
      <c r="AF37" s="72"/>
      <c r="AG37" s="72"/>
      <c r="AH37" s="72"/>
      <c r="AI37" s="552"/>
      <c r="AJ37" s="72"/>
      <c r="AK37" s="72"/>
      <c r="AL37" s="72"/>
      <c r="AM37" s="72"/>
      <c r="AN37" s="72"/>
      <c r="AO37" s="125"/>
      <c r="AP37" s="517"/>
      <c r="AQ37" s="50"/>
      <c r="AR37" s="517"/>
      <c r="AS37" s="510"/>
      <c r="AT37" s="517"/>
      <c r="AU37" s="592"/>
      <c r="AV37" s="517"/>
      <c r="AW37" s="125"/>
      <c r="AX37" s="86">
        <f>AVERAGE(AX34:AX36)</f>
        <v>0.66666666666666663</v>
      </c>
      <c r="AY37" s="585"/>
      <c r="AZ37" s="593">
        <f>AVERAGE(AZ34:AZ36)</f>
        <v>0.5</v>
      </c>
      <c r="BA37" s="74"/>
      <c r="BB37" s="74"/>
      <c r="BC37" s="74"/>
      <c r="BD37" s="74"/>
      <c r="BE37" s="74"/>
      <c r="BF37" s="74"/>
      <c r="BG37" s="74"/>
      <c r="BH37" s="74"/>
      <c r="BI37" s="74"/>
      <c r="BJ37" s="107"/>
      <c r="BK37" s="107">
        <f>AVERAGE(BK34:BK36)</f>
        <v>0.5</v>
      </c>
      <c r="BL37" s="107"/>
      <c r="BM37" s="107">
        <f>AVERAGE(BM34:BM36)</f>
        <v>0.5</v>
      </c>
      <c r="BN37" s="517"/>
      <c r="BO37" s="517"/>
      <c r="BP37" s="517"/>
      <c r="BQ37" s="517"/>
      <c r="BR37" s="517"/>
      <c r="BS37" s="517"/>
      <c r="BT37" s="517"/>
      <c r="BU37" s="517"/>
      <c r="BV37" s="517"/>
      <c r="BW37" s="517"/>
      <c r="BX37" s="517"/>
      <c r="BY37" s="517"/>
      <c r="BZ37" s="517"/>
      <c r="CA37" s="517"/>
      <c r="CB37" s="517"/>
      <c r="CC37" s="517"/>
      <c r="CD37" s="517"/>
      <c r="CE37" s="517"/>
      <c r="CF37" s="517"/>
      <c r="CG37" s="517"/>
      <c r="CH37" s="517"/>
      <c r="CI37" s="517"/>
      <c r="CJ37" s="517"/>
      <c r="CK37" s="517"/>
      <c r="CL37" s="517"/>
      <c r="CM37" s="517"/>
      <c r="CN37" s="517"/>
      <c r="CO37" s="517"/>
      <c r="CP37" s="517"/>
      <c r="CQ37" s="517"/>
      <c r="CR37" s="517"/>
      <c r="CS37" s="517"/>
      <c r="CT37" s="517"/>
      <c r="CU37" s="517"/>
      <c r="CV37" s="517"/>
      <c r="CW37" s="517"/>
      <c r="CX37" s="517"/>
    </row>
    <row r="38" spans="1:102" ht="51.75" customHeight="1" x14ac:dyDescent="0.2">
      <c r="A38" s="1856"/>
      <c r="B38" s="1858"/>
      <c r="C38" s="533" t="s">
        <v>1543</v>
      </c>
      <c r="D38" s="533" t="s">
        <v>343</v>
      </c>
      <c r="E38" s="510"/>
      <c r="F38" s="510"/>
      <c r="G38" s="510"/>
      <c r="H38" s="510"/>
      <c r="I38" s="510"/>
      <c r="J38" s="510"/>
      <c r="K38" s="510"/>
      <c r="L38" s="510"/>
      <c r="M38" s="510"/>
      <c r="N38" s="510"/>
      <c r="O38" s="510"/>
      <c r="P38" s="510"/>
      <c r="Q38" s="510"/>
      <c r="R38" s="510"/>
      <c r="S38" s="510"/>
      <c r="T38" s="1850" t="s">
        <v>1544</v>
      </c>
      <c r="U38" s="508" t="s">
        <v>1545</v>
      </c>
      <c r="V38" s="512" t="s">
        <v>1546</v>
      </c>
      <c r="W38" s="513" t="s">
        <v>1547</v>
      </c>
      <c r="X38" s="50">
        <v>260</v>
      </c>
      <c r="Y38" s="50">
        <v>22</v>
      </c>
      <c r="Z38" s="50">
        <v>80</v>
      </c>
      <c r="AA38" s="50">
        <v>79</v>
      </c>
      <c r="AB38" s="54">
        <f>+Y38/X38</f>
        <v>8.461538461538462E-2</v>
      </c>
      <c r="AC38" s="54">
        <f>+Z38/X38</f>
        <v>0.30769230769230771</v>
      </c>
      <c r="AD38" s="54">
        <f>AA38/X38</f>
        <v>0.30384615384615382</v>
      </c>
      <c r="AE38" s="50">
        <v>22</v>
      </c>
      <c r="AF38" s="50">
        <v>22</v>
      </c>
      <c r="AG38" s="50"/>
      <c r="AH38" s="50">
        <v>22</v>
      </c>
      <c r="AI38" s="535"/>
      <c r="AJ38" s="50">
        <f>+AH38</f>
        <v>22</v>
      </c>
      <c r="AK38" s="54">
        <v>1</v>
      </c>
      <c r="AL38" s="50">
        <f>+AJ38</f>
        <v>22</v>
      </c>
      <c r="AM38" s="54">
        <f>+AL38/X38</f>
        <v>8.461538461538462E-2</v>
      </c>
      <c r="AN38" s="50">
        <v>80</v>
      </c>
      <c r="AO38" s="117">
        <v>2</v>
      </c>
      <c r="AP38" s="517"/>
      <c r="AQ38" s="50">
        <v>28</v>
      </c>
      <c r="AR38" s="517"/>
      <c r="AS38" s="50">
        <v>19</v>
      </c>
      <c r="AT38" s="517"/>
      <c r="AU38" s="50">
        <v>66</v>
      </c>
      <c r="AV38" s="517"/>
      <c r="AW38" s="50">
        <f>+AU38</f>
        <v>66</v>
      </c>
      <c r="AX38" s="54">
        <f>AW38/AN38</f>
        <v>0.82499999999999996</v>
      </c>
      <c r="AY38" s="50">
        <f>AW38+AL38</f>
        <v>88</v>
      </c>
      <c r="AZ38" s="537">
        <f>AY38/X38</f>
        <v>0.33846153846153848</v>
      </c>
      <c r="BA38" s="50">
        <f>AA38</f>
        <v>79</v>
      </c>
      <c r="BB38" s="50">
        <v>23</v>
      </c>
      <c r="BC38" s="50"/>
      <c r="BD38" s="50">
        <v>59</v>
      </c>
      <c r="BE38" s="50"/>
      <c r="BF38" s="50">
        <v>32</v>
      </c>
      <c r="BG38" s="50"/>
      <c r="BH38" s="50">
        <v>29</v>
      </c>
      <c r="BI38" s="50"/>
      <c r="BJ38" s="50">
        <f>BB38+BD38+BF38+BH38</f>
        <v>143</v>
      </c>
      <c r="BK38" s="57">
        <v>1</v>
      </c>
      <c r="BL38" s="50">
        <f>BJ38+AY38</f>
        <v>231</v>
      </c>
      <c r="BM38" s="57">
        <f>BL38/X38</f>
        <v>0.88846153846153841</v>
      </c>
      <c r="BN38" s="517"/>
      <c r="BO38" s="517"/>
      <c r="BP38" s="517"/>
      <c r="BQ38" s="517"/>
      <c r="BR38" s="517"/>
      <c r="BS38" s="517"/>
      <c r="BT38" s="517"/>
      <c r="BU38" s="517"/>
      <c r="BV38" s="517"/>
      <c r="BW38" s="517"/>
      <c r="BX38" s="517"/>
      <c r="BY38" s="517"/>
      <c r="BZ38" s="517"/>
      <c r="CA38" s="517"/>
      <c r="CB38" s="517"/>
      <c r="CC38" s="517"/>
      <c r="CD38" s="517"/>
      <c r="CE38" s="517"/>
      <c r="CF38" s="517"/>
      <c r="CG38" s="517"/>
      <c r="CH38" s="517"/>
      <c r="CI38" s="517"/>
      <c r="CJ38" s="517"/>
      <c r="CK38" s="517"/>
      <c r="CL38" s="517"/>
      <c r="CM38" s="517"/>
      <c r="CN38" s="517"/>
      <c r="CO38" s="517"/>
      <c r="CP38" s="517"/>
      <c r="CQ38" s="517"/>
      <c r="CR38" s="517"/>
      <c r="CS38" s="517"/>
      <c r="CT38" s="517"/>
      <c r="CU38" s="517"/>
      <c r="CV38" s="517"/>
      <c r="CW38" s="517"/>
      <c r="CX38" s="517"/>
    </row>
    <row r="39" spans="1:102" ht="25.5" customHeight="1" x14ac:dyDescent="0.2">
      <c r="A39" s="1856"/>
      <c r="B39" s="1858"/>
      <c r="C39" s="533"/>
      <c r="D39" s="533"/>
      <c r="E39" s="510"/>
      <c r="F39" s="510"/>
      <c r="G39" s="510"/>
      <c r="H39" s="510"/>
      <c r="I39" s="510"/>
      <c r="J39" s="510"/>
      <c r="K39" s="510"/>
      <c r="L39" s="510"/>
      <c r="M39" s="510"/>
      <c r="N39" s="510"/>
      <c r="O39" s="510"/>
      <c r="P39" s="510"/>
      <c r="Q39" s="510"/>
      <c r="R39" s="510"/>
      <c r="S39" s="510"/>
      <c r="T39" s="1852"/>
      <c r="U39" s="85"/>
      <c r="V39" s="85"/>
      <c r="W39" s="85"/>
      <c r="X39" s="72"/>
      <c r="Y39" s="72"/>
      <c r="Z39" s="72"/>
      <c r="AA39" s="72"/>
      <c r="AB39" s="86">
        <f>+AB38</f>
        <v>8.461538461538462E-2</v>
      </c>
      <c r="AC39" s="86">
        <f>+AC38</f>
        <v>0.30769230769230771</v>
      </c>
      <c r="AD39" s="86">
        <f>AVERAGE(AD38)</f>
        <v>0.30384615384615382</v>
      </c>
      <c r="AE39" s="72"/>
      <c r="AF39" s="72"/>
      <c r="AG39" s="72"/>
      <c r="AH39" s="72"/>
      <c r="AI39" s="552"/>
      <c r="AJ39" s="72"/>
      <c r="AK39" s="86">
        <f>+AK38</f>
        <v>1</v>
      </c>
      <c r="AL39" s="74"/>
      <c r="AM39" s="86">
        <f>+AM38</f>
        <v>8.461538461538462E-2</v>
      </c>
      <c r="AN39" s="72"/>
      <c r="AO39" s="125"/>
      <c r="AP39" s="517"/>
      <c r="AQ39" s="50"/>
      <c r="AR39" s="517"/>
      <c r="AS39" s="510"/>
      <c r="AT39" s="517"/>
      <c r="AU39" s="528"/>
      <c r="AV39" s="517"/>
      <c r="AW39" s="125"/>
      <c r="AX39" s="86">
        <f>+AX38</f>
        <v>0.82499999999999996</v>
      </c>
      <c r="AY39" s="585"/>
      <c r="AZ39" s="530">
        <f>+AZ38</f>
        <v>0.33846153846153848</v>
      </c>
      <c r="BA39" s="1013"/>
      <c r="BB39" s="1013"/>
      <c r="BC39" s="1013"/>
      <c r="BD39" s="1013"/>
      <c r="BE39" s="1013"/>
      <c r="BF39" s="1013"/>
      <c r="BG39" s="1013"/>
      <c r="BH39" s="1013"/>
      <c r="BI39" s="1013"/>
      <c r="BJ39" s="1013"/>
      <c r="BK39" s="568">
        <f>BK38</f>
        <v>1</v>
      </c>
      <c r="BL39" s="531"/>
      <c r="BM39" s="568">
        <f>BM38</f>
        <v>0.88846153846153841</v>
      </c>
      <c r="BN39" s="517"/>
      <c r="BO39" s="517"/>
      <c r="BP39" s="517"/>
      <c r="BQ39" s="517"/>
      <c r="BR39" s="517"/>
      <c r="BS39" s="517"/>
      <c r="BT39" s="517"/>
      <c r="BU39" s="517"/>
      <c r="BV39" s="517"/>
      <c r="BW39" s="517"/>
      <c r="BX39" s="517"/>
      <c r="BY39" s="517"/>
      <c r="BZ39" s="517"/>
      <c r="CA39" s="517"/>
      <c r="CB39" s="517"/>
      <c r="CC39" s="517"/>
      <c r="CD39" s="517"/>
      <c r="CE39" s="517"/>
      <c r="CF39" s="517"/>
      <c r="CG39" s="517"/>
      <c r="CH39" s="517"/>
      <c r="CI39" s="517"/>
      <c r="CJ39" s="517"/>
      <c r="CK39" s="517"/>
      <c r="CL39" s="517"/>
      <c r="CM39" s="517"/>
      <c r="CN39" s="517"/>
      <c r="CO39" s="517"/>
      <c r="CP39" s="517"/>
      <c r="CQ39" s="517"/>
      <c r="CR39" s="517"/>
      <c r="CS39" s="517"/>
      <c r="CT39" s="517"/>
      <c r="CU39" s="517"/>
      <c r="CV39" s="517"/>
      <c r="CW39" s="517"/>
      <c r="CX39" s="517"/>
    </row>
    <row r="40" spans="1:102" ht="42" customHeight="1" x14ac:dyDescent="0.2">
      <c r="A40" s="1856"/>
      <c r="B40" s="1858"/>
      <c r="C40" s="533" t="s">
        <v>1548</v>
      </c>
      <c r="D40" s="508">
        <v>418</v>
      </c>
      <c r="E40" s="510"/>
      <c r="F40" s="510"/>
      <c r="G40" s="510"/>
      <c r="H40" s="510"/>
      <c r="I40" s="510"/>
      <c r="J40" s="510"/>
      <c r="K40" s="510"/>
      <c r="L40" s="510"/>
      <c r="M40" s="510"/>
      <c r="N40" s="510"/>
      <c r="O40" s="510"/>
      <c r="P40" s="510"/>
      <c r="Q40" s="510"/>
      <c r="R40" s="510"/>
      <c r="S40" s="510"/>
      <c r="T40" s="1850" t="s">
        <v>1549</v>
      </c>
      <c r="U40" s="508" t="s">
        <v>1550</v>
      </c>
      <c r="V40" s="548" t="s">
        <v>1551</v>
      </c>
      <c r="W40" s="594" t="s">
        <v>1552</v>
      </c>
      <c r="X40" s="50">
        <v>3</v>
      </c>
      <c r="Y40" s="50">
        <v>3</v>
      </c>
      <c r="Z40" s="50">
        <v>3</v>
      </c>
      <c r="AA40" s="50">
        <v>3</v>
      </c>
      <c r="AB40" s="54">
        <v>0.25</v>
      </c>
      <c r="AC40" s="54">
        <f>+Z40/X40</f>
        <v>1</v>
      </c>
      <c r="AD40" s="54"/>
      <c r="AE40" s="50">
        <v>0</v>
      </c>
      <c r="AF40" s="50">
        <v>3</v>
      </c>
      <c r="AG40" s="50"/>
      <c r="AH40" s="50">
        <v>3</v>
      </c>
      <c r="AI40" s="535"/>
      <c r="AJ40" s="50">
        <f>+AH40</f>
        <v>3</v>
      </c>
      <c r="AK40" s="54">
        <v>1</v>
      </c>
      <c r="AL40" s="50">
        <v>3</v>
      </c>
      <c r="AM40" s="54">
        <v>1</v>
      </c>
      <c r="AN40" s="50">
        <v>3</v>
      </c>
      <c r="AO40" s="117">
        <v>3</v>
      </c>
      <c r="AP40" s="517"/>
      <c r="AQ40" s="50">
        <v>3</v>
      </c>
      <c r="AR40" s="517"/>
      <c r="AS40" s="50">
        <v>3</v>
      </c>
      <c r="AT40" s="517"/>
      <c r="AU40" s="50">
        <v>3</v>
      </c>
      <c r="AV40" s="517"/>
      <c r="AW40" s="50">
        <f>AO40</f>
        <v>3</v>
      </c>
      <c r="AX40" s="54">
        <f>AW40/AN40</f>
        <v>1</v>
      </c>
      <c r="AY40" s="50">
        <f>AW40+AL40</f>
        <v>6</v>
      </c>
      <c r="AZ40" s="595">
        <v>0.5</v>
      </c>
      <c r="BA40" s="50">
        <f>AA40</f>
        <v>3</v>
      </c>
      <c r="BB40" s="50">
        <v>3</v>
      </c>
      <c r="BC40" s="50"/>
      <c r="BD40" s="50">
        <v>3</v>
      </c>
      <c r="BE40" s="50"/>
      <c r="BF40" s="50">
        <v>3</v>
      </c>
      <c r="BG40" s="61" t="s">
        <v>2224</v>
      </c>
      <c r="BH40" s="50">
        <v>3</v>
      </c>
      <c r="BI40" s="50"/>
      <c r="BJ40" s="50">
        <f>BB40</f>
        <v>3</v>
      </c>
      <c r="BK40" s="54">
        <v>1</v>
      </c>
      <c r="BL40" s="50">
        <f>BJ40+AY40</f>
        <v>9</v>
      </c>
      <c r="BM40" s="57">
        <v>1</v>
      </c>
      <c r="BN40" s="517"/>
      <c r="BO40" s="517"/>
      <c r="BP40" s="517"/>
      <c r="BQ40" s="517"/>
      <c r="BR40" s="517"/>
      <c r="BS40" s="517"/>
      <c r="BT40" s="517"/>
      <c r="BU40" s="517"/>
      <c r="BV40" s="517"/>
      <c r="BW40" s="517"/>
      <c r="BX40" s="517"/>
      <c r="BY40" s="517"/>
      <c r="BZ40" s="517"/>
      <c r="CA40" s="517"/>
      <c r="CB40" s="517"/>
      <c r="CC40" s="517"/>
      <c r="CD40" s="517"/>
      <c r="CE40" s="517"/>
      <c r="CF40" s="517"/>
      <c r="CG40" s="517"/>
      <c r="CH40" s="517"/>
      <c r="CI40" s="517"/>
      <c r="CJ40" s="517"/>
      <c r="CK40" s="517"/>
      <c r="CL40" s="517"/>
      <c r="CM40" s="517"/>
      <c r="CN40" s="517"/>
      <c r="CO40" s="517"/>
      <c r="CP40" s="517"/>
      <c r="CQ40" s="517"/>
      <c r="CR40" s="517"/>
      <c r="CS40" s="517"/>
      <c r="CT40" s="517"/>
      <c r="CU40" s="517"/>
      <c r="CV40" s="517"/>
      <c r="CW40" s="517"/>
      <c r="CX40" s="517"/>
    </row>
    <row r="41" spans="1:102" ht="57.75" customHeight="1" x14ac:dyDescent="0.2">
      <c r="A41" s="1856"/>
      <c r="B41" s="1858"/>
      <c r="C41" s="533" t="s">
        <v>1553</v>
      </c>
      <c r="D41" s="586">
        <v>1593</v>
      </c>
      <c r="E41" s="510"/>
      <c r="F41" s="510"/>
      <c r="G41" s="510"/>
      <c r="H41" s="510"/>
      <c r="I41" s="510"/>
      <c r="J41" s="510"/>
      <c r="K41" s="510"/>
      <c r="L41" s="510"/>
      <c r="M41" s="510"/>
      <c r="N41" s="510"/>
      <c r="O41" s="510"/>
      <c r="P41" s="510"/>
      <c r="Q41" s="510"/>
      <c r="R41" s="510"/>
      <c r="S41" s="510"/>
      <c r="T41" s="1851"/>
      <c r="U41" s="508" t="s">
        <v>1554</v>
      </c>
      <c r="V41" s="596" t="s">
        <v>1555</v>
      </c>
      <c r="W41" s="513" t="s">
        <v>1556</v>
      </c>
      <c r="X41" s="50">
        <v>3000</v>
      </c>
      <c r="Y41" s="50" t="s">
        <v>177</v>
      </c>
      <c r="Z41" s="50">
        <v>1000</v>
      </c>
      <c r="AA41" s="50">
        <v>1000</v>
      </c>
      <c r="AB41" s="50"/>
      <c r="AC41" s="54">
        <f>+Z41/X41</f>
        <v>0.33333333333333331</v>
      </c>
      <c r="AD41" s="54"/>
      <c r="AE41" s="50"/>
      <c r="AF41" s="50"/>
      <c r="AG41" s="50"/>
      <c r="AH41" s="50"/>
      <c r="AI41" s="535"/>
      <c r="AJ41" s="50"/>
      <c r="AK41" s="50"/>
      <c r="AL41" s="50"/>
      <c r="AM41" s="50"/>
      <c r="AN41" s="50">
        <v>1000</v>
      </c>
      <c r="AO41" s="117">
        <v>489</v>
      </c>
      <c r="AP41" s="517"/>
      <c r="AQ41" s="50">
        <v>841</v>
      </c>
      <c r="AR41" s="517"/>
      <c r="AS41" s="127">
        <v>569</v>
      </c>
      <c r="AT41" s="517"/>
      <c r="AU41" s="50">
        <v>760</v>
      </c>
      <c r="AV41" s="517"/>
      <c r="AW41" s="50">
        <f>AO41+AQ41+AS41+AU41</f>
        <v>2659</v>
      </c>
      <c r="AX41" s="54">
        <v>1</v>
      </c>
      <c r="AY41" s="50">
        <f>AW41+AL41</f>
        <v>2659</v>
      </c>
      <c r="AZ41" s="537">
        <f>AY41/X41</f>
        <v>0.88633333333333331</v>
      </c>
      <c r="BA41" s="50">
        <f>AA41</f>
        <v>1000</v>
      </c>
      <c r="BB41" s="50">
        <v>356</v>
      </c>
      <c r="BC41" s="50"/>
      <c r="BD41" s="50">
        <v>938</v>
      </c>
      <c r="BE41" s="50"/>
      <c r="BF41" s="50">
        <v>740</v>
      </c>
      <c r="BG41" s="50"/>
      <c r="BH41" s="50">
        <v>1433</v>
      </c>
      <c r="BI41" s="50"/>
      <c r="BJ41" s="50">
        <f>BB41+BF41+BH41+BD41</f>
        <v>3467</v>
      </c>
      <c r="BK41" s="57">
        <v>1</v>
      </c>
      <c r="BL41" s="50">
        <f>+BJ41+AY41</f>
        <v>6126</v>
      </c>
      <c r="BM41" s="57">
        <v>1</v>
      </c>
      <c r="BN41" s="517"/>
      <c r="BO41" s="517"/>
      <c r="BP41" s="517"/>
      <c r="BQ41" s="517"/>
      <c r="BR41" s="517"/>
      <c r="BS41" s="517"/>
      <c r="BT41" s="517"/>
      <c r="BU41" s="517"/>
      <c r="BV41" s="517"/>
      <c r="BW41" s="517"/>
      <c r="BX41" s="517"/>
      <c r="BY41" s="517"/>
      <c r="BZ41" s="517"/>
      <c r="CA41" s="517"/>
      <c r="CB41" s="517"/>
      <c r="CC41" s="517"/>
      <c r="CD41" s="517"/>
      <c r="CE41" s="517"/>
      <c r="CF41" s="517"/>
      <c r="CG41" s="517"/>
      <c r="CH41" s="517"/>
      <c r="CI41" s="517"/>
      <c r="CJ41" s="517"/>
      <c r="CK41" s="517"/>
      <c r="CL41" s="517"/>
      <c r="CM41" s="517"/>
      <c r="CN41" s="517"/>
      <c r="CO41" s="517"/>
      <c r="CP41" s="517"/>
      <c r="CQ41" s="517"/>
      <c r="CR41" s="517"/>
      <c r="CS41" s="517"/>
      <c r="CT41" s="517"/>
      <c r="CU41" s="517"/>
      <c r="CV41" s="517"/>
      <c r="CW41" s="517"/>
      <c r="CX41" s="517"/>
    </row>
    <row r="42" spans="1:102" ht="66" customHeight="1" x14ac:dyDescent="0.2">
      <c r="A42" s="1856"/>
      <c r="B42" s="1858"/>
      <c r="C42" s="533" t="s">
        <v>1557</v>
      </c>
      <c r="D42" s="508">
        <v>875</v>
      </c>
      <c r="E42" s="510"/>
      <c r="F42" s="510"/>
      <c r="G42" s="510"/>
      <c r="H42" s="510"/>
      <c r="I42" s="510"/>
      <c r="J42" s="510"/>
      <c r="K42" s="510"/>
      <c r="L42" s="510"/>
      <c r="M42" s="510"/>
      <c r="N42" s="510"/>
      <c r="O42" s="510"/>
      <c r="P42" s="510"/>
      <c r="Q42" s="510"/>
      <c r="R42" s="510"/>
      <c r="S42" s="510"/>
      <c r="T42" s="1851"/>
      <c r="U42" s="508" t="s">
        <v>1558</v>
      </c>
      <c r="V42" s="512" t="s">
        <v>1559</v>
      </c>
      <c r="W42" s="513" t="s">
        <v>1560</v>
      </c>
      <c r="X42" s="50">
        <v>6</v>
      </c>
      <c r="Y42" s="50" t="s">
        <v>177</v>
      </c>
      <c r="Z42" s="50">
        <v>2</v>
      </c>
      <c r="AA42" s="50">
        <v>2</v>
      </c>
      <c r="AB42" s="50"/>
      <c r="AC42" s="54">
        <f>+Z42/X42</f>
        <v>0.33333333333333331</v>
      </c>
      <c r="AD42" s="54"/>
      <c r="AE42" s="50"/>
      <c r="AF42" s="50"/>
      <c r="AG42" s="50"/>
      <c r="AH42" s="50"/>
      <c r="AI42" s="535"/>
      <c r="AJ42" s="50"/>
      <c r="AK42" s="50"/>
      <c r="AL42" s="50"/>
      <c r="AM42" s="50"/>
      <c r="AN42" s="50">
        <v>2</v>
      </c>
      <c r="AO42" s="117">
        <v>0.66</v>
      </c>
      <c r="AP42" s="587"/>
      <c r="AQ42" s="117">
        <v>0</v>
      </c>
      <c r="AR42" s="588"/>
      <c r="AS42" s="597">
        <v>6</v>
      </c>
      <c r="AT42" s="598"/>
      <c r="AU42" s="597">
        <v>6</v>
      </c>
      <c r="AV42" s="588"/>
      <c r="AW42" s="50">
        <v>6</v>
      </c>
      <c r="AX42" s="54">
        <v>1</v>
      </c>
      <c r="AY42" s="50">
        <v>6</v>
      </c>
      <c r="AZ42" s="537">
        <v>1</v>
      </c>
      <c r="BA42" s="50">
        <f>AA42</f>
        <v>2</v>
      </c>
      <c r="BB42" s="50">
        <v>6</v>
      </c>
      <c r="BC42" s="50"/>
      <c r="BD42" s="50">
        <v>6</v>
      </c>
      <c r="BE42" s="50"/>
      <c r="BF42" s="50">
        <v>6</v>
      </c>
      <c r="BG42" s="61" t="s">
        <v>2224</v>
      </c>
      <c r="BH42" s="50">
        <v>6</v>
      </c>
      <c r="BI42" s="1202" t="s">
        <v>2302</v>
      </c>
      <c r="BJ42" s="50">
        <f>BB42</f>
        <v>6</v>
      </c>
      <c r="BK42" s="1153">
        <v>0.5</v>
      </c>
      <c r="BL42" s="50">
        <f>BJ42+AY42</f>
        <v>12</v>
      </c>
      <c r="BM42" s="1153">
        <v>0.5</v>
      </c>
      <c r="BN42" s="517"/>
      <c r="BO42" s="517"/>
      <c r="BP42" s="517"/>
      <c r="BQ42" s="517"/>
      <c r="BR42" s="517"/>
      <c r="BS42" s="517"/>
      <c r="BT42" s="517"/>
      <c r="BU42" s="517"/>
      <c r="BV42" s="517"/>
      <c r="BW42" s="517"/>
      <c r="BX42" s="517"/>
      <c r="BY42" s="517"/>
      <c r="BZ42" s="517"/>
      <c r="CA42" s="517"/>
      <c r="CB42" s="517"/>
      <c r="CC42" s="517"/>
      <c r="CD42" s="517"/>
      <c r="CE42" s="517"/>
      <c r="CF42" s="517"/>
      <c r="CG42" s="517"/>
      <c r="CH42" s="517"/>
      <c r="CI42" s="517"/>
      <c r="CJ42" s="517"/>
      <c r="CK42" s="517"/>
      <c r="CL42" s="517"/>
      <c r="CM42" s="517"/>
      <c r="CN42" s="517"/>
      <c r="CO42" s="517"/>
      <c r="CP42" s="517"/>
      <c r="CQ42" s="517"/>
      <c r="CR42" s="517"/>
      <c r="CS42" s="517"/>
      <c r="CT42" s="517"/>
      <c r="CU42" s="517"/>
      <c r="CV42" s="517"/>
      <c r="CW42" s="517"/>
      <c r="CX42" s="517"/>
    </row>
    <row r="43" spans="1:102" ht="41.25" customHeight="1" x14ac:dyDescent="0.2">
      <c r="A43" s="1856"/>
      <c r="B43" s="1858"/>
      <c r="C43" s="599"/>
      <c r="D43" s="599"/>
      <c r="E43" s="510"/>
      <c r="F43" s="510"/>
      <c r="G43" s="510"/>
      <c r="H43" s="510"/>
      <c r="I43" s="510"/>
      <c r="J43" s="510"/>
      <c r="K43" s="510"/>
      <c r="L43" s="510"/>
      <c r="M43" s="510"/>
      <c r="N43" s="510"/>
      <c r="O43" s="510"/>
      <c r="P43" s="510"/>
      <c r="Q43" s="510"/>
      <c r="R43" s="510"/>
      <c r="S43" s="510"/>
      <c r="T43" s="1851"/>
      <c r="U43" s="508" t="s">
        <v>1561</v>
      </c>
      <c r="V43" s="512" t="s">
        <v>201</v>
      </c>
      <c r="W43" s="512" t="s">
        <v>1562</v>
      </c>
      <c r="X43" s="50">
        <v>8</v>
      </c>
      <c r="Y43" s="50" t="s">
        <v>177</v>
      </c>
      <c r="Z43" s="50">
        <v>3</v>
      </c>
      <c r="AA43" s="50">
        <v>3</v>
      </c>
      <c r="AB43" s="50"/>
      <c r="AC43" s="54">
        <f>+Z43/X43</f>
        <v>0.375</v>
      </c>
      <c r="AD43" s="54"/>
      <c r="AE43" s="50"/>
      <c r="AF43" s="50"/>
      <c r="AG43" s="50"/>
      <c r="AH43" s="50"/>
      <c r="AI43" s="535"/>
      <c r="AJ43" s="50"/>
      <c r="AK43" s="50"/>
      <c r="AL43" s="50"/>
      <c r="AM43" s="50"/>
      <c r="AN43" s="50">
        <v>3</v>
      </c>
      <c r="AO43" s="117">
        <v>2</v>
      </c>
      <c r="AP43" s="517"/>
      <c r="AQ43" s="50">
        <v>5</v>
      </c>
      <c r="AR43" s="517"/>
      <c r="AS43" s="50">
        <v>3</v>
      </c>
      <c r="AT43" s="50"/>
      <c r="AU43" s="50">
        <v>3</v>
      </c>
      <c r="AV43" s="517"/>
      <c r="AW43" s="50">
        <f>AO43+AQ43+AS43</f>
        <v>10</v>
      </c>
      <c r="AX43" s="54">
        <v>1</v>
      </c>
      <c r="AY43" s="50">
        <f>AW43+AL43</f>
        <v>10</v>
      </c>
      <c r="AZ43" s="537">
        <v>1</v>
      </c>
      <c r="BA43" s="50">
        <f>AA43</f>
        <v>3</v>
      </c>
      <c r="BB43" s="50">
        <v>0</v>
      </c>
      <c r="BC43" s="50"/>
      <c r="BD43" s="50">
        <v>3</v>
      </c>
      <c r="BE43" s="50"/>
      <c r="BF43" s="50">
        <v>3</v>
      </c>
      <c r="BG43" s="50"/>
      <c r="BH43" s="50">
        <v>5</v>
      </c>
      <c r="BI43" s="50"/>
      <c r="BJ43" s="50">
        <f>+BD43+BF43+BH43+BB43</f>
        <v>11</v>
      </c>
      <c r="BK43" s="1154">
        <v>1</v>
      </c>
      <c r="BL43" s="50">
        <f>BJ43+AY43</f>
        <v>21</v>
      </c>
      <c r="BM43" s="57">
        <v>1</v>
      </c>
      <c r="BN43" s="517"/>
      <c r="BO43" s="517"/>
      <c r="BP43" s="517"/>
      <c r="BQ43" s="517"/>
      <c r="BR43" s="517"/>
      <c r="BS43" s="517"/>
      <c r="BT43" s="517"/>
      <c r="BU43" s="517"/>
      <c r="BV43" s="517"/>
      <c r="BW43" s="517"/>
      <c r="BX43" s="517"/>
      <c r="BY43" s="517"/>
      <c r="BZ43" s="517"/>
      <c r="CA43" s="517"/>
      <c r="CB43" s="517"/>
      <c r="CC43" s="517"/>
      <c r="CD43" s="517"/>
      <c r="CE43" s="517"/>
      <c r="CF43" s="517"/>
      <c r="CG43" s="517"/>
      <c r="CH43" s="517"/>
      <c r="CI43" s="517"/>
      <c r="CJ43" s="517"/>
      <c r="CK43" s="517"/>
      <c r="CL43" s="517"/>
      <c r="CM43" s="517"/>
      <c r="CN43" s="517"/>
      <c r="CO43" s="517"/>
      <c r="CP43" s="517"/>
      <c r="CQ43" s="517"/>
      <c r="CR43" s="517"/>
      <c r="CS43" s="517"/>
      <c r="CT43" s="517"/>
      <c r="CU43" s="517"/>
      <c r="CV43" s="517"/>
      <c r="CW43" s="517"/>
      <c r="CX43" s="517"/>
    </row>
    <row r="44" spans="1:102" ht="12" customHeight="1" x14ac:dyDescent="0.2">
      <c r="A44" s="1856"/>
      <c r="B44" s="1858"/>
      <c r="C44" s="599"/>
      <c r="D44" s="599"/>
      <c r="E44" s="510"/>
      <c r="F44" s="510"/>
      <c r="G44" s="510"/>
      <c r="H44" s="510"/>
      <c r="I44" s="510"/>
      <c r="J44" s="510"/>
      <c r="K44" s="510"/>
      <c r="L44" s="510"/>
      <c r="M44" s="510"/>
      <c r="N44" s="510"/>
      <c r="O44" s="510"/>
      <c r="P44" s="510"/>
      <c r="Q44" s="510"/>
      <c r="R44" s="510"/>
      <c r="S44" s="510"/>
      <c r="T44" s="1852"/>
      <c r="U44" s="85"/>
      <c r="V44" s="85"/>
      <c r="W44" s="85"/>
      <c r="X44" s="72"/>
      <c r="Y44" s="72"/>
      <c r="Z44" s="72"/>
      <c r="AA44" s="72"/>
      <c r="AB44" s="86">
        <f>+AB40</f>
        <v>0.25</v>
      </c>
      <c r="AC44" s="86">
        <f>+(AC40+AC41+AC42+AC43)/4</f>
        <v>0.51041666666666663</v>
      </c>
      <c r="AD44" s="86"/>
      <c r="AE44" s="72"/>
      <c r="AF44" s="72"/>
      <c r="AG44" s="72"/>
      <c r="AH44" s="72"/>
      <c r="AI44" s="552"/>
      <c r="AJ44" s="72"/>
      <c r="AK44" s="86">
        <f>AVERAGE(AK40:AK43)</f>
        <v>1</v>
      </c>
      <c r="AL44" s="72"/>
      <c r="AM44" s="73">
        <f>+(AM40+AM41+AM42+AM43)/4</f>
        <v>0.25</v>
      </c>
      <c r="AN44" s="72"/>
      <c r="AO44" s="125"/>
      <c r="AP44" s="600"/>
      <c r="AQ44" s="125"/>
      <c r="AR44" s="601"/>
      <c r="AS44" s="602"/>
      <c r="AT44" s="603"/>
      <c r="AU44" s="602"/>
      <c r="AV44" s="125"/>
      <c r="AW44" s="125"/>
      <c r="AX44" s="86">
        <f>AVERAGE(AX40:AX43)</f>
        <v>1</v>
      </c>
      <c r="AY44" s="125"/>
      <c r="AZ44" s="542">
        <f>+(AZ40+AZ41+AZ42+AZ43)/4</f>
        <v>0.84658333333333335</v>
      </c>
      <c r="BA44" s="1013"/>
      <c r="BB44" s="1013"/>
      <c r="BC44" s="1013"/>
      <c r="BD44" s="1013"/>
      <c r="BE44" s="1013"/>
      <c r="BF44" s="1013"/>
      <c r="BG44" s="1013"/>
      <c r="BH44" s="1013"/>
      <c r="BI44" s="1013"/>
      <c r="BJ44" s="1013"/>
      <c r="BK44" s="542">
        <f>+(BK40+BK41+BK42+BK43)/4</f>
        <v>0.875</v>
      </c>
      <c r="BL44" s="542"/>
      <c r="BM44" s="542">
        <f>+(BM40+BM41+BM42+BM43)/4</f>
        <v>0.875</v>
      </c>
      <c r="BN44" s="517"/>
      <c r="BO44" s="517"/>
      <c r="BP44" s="517"/>
      <c r="BQ44" s="517"/>
      <c r="BR44" s="517"/>
      <c r="BS44" s="517"/>
      <c r="BT44" s="517"/>
      <c r="BU44" s="517"/>
      <c r="BV44" s="517"/>
      <c r="BW44" s="517"/>
      <c r="BX44" s="517"/>
      <c r="BY44" s="517"/>
      <c r="BZ44" s="517"/>
      <c r="CA44" s="517"/>
      <c r="CB44" s="517"/>
      <c r="CC44" s="517"/>
      <c r="CD44" s="517"/>
      <c r="CE44" s="517"/>
      <c r="CF44" s="517"/>
      <c r="CG44" s="517"/>
      <c r="CH44" s="517"/>
      <c r="CI44" s="517"/>
      <c r="CJ44" s="517"/>
      <c r="CK44" s="517"/>
      <c r="CL44" s="517"/>
      <c r="CM44" s="517"/>
      <c r="CN44" s="517"/>
      <c r="CO44" s="517"/>
      <c r="CP44" s="517"/>
      <c r="CQ44" s="517"/>
      <c r="CR44" s="517"/>
      <c r="CS44" s="517"/>
      <c r="CT44" s="517"/>
      <c r="CU44" s="517"/>
      <c r="CV44" s="517"/>
      <c r="CW44" s="517"/>
      <c r="CX44" s="517"/>
    </row>
    <row r="45" spans="1:102" ht="48" customHeight="1" x14ac:dyDescent="0.2">
      <c r="A45" s="1856"/>
      <c r="B45" s="1858"/>
      <c r="C45" s="599"/>
      <c r="D45" s="599"/>
      <c r="E45" s="510"/>
      <c r="F45" s="510"/>
      <c r="G45" s="510"/>
      <c r="H45" s="510"/>
      <c r="I45" s="510"/>
      <c r="J45" s="510"/>
      <c r="K45" s="510"/>
      <c r="L45" s="510"/>
      <c r="M45" s="510"/>
      <c r="N45" s="510"/>
      <c r="O45" s="510"/>
      <c r="P45" s="510"/>
      <c r="Q45" s="510"/>
      <c r="R45" s="510"/>
      <c r="S45" s="510"/>
      <c r="T45" s="1850" t="s">
        <v>1563</v>
      </c>
      <c r="U45" s="508" t="s">
        <v>1564</v>
      </c>
      <c r="V45" s="512" t="s">
        <v>201</v>
      </c>
      <c r="W45" s="513" t="s">
        <v>1565</v>
      </c>
      <c r="X45" s="50">
        <v>1</v>
      </c>
      <c r="Y45" s="50" t="s">
        <v>177</v>
      </c>
      <c r="Z45" s="50">
        <v>1</v>
      </c>
      <c r="AA45" s="50"/>
      <c r="AB45" s="54">
        <v>0</v>
      </c>
      <c r="AC45" s="54">
        <f>+Z45/X45</f>
        <v>1</v>
      </c>
      <c r="AD45" s="54"/>
      <c r="AE45" s="50"/>
      <c r="AF45" s="50"/>
      <c r="AG45" s="50"/>
      <c r="AH45" s="50"/>
      <c r="AI45" s="535"/>
      <c r="AJ45" s="50"/>
      <c r="AK45" s="50"/>
      <c r="AL45" s="50"/>
      <c r="AM45" s="50"/>
      <c r="AN45" s="50">
        <v>1</v>
      </c>
      <c r="AO45" s="117">
        <v>0</v>
      </c>
      <c r="AP45" s="517"/>
      <c r="AQ45" s="50">
        <v>1</v>
      </c>
      <c r="AR45" s="517"/>
      <c r="AS45" s="50">
        <v>1</v>
      </c>
      <c r="AT45" s="127"/>
      <c r="AU45" s="50">
        <v>1</v>
      </c>
      <c r="AV45" s="517"/>
      <c r="AW45" s="50">
        <f>AO45+AQ45</f>
        <v>1</v>
      </c>
      <c r="AX45" s="54">
        <f>AW45/AN45</f>
        <v>1</v>
      </c>
      <c r="AY45" s="50">
        <f>AW45+AL45</f>
        <v>1</v>
      </c>
      <c r="AZ45" s="537">
        <f>AY45/X45</f>
        <v>1</v>
      </c>
      <c r="BA45" s="50"/>
      <c r="BB45" s="50"/>
      <c r="BC45" s="50"/>
      <c r="BD45" s="50"/>
      <c r="BE45" s="50"/>
      <c r="BF45" s="50"/>
      <c r="BG45" s="50"/>
      <c r="BH45" s="50"/>
      <c r="BI45" s="50"/>
      <c r="BJ45" s="50"/>
      <c r="BK45" s="50"/>
      <c r="BL45" s="50"/>
      <c r="BM45" s="54">
        <f>AZ45</f>
        <v>1</v>
      </c>
      <c r="BN45" s="517"/>
      <c r="BO45" s="517"/>
      <c r="BP45" s="517"/>
      <c r="BQ45" s="517"/>
      <c r="BR45" s="517"/>
      <c r="BS45" s="517"/>
      <c r="BT45" s="517"/>
      <c r="BU45" s="517"/>
      <c r="BV45" s="517"/>
      <c r="BW45" s="517"/>
      <c r="BX45" s="517"/>
      <c r="BY45" s="517"/>
      <c r="BZ45" s="517"/>
      <c r="CA45" s="517"/>
      <c r="CB45" s="517"/>
      <c r="CC45" s="517"/>
      <c r="CD45" s="517"/>
      <c r="CE45" s="517"/>
      <c r="CF45" s="517"/>
      <c r="CG45" s="517"/>
      <c r="CH45" s="517"/>
      <c r="CI45" s="517"/>
      <c r="CJ45" s="517"/>
      <c r="CK45" s="517"/>
      <c r="CL45" s="517"/>
      <c r="CM45" s="517"/>
      <c r="CN45" s="517"/>
      <c r="CO45" s="517"/>
      <c r="CP45" s="517"/>
      <c r="CQ45" s="517"/>
      <c r="CR45" s="517"/>
      <c r="CS45" s="517"/>
      <c r="CT45" s="517"/>
      <c r="CU45" s="517"/>
      <c r="CV45" s="517"/>
      <c r="CW45" s="517"/>
      <c r="CX45" s="517"/>
    </row>
    <row r="46" spans="1:102" ht="43.5" customHeight="1" x14ac:dyDescent="0.2">
      <c r="A46" s="1856"/>
      <c r="B46" s="1858"/>
      <c r="C46" s="599"/>
      <c r="D46" s="599"/>
      <c r="E46" s="510"/>
      <c r="F46" s="510"/>
      <c r="G46" s="510"/>
      <c r="H46" s="510"/>
      <c r="I46" s="510"/>
      <c r="J46" s="510"/>
      <c r="K46" s="510"/>
      <c r="L46" s="510"/>
      <c r="M46" s="510"/>
      <c r="N46" s="510"/>
      <c r="O46" s="510"/>
      <c r="P46" s="510"/>
      <c r="Q46" s="510"/>
      <c r="R46" s="510"/>
      <c r="S46" s="510"/>
      <c r="T46" s="1851"/>
      <c r="U46" s="508" t="s">
        <v>1566</v>
      </c>
      <c r="V46" s="596" t="s">
        <v>1567</v>
      </c>
      <c r="W46" s="513" t="s">
        <v>1568</v>
      </c>
      <c r="X46" s="50">
        <v>2500</v>
      </c>
      <c r="Y46" s="50">
        <v>376</v>
      </c>
      <c r="Z46" s="50">
        <v>708</v>
      </c>
      <c r="AA46" s="50">
        <v>708</v>
      </c>
      <c r="AB46" s="54">
        <f>+Y46/X46</f>
        <v>0.15040000000000001</v>
      </c>
      <c r="AC46" s="54">
        <f>+Z46/X46</f>
        <v>0.28320000000000001</v>
      </c>
      <c r="AD46" s="54"/>
      <c r="AE46" s="50">
        <v>376</v>
      </c>
      <c r="AF46" s="54">
        <v>0.37</v>
      </c>
      <c r="AG46" s="50"/>
      <c r="AH46" s="50">
        <v>627</v>
      </c>
      <c r="AI46" s="535"/>
      <c r="AJ46" s="50">
        <f>+AH46</f>
        <v>627</v>
      </c>
      <c r="AK46" s="54">
        <v>1</v>
      </c>
      <c r="AL46" s="50">
        <f>+AJ46</f>
        <v>627</v>
      </c>
      <c r="AM46" s="54">
        <f>+AL46/X46</f>
        <v>0.25080000000000002</v>
      </c>
      <c r="AN46" s="50">
        <v>708</v>
      </c>
      <c r="AO46" s="117">
        <v>596</v>
      </c>
      <c r="AP46" s="517"/>
      <c r="AQ46" s="50">
        <v>1124</v>
      </c>
      <c r="AR46" s="517"/>
      <c r="AS46" s="50">
        <v>341</v>
      </c>
      <c r="AT46" s="517"/>
      <c r="AU46" s="50">
        <v>274</v>
      </c>
      <c r="AV46" s="517"/>
      <c r="AW46" s="50">
        <f>+AU46+AS46+AQ46+AO46</f>
        <v>2335</v>
      </c>
      <c r="AX46" s="54">
        <v>1</v>
      </c>
      <c r="AY46" s="50">
        <f>AW46+AL46</f>
        <v>2962</v>
      </c>
      <c r="AZ46" s="537">
        <v>1</v>
      </c>
      <c r="BA46" s="50">
        <f>AA46</f>
        <v>708</v>
      </c>
      <c r="BB46" s="50">
        <v>223</v>
      </c>
      <c r="BC46" s="50"/>
      <c r="BD46" s="50">
        <v>349</v>
      </c>
      <c r="BE46" s="50"/>
      <c r="BF46" s="50">
        <v>385</v>
      </c>
      <c r="BG46" s="50"/>
      <c r="BH46" s="50">
        <v>41</v>
      </c>
      <c r="BI46" s="50"/>
      <c r="BJ46" s="50">
        <f>BB46+BD46+BF46+BH46</f>
        <v>998</v>
      </c>
      <c r="BK46" s="57">
        <v>1</v>
      </c>
      <c r="BL46" s="50">
        <f>BJ46+AY46</f>
        <v>3960</v>
      </c>
      <c r="BM46" s="57">
        <v>1</v>
      </c>
      <c r="BN46" s="517"/>
      <c r="BO46" s="517"/>
      <c r="BP46" s="517"/>
      <c r="BQ46" s="517"/>
      <c r="BR46" s="517"/>
      <c r="BS46" s="517"/>
      <c r="BT46" s="517"/>
      <c r="BU46" s="517"/>
      <c r="BV46" s="517"/>
      <c r="BW46" s="517"/>
      <c r="BX46" s="517"/>
      <c r="BY46" s="517"/>
      <c r="BZ46" s="517"/>
      <c r="CA46" s="517"/>
      <c r="CB46" s="517"/>
      <c r="CC46" s="517"/>
      <c r="CD46" s="517"/>
      <c r="CE46" s="517"/>
      <c r="CF46" s="517"/>
      <c r="CG46" s="517"/>
      <c r="CH46" s="517"/>
      <c r="CI46" s="517"/>
      <c r="CJ46" s="517"/>
      <c r="CK46" s="517"/>
      <c r="CL46" s="517"/>
      <c r="CM46" s="517"/>
      <c r="CN46" s="517"/>
      <c r="CO46" s="517"/>
      <c r="CP46" s="517"/>
      <c r="CQ46" s="517"/>
      <c r="CR46" s="517"/>
      <c r="CS46" s="517"/>
      <c r="CT46" s="517"/>
      <c r="CU46" s="517"/>
      <c r="CV46" s="517"/>
      <c r="CW46" s="517"/>
      <c r="CX46" s="517"/>
    </row>
    <row r="47" spans="1:102" ht="44.25" customHeight="1" x14ac:dyDescent="0.2">
      <c r="A47" s="1856"/>
      <c r="B47" s="1858"/>
      <c r="C47" s="599"/>
      <c r="D47" s="599"/>
      <c r="E47" s="510"/>
      <c r="F47" s="510"/>
      <c r="G47" s="510"/>
      <c r="H47" s="510"/>
      <c r="I47" s="510"/>
      <c r="J47" s="510"/>
      <c r="K47" s="510"/>
      <c r="L47" s="510"/>
      <c r="M47" s="510"/>
      <c r="N47" s="510"/>
      <c r="O47" s="510"/>
      <c r="P47" s="510"/>
      <c r="Q47" s="510"/>
      <c r="R47" s="510"/>
      <c r="S47" s="510"/>
      <c r="T47" s="1851"/>
      <c r="U47" s="508" t="s">
        <v>1569</v>
      </c>
      <c r="V47" s="512" t="s">
        <v>1570</v>
      </c>
      <c r="W47" s="513" t="s">
        <v>1571</v>
      </c>
      <c r="X47" s="50">
        <v>120</v>
      </c>
      <c r="Y47" s="50" t="s">
        <v>177</v>
      </c>
      <c r="Z47" s="50">
        <v>40</v>
      </c>
      <c r="AA47" s="50">
        <v>40</v>
      </c>
      <c r="AB47" s="50"/>
      <c r="AC47" s="54">
        <f>+Z47/X47</f>
        <v>0.33333333333333331</v>
      </c>
      <c r="AD47" s="54">
        <f>AA47/X47</f>
        <v>0.33333333333333331</v>
      </c>
      <c r="AE47" s="50"/>
      <c r="AF47" s="50"/>
      <c r="AG47" s="50"/>
      <c r="AH47" s="50"/>
      <c r="AI47" s="535"/>
      <c r="AJ47" s="50"/>
      <c r="AK47" s="50"/>
      <c r="AL47" s="50"/>
      <c r="AM47" s="50"/>
      <c r="AN47" s="50">
        <v>40</v>
      </c>
      <c r="AO47" s="117">
        <v>0</v>
      </c>
      <c r="AP47" s="517"/>
      <c r="AQ47" s="50">
        <v>0</v>
      </c>
      <c r="AR47" s="517"/>
      <c r="AS47" s="50">
        <v>0</v>
      </c>
      <c r="AT47" s="517"/>
      <c r="AU47" s="50">
        <v>40</v>
      </c>
      <c r="AV47" s="517"/>
      <c r="AW47" s="50">
        <f>+AU47</f>
        <v>40</v>
      </c>
      <c r="AX47" s="54">
        <v>1</v>
      </c>
      <c r="AY47" s="50">
        <f>+AW47</f>
        <v>40</v>
      </c>
      <c r="AZ47" s="537">
        <f>+AY47/120</f>
        <v>0.33333333333333331</v>
      </c>
      <c r="BA47" s="50">
        <f>AA47</f>
        <v>40</v>
      </c>
      <c r="BB47" s="50">
        <v>0</v>
      </c>
      <c r="BC47" s="50"/>
      <c r="BD47" s="50">
        <v>0</v>
      </c>
      <c r="BE47" s="50"/>
      <c r="BF47" s="50">
        <v>0</v>
      </c>
      <c r="BG47" s="50"/>
      <c r="BH47" s="50">
        <v>40</v>
      </c>
      <c r="BI47" s="50"/>
      <c r="BJ47" s="50">
        <f>+BH47</f>
        <v>40</v>
      </c>
      <c r="BK47" s="57">
        <f>BJ47/BA47</f>
        <v>1</v>
      </c>
      <c r="BL47" s="50">
        <f>BJ47+AY47</f>
        <v>80</v>
      </c>
      <c r="BM47" s="57">
        <f>BL47/X47</f>
        <v>0.66666666666666663</v>
      </c>
      <c r="BN47" s="517"/>
      <c r="BO47" s="517"/>
      <c r="BP47" s="517"/>
      <c r="BQ47" s="517"/>
      <c r="BR47" s="517"/>
      <c r="BS47" s="517"/>
      <c r="BT47" s="517"/>
      <c r="BU47" s="517"/>
      <c r="BV47" s="517"/>
      <c r="BW47" s="517"/>
      <c r="BX47" s="517"/>
      <c r="BY47" s="517"/>
      <c r="BZ47" s="517"/>
      <c r="CA47" s="517"/>
      <c r="CB47" s="517"/>
      <c r="CC47" s="517"/>
      <c r="CD47" s="517"/>
      <c r="CE47" s="517"/>
      <c r="CF47" s="517"/>
      <c r="CG47" s="517"/>
      <c r="CH47" s="517"/>
      <c r="CI47" s="517"/>
      <c r="CJ47" s="517"/>
      <c r="CK47" s="517"/>
      <c r="CL47" s="517"/>
      <c r="CM47" s="517"/>
      <c r="CN47" s="517"/>
      <c r="CO47" s="517"/>
      <c r="CP47" s="517"/>
      <c r="CQ47" s="517"/>
      <c r="CR47" s="517"/>
      <c r="CS47" s="517"/>
      <c r="CT47" s="517"/>
      <c r="CU47" s="517"/>
      <c r="CV47" s="517"/>
      <c r="CW47" s="517"/>
      <c r="CX47" s="517"/>
    </row>
    <row r="48" spans="1:102" ht="12" customHeight="1" x14ac:dyDescent="0.2">
      <c r="A48" s="1856"/>
      <c r="B48" s="1858"/>
      <c r="C48" s="599"/>
      <c r="D48" s="599"/>
      <c r="E48" s="510"/>
      <c r="F48" s="510"/>
      <c r="G48" s="510"/>
      <c r="H48" s="510"/>
      <c r="I48" s="510"/>
      <c r="J48" s="510"/>
      <c r="K48" s="510"/>
      <c r="L48" s="510"/>
      <c r="M48" s="510"/>
      <c r="N48" s="510"/>
      <c r="O48" s="510"/>
      <c r="P48" s="510"/>
      <c r="Q48" s="510"/>
      <c r="R48" s="510"/>
      <c r="S48" s="510"/>
      <c r="T48" s="1852"/>
      <c r="U48" s="85"/>
      <c r="V48" s="85"/>
      <c r="W48" s="85"/>
      <c r="X48" s="72"/>
      <c r="Y48" s="72"/>
      <c r="Z48" s="72"/>
      <c r="AA48" s="72"/>
      <c r="AB48" s="86">
        <f>+AB46</f>
        <v>0.15040000000000001</v>
      </c>
      <c r="AC48" s="86">
        <f>+AC46</f>
        <v>0.28320000000000001</v>
      </c>
      <c r="AD48" s="86">
        <f>AVERAGE(AD45:AD47)</f>
        <v>0.33333333333333331</v>
      </c>
      <c r="AE48" s="72"/>
      <c r="AF48" s="72"/>
      <c r="AG48" s="72"/>
      <c r="AH48" s="72"/>
      <c r="AI48" s="552"/>
      <c r="AJ48" s="72"/>
      <c r="AK48" s="86">
        <f>AVERAGE(AK45:AK47)</f>
        <v>1</v>
      </c>
      <c r="AL48" s="86"/>
      <c r="AM48" s="86">
        <f>AVERAGE(AM45:AM47)</f>
        <v>0.25080000000000002</v>
      </c>
      <c r="AN48" s="72"/>
      <c r="AO48" s="125"/>
      <c r="AP48" s="517"/>
      <c r="AQ48" s="50"/>
      <c r="AR48" s="517"/>
      <c r="AS48" s="50"/>
      <c r="AT48" s="517"/>
      <c r="AU48" s="528"/>
      <c r="AV48" s="517"/>
      <c r="AW48" s="125"/>
      <c r="AX48" s="86">
        <f>AVERAGE(AX45:AX47)</f>
        <v>1</v>
      </c>
      <c r="AY48" s="604"/>
      <c r="AZ48" s="530">
        <f>AVERAGE(AZ45:AZ47)</f>
        <v>0.77777777777777779</v>
      </c>
      <c r="BA48" s="1015"/>
      <c r="BB48" s="1015"/>
      <c r="BC48" s="1015"/>
      <c r="BD48" s="1015"/>
      <c r="BE48" s="1015"/>
      <c r="BF48" s="1015"/>
      <c r="BG48" s="1015"/>
      <c r="BH48" s="1015"/>
      <c r="BI48" s="1015"/>
      <c r="BJ48" s="1015"/>
      <c r="BK48" s="107">
        <f>AVERAGE(BK45:BK47)</f>
        <v>1</v>
      </c>
      <c r="BL48" s="74"/>
      <c r="BM48" s="107">
        <f>AVERAGE(BM45:BM47)</f>
        <v>0.88888888888888884</v>
      </c>
      <c r="BN48" s="517"/>
      <c r="BO48" s="517"/>
      <c r="BP48" s="517"/>
      <c r="BQ48" s="517"/>
      <c r="BR48" s="517"/>
      <c r="BS48" s="517"/>
      <c r="BT48" s="517"/>
      <c r="BU48" s="517"/>
      <c r="BV48" s="517"/>
      <c r="BW48" s="517"/>
      <c r="BX48" s="517"/>
      <c r="BY48" s="517"/>
      <c r="BZ48" s="517"/>
      <c r="CA48" s="517"/>
      <c r="CB48" s="517"/>
      <c r="CC48" s="517"/>
      <c r="CD48" s="517"/>
      <c r="CE48" s="517"/>
      <c r="CF48" s="517"/>
      <c r="CG48" s="517"/>
      <c r="CH48" s="517"/>
      <c r="CI48" s="517"/>
      <c r="CJ48" s="517"/>
      <c r="CK48" s="517"/>
      <c r="CL48" s="517"/>
      <c r="CM48" s="517"/>
      <c r="CN48" s="517"/>
      <c r="CO48" s="517"/>
      <c r="CP48" s="517"/>
      <c r="CQ48" s="517"/>
      <c r="CR48" s="517"/>
      <c r="CS48" s="517"/>
      <c r="CT48" s="517"/>
      <c r="CU48" s="517"/>
      <c r="CV48" s="517"/>
      <c r="CW48" s="517"/>
      <c r="CX48" s="517"/>
    </row>
    <row r="49" spans="1:102" ht="70.5" customHeight="1" x14ac:dyDescent="0.2">
      <c r="A49" s="1856"/>
      <c r="B49" s="1858"/>
      <c r="C49" s="599"/>
      <c r="D49" s="599"/>
      <c r="E49" s="510"/>
      <c r="F49" s="510"/>
      <c r="G49" s="510"/>
      <c r="H49" s="510"/>
      <c r="I49" s="510"/>
      <c r="J49" s="510"/>
      <c r="K49" s="510"/>
      <c r="L49" s="510"/>
      <c r="M49" s="510"/>
      <c r="N49" s="510"/>
      <c r="O49" s="510"/>
      <c r="P49" s="510"/>
      <c r="Q49" s="510"/>
      <c r="R49" s="510"/>
      <c r="S49" s="510"/>
      <c r="T49" s="1850" t="s">
        <v>1572</v>
      </c>
      <c r="U49" s="508" t="s">
        <v>1573</v>
      </c>
      <c r="V49" s="512" t="s">
        <v>1574</v>
      </c>
      <c r="W49" s="513" t="s">
        <v>1575</v>
      </c>
      <c r="X49" s="50">
        <v>4</v>
      </c>
      <c r="Y49" s="50">
        <v>1</v>
      </c>
      <c r="Z49" s="50">
        <v>1</v>
      </c>
      <c r="AA49" s="50">
        <v>1</v>
      </c>
      <c r="AB49" s="54">
        <v>0.25</v>
      </c>
      <c r="AC49" s="54">
        <f>+Z49/X49</f>
        <v>0.25</v>
      </c>
      <c r="AD49" s="54">
        <v>1</v>
      </c>
      <c r="AE49" s="50">
        <v>0</v>
      </c>
      <c r="AF49" s="50">
        <v>0</v>
      </c>
      <c r="AG49" s="50"/>
      <c r="AH49" s="50">
        <v>0</v>
      </c>
      <c r="AI49" s="535"/>
      <c r="AJ49" s="50">
        <f>+AH49</f>
        <v>0</v>
      </c>
      <c r="AK49" s="54">
        <v>0</v>
      </c>
      <c r="AL49" s="50">
        <f>+AJ49</f>
        <v>0</v>
      </c>
      <c r="AM49" s="55">
        <f>+AL49/X49</f>
        <v>0</v>
      </c>
      <c r="AN49" s="50">
        <v>1</v>
      </c>
      <c r="AO49" s="117">
        <v>0</v>
      </c>
      <c r="AP49" s="517"/>
      <c r="AQ49" s="50">
        <v>0</v>
      </c>
      <c r="AR49" s="517"/>
      <c r="AS49" s="50">
        <v>0</v>
      </c>
      <c r="AT49" s="517"/>
      <c r="AU49" s="50">
        <v>0</v>
      </c>
      <c r="AV49" s="517"/>
      <c r="AW49" s="50">
        <f>AO49</f>
        <v>0</v>
      </c>
      <c r="AX49" s="54">
        <f>AW49/AN49</f>
        <v>0</v>
      </c>
      <c r="AY49" s="50">
        <f>AW49+AL49</f>
        <v>0</v>
      </c>
      <c r="AZ49" s="537">
        <f>AY49/X49</f>
        <v>0</v>
      </c>
      <c r="BA49" s="50">
        <v>1</v>
      </c>
      <c r="BB49" s="50">
        <v>0</v>
      </c>
      <c r="BC49" s="50"/>
      <c r="BD49" s="50">
        <v>0</v>
      </c>
      <c r="BE49" s="50"/>
      <c r="BF49" s="50">
        <v>0</v>
      </c>
      <c r="BG49" s="50"/>
      <c r="BH49" s="50">
        <v>1</v>
      </c>
      <c r="BI49" s="50"/>
      <c r="BJ49" s="50">
        <f>+BH49</f>
        <v>1</v>
      </c>
      <c r="BK49" s="54">
        <v>1</v>
      </c>
      <c r="BL49" s="50">
        <f>+BJ49</f>
        <v>1</v>
      </c>
      <c r="BM49" s="54">
        <v>0.25</v>
      </c>
      <c r="BN49" s="517"/>
      <c r="BO49" s="517"/>
      <c r="BP49" s="517"/>
      <c r="BQ49" s="517"/>
      <c r="BR49" s="517"/>
      <c r="BS49" s="517"/>
      <c r="BT49" s="517"/>
      <c r="BU49" s="517"/>
      <c r="BV49" s="517"/>
      <c r="BW49" s="517"/>
      <c r="BX49" s="517"/>
      <c r="BY49" s="517"/>
      <c r="BZ49" s="517"/>
      <c r="CA49" s="517"/>
      <c r="CB49" s="517"/>
      <c r="CC49" s="517"/>
      <c r="CD49" s="517"/>
      <c r="CE49" s="517"/>
      <c r="CF49" s="517"/>
      <c r="CG49" s="517"/>
      <c r="CH49" s="517"/>
      <c r="CI49" s="517"/>
      <c r="CJ49" s="517"/>
      <c r="CK49" s="517"/>
      <c r="CL49" s="517"/>
      <c r="CM49" s="517"/>
      <c r="CN49" s="517"/>
      <c r="CO49" s="517"/>
      <c r="CP49" s="517"/>
      <c r="CQ49" s="517"/>
      <c r="CR49" s="517"/>
      <c r="CS49" s="517"/>
      <c r="CT49" s="517"/>
      <c r="CU49" s="517"/>
      <c r="CV49" s="517"/>
      <c r="CW49" s="517"/>
      <c r="CX49" s="517"/>
    </row>
    <row r="50" spans="1:102" ht="12" customHeight="1" x14ac:dyDescent="0.2">
      <c r="A50" s="1856"/>
      <c r="B50" s="1858"/>
      <c r="C50" s="599"/>
      <c r="D50" s="599"/>
      <c r="E50" s="510"/>
      <c r="F50" s="510"/>
      <c r="G50" s="510"/>
      <c r="H50" s="510"/>
      <c r="I50" s="510"/>
      <c r="J50" s="510"/>
      <c r="K50" s="510"/>
      <c r="L50" s="510"/>
      <c r="M50" s="510"/>
      <c r="N50" s="510"/>
      <c r="O50" s="510"/>
      <c r="P50" s="510"/>
      <c r="Q50" s="510"/>
      <c r="R50" s="510"/>
      <c r="S50" s="510"/>
      <c r="T50" s="1852"/>
      <c r="U50" s="85"/>
      <c r="V50" s="85"/>
      <c r="W50" s="85"/>
      <c r="X50" s="72"/>
      <c r="Y50" s="72"/>
      <c r="Z50" s="72"/>
      <c r="AA50" s="72"/>
      <c r="AB50" s="97">
        <f>+AB49</f>
        <v>0.25</v>
      </c>
      <c r="AC50" s="97">
        <f>+AC49</f>
        <v>0.25</v>
      </c>
      <c r="AD50" s="1018">
        <f>AVERAGE(AD49)</f>
        <v>1</v>
      </c>
      <c r="AE50" s="72"/>
      <c r="AF50" s="72"/>
      <c r="AG50" s="72"/>
      <c r="AH50" s="72"/>
      <c r="AI50" s="552"/>
      <c r="AJ50" s="72"/>
      <c r="AK50" s="86">
        <f>+AK49</f>
        <v>0</v>
      </c>
      <c r="AL50" s="74"/>
      <c r="AM50" s="73">
        <f>+AM49</f>
        <v>0</v>
      </c>
      <c r="AN50" s="72"/>
      <c r="AO50" s="605"/>
      <c r="AP50" s="517"/>
      <c r="AQ50" s="50"/>
      <c r="AR50" s="517"/>
      <c r="AS50" s="50"/>
      <c r="AT50" s="517"/>
      <c r="AU50" s="528"/>
      <c r="AV50" s="517"/>
      <c r="AW50" s="605"/>
      <c r="AX50" s="541">
        <f>+AX49</f>
        <v>0</v>
      </c>
      <c r="AY50" s="606"/>
      <c r="AZ50" s="607">
        <f>+AZ49</f>
        <v>0</v>
      </c>
      <c r="BA50" s="1015"/>
      <c r="BB50" s="1015"/>
      <c r="BC50" s="1015"/>
      <c r="BD50" s="1015"/>
      <c r="BE50" s="1015"/>
      <c r="BF50" s="1015"/>
      <c r="BG50" s="1015"/>
      <c r="BH50" s="1015"/>
      <c r="BI50" s="1015"/>
      <c r="BJ50" s="1015"/>
      <c r="BK50" s="1017">
        <f>BK49</f>
        <v>1</v>
      </c>
      <c r="BL50" s="74"/>
      <c r="BM50" s="86">
        <f>BM49</f>
        <v>0.25</v>
      </c>
      <c r="BN50" s="517"/>
      <c r="BO50" s="517"/>
      <c r="BP50" s="517"/>
      <c r="BQ50" s="517"/>
      <c r="BR50" s="517"/>
      <c r="BS50" s="517"/>
      <c r="BT50" s="517"/>
      <c r="BU50" s="517"/>
      <c r="BV50" s="517"/>
      <c r="BW50" s="517"/>
      <c r="BX50" s="517"/>
      <c r="BY50" s="517"/>
      <c r="BZ50" s="517"/>
      <c r="CA50" s="517"/>
      <c r="CB50" s="517"/>
      <c r="CC50" s="517"/>
      <c r="CD50" s="517"/>
      <c r="CE50" s="517"/>
      <c r="CF50" s="517"/>
      <c r="CG50" s="517"/>
      <c r="CH50" s="517"/>
      <c r="CI50" s="517"/>
      <c r="CJ50" s="517"/>
      <c r="CK50" s="517"/>
      <c r="CL50" s="517"/>
      <c r="CM50" s="517"/>
      <c r="CN50" s="517"/>
      <c r="CO50" s="517"/>
      <c r="CP50" s="517"/>
      <c r="CQ50" s="517"/>
      <c r="CR50" s="517"/>
      <c r="CS50" s="517"/>
      <c r="CT50" s="517"/>
      <c r="CU50" s="517"/>
      <c r="CV50" s="517"/>
      <c r="CW50" s="517"/>
      <c r="CX50" s="517"/>
    </row>
    <row r="51" spans="1:102" ht="63" customHeight="1" x14ac:dyDescent="0.2">
      <c r="A51" s="1856"/>
      <c r="B51" s="1858"/>
      <c r="C51" s="599"/>
      <c r="D51" s="599"/>
      <c r="E51" s="510"/>
      <c r="F51" s="510"/>
      <c r="G51" s="510"/>
      <c r="H51" s="510"/>
      <c r="I51" s="510"/>
      <c r="J51" s="510"/>
      <c r="K51" s="510"/>
      <c r="L51" s="510"/>
      <c r="M51" s="510"/>
      <c r="N51" s="510"/>
      <c r="O51" s="510"/>
      <c r="P51" s="510"/>
      <c r="Q51" s="510"/>
      <c r="R51" s="510"/>
      <c r="S51" s="510"/>
      <c r="T51" s="1850" t="s">
        <v>1576</v>
      </c>
      <c r="U51" s="508" t="s">
        <v>1577</v>
      </c>
      <c r="V51" s="512" t="s">
        <v>1578</v>
      </c>
      <c r="W51" s="513" t="s">
        <v>1579</v>
      </c>
      <c r="X51" s="50">
        <v>107</v>
      </c>
      <c r="Y51" s="50" t="s">
        <v>177</v>
      </c>
      <c r="Z51" s="50"/>
      <c r="AA51" s="50">
        <v>70</v>
      </c>
      <c r="AB51" s="50"/>
      <c r="AC51" s="54">
        <f>+AN51/X51</f>
        <v>0.40186915887850466</v>
      </c>
      <c r="AD51" s="54">
        <f>AA51/X51</f>
        <v>0.65420560747663548</v>
      </c>
      <c r="AE51" s="50"/>
      <c r="AF51" s="50"/>
      <c r="AG51" s="50"/>
      <c r="AH51" s="50"/>
      <c r="AI51" s="535"/>
      <c r="AJ51" s="50"/>
      <c r="AK51" s="50"/>
      <c r="AL51" s="50"/>
      <c r="AM51" s="50"/>
      <c r="AN51" s="535">
        <v>43</v>
      </c>
      <c r="AO51" s="50">
        <v>0</v>
      </c>
      <c r="AP51" s="535"/>
      <c r="AQ51" s="50">
        <v>0</v>
      </c>
      <c r="AR51" s="536"/>
      <c r="AS51" s="50">
        <v>0</v>
      </c>
      <c r="AT51" s="535"/>
      <c r="AU51" s="50">
        <v>0</v>
      </c>
      <c r="AV51" s="536"/>
      <c r="AW51" s="50">
        <f>+AO51+AQ51</f>
        <v>0</v>
      </c>
      <c r="AX51" s="54">
        <f>+AW51/AN51</f>
        <v>0</v>
      </c>
      <c r="AY51" s="50">
        <f>+AW51</f>
        <v>0</v>
      </c>
      <c r="AZ51" s="537">
        <v>0</v>
      </c>
      <c r="BA51" s="50">
        <v>70</v>
      </c>
      <c r="BB51" s="50">
        <v>0</v>
      </c>
      <c r="BC51" s="50"/>
      <c r="BD51" s="50">
        <v>0</v>
      </c>
      <c r="BE51" s="50"/>
      <c r="BF51" s="50">
        <v>0</v>
      </c>
      <c r="BG51" s="50"/>
      <c r="BH51" s="50">
        <v>0</v>
      </c>
      <c r="BI51" s="50"/>
      <c r="BJ51" s="50">
        <f>BB51</f>
        <v>0</v>
      </c>
      <c r="BK51" s="57">
        <f>BJ51/BA51</f>
        <v>0</v>
      </c>
      <c r="BL51" s="50">
        <f>BJ51+AY51</f>
        <v>0</v>
      </c>
      <c r="BM51" s="57">
        <f>BL51/X51</f>
        <v>0</v>
      </c>
      <c r="BN51" s="517"/>
      <c r="BO51" s="517"/>
      <c r="BP51" s="517"/>
      <c r="BQ51" s="517"/>
      <c r="BR51" s="517"/>
      <c r="BS51" s="517"/>
      <c r="BT51" s="517"/>
      <c r="BU51" s="517"/>
      <c r="BV51" s="517"/>
      <c r="BW51" s="517"/>
      <c r="BX51" s="517"/>
      <c r="BY51" s="517"/>
      <c r="BZ51" s="517"/>
      <c r="CA51" s="517"/>
      <c r="CB51" s="517"/>
      <c r="CC51" s="517"/>
      <c r="CD51" s="517"/>
      <c r="CE51" s="517"/>
      <c r="CF51" s="517"/>
      <c r="CG51" s="517"/>
      <c r="CH51" s="517"/>
      <c r="CI51" s="517"/>
      <c r="CJ51" s="517"/>
      <c r="CK51" s="517"/>
      <c r="CL51" s="517"/>
      <c r="CM51" s="517"/>
      <c r="CN51" s="517"/>
      <c r="CO51" s="517"/>
      <c r="CP51" s="517"/>
      <c r="CQ51" s="517"/>
      <c r="CR51" s="517"/>
      <c r="CS51" s="517"/>
      <c r="CT51" s="517"/>
      <c r="CU51" s="517"/>
      <c r="CV51" s="517"/>
      <c r="CW51" s="517"/>
      <c r="CX51" s="517"/>
    </row>
    <row r="52" spans="1:102" ht="49.5" customHeight="1" x14ac:dyDescent="0.2">
      <c r="A52" s="1856"/>
      <c r="B52" s="1858"/>
      <c r="C52" s="599"/>
      <c r="D52" s="599"/>
      <c r="E52" s="510"/>
      <c r="F52" s="510"/>
      <c r="G52" s="510"/>
      <c r="H52" s="510"/>
      <c r="I52" s="510"/>
      <c r="J52" s="510"/>
      <c r="K52" s="510"/>
      <c r="L52" s="510"/>
      <c r="M52" s="510"/>
      <c r="N52" s="510"/>
      <c r="O52" s="510"/>
      <c r="P52" s="510"/>
      <c r="Q52" s="510"/>
      <c r="R52" s="510"/>
      <c r="S52" s="510"/>
      <c r="T52" s="1851"/>
      <c r="U52" s="508" t="s">
        <v>1580</v>
      </c>
      <c r="V52" s="512" t="s">
        <v>1581</v>
      </c>
      <c r="W52" s="513" t="s">
        <v>1582</v>
      </c>
      <c r="X52" s="50">
        <v>100</v>
      </c>
      <c r="Y52" s="50" t="s">
        <v>177</v>
      </c>
      <c r="Z52" s="50"/>
      <c r="AA52" s="50">
        <v>75</v>
      </c>
      <c r="AB52" s="50"/>
      <c r="AC52" s="54">
        <f>+AN52/X52</f>
        <v>0.25</v>
      </c>
      <c r="AD52" s="54">
        <f>AA52/X52</f>
        <v>0.75</v>
      </c>
      <c r="AE52" s="50"/>
      <c r="AF52" s="50"/>
      <c r="AG52" s="50"/>
      <c r="AH52" s="50"/>
      <c r="AI52" s="535"/>
      <c r="AJ52" s="50"/>
      <c r="AK52" s="50"/>
      <c r="AL52" s="50"/>
      <c r="AM52" s="50"/>
      <c r="AN52" s="535">
        <v>25</v>
      </c>
      <c r="AO52" s="50">
        <v>0</v>
      </c>
      <c r="AP52" s="535"/>
      <c r="AQ52" s="50">
        <v>0</v>
      </c>
      <c r="AR52" s="536"/>
      <c r="AS52" s="50">
        <v>0</v>
      </c>
      <c r="AT52" s="535"/>
      <c r="AU52" s="50">
        <v>0</v>
      </c>
      <c r="AV52" s="536"/>
      <c r="AW52" s="50">
        <f>+AO52+AQ52</f>
        <v>0</v>
      </c>
      <c r="AX52" s="54">
        <f>+AW52/AN52</f>
        <v>0</v>
      </c>
      <c r="AY52" s="50">
        <f>+AW52</f>
        <v>0</v>
      </c>
      <c r="AZ52" s="537">
        <v>0</v>
      </c>
      <c r="BA52" s="50">
        <v>75</v>
      </c>
      <c r="BB52" s="50">
        <v>0</v>
      </c>
      <c r="BC52" s="50"/>
      <c r="BD52" s="50">
        <v>0</v>
      </c>
      <c r="BE52" s="50"/>
      <c r="BF52" s="50">
        <v>0</v>
      </c>
      <c r="BG52" s="50"/>
      <c r="BH52" s="50">
        <v>0</v>
      </c>
      <c r="BI52" s="50"/>
      <c r="BJ52" s="50">
        <f>BB52</f>
        <v>0</v>
      </c>
      <c r="BK52" s="57">
        <f>BJ52/BA52</f>
        <v>0</v>
      </c>
      <c r="BL52" s="50">
        <f>BJ52+AY52</f>
        <v>0</v>
      </c>
      <c r="BM52" s="57">
        <f>BL52/X52</f>
        <v>0</v>
      </c>
      <c r="BN52" s="517"/>
      <c r="BO52" s="517"/>
      <c r="BP52" s="517"/>
      <c r="BQ52" s="517"/>
      <c r="BR52" s="517"/>
      <c r="BS52" s="517"/>
      <c r="BT52" s="517"/>
      <c r="BU52" s="517"/>
      <c r="BV52" s="517"/>
      <c r="BW52" s="517"/>
      <c r="BX52" s="517"/>
      <c r="BY52" s="517"/>
      <c r="BZ52" s="517"/>
      <c r="CA52" s="517"/>
      <c r="CB52" s="517"/>
      <c r="CC52" s="517"/>
      <c r="CD52" s="517"/>
      <c r="CE52" s="517"/>
      <c r="CF52" s="517"/>
      <c r="CG52" s="517"/>
      <c r="CH52" s="517"/>
      <c r="CI52" s="517"/>
      <c r="CJ52" s="517"/>
      <c r="CK52" s="517"/>
      <c r="CL52" s="517"/>
      <c r="CM52" s="517"/>
      <c r="CN52" s="517"/>
      <c r="CO52" s="517"/>
      <c r="CP52" s="517"/>
      <c r="CQ52" s="517"/>
      <c r="CR52" s="517"/>
      <c r="CS52" s="517"/>
      <c r="CT52" s="517"/>
      <c r="CU52" s="517"/>
      <c r="CV52" s="517"/>
      <c r="CW52" s="517"/>
      <c r="CX52" s="517"/>
    </row>
    <row r="53" spans="1:102" ht="55.5" customHeight="1" x14ac:dyDescent="0.2">
      <c r="A53" s="1856"/>
      <c r="B53" s="1858"/>
      <c r="C53" s="599"/>
      <c r="D53" s="599"/>
      <c r="E53" s="510"/>
      <c r="F53" s="510"/>
      <c r="G53" s="510"/>
      <c r="H53" s="510"/>
      <c r="I53" s="510"/>
      <c r="J53" s="510"/>
      <c r="K53" s="510"/>
      <c r="L53" s="510"/>
      <c r="M53" s="510"/>
      <c r="N53" s="510"/>
      <c r="O53" s="510"/>
      <c r="P53" s="510"/>
      <c r="Q53" s="510"/>
      <c r="R53" s="510"/>
      <c r="S53" s="510"/>
      <c r="T53" s="1851"/>
      <c r="U53" s="508" t="s">
        <v>1583</v>
      </c>
      <c r="V53" s="512" t="s">
        <v>1584</v>
      </c>
      <c r="W53" s="513" t="s">
        <v>1585</v>
      </c>
      <c r="X53" s="50">
        <v>585</v>
      </c>
      <c r="Y53" s="50" t="s">
        <v>177</v>
      </c>
      <c r="Z53" s="50"/>
      <c r="AA53" s="50">
        <v>390</v>
      </c>
      <c r="AB53" s="50"/>
      <c r="AC53" s="54">
        <f>+AN53/X53</f>
        <v>0.33333333333333331</v>
      </c>
      <c r="AD53" s="54">
        <f>AA53/X53</f>
        <v>0.66666666666666663</v>
      </c>
      <c r="AE53" s="50"/>
      <c r="AF53" s="50"/>
      <c r="AG53" s="50"/>
      <c r="AH53" s="50"/>
      <c r="AI53" s="535"/>
      <c r="AJ53" s="50"/>
      <c r="AK53" s="50"/>
      <c r="AL53" s="50"/>
      <c r="AM53" s="50"/>
      <c r="AN53" s="535">
        <v>195</v>
      </c>
      <c r="AO53" s="50">
        <v>195</v>
      </c>
      <c r="AP53" s="535"/>
      <c r="AQ53" s="50">
        <v>0</v>
      </c>
      <c r="AR53" s="536"/>
      <c r="AS53" s="50">
        <v>0</v>
      </c>
      <c r="AT53" s="535"/>
      <c r="AU53" s="50">
        <v>0</v>
      </c>
      <c r="AV53" s="536"/>
      <c r="AW53" s="50">
        <f>+AO53+AQ53</f>
        <v>195</v>
      </c>
      <c r="AX53" s="54">
        <f>+AW53/AN53</f>
        <v>1</v>
      </c>
      <c r="AY53" s="50">
        <f>+AW53</f>
        <v>195</v>
      </c>
      <c r="AZ53" s="537">
        <f>+AY53/X53</f>
        <v>0.33333333333333331</v>
      </c>
      <c r="BA53" s="50">
        <v>390</v>
      </c>
      <c r="BB53" s="50">
        <v>0</v>
      </c>
      <c r="BC53" s="50"/>
      <c r="BD53" s="50">
        <v>0</v>
      </c>
      <c r="BE53" s="50">
        <v>0</v>
      </c>
      <c r="BF53" s="50">
        <v>0</v>
      </c>
      <c r="BG53" s="50"/>
      <c r="BH53" s="50">
        <v>0</v>
      </c>
      <c r="BI53" s="50"/>
      <c r="BJ53" s="50">
        <f>BB53</f>
        <v>0</v>
      </c>
      <c r="BK53" s="57">
        <f>BJ53/BA53</f>
        <v>0</v>
      </c>
      <c r="BL53" s="50">
        <f>BJ53+AY53</f>
        <v>195</v>
      </c>
      <c r="BM53" s="57">
        <f>BL53/X53</f>
        <v>0.33333333333333331</v>
      </c>
      <c r="BN53" s="517"/>
      <c r="BO53" s="517"/>
      <c r="BP53" s="517"/>
      <c r="BQ53" s="517"/>
      <c r="BR53" s="517"/>
      <c r="BS53" s="517"/>
      <c r="BT53" s="517"/>
      <c r="BU53" s="517"/>
      <c r="BV53" s="517"/>
      <c r="BW53" s="517"/>
      <c r="BX53" s="517"/>
      <c r="BY53" s="517"/>
      <c r="BZ53" s="517"/>
      <c r="CA53" s="517"/>
      <c r="CB53" s="517"/>
      <c r="CC53" s="517"/>
      <c r="CD53" s="517"/>
      <c r="CE53" s="517"/>
      <c r="CF53" s="517"/>
      <c r="CG53" s="517"/>
      <c r="CH53" s="517"/>
      <c r="CI53" s="517"/>
      <c r="CJ53" s="517"/>
      <c r="CK53" s="517"/>
      <c r="CL53" s="517"/>
      <c r="CM53" s="517"/>
      <c r="CN53" s="517"/>
      <c r="CO53" s="517"/>
      <c r="CP53" s="517"/>
      <c r="CQ53" s="517"/>
      <c r="CR53" s="517"/>
      <c r="CS53" s="517"/>
      <c r="CT53" s="517"/>
      <c r="CU53" s="517"/>
      <c r="CV53" s="517"/>
      <c r="CW53" s="517"/>
      <c r="CX53" s="517"/>
    </row>
    <row r="54" spans="1:102" ht="52.5" customHeight="1" x14ac:dyDescent="0.2">
      <c r="A54" s="1856"/>
      <c r="B54" s="1858"/>
      <c r="C54" s="599"/>
      <c r="D54" s="599"/>
      <c r="E54" s="510"/>
      <c r="F54" s="510"/>
      <c r="G54" s="510"/>
      <c r="H54" s="510"/>
      <c r="I54" s="510"/>
      <c r="J54" s="510"/>
      <c r="K54" s="510"/>
      <c r="L54" s="510"/>
      <c r="M54" s="510"/>
      <c r="N54" s="510"/>
      <c r="O54" s="510"/>
      <c r="P54" s="510"/>
      <c r="Q54" s="510"/>
      <c r="R54" s="510"/>
      <c r="S54" s="510"/>
      <c r="T54" s="1851"/>
      <c r="U54" s="508" t="s">
        <v>1586</v>
      </c>
      <c r="V54" s="512" t="s">
        <v>1587</v>
      </c>
      <c r="W54" s="513" t="s">
        <v>1588</v>
      </c>
      <c r="X54" s="50">
        <v>1</v>
      </c>
      <c r="Y54" s="50" t="s">
        <v>177</v>
      </c>
      <c r="Z54" s="50"/>
      <c r="AA54" s="50">
        <v>1</v>
      </c>
      <c r="AB54" s="50"/>
      <c r="AC54" s="54">
        <f>+AN54/X54</f>
        <v>1</v>
      </c>
      <c r="AD54" s="54"/>
      <c r="AE54" s="50"/>
      <c r="AF54" s="50"/>
      <c r="AG54" s="50"/>
      <c r="AH54" s="50"/>
      <c r="AI54" s="535"/>
      <c r="AJ54" s="50"/>
      <c r="AK54" s="50"/>
      <c r="AL54" s="50"/>
      <c r="AM54" s="50"/>
      <c r="AN54" s="535">
        <v>1</v>
      </c>
      <c r="AO54" s="50">
        <v>0</v>
      </c>
      <c r="AP54" s="535"/>
      <c r="AQ54" s="50">
        <v>0</v>
      </c>
      <c r="AR54" s="536"/>
      <c r="AS54" s="50">
        <v>0</v>
      </c>
      <c r="AT54" s="535"/>
      <c r="AU54" s="50">
        <v>1</v>
      </c>
      <c r="AV54" s="536"/>
      <c r="AW54" s="50">
        <f>+AU54</f>
        <v>1</v>
      </c>
      <c r="AX54" s="54">
        <f>+AW54/AN54</f>
        <v>1</v>
      </c>
      <c r="AY54" s="50">
        <f>+AW54</f>
        <v>1</v>
      </c>
      <c r="AZ54" s="537">
        <v>1</v>
      </c>
      <c r="BA54" s="50">
        <v>1</v>
      </c>
      <c r="BB54" s="50">
        <v>0</v>
      </c>
      <c r="BC54" s="50"/>
      <c r="BD54" s="50">
        <v>0</v>
      </c>
      <c r="BE54" s="50"/>
      <c r="BF54" s="50">
        <v>1</v>
      </c>
      <c r="BG54" s="50" t="s">
        <v>2263</v>
      </c>
      <c r="BH54" s="50"/>
      <c r="BI54" s="50"/>
      <c r="BJ54" s="50">
        <v>1</v>
      </c>
      <c r="BK54" s="57">
        <f>BJ54/BA54</f>
        <v>1</v>
      </c>
      <c r="BL54" s="50">
        <v>1</v>
      </c>
      <c r="BM54" s="57">
        <f>BL54/X54</f>
        <v>1</v>
      </c>
      <c r="BN54" s="517"/>
      <c r="BO54" s="517"/>
      <c r="BP54" s="517"/>
      <c r="BQ54" s="517"/>
      <c r="BR54" s="517"/>
      <c r="BS54" s="517"/>
      <c r="BT54" s="517"/>
      <c r="BU54" s="517"/>
      <c r="BV54" s="517"/>
      <c r="BW54" s="517"/>
      <c r="BX54" s="517"/>
      <c r="BY54" s="517"/>
      <c r="BZ54" s="517"/>
      <c r="CA54" s="517"/>
      <c r="CB54" s="517"/>
      <c r="CC54" s="517"/>
      <c r="CD54" s="517"/>
      <c r="CE54" s="517"/>
      <c r="CF54" s="517"/>
      <c r="CG54" s="517"/>
      <c r="CH54" s="517"/>
      <c r="CI54" s="517"/>
      <c r="CJ54" s="517"/>
      <c r="CK54" s="517"/>
      <c r="CL54" s="517"/>
      <c r="CM54" s="517"/>
      <c r="CN54" s="517"/>
      <c r="CO54" s="517"/>
      <c r="CP54" s="517"/>
      <c r="CQ54" s="517"/>
      <c r="CR54" s="517"/>
      <c r="CS54" s="517"/>
      <c r="CT54" s="517"/>
      <c r="CU54" s="517"/>
      <c r="CV54" s="517"/>
      <c r="CW54" s="517"/>
      <c r="CX54" s="517"/>
    </row>
    <row r="55" spans="1:102" ht="12" customHeight="1" x14ac:dyDescent="0.2">
      <c r="A55" s="1856"/>
      <c r="B55" s="1858"/>
      <c r="C55" s="599"/>
      <c r="D55" s="599"/>
      <c r="E55" s="510"/>
      <c r="F55" s="510"/>
      <c r="G55" s="510"/>
      <c r="H55" s="510"/>
      <c r="I55" s="510"/>
      <c r="J55" s="510"/>
      <c r="K55" s="510"/>
      <c r="L55" s="510"/>
      <c r="M55" s="510"/>
      <c r="N55" s="510"/>
      <c r="O55" s="510"/>
      <c r="P55" s="510"/>
      <c r="Q55" s="510"/>
      <c r="R55" s="510"/>
      <c r="S55" s="510"/>
      <c r="T55" s="1852"/>
      <c r="U55" s="85"/>
      <c r="V55" s="85"/>
      <c r="W55" s="85"/>
      <c r="X55" s="72"/>
      <c r="Y55" s="72"/>
      <c r="Z55" s="72"/>
      <c r="AA55" s="72"/>
      <c r="AB55" s="72"/>
      <c r="AC55" s="86">
        <f>AVERAGE(AC51:AC54)</f>
        <v>0.49630062305295947</v>
      </c>
      <c r="AD55" s="86">
        <f>AVERAGE(AD51:AD54)</f>
        <v>0.69029075804776729</v>
      </c>
      <c r="AE55" s="72"/>
      <c r="AF55" s="72"/>
      <c r="AG55" s="72"/>
      <c r="AH55" s="72"/>
      <c r="AI55" s="552"/>
      <c r="AJ55" s="72"/>
      <c r="AK55" s="72"/>
      <c r="AL55" s="72"/>
      <c r="AM55" s="72"/>
      <c r="AN55" s="552"/>
      <c r="AO55" s="552"/>
      <c r="AP55" s="552"/>
      <c r="AQ55" s="72"/>
      <c r="AR55" s="608"/>
      <c r="AS55" s="552"/>
      <c r="AT55" s="552"/>
      <c r="AU55" s="72"/>
      <c r="AV55" s="608"/>
      <c r="AW55" s="552"/>
      <c r="AX55" s="530">
        <f>AVERAGE(AX51:AX54)</f>
        <v>0.5</v>
      </c>
      <c r="AY55" s="530"/>
      <c r="AZ55" s="530">
        <f>AVERAGE(AZ51:AZ54)</f>
        <v>0.33333333333333331</v>
      </c>
      <c r="BA55" s="531"/>
      <c r="BB55" s="531"/>
      <c r="BC55" s="531"/>
      <c r="BD55" s="531"/>
      <c r="BE55" s="531"/>
      <c r="BF55" s="531"/>
      <c r="BG55" s="531"/>
      <c r="BH55" s="531"/>
      <c r="BI55" s="531"/>
      <c r="BJ55" s="531"/>
      <c r="BK55" s="568">
        <f>AVERAGE(BK51:BK54)</f>
        <v>0.25</v>
      </c>
      <c r="BL55" s="531"/>
      <c r="BM55" s="568">
        <f>AVERAGE(BM51:BM54)</f>
        <v>0.33333333333333331</v>
      </c>
      <c r="BN55" s="517"/>
      <c r="BO55" s="517"/>
      <c r="BP55" s="517"/>
      <c r="BQ55" s="517"/>
      <c r="BR55" s="517"/>
      <c r="BS55" s="517"/>
      <c r="BT55" s="517"/>
      <c r="BU55" s="517"/>
      <c r="BV55" s="517"/>
      <c r="BW55" s="517"/>
      <c r="BX55" s="517"/>
      <c r="BY55" s="517"/>
      <c r="BZ55" s="517"/>
      <c r="CA55" s="517"/>
      <c r="CB55" s="517"/>
      <c r="CC55" s="517"/>
      <c r="CD55" s="517"/>
      <c r="CE55" s="517"/>
      <c r="CF55" s="517"/>
      <c r="CG55" s="517"/>
      <c r="CH55" s="517"/>
      <c r="CI55" s="517"/>
      <c r="CJ55" s="517"/>
      <c r="CK55" s="517"/>
      <c r="CL55" s="517"/>
      <c r="CM55" s="517"/>
      <c r="CN55" s="517"/>
      <c r="CO55" s="517"/>
      <c r="CP55" s="517"/>
      <c r="CQ55" s="517"/>
      <c r="CR55" s="517"/>
      <c r="CS55" s="517"/>
      <c r="CT55" s="517"/>
      <c r="CU55" s="517"/>
      <c r="CV55" s="517"/>
      <c r="CW55" s="517"/>
      <c r="CX55" s="517"/>
    </row>
    <row r="56" spans="1:102" ht="37.5" customHeight="1" x14ac:dyDescent="0.2">
      <c r="A56" s="1856"/>
      <c r="B56" s="1858"/>
      <c r="C56" s="599"/>
      <c r="D56" s="599"/>
      <c r="E56" s="510"/>
      <c r="F56" s="510"/>
      <c r="G56" s="510"/>
      <c r="H56" s="510"/>
      <c r="I56" s="510"/>
      <c r="J56" s="510"/>
      <c r="K56" s="510"/>
      <c r="L56" s="510"/>
      <c r="M56" s="510"/>
      <c r="N56" s="510"/>
      <c r="O56" s="510"/>
      <c r="P56" s="510"/>
      <c r="Q56" s="510"/>
      <c r="R56" s="510"/>
      <c r="S56" s="510"/>
      <c r="T56" s="1850" t="s">
        <v>1589</v>
      </c>
      <c r="U56" s="508" t="s">
        <v>1590</v>
      </c>
      <c r="V56" s="512">
        <v>37</v>
      </c>
      <c r="W56" s="513" t="s">
        <v>1591</v>
      </c>
      <c r="X56" s="50">
        <v>4</v>
      </c>
      <c r="Y56" s="50" t="s">
        <v>177</v>
      </c>
      <c r="Z56" s="50"/>
      <c r="AA56" s="50">
        <v>3</v>
      </c>
      <c r="AB56" s="50"/>
      <c r="AC56" s="54">
        <f>+AN56/X56</f>
        <v>0.5</v>
      </c>
      <c r="AD56" s="54">
        <f>AA56/X56</f>
        <v>0.75</v>
      </c>
      <c r="AE56" s="50"/>
      <c r="AF56" s="50"/>
      <c r="AG56" s="50"/>
      <c r="AH56" s="50"/>
      <c r="AI56" s="535"/>
      <c r="AJ56" s="50"/>
      <c r="AK56" s="50"/>
      <c r="AL56" s="50"/>
      <c r="AM56" s="50"/>
      <c r="AN56" s="535">
        <v>2</v>
      </c>
      <c r="AO56" s="510">
        <v>0</v>
      </c>
      <c r="AP56" s="526"/>
      <c r="AQ56" s="50">
        <v>0</v>
      </c>
      <c r="AR56" s="527"/>
      <c r="AS56" s="50">
        <v>0</v>
      </c>
      <c r="AT56" s="535"/>
      <c r="AU56" s="50">
        <v>1</v>
      </c>
      <c r="AV56" s="527"/>
      <c r="AW56" s="510">
        <f>+AU56</f>
        <v>1</v>
      </c>
      <c r="AX56" s="523">
        <f>+AW56/AN56</f>
        <v>0.5</v>
      </c>
      <c r="AY56" s="50">
        <f>+AW56</f>
        <v>1</v>
      </c>
      <c r="AZ56" s="537">
        <f>+AY56/X56</f>
        <v>0.25</v>
      </c>
      <c r="BA56" s="50">
        <v>3</v>
      </c>
      <c r="BB56" s="50">
        <v>0</v>
      </c>
      <c r="BC56" s="50"/>
      <c r="BD56" s="50">
        <v>0</v>
      </c>
      <c r="BE56" s="50"/>
      <c r="BF56" s="50">
        <v>0</v>
      </c>
      <c r="BG56" s="1202" t="s">
        <v>2264</v>
      </c>
      <c r="BH56" s="50">
        <v>0</v>
      </c>
      <c r="BI56" s="50"/>
      <c r="BJ56" s="50">
        <f>+BH56</f>
        <v>0</v>
      </c>
      <c r="BK56" s="57">
        <f>BJ56/BA56</f>
        <v>0</v>
      </c>
      <c r="BL56" s="50">
        <f>BJ56+AY56</f>
        <v>1</v>
      </c>
      <c r="BM56" s="57">
        <f>BL56/X56</f>
        <v>0.25</v>
      </c>
      <c r="BN56" s="517"/>
      <c r="BO56" s="517"/>
      <c r="BP56" s="517"/>
      <c r="BQ56" s="517"/>
      <c r="BR56" s="517"/>
      <c r="BS56" s="517"/>
      <c r="BT56" s="517"/>
      <c r="BU56" s="517"/>
      <c r="BV56" s="517"/>
      <c r="BW56" s="517"/>
      <c r="BX56" s="517"/>
      <c r="BY56" s="517"/>
      <c r="BZ56" s="517"/>
      <c r="CA56" s="517"/>
      <c r="CB56" s="517"/>
      <c r="CC56" s="517"/>
      <c r="CD56" s="517"/>
      <c r="CE56" s="517"/>
      <c r="CF56" s="517"/>
      <c r="CG56" s="517"/>
      <c r="CH56" s="517"/>
      <c r="CI56" s="517"/>
      <c r="CJ56" s="517"/>
      <c r="CK56" s="517"/>
      <c r="CL56" s="517"/>
      <c r="CM56" s="517"/>
      <c r="CN56" s="517"/>
      <c r="CO56" s="517"/>
      <c r="CP56" s="517"/>
      <c r="CQ56" s="517"/>
      <c r="CR56" s="517"/>
      <c r="CS56" s="517"/>
      <c r="CT56" s="517"/>
      <c r="CU56" s="517"/>
      <c r="CV56" s="517"/>
      <c r="CW56" s="517"/>
      <c r="CX56" s="517"/>
    </row>
    <row r="57" spans="1:102" ht="39" customHeight="1" x14ac:dyDescent="0.2">
      <c r="A57" s="1856"/>
      <c r="B57" s="1858"/>
      <c r="C57" s="599"/>
      <c r="D57" s="599"/>
      <c r="E57" s="510"/>
      <c r="F57" s="510"/>
      <c r="G57" s="510"/>
      <c r="H57" s="510"/>
      <c r="I57" s="510"/>
      <c r="J57" s="510"/>
      <c r="K57" s="510"/>
      <c r="L57" s="510"/>
      <c r="M57" s="510"/>
      <c r="N57" s="510"/>
      <c r="O57" s="510"/>
      <c r="P57" s="510"/>
      <c r="Q57" s="510"/>
      <c r="R57" s="510"/>
      <c r="S57" s="510"/>
      <c r="T57" s="1851"/>
      <c r="U57" s="508" t="s">
        <v>1592</v>
      </c>
      <c r="V57" s="512">
        <v>317</v>
      </c>
      <c r="W57" s="513" t="s">
        <v>1593</v>
      </c>
      <c r="X57" s="50">
        <v>20</v>
      </c>
      <c r="Y57" s="50" t="s">
        <v>177</v>
      </c>
      <c r="Z57" s="50"/>
      <c r="AA57" s="50">
        <v>12</v>
      </c>
      <c r="AB57" s="50"/>
      <c r="AC57" s="54">
        <f>+AN57/X57</f>
        <v>0.25</v>
      </c>
      <c r="AD57" s="54">
        <f>AA57/X57</f>
        <v>0.6</v>
      </c>
      <c r="AE57" s="50"/>
      <c r="AF57" s="50"/>
      <c r="AG57" s="50"/>
      <c r="AH57" s="50"/>
      <c r="AI57" s="535"/>
      <c r="AJ57" s="50"/>
      <c r="AK57" s="50"/>
      <c r="AL57" s="50"/>
      <c r="AM57" s="50"/>
      <c r="AN57" s="535">
        <v>5</v>
      </c>
      <c r="AO57" s="510">
        <v>3</v>
      </c>
      <c r="AP57" s="526"/>
      <c r="AQ57" s="50">
        <v>0</v>
      </c>
      <c r="AR57" s="527"/>
      <c r="AS57" s="50">
        <v>0</v>
      </c>
      <c r="AT57" s="535"/>
      <c r="AU57" s="50">
        <v>0</v>
      </c>
      <c r="AV57" s="527"/>
      <c r="AW57" s="510">
        <f>+AO57</f>
        <v>3</v>
      </c>
      <c r="AX57" s="523">
        <f>+AW57/AN57</f>
        <v>0.6</v>
      </c>
      <c r="AY57" s="50">
        <f>+AW57</f>
        <v>3</v>
      </c>
      <c r="AZ57" s="537">
        <f>+AY57/X57</f>
        <v>0.15</v>
      </c>
      <c r="BA57" s="50">
        <v>12</v>
      </c>
      <c r="BB57" s="50">
        <v>0</v>
      </c>
      <c r="BC57" s="50"/>
      <c r="BD57" s="50">
        <v>4</v>
      </c>
      <c r="BE57" s="50"/>
      <c r="BF57" s="50">
        <v>0</v>
      </c>
      <c r="BG57" s="50"/>
      <c r="BH57" s="50">
        <v>20</v>
      </c>
      <c r="BI57" s="50"/>
      <c r="BJ57" s="50">
        <f>+BD57+BF57+BH57</f>
        <v>24</v>
      </c>
      <c r="BK57" s="57">
        <v>1</v>
      </c>
      <c r="BL57" s="50">
        <f>BJ57+AY57</f>
        <v>27</v>
      </c>
      <c r="BM57" s="57">
        <v>1</v>
      </c>
      <c r="BN57" s="517"/>
      <c r="BO57" s="517"/>
      <c r="BP57" s="517"/>
      <c r="BQ57" s="517"/>
      <c r="BR57" s="517"/>
      <c r="BS57" s="517"/>
      <c r="BT57" s="517"/>
      <c r="BU57" s="517"/>
      <c r="BV57" s="517"/>
      <c r="BW57" s="517"/>
      <c r="BX57" s="517"/>
      <c r="BY57" s="517"/>
      <c r="BZ57" s="517"/>
      <c r="CA57" s="517"/>
      <c r="CB57" s="517"/>
      <c r="CC57" s="517"/>
      <c r="CD57" s="517"/>
      <c r="CE57" s="517"/>
      <c r="CF57" s="517"/>
      <c r="CG57" s="517"/>
      <c r="CH57" s="517"/>
      <c r="CI57" s="517"/>
      <c r="CJ57" s="517"/>
      <c r="CK57" s="517"/>
      <c r="CL57" s="517"/>
      <c r="CM57" s="517"/>
      <c r="CN57" s="517"/>
      <c r="CO57" s="517"/>
      <c r="CP57" s="517"/>
      <c r="CQ57" s="517"/>
      <c r="CR57" s="517"/>
      <c r="CS57" s="517"/>
      <c r="CT57" s="517"/>
      <c r="CU57" s="517"/>
      <c r="CV57" s="517"/>
      <c r="CW57" s="517"/>
      <c r="CX57" s="517"/>
    </row>
    <row r="58" spans="1:102" ht="12" customHeight="1" x14ac:dyDescent="0.2">
      <c r="A58" s="1856"/>
      <c r="B58" s="1858"/>
      <c r="C58" s="599"/>
      <c r="D58" s="599"/>
      <c r="E58" s="510"/>
      <c r="F58" s="510"/>
      <c r="G58" s="510"/>
      <c r="H58" s="510"/>
      <c r="I58" s="510"/>
      <c r="J58" s="510"/>
      <c r="K58" s="510"/>
      <c r="L58" s="510"/>
      <c r="M58" s="510"/>
      <c r="N58" s="510"/>
      <c r="O58" s="510"/>
      <c r="P58" s="510"/>
      <c r="Q58" s="510"/>
      <c r="R58" s="510"/>
      <c r="S58" s="510"/>
      <c r="T58" s="1852"/>
      <c r="U58" s="85"/>
      <c r="V58" s="85"/>
      <c r="W58" s="85"/>
      <c r="X58" s="72"/>
      <c r="Y58" s="72"/>
      <c r="Z58" s="72"/>
      <c r="AA58" s="72"/>
      <c r="AB58" s="72"/>
      <c r="AC58" s="86">
        <f>AVERAGE(AC56:AC57)</f>
        <v>0.375</v>
      </c>
      <c r="AD58" s="86">
        <f>AVERAGE(AD56:AD57)</f>
        <v>0.67500000000000004</v>
      </c>
      <c r="AE58" s="72"/>
      <c r="AF58" s="72"/>
      <c r="AG58" s="72"/>
      <c r="AH58" s="72"/>
      <c r="AI58" s="552"/>
      <c r="AJ58" s="72"/>
      <c r="AK58" s="72"/>
      <c r="AL58" s="72"/>
      <c r="AM58" s="72"/>
      <c r="AN58" s="552"/>
      <c r="AO58" s="552"/>
      <c r="AP58" s="552"/>
      <c r="AQ58" s="72"/>
      <c r="AR58" s="608"/>
      <c r="AS58" s="552"/>
      <c r="AT58" s="552"/>
      <c r="AU58" s="72"/>
      <c r="AV58" s="608"/>
      <c r="AW58" s="552"/>
      <c r="AX58" s="530">
        <f>AVERAGE(AX56:AX57)</f>
        <v>0.55000000000000004</v>
      </c>
      <c r="AY58" s="510"/>
      <c r="AZ58" s="530">
        <f>AVERAGE(AZ56:AZ57)</f>
        <v>0.2</v>
      </c>
      <c r="BA58" s="531"/>
      <c r="BB58" s="531"/>
      <c r="BC58" s="531"/>
      <c r="BD58" s="531"/>
      <c r="BE58" s="531"/>
      <c r="BF58" s="531"/>
      <c r="BG58" s="531"/>
      <c r="BH58" s="531"/>
      <c r="BI58" s="531"/>
      <c r="BJ58" s="531"/>
      <c r="BK58" s="568">
        <f>AVERAGE(BK56:BK57)</f>
        <v>0.5</v>
      </c>
      <c r="BL58" s="531"/>
      <c r="BM58" s="568">
        <f>AVERAGE(BM56:BM57)</f>
        <v>0.625</v>
      </c>
      <c r="BN58" s="517"/>
      <c r="BO58" s="517"/>
      <c r="BP58" s="517"/>
      <c r="BQ58" s="517"/>
      <c r="BR58" s="517"/>
      <c r="BS58" s="517"/>
      <c r="BT58" s="517"/>
      <c r="BU58" s="517"/>
      <c r="BV58" s="517"/>
      <c r="BW58" s="517"/>
      <c r="BX58" s="517"/>
      <c r="BY58" s="517"/>
      <c r="BZ58" s="517"/>
      <c r="CA58" s="517"/>
      <c r="CB58" s="517"/>
      <c r="CC58" s="517"/>
      <c r="CD58" s="517"/>
      <c r="CE58" s="517"/>
      <c r="CF58" s="517"/>
      <c r="CG58" s="517"/>
      <c r="CH58" s="517"/>
      <c r="CI58" s="517"/>
      <c r="CJ58" s="517"/>
      <c r="CK58" s="517"/>
      <c r="CL58" s="517"/>
      <c r="CM58" s="517"/>
      <c r="CN58" s="517"/>
      <c r="CO58" s="517"/>
      <c r="CP58" s="517"/>
      <c r="CQ58" s="517"/>
      <c r="CR58" s="517"/>
      <c r="CS58" s="517"/>
      <c r="CT58" s="517"/>
      <c r="CU58" s="517"/>
      <c r="CV58" s="517"/>
      <c r="CW58" s="517"/>
      <c r="CX58" s="517"/>
    </row>
    <row r="59" spans="1:102" ht="40.5" customHeight="1" x14ac:dyDescent="0.2">
      <c r="A59" s="1856"/>
      <c r="B59" s="1858"/>
      <c r="C59" s="599"/>
      <c r="D59" s="599"/>
      <c r="E59" s="510"/>
      <c r="F59" s="510"/>
      <c r="G59" s="510"/>
      <c r="H59" s="510"/>
      <c r="I59" s="510"/>
      <c r="J59" s="510"/>
      <c r="K59" s="510"/>
      <c r="L59" s="510"/>
      <c r="M59" s="510"/>
      <c r="N59" s="510"/>
      <c r="O59" s="510"/>
      <c r="P59" s="510"/>
      <c r="Q59" s="510"/>
      <c r="R59" s="510"/>
      <c r="S59" s="510"/>
      <c r="T59" s="1850" t="s">
        <v>1594</v>
      </c>
      <c r="U59" s="508" t="s">
        <v>1595</v>
      </c>
      <c r="V59" s="609">
        <v>32</v>
      </c>
      <c r="W59" s="513" t="s">
        <v>1596</v>
      </c>
      <c r="X59" s="50">
        <v>5</v>
      </c>
      <c r="Y59" s="50" t="s">
        <v>177</v>
      </c>
      <c r="Z59" s="50"/>
      <c r="AA59" s="50">
        <v>4</v>
      </c>
      <c r="AB59" s="50"/>
      <c r="AC59" s="54">
        <f>+AN59/X59</f>
        <v>0.6</v>
      </c>
      <c r="AD59" s="54">
        <f>AA59/X59</f>
        <v>0.8</v>
      </c>
      <c r="AE59" s="50"/>
      <c r="AF59" s="50"/>
      <c r="AG59" s="50"/>
      <c r="AH59" s="50"/>
      <c r="AI59" s="535"/>
      <c r="AJ59" s="50"/>
      <c r="AK59" s="50"/>
      <c r="AL59" s="50"/>
      <c r="AM59" s="50"/>
      <c r="AN59" s="535">
        <v>3</v>
      </c>
      <c r="AO59" s="50">
        <v>0</v>
      </c>
      <c r="AP59" s="535"/>
      <c r="AQ59" s="50">
        <v>0</v>
      </c>
      <c r="AR59" s="536"/>
      <c r="AS59" s="50">
        <v>0</v>
      </c>
      <c r="AT59" s="535"/>
      <c r="AU59" s="50"/>
      <c r="AV59" s="536"/>
      <c r="AW59" s="50">
        <f>+AO59+AQ59</f>
        <v>0</v>
      </c>
      <c r="AX59" s="54">
        <f>+AW59/AN59</f>
        <v>0</v>
      </c>
      <c r="AY59" s="50">
        <f>+AW59</f>
        <v>0</v>
      </c>
      <c r="AZ59" s="537">
        <v>0</v>
      </c>
      <c r="BA59" s="50">
        <v>4</v>
      </c>
      <c r="BB59" s="50">
        <v>0</v>
      </c>
      <c r="BC59" s="50"/>
      <c r="BD59" s="50">
        <v>0</v>
      </c>
      <c r="BE59" s="50"/>
      <c r="BF59" s="50">
        <v>0</v>
      </c>
      <c r="BG59" s="50"/>
      <c r="BH59" s="50">
        <v>7</v>
      </c>
      <c r="BI59" s="50"/>
      <c r="BJ59" s="50">
        <f>+BH59</f>
        <v>7</v>
      </c>
      <c r="BK59" s="57">
        <v>1</v>
      </c>
      <c r="BL59" s="50">
        <f>BJ59+AY59</f>
        <v>7</v>
      </c>
      <c r="BM59" s="57">
        <v>1</v>
      </c>
      <c r="BN59" s="517"/>
      <c r="BO59" s="517"/>
      <c r="BP59" s="517"/>
      <c r="BQ59" s="517"/>
      <c r="BR59" s="517"/>
      <c r="BS59" s="517"/>
      <c r="BT59" s="517"/>
      <c r="BU59" s="517"/>
      <c r="BV59" s="517"/>
      <c r="BW59" s="517"/>
      <c r="BX59" s="517"/>
      <c r="BY59" s="517"/>
      <c r="BZ59" s="517"/>
      <c r="CA59" s="517"/>
      <c r="CB59" s="517"/>
      <c r="CC59" s="517"/>
      <c r="CD59" s="517"/>
      <c r="CE59" s="517"/>
      <c r="CF59" s="517"/>
      <c r="CG59" s="517"/>
      <c r="CH59" s="517"/>
      <c r="CI59" s="517"/>
      <c r="CJ59" s="517"/>
      <c r="CK59" s="517"/>
      <c r="CL59" s="517"/>
      <c r="CM59" s="517"/>
      <c r="CN59" s="517"/>
      <c r="CO59" s="517"/>
      <c r="CP59" s="517"/>
      <c r="CQ59" s="517"/>
      <c r="CR59" s="517"/>
      <c r="CS59" s="517"/>
      <c r="CT59" s="517"/>
      <c r="CU59" s="517"/>
      <c r="CV59" s="517"/>
      <c r="CW59" s="517"/>
      <c r="CX59" s="517"/>
    </row>
    <row r="60" spans="1:102" ht="32.25" customHeight="1" x14ac:dyDescent="0.2">
      <c r="A60" s="1856"/>
      <c r="B60" s="1858"/>
      <c r="C60" s="599"/>
      <c r="D60" s="599"/>
      <c r="E60" s="510"/>
      <c r="F60" s="510"/>
      <c r="G60" s="510"/>
      <c r="H60" s="510"/>
      <c r="I60" s="510"/>
      <c r="J60" s="510"/>
      <c r="K60" s="510"/>
      <c r="L60" s="510"/>
      <c r="M60" s="510"/>
      <c r="N60" s="510"/>
      <c r="O60" s="510"/>
      <c r="P60" s="510"/>
      <c r="Q60" s="510"/>
      <c r="R60" s="510"/>
      <c r="S60" s="510"/>
      <c r="T60" s="1851"/>
      <c r="U60" s="508" t="s">
        <v>1597</v>
      </c>
      <c r="V60" s="609">
        <v>0</v>
      </c>
      <c r="W60" s="513" t="s">
        <v>1598</v>
      </c>
      <c r="X60" s="50">
        <v>1000</v>
      </c>
      <c r="Y60" s="50">
        <v>400</v>
      </c>
      <c r="Z60" s="50"/>
      <c r="AA60" s="50">
        <v>200</v>
      </c>
      <c r="AB60" s="54">
        <f>+Y60/X60</f>
        <v>0.4</v>
      </c>
      <c r="AC60" s="54">
        <f>+AN60/X60</f>
        <v>0.4</v>
      </c>
      <c r="AD60" s="54">
        <f>AA60/X60</f>
        <v>0.2</v>
      </c>
      <c r="AE60" s="50">
        <v>500</v>
      </c>
      <c r="AF60" s="50">
        <v>500</v>
      </c>
      <c r="AG60" s="50"/>
      <c r="AH60" s="50">
        <v>500</v>
      </c>
      <c r="AI60" s="535"/>
      <c r="AJ60" s="50">
        <v>500</v>
      </c>
      <c r="AK60" s="54">
        <v>1</v>
      </c>
      <c r="AL60" s="50">
        <f>+AJ60</f>
        <v>500</v>
      </c>
      <c r="AM60" s="54">
        <f>+AL60/X60</f>
        <v>0.5</v>
      </c>
      <c r="AN60" s="535">
        <v>400</v>
      </c>
      <c r="AO60" s="50">
        <v>0</v>
      </c>
      <c r="AP60" s="535"/>
      <c r="AQ60" s="50">
        <v>0</v>
      </c>
      <c r="AR60" s="536"/>
      <c r="AS60" s="50"/>
      <c r="AT60" s="535"/>
      <c r="AU60" s="50">
        <v>200</v>
      </c>
      <c r="AV60" s="536"/>
      <c r="AW60" s="50">
        <f>+AU60</f>
        <v>200</v>
      </c>
      <c r="AX60" s="54">
        <f>+AW60/AN60</f>
        <v>0.5</v>
      </c>
      <c r="AY60" s="50">
        <f>+AU60+AL60</f>
        <v>700</v>
      </c>
      <c r="AZ60" s="537">
        <f>+AY60/1000</f>
        <v>0.7</v>
      </c>
      <c r="BA60" s="50">
        <v>200</v>
      </c>
      <c r="BB60" s="50">
        <v>0</v>
      </c>
      <c r="BC60" s="50"/>
      <c r="BD60" s="50">
        <v>0</v>
      </c>
      <c r="BE60" s="50"/>
      <c r="BF60" s="50">
        <v>0</v>
      </c>
      <c r="BG60" s="50"/>
      <c r="BH60" s="50">
        <v>500</v>
      </c>
      <c r="BI60" s="50"/>
      <c r="BJ60" s="50">
        <f>+BH60</f>
        <v>500</v>
      </c>
      <c r="BK60" s="57">
        <v>1</v>
      </c>
      <c r="BL60" s="50">
        <f>BJ60+AY60</f>
        <v>1200</v>
      </c>
      <c r="BM60" s="57">
        <v>1</v>
      </c>
      <c r="BN60" s="517"/>
      <c r="BO60" s="517"/>
      <c r="BP60" s="517"/>
      <c r="BQ60" s="517"/>
      <c r="BR60" s="517"/>
      <c r="BS60" s="517"/>
      <c r="BT60" s="517"/>
      <c r="BU60" s="517"/>
      <c r="BV60" s="517"/>
      <c r="BW60" s="517"/>
      <c r="BX60" s="517"/>
      <c r="BY60" s="517"/>
      <c r="BZ60" s="517"/>
      <c r="CA60" s="517"/>
      <c r="CB60" s="517"/>
      <c r="CC60" s="517"/>
      <c r="CD60" s="517"/>
      <c r="CE60" s="517"/>
      <c r="CF60" s="517"/>
      <c r="CG60" s="517"/>
      <c r="CH60" s="517"/>
      <c r="CI60" s="517"/>
      <c r="CJ60" s="517"/>
      <c r="CK60" s="517"/>
      <c r="CL60" s="517"/>
      <c r="CM60" s="517"/>
      <c r="CN60" s="517"/>
      <c r="CO60" s="517"/>
      <c r="CP60" s="517"/>
      <c r="CQ60" s="517"/>
      <c r="CR60" s="517"/>
      <c r="CS60" s="517"/>
      <c r="CT60" s="517"/>
      <c r="CU60" s="517"/>
      <c r="CV60" s="517"/>
      <c r="CW60" s="517"/>
      <c r="CX60" s="517"/>
    </row>
    <row r="61" spans="1:102" ht="33.75" customHeight="1" x14ac:dyDescent="0.2">
      <c r="A61" s="1856"/>
      <c r="B61" s="1858"/>
      <c r="C61" s="599"/>
      <c r="D61" s="599"/>
      <c r="E61" s="510"/>
      <c r="F61" s="510"/>
      <c r="G61" s="510"/>
      <c r="H61" s="510"/>
      <c r="I61" s="510"/>
      <c r="J61" s="510"/>
      <c r="K61" s="510"/>
      <c r="L61" s="510"/>
      <c r="M61" s="510"/>
      <c r="N61" s="510"/>
      <c r="O61" s="510"/>
      <c r="P61" s="510"/>
      <c r="Q61" s="510"/>
      <c r="R61" s="510"/>
      <c r="S61" s="510"/>
      <c r="T61" s="1851"/>
      <c r="U61" s="508" t="s">
        <v>1599</v>
      </c>
      <c r="V61" s="609">
        <v>0</v>
      </c>
      <c r="W61" s="513" t="s">
        <v>1600</v>
      </c>
      <c r="X61" s="50">
        <v>20</v>
      </c>
      <c r="Y61" s="50">
        <v>10</v>
      </c>
      <c r="Z61" s="50"/>
      <c r="AA61" s="50">
        <v>10</v>
      </c>
      <c r="AB61" s="54">
        <f>+Y61/X61</f>
        <v>0.5</v>
      </c>
      <c r="AC61" s="54">
        <f>+AN61/X61</f>
        <v>0.5</v>
      </c>
      <c r="AD61" s="122">
        <f>AA61/X61</f>
        <v>0.5</v>
      </c>
      <c r="AE61" s="50">
        <v>0</v>
      </c>
      <c r="AF61" s="50">
        <v>2</v>
      </c>
      <c r="AG61" s="50"/>
      <c r="AH61" s="50">
        <v>2</v>
      </c>
      <c r="AI61" s="535"/>
      <c r="AJ61" s="50">
        <v>2</v>
      </c>
      <c r="AK61" s="54">
        <v>1</v>
      </c>
      <c r="AL61" s="50">
        <v>10</v>
      </c>
      <c r="AM61" s="54">
        <f>+AL61/X61</f>
        <v>0.5</v>
      </c>
      <c r="AN61" s="535">
        <v>10</v>
      </c>
      <c r="AO61" s="50">
        <v>0</v>
      </c>
      <c r="AP61" s="535"/>
      <c r="AQ61" s="50">
        <v>0</v>
      </c>
      <c r="AR61" s="536"/>
      <c r="AS61" s="50">
        <v>0</v>
      </c>
      <c r="AT61" s="535"/>
      <c r="AU61" s="50">
        <v>0</v>
      </c>
      <c r="AV61" s="536"/>
      <c r="AW61" s="50">
        <f>+AO61+AQ61</f>
        <v>0</v>
      </c>
      <c r="AX61" s="54">
        <f>+AW61/AN61</f>
        <v>0</v>
      </c>
      <c r="AY61" s="50">
        <f>+AL61</f>
        <v>10</v>
      </c>
      <c r="AZ61" s="537">
        <f>+AM61</f>
        <v>0.5</v>
      </c>
      <c r="BA61" s="50">
        <v>10</v>
      </c>
      <c r="BB61" s="50">
        <v>0</v>
      </c>
      <c r="BC61" s="50"/>
      <c r="BD61" s="50">
        <v>0</v>
      </c>
      <c r="BE61" s="50"/>
      <c r="BF61" s="50">
        <v>0</v>
      </c>
      <c r="BG61" s="50"/>
      <c r="BH61" s="50">
        <v>10</v>
      </c>
      <c r="BI61" s="50"/>
      <c r="BJ61" s="50">
        <f>+BH61</f>
        <v>10</v>
      </c>
      <c r="BK61" s="57">
        <f>BJ61/BA61</f>
        <v>1</v>
      </c>
      <c r="BL61" s="50">
        <f>BJ61+AY61</f>
        <v>20</v>
      </c>
      <c r="BM61" s="57">
        <f>BL61/X61</f>
        <v>1</v>
      </c>
      <c r="BN61" s="517"/>
      <c r="BO61" s="517"/>
      <c r="BP61" s="517"/>
      <c r="BQ61" s="517"/>
      <c r="BR61" s="517"/>
      <c r="BS61" s="517"/>
      <c r="BT61" s="517"/>
      <c r="BU61" s="517"/>
      <c r="BV61" s="517"/>
      <c r="BW61" s="517"/>
      <c r="BX61" s="517"/>
      <c r="BY61" s="517"/>
      <c r="BZ61" s="517"/>
      <c r="CA61" s="517"/>
      <c r="CB61" s="517"/>
      <c r="CC61" s="517"/>
      <c r="CD61" s="517"/>
      <c r="CE61" s="517"/>
      <c r="CF61" s="517"/>
      <c r="CG61" s="517"/>
      <c r="CH61" s="517"/>
      <c r="CI61" s="517"/>
      <c r="CJ61" s="517"/>
      <c r="CK61" s="517"/>
      <c r="CL61" s="517"/>
      <c r="CM61" s="517"/>
      <c r="CN61" s="517"/>
      <c r="CO61" s="517"/>
      <c r="CP61" s="517"/>
      <c r="CQ61" s="517"/>
      <c r="CR61" s="517"/>
      <c r="CS61" s="517"/>
      <c r="CT61" s="517"/>
      <c r="CU61" s="517"/>
      <c r="CV61" s="517"/>
      <c r="CW61" s="517"/>
      <c r="CX61" s="517"/>
    </row>
    <row r="62" spans="1:102" ht="42.75" customHeight="1" x14ac:dyDescent="0.2">
      <c r="A62" s="1856"/>
      <c r="B62" s="1858"/>
      <c r="C62" s="599"/>
      <c r="D62" s="599"/>
      <c r="E62" s="510"/>
      <c r="F62" s="510"/>
      <c r="G62" s="510"/>
      <c r="H62" s="510"/>
      <c r="I62" s="510"/>
      <c r="J62" s="510"/>
      <c r="K62" s="510"/>
      <c r="L62" s="510"/>
      <c r="M62" s="510"/>
      <c r="N62" s="510"/>
      <c r="O62" s="510"/>
      <c r="P62" s="510"/>
      <c r="Q62" s="510"/>
      <c r="R62" s="510"/>
      <c r="S62" s="510"/>
      <c r="T62" s="1851"/>
      <c r="U62" s="519" t="s">
        <v>1601</v>
      </c>
      <c r="V62" s="609">
        <v>0</v>
      </c>
      <c r="W62" s="513" t="s">
        <v>1602</v>
      </c>
      <c r="X62" s="61">
        <v>65</v>
      </c>
      <c r="Y62" s="61" t="s">
        <v>177</v>
      </c>
      <c r="Z62" s="61">
        <v>0</v>
      </c>
      <c r="AA62" s="61">
        <v>65</v>
      </c>
      <c r="AB62" s="61"/>
      <c r="AC62" s="61">
        <v>0</v>
      </c>
      <c r="AD62" s="54">
        <f>AA62/X62</f>
        <v>1</v>
      </c>
      <c r="AE62" s="61"/>
      <c r="AF62" s="61"/>
      <c r="AG62" s="50"/>
      <c r="AH62" s="50"/>
      <c r="AI62" s="535"/>
      <c r="AJ62" s="61"/>
      <c r="AK62" s="103"/>
      <c r="AL62" s="61"/>
      <c r="AM62" s="103"/>
      <c r="AN62" s="610">
        <v>65</v>
      </c>
      <c r="AO62" s="50">
        <v>0</v>
      </c>
      <c r="AP62" s="535"/>
      <c r="AQ62" s="50">
        <v>0</v>
      </c>
      <c r="AR62" s="536"/>
      <c r="AS62" s="50">
        <v>0</v>
      </c>
      <c r="AT62" s="535"/>
      <c r="AU62" s="50">
        <v>0</v>
      </c>
      <c r="AV62" s="536"/>
      <c r="AW62" s="50">
        <v>0</v>
      </c>
      <c r="AX62" s="50">
        <v>0</v>
      </c>
      <c r="AY62" s="50">
        <v>0</v>
      </c>
      <c r="AZ62" s="535"/>
      <c r="BA62" s="50">
        <v>65</v>
      </c>
      <c r="BB62" s="50">
        <v>0</v>
      </c>
      <c r="BC62" s="50"/>
      <c r="BD62" s="50"/>
      <c r="BE62" s="50"/>
      <c r="BF62" s="50">
        <v>64</v>
      </c>
      <c r="BG62" s="50"/>
      <c r="BH62" s="50">
        <v>1</v>
      </c>
      <c r="BI62" s="50"/>
      <c r="BJ62" s="50">
        <f>+BF62+BH62</f>
        <v>65</v>
      </c>
      <c r="BK62" s="57">
        <f>BJ62/BA62</f>
        <v>1</v>
      </c>
      <c r="BL62" s="50">
        <f>BJ62+AY62</f>
        <v>65</v>
      </c>
      <c r="BM62" s="57">
        <f>+BL62/65</f>
        <v>1</v>
      </c>
      <c r="BN62" s="517"/>
      <c r="BO62" s="517"/>
      <c r="BP62" s="517"/>
      <c r="BQ62" s="517"/>
      <c r="BR62" s="517"/>
      <c r="BS62" s="517"/>
      <c r="BT62" s="517"/>
      <c r="BU62" s="517"/>
      <c r="BV62" s="517"/>
      <c r="BW62" s="517"/>
      <c r="BX62" s="517"/>
      <c r="BY62" s="517"/>
      <c r="BZ62" s="517"/>
      <c r="CA62" s="517"/>
      <c r="CB62" s="517"/>
      <c r="CC62" s="517"/>
      <c r="CD62" s="517"/>
      <c r="CE62" s="517"/>
      <c r="CF62" s="517"/>
      <c r="CG62" s="517"/>
      <c r="CH62" s="517"/>
      <c r="CI62" s="517"/>
      <c r="CJ62" s="517"/>
      <c r="CK62" s="517"/>
      <c r="CL62" s="517"/>
      <c r="CM62" s="517"/>
      <c r="CN62" s="517"/>
      <c r="CO62" s="517"/>
      <c r="CP62" s="517"/>
      <c r="CQ62" s="517"/>
      <c r="CR62" s="517"/>
      <c r="CS62" s="517"/>
      <c r="CT62" s="517"/>
      <c r="CU62" s="517"/>
      <c r="CV62" s="517"/>
      <c r="CW62" s="517"/>
      <c r="CX62" s="517"/>
    </row>
    <row r="63" spans="1:102" ht="12" customHeight="1" x14ac:dyDescent="0.2">
      <c r="A63" s="1856"/>
      <c r="B63" s="1858"/>
      <c r="C63" s="599"/>
      <c r="D63" s="599"/>
      <c r="E63" s="510"/>
      <c r="F63" s="510"/>
      <c r="G63" s="510"/>
      <c r="H63" s="510"/>
      <c r="I63" s="510"/>
      <c r="J63" s="510"/>
      <c r="K63" s="510"/>
      <c r="L63" s="510"/>
      <c r="M63" s="510"/>
      <c r="N63" s="510"/>
      <c r="O63" s="510"/>
      <c r="P63" s="510"/>
      <c r="Q63" s="510"/>
      <c r="R63" s="510"/>
      <c r="S63" s="510"/>
      <c r="T63" s="1852"/>
      <c r="U63" s="85"/>
      <c r="V63" s="125"/>
      <c r="W63" s="85"/>
      <c r="X63" s="72"/>
      <c r="Y63" s="72"/>
      <c r="Z63" s="72"/>
      <c r="AA63" s="72"/>
      <c r="AB63" s="97">
        <f>AVERAGE(AB60:AB62)</f>
        <v>0.45</v>
      </c>
      <c r="AC63" s="97"/>
      <c r="AD63" s="1018">
        <f>AVERAGE(AD59:AD62)</f>
        <v>0.625</v>
      </c>
      <c r="AE63" s="72"/>
      <c r="AF63" s="72"/>
      <c r="AG63" s="72"/>
      <c r="AH63" s="72"/>
      <c r="AI63" s="552"/>
      <c r="AJ63" s="72"/>
      <c r="AK63" s="97">
        <f>AVERAGE(AK59:AK62)</f>
        <v>1</v>
      </c>
      <c r="AL63" s="72"/>
      <c r="AM63" s="86">
        <f>AVERAGE(AM59:AM62)</f>
        <v>0.5</v>
      </c>
      <c r="AN63" s="552"/>
      <c r="AO63" s="552"/>
      <c r="AP63" s="552"/>
      <c r="AQ63" s="72"/>
      <c r="AR63" s="608"/>
      <c r="AS63" s="552"/>
      <c r="AT63" s="552"/>
      <c r="AU63" s="72"/>
      <c r="AV63" s="608"/>
      <c r="AW63" s="552"/>
      <c r="AX63" s="532">
        <f>AVERAGE(AX59:AX62)</f>
        <v>0.125</v>
      </c>
      <c r="AY63" s="510"/>
      <c r="AZ63" s="611">
        <f>AVERAGE(AZ59:AZ62)</f>
        <v>0.39999999999999997</v>
      </c>
      <c r="BA63" s="612"/>
      <c r="BB63" s="612"/>
      <c r="BC63" s="612"/>
      <c r="BD63" s="612"/>
      <c r="BE63" s="612"/>
      <c r="BF63" s="612"/>
      <c r="BG63" s="612"/>
      <c r="BH63" s="612"/>
      <c r="BI63" s="612"/>
      <c r="BJ63" s="612"/>
      <c r="BK63" s="612">
        <f>AVERAGE(BK59:BK62)</f>
        <v>1</v>
      </c>
      <c r="BL63" s="612"/>
      <c r="BM63" s="612">
        <f>AVERAGE(BM59:BM62)</f>
        <v>1</v>
      </c>
      <c r="BN63" s="517"/>
      <c r="BO63" s="517"/>
      <c r="BP63" s="517"/>
      <c r="BQ63" s="517"/>
      <c r="BR63" s="517"/>
      <c r="BS63" s="517"/>
      <c r="BT63" s="517"/>
      <c r="BU63" s="517"/>
      <c r="BV63" s="517"/>
      <c r="BW63" s="517"/>
      <c r="BX63" s="517"/>
      <c r="BY63" s="517"/>
      <c r="BZ63" s="517"/>
      <c r="CA63" s="517"/>
      <c r="CB63" s="517"/>
      <c r="CC63" s="517"/>
      <c r="CD63" s="517"/>
      <c r="CE63" s="517"/>
      <c r="CF63" s="517"/>
      <c r="CG63" s="517"/>
      <c r="CH63" s="517"/>
      <c r="CI63" s="517"/>
      <c r="CJ63" s="517"/>
      <c r="CK63" s="517"/>
      <c r="CL63" s="517"/>
      <c r="CM63" s="517"/>
      <c r="CN63" s="517"/>
      <c r="CO63" s="517"/>
      <c r="CP63" s="517"/>
      <c r="CQ63" s="517"/>
      <c r="CR63" s="517"/>
      <c r="CS63" s="517"/>
      <c r="CT63" s="517"/>
      <c r="CU63" s="517"/>
      <c r="CV63" s="517"/>
      <c r="CW63" s="517"/>
      <c r="CX63" s="517"/>
    </row>
    <row r="64" spans="1:102" ht="44.25" customHeight="1" x14ac:dyDescent="0.2">
      <c r="A64" s="1856"/>
      <c r="B64" s="1858"/>
      <c r="C64" s="599"/>
      <c r="D64" s="599"/>
      <c r="E64" s="510"/>
      <c r="F64" s="510"/>
      <c r="G64" s="510"/>
      <c r="H64" s="510"/>
      <c r="I64" s="510"/>
      <c r="J64" s="510"/>
      <c r="K64" s="510"/>
      <c r="L64" s="510"/>
      <c r="M64" s="510"/>
      <c r="N64" s="510"/>
      <c r="O64" s="510"/>
      <c r="P64" s="510"/>
      <c r="Q64" s="510"/>
      <c r="R64" s="510"/>
      <c r="S64" s="510"/>
      <c r="T64" s="1850" t="s">
        <v>1603</v>
      </c>
      <c r="U64" s="519" t="s">
        <v>1604</v>
      </c>
      <c r="V64" s="609">
        <v>18570</v>
      </c>
      <c r="W64" s="512" t="s">
        <v>1605</v>
      </c>
      <c r="X64" s="50">
        <v>20000</v>
      </c>
      <c r="Y64" s="50" t="s">
        <v>177</v>
      </c>
      <c r="Z64" s="50"/>
      <c r="AA64" s="50">
        <v>5016</v>
      </c>
      <c r="AB64" s="50"/>
      <c r="AC64" s="54"/>
      <c r="AD64" s="54">
        <f>AA64/X64</f>
        <v>0.25080000000000002</v>
      </c>
      <c r="AE64" s="50"/>
      <c r="AF64" s="50"/>
      <c r="AG64" s="50"/>
      <c r="AH64" s="50"/>
      <c r="AI64" s="535"/>
      <c r="AJ64" s="50"/>
      <c r="AK64" s="50"/>
      <c r="AL64" s="50"/>
      <c r="AM64" s="50"/>
      <c r="AN64" s="535">
        <v>5000</v>
      </c>
      <c r="AO64" s="50">
        <v>0</v>
      </c>
      <c r="AP64" s="535"/>
      <c r="AQ64" s="50">
        <v>985</v>
      </c>
      <c r="AR64" s="536"/>
      <c r="AS64" s="50">
        <v>2178</v>
      </c>
      <c r="AT64" s="535"/>
      <c r="AU64" s="50">
        <v>3428</v>
      </c>
      <c r="AV64" s="536"/>
      <c r="AW64" s="50">
        <f>+AO64+AQ64+AS64+AU64</f>
        <v>6591</v>
      </c>
      <c r="AX64" s="54">
        <v>1</v>
      </c>
      <c r="AY64" s="50">
        <f>+AW64</f>
        <v>6591</v>
      </c>
      <c r="AZ64" s="537">
        <f>+AY64/X64</f>
        <v>0.32955000000000001</v>
      </c>
      <c r="BA64" s="50">
        <v>5016</v>
      </c>
      <c r="BB64" s="50">
        <v>3302</v>
      </c>
      <c r="BC64" s="50"/>
      <c r="BD64" s="50">
        <v>4300</v>
      </c>
      <c r="BE64" s="50"/>
      <c r="BF64" s="50">
        <v>15858</v>
      </c>
      <c r="BG64" s="50"/>
      <c r="BH64" s="50">
        <v>1100</v>
      </c>
      <c r="BI64" s="50"/>
      <c r="BJ64" s="50">
        <f>BB64+BD64+BF64-4271+BH64</f>
        <v>20289</v>
      </c>
      <c r="BK64" s="57">
        <v>1</v>
      </c>
      <c r="BL64" s="50">
        <f>8984+BJ64</f>
        <v>29273</v>
      </c>
      <c r="BM64" s="57">
        <v>1</v>
      </c>
      <c r="BN64" s="517"/>
      <c r="BO64" s="517"/>
      <c r="BP64" s="517"/>
      <c r="BQ64" s="517"/>
      <c r="BR64" s="517"/>
      <c r="BS64" s="517"/>
      <c r="BT64" s="517"/>
      <c r="BU64" s="517"/>
      <c r="BV64" s="517"/>
      <c r="BW64" s="517"/>
      <c r="BX64" s="517"/>
      <c r="BY64" s="517"/>
      <c r="BZ64" s="517"/>
      <c r="CA64" s="517"/>
      <c r="CB64" s="517"/>
      <c r="CC64" s="517"/>
      <c r="CD64" s="517"/>
      <c r="CE64" s="517"/>
      <c r="CF64" s="517"/>
      <c r="CG64" s="517"/>
      <c r="CH64" s="517"/>
      <c r="CI64" s="517"/>
      <c r="CJ64" s="517"/>
      <c r="CK64" s="517"/>
      <c r="CL64" s="517"/>
      <c r="CM64" s="517"/>
      <c r="CN64" s="517"/>
      <c r="CO64" s="517"/>
      <c r="CP64" s="517"/>
      <c r="CQ64" s="517"/>
      <c r="CR64" s="517"/>
      <c r="CS64" s="517"/>
      <c r="CT64" s="517"/>
      <c r="CU64" s="517"/>
      <c r="CV64" s="517"/>
      <c r="CW64" s="517"/>
      <c r="CX64" s="517"/>
    </row>
    <row r="65" spans="1:102" ht="39.75" customHeight="1" x14ac:dyDescent="0.2">
      <c r="A65" s="1856"/>
      <c r="B65" s="1858"/>
      <c r="C65" s="599"/>
      <c r="D65" s="599"/>
      <c r="E65" s="510"/>
      <c r="F65" s="510"/>
      <c r="G65" s="510"/>
      <c r="H65" s="510"/>
      <c r="I65" s="510"/>
      <c r="J65" s="510"/>
      <c r="K65" s="510"/>
      <c r="L65" s="510"/>
      <c r="M65" s="510"/>
      <c r="N65" s="510"/>
      <c r="O65" s="510"/>
      <c r="P65" s="510"/>
      <c r="Q65" s="510"/>
      <c r="R65" s="510"/>
      <c r="S65" s="510"/>
      <c r="T65" s="1851"/>
      <c r="U65" s="519" t="s">
        <v>1606</v>
      </c>
      <c r="V65" s="609">
        <v>0</v>
      </c>
      <c r="W65" s="512" t="s">
        <v>1607</v>
      </c>
      <c r="X65" s="50">
        <v>2000</v>
      </c>
      <c r="Y65" s="50" t="s">
        <v>177</v>
      </c>
      <c r="Z65" s="50"/>
      <c r="AA65" s="50">
        <v>700</v>
      </c>
      <c r="AB65" s="50"/>
      <c r="AC65" s="50"/>
      <c r="AD65" s="54">
        <f>AA65/X65</f>
        <v>0.35</v>
      </c>
      <c r="AE65" s="50"/>
      <c r="AF65" s="50"/>
      <c r="AG65" s="50"/>
      <c r="AH65" s="50"/>
      <c r="AI65" s="535"/>
      <c r="AJ65" s="50"/>
      <c r="AK65" s="50"/>
      <c r="AL65" s="50"/>
      <c r="AM65" s="50"/>
      <c r="AN65" s="535">
        <v>500</v>
      </c>
      <c r="AO65" s="50">
        <v>1106</v>
      </c>
      <c r="AP65" s="535"/>
      <c r="AQ65" s="50">
        <v>441</v>
      </c>
      <c r="AR65" s="536"/>
      <c r="AS65" s="50">
        <v>1483</v>
      </c>
      <c r="AT65" s="535"/>
      <c r="AU65" s="50">
        <v>1541</v>
      </c>
      <c r="AV65" s="536"/>
      <c r="AW65" s="50">
        <f>+AO65+AQ65+AS65+AU65</f>
        <v>4571</v>
      </c>
      <c r="AX65" s="54">
        <v>1</v>
      </c>
      <c r="AY65" s="50">
        <v>2647</v>
      </c>
      <c r="AZ65" s="537">
        <v>1</v>
      </c>
      <c r="BA65" s="50">
        <v>700</v>
      </c>
      <c r="BB65" s="50">
        <v>657</v>
      </c>
      <c r="BC65" s="50"/>
      <c r="BD65" s="50">
        <v>298</v>
      </c>
      <c r="BE65" s="50"/>
      <c r="BF65" s="50">
        <v>1493</v>
      </c>
      <c r="BG65" s="50"/>
      <c r="BH65" s="50">
        <v>1804</v>
      </c>
      <c r="BI65" s="50"/>
      <c r="BJ65" s="50">
        <f>+BH65</f>
        <v>1804</v>
      </c>
      <c r="BK65" s="57">
        <v>1</v>
      </c>
      <c r="BL65" s="50">
        <f>+BJ65+AY65</f>
        <v>4451</v>
      </c>
      <c r="BM65" s="57">
        <v>1</v>
      </c>
      <c r="BN65" s="517"/>
      <c r="BO65" s="517"/>
      <c r="BP65" s="517"/>
      <c r="BQ65" s="517"/>
      <c r="BR65" s="517"/>
      <c r="BS65" s="517"/>
      <c r="BT65" s="517"/>
      <c r="BU65" s="517"/>
      <c r="BV65" s="517"/>
      <c r="BW65" s="517"/>
      <c r="BX65" s="517"/>
      <c r="BY65" s="517"/>
      <c r="BZ65" s="517"/>
      <c r="CA65" s="517"/>
      <c r="CB65" s="517"/>
      <c r="CC65" s="517"/>
      <c r="CD65" s="517"/>
      <c r="CE65" s="517"/>
      <c r="CF65" s="517"/>
      <c r="CG65" s="517"/>
      <c r="CH65" s="517"/>
      <c r="CI65" s="517"/>
      <c r="CJ65" s="517"/>
      <c r="CK65" s="517"/>
      <c r="CL65" s="517"/>
      <c r="CM65" s="517"/>
      <c r="CN65" s="517"/>
      <c r="CO65" s="517"/>
      <c r="CP65" s="517"/>
      <c r="CQ65" s="517"/>
      <c r="CR65" s="517"/>
      <c r="CS65" s="517"/>
      <c r="CT65" s="517"/>
      <c r="CU65" s="517"/>
      <c r="CV65" s="517"/>
      <c r="CW65" s="517"/>
      <c r="CX65" s="517"/>
    </row>
    <row r="66" spans="1:102" ht="12" customHeight="1" x14ac:dyDescent="0.2">
      <c r="A66" s="1856"/>
      <c r="B66" s="1858"/>
      <c r="C66" s="599"/>
      <c r="D66" s="599"/>
      <c r="E66" s="510"/>
      <c r="F66" s="510"/>
      <c r="G66" s="510"/>
      <c r="H66" s="510"/>
      <c r="I66" s="510"/>
      <c r="J66" s="510"/>
      <c r="K66" s="510"/>
      <c r="L66" s="510"/>
      <c r="M66" s="510"/>
      <c r="N66" s="510"/>
      <c r="O66" s="510"/>
      <c r="P66" s="510"/>
      <c r="Q66" s="510"/>
      <c r="R66" s="510"/>
      <c r="S66" s="510"/>
      <c r="T66" s="1852"/>
      <c r="U66" s="85"/>
      <c r="V66" s="125"/>
      <c r="W66" s="85"/>
      <c r="X66" s="72"/>
      <c r="Y66" s="72"/>
      <c r="Z66" s="72"/>
      <c r="AA66" s="72"/>
      <c r="AB66" s="72"/>
      <c r="AC66" s="72"/>
      <c r="AD66" s="1018">
        <f>AVERAGE(AD64:AD65)</f>
        <v>0.3004</v>
      </c>
      <c r="AE66" s="72"/>
      <c r="AF66" s="72"/>
      <c r="AG66" s="72"/>
      <c r="AH66" s="72"/>
      <c r="AI66" s="552"/>
      <c r="AJ66" s="72"/>
      <c r="AK66" s="72"/>
      <c r="AL66" s="72"/>
      <c r="AM66" s="72"/>
      <c r="AN66" s="552"/>
      <c r="AO66" s="510"/>
      <c r="AP66" s="526"/>
      <c r="AQ66" s="50"/>
      <c r="AR66" s="527"/>
      <c r="AS66" s="510"/>
      <c r="AT66" s="526"/>
      <c r="AU66" s="528"/>
      <c r="AV66" s="527"/>
      <c r="AW66" s="510"/>
      <c r="AX66" s="613">
        <f>AVERAGE(AX64:AX65)</f>
        <v>1</v>
      </c>
      <c r="AY66" s="1013"/>
      <c r="AZ66" s="1020">
        <f>+(AZ64+AZ65)/2</f>
        <v>0.664775</v>
      </c>
      <c r="BA66" s="531"/>
      <c r="BB66" s="531"/>
      <c r="BC66" s="531"/>
      <c r="BD66" s="531"/>
      <c r="BE66" s="531"/>
      <c r="BF66" s="531"/>
      <c r="BG66" s="531"/>
      <c r="BH66" s="531"/>
      <c r="BI66" s="531"/>
      <c r="BJ66" s="531"/>
      <c r="BK66" s="568">
        <f>AVERAGE(BK64:BK65)</f>
        <v>1</v>
      </c>
      <c r="BL66" s="531"/>
      <c r="BM66" s="568">
        <f>AVERAGE(BM64:BM65)</f>
        <v>1</v>
      </c>
      <c r="BN66" s="517"/>
      <c r="BO66" s="517"/>
      <c r="BP66" s="517"/>
      <c r="BQ66" s="517"/>
      <c r="BR66" s="517"/>
      <c r="BS66" s="517"/>
      <c r="BT66" s="517"/>
      <c r="BU66" s="517"/>
      <c r="BV66" s="517"/>
      <c r="BW66" s="517"/>
      <c r="BX66" s="517"/>
      <c r="BY66" s="517"/>
      <c r="BZ66" s="517"/>
      <c r="CA66" s="517"/>
      <c r="CB66" s="517"/>
      <c r="CC66" s="517"/>
      <c r="CD66" s="517"/>
      <c r="CE66" s="517"/>
      <c r="CF66" s="517"/>
      <c r="CG66" s="517"/>
      <c r="CH66" s="517"/>
      <c r="CI66" s="517"/>
      <c r="CJ66" s="517"/>
      <c r="CK66" s="517"/>
      <c r="CL66" s="517"/>
      <c r="CM66" s="517"/>
      <c r="CN66" s="517"/>
      <c r="CO66" s="517"/>
      <c r="CP66" s="517"/>
      <c r="CQ66" s="517"/>
      <c r="CR66" s="517"/>
      <c r="CS66" s="517"/>
      <c r="CT66" s="517"/>
      <c r="CU66" s="517"/>
      <c r="CV66" s="517"/>
      <c r="CW66" s="517"/>
      <c r="CX66" s="517"/>
    </row>
    <row r="67" spans="1:102" ht="12" customHeight="1" x14ac:dyDescent="0.2">
      <c r="A67" s="1856"/>
      <c r="B67" s="1859"/>
      <c r="C67" s="614"/>
      <c r="D67" s="614"/>
      <c r="E67" s="544"/>
      <c r="F67" s="544"/>
      <c r="G67" s="544"/>
      <c r="H67" s="544"/>
      <c r="I67" s="544"/>
      <c r="J67" s="544"/>
      <c r="K67" s="544"/>
      <c r="L67" s="544"/>
      <c r="M67" s="544"/>
      <c r="N67" s="544"/>
      <c r="O67" s="544"/>
      <c r="P67" s="544"/>
      <c r="Q67" s="544"/>
      <c r="R67" s="544"/>
      <c r="S67" s="544"/>
      <c r="T67" s="108"/>
      <c r="U67" s="109"/>
      <c r="V67" s="615"/>
      <c r="W67" s="109"/>
      <c r="X67" s="110"/>
      <c r="Y67" s="110"/>
      <c r="Z67" s="110"/>
      <c r="AA67" s="110"/>
      <c r="AB67" s="112">
        <f>+(AB63+AB58+AB55+AB50+AB48+AB44+AB39+AB37+AB33+AB30)/10</f>
        <v>0.17683487179487178</v>
      </c>
      <c r="AC67" s="111">
        <f>+(AC63+AC58+AC55+AC50+AC48+AC44+AC39+AC37+AC33+AC30)/10</f>
        <v>0.32373154797648745</v>
      </c>
      <c r="AD67" s="111">
        <f>+(AD66+AD63+AD58+AD55+AD50+AD48+AD44+AD39+AD37+AD33+AD30)/11</f>
        <v>0.42971280304204984</v>
      </c>
      <c r="AE67" s="110"/>
      <c r="AF67" s="110"/>
      <c r="AG67" s="110"/>
      <c r="AH67" s="110"/>
      <c r="AI67" s="545"/>
      <c r="AJ67" s="110"/>
      <c r="AK67" s="111">
        <f>+(AK66+AK63+AK58+AK55+AK50+AK48+AK44+AK39+AK37+AK33+AK30)/7</f>
        <v>0.8571428571428571</v>
      </c>
      <c r="AL67" s="616"/>
      <c r="AM67" s="111">
        <f>+(AM66+AM63+AM58+AM55+AM50+AM48+AM44+AM39+AM37+AM33+AM30)/11</f>
        <v>0.23200745920745919</v>
      </c>
      <c r="AN67" s="110"/>
      <c r="AO67" s="517"/>
      <c r="AP67" s="517"/>
      <c r="AQ67" s="50"/>
      <c r="AR67" s="517"/>
      <c r="AS67" s="517"/>
      <c r="AT67" s="517"/>
      <c r="AU67" s="528"/>
      <c r="AV67" s="517"/>
      <c r="AW67" s="517"/>
      <c r="AX67" s="617">
        <f>+(AX66+AX63+AX58+AX55+AX50+AX48+AX44+AX39+AX37+AX33+AX30)/7</f>
        <v>0.97023809523809523</v>
      </c>
      <c r="AY67" s="617"/>
      <c r="AZ67" s="617">
        <f>+(AZ66+AZ63+AZ58+AZ55+AZ50+AZ48+AZ44+AZ39+AZ37+AZ33+AZ30)/11</f>
        <v>0.52826645299145303</v>
      </c>
      <c r="BA67" s="1019"/>
      <c r="BB67" s="1019"/>
      <c r="BC67" s="1019"/>
      <c r="BD67" s="1019"/>
      <c r="BE67" s="1019"/>
      <c r="BF67" s="1019"/>
      <c r="BG67" s="1019"/>
      <c r="BH67" s="1019"/>
      <c r="BI67" s="1019"/>
      <c r="BJ67" s="1019"/>
      <c r="BK67" s="618">
        <f>+(BK66+BK63+BK58+BK55+BK50+BK48+BK44+BK39+BK37+BK33+BK30)/11</f>
        <v>0.81818181818181823</v>
      </c>
      <c r="BL67" s="619"/>
      <c r="BM67" s="618">
        <f>+(BM66+BM63+BM58+BM55+BM50+BM48+BM44+BM39+BM37+BM33+BM30)/11</f>
        <v>0.74869852369852374</v>
      </c>
      <c r="BN67" s="517"/>
      <c r="BO67" s="517"/>
      <c r="BP67" s="517"/>
      <c r="BQ67" s="517"/>
      <c r="BR67" s="517"/>
      <c r="BS67" s="517"/>
      <c r="BT67" s="517"/>
      <c r="BU67" s="517"/>
      <c r="BV67" s="517"/>
      <c r="BW67" s="517"/>
      <c r="BX67" s="517"/>
      <c r="BY67" s="517"/>
      <c r="BZ67" s="517"/>
      <c r="CA67" s="517"/>
      <c r="CB67" s="517"/>
      <c r="CC67" s="517"/>
      <c r="CD67" s="517"/>
      <c r="CE67" s="517"/>
      <c r="CF67" s="517"/>
      <c r="CG67" s="517"/>
      <c r="CH67" s="517"/>
      <c r="CI67" s="517"/>
      <c r="CJ67" s="517"/>
      <c r="CK67" s="517"/>
      <c r="CL67" s="517"/>
      <c r="CM67" s="517"/>
      <c r="CN67" s="517"/>
      <c r="CO67" s="517"/>
      <c r="CP67" s="517"/>
      <c r="CQ67" s="517"/>
      <c r="CR67" s="517"/>
      <c r="CS67" s="517"/>
      <c r="CT67" s="517"/>
      <c r="CU67" s="517"/>
      <c r="CV67" s="517"/>
      <c r="CW67" s="517"/>
      <c r="CX67" s="517"/>
    </row>
    <row r="68" spans="1:102" ht="97.5" customHeight="1" x14ac:dyDescent="0.2">
      <c r="A68" s="1856"/>
      <c r="B68" s="1806" t="s">
        <v>1608</v>
      </c>
      <c r="C68" s="508" t="s">
        <v>1609</v>
      </c>
      <c r="D68" s="620" t="s">
        <v>1610</v>
      </c>
      <c r="E68" s="510"/>
      <c r="F68" s="510"/>
      <c r="G68" s="510"/>
      <c r="H68" s="510"/>
      <c r="I68" s="510"/>
      <c r="J68" s="510"/>
      <c r="K68" s="510"/>
      <c r="L68" s="510"/>
      <c r="M68" s="510"/>
      <c r="N68" s="510"/>
      <c r="O68" s="510"/>
      <c r="P68" s="510"/>
      <c r="Q68" s="510"/>
      <c r="R68" s="510"/>
      <c r="S68" s="510"/>
      <c r="T68" s="1850" t="s">
        <v>1611</v>
      </c>
      <c r="U68" s="508" t="s">
        <v>1612</v>
      </c>
      <c r="V68" s="512" t="s">
        <v>1613</v>
      </c>
      <c r="W68" s="512" t="s">
        <v>1614</v>
      </c>
      <c r="X68" s="61">
        <v>61</v>
      </c>
      <c r="Y68" s="61" t="s">
        <v>177</v>
      </c>
      <c r="Z68" s="61">
        <v>20</v>
      </c>
      <c r="AA68" s="61">
        <v>20</v>
      </c>
      <c r="AB68" s="61"/>
      <c r="AC68" s="103">
        <f>+Z68/X68</f>
        <v>0.32786885245901637</v>
      </c>
      <c r="AD68" s="103">
        <f>+AA68/X68</f>
        <v>0.32786885245901637</v>
      </c>
      <c r="AE68" s="50"/>
      <c r="AF68" s="50"/>
      <c r="AG68" s="50"/>
      <c r="AH68" s="50"/>
      <c r="AI68" s="535"/>
      <c r="AJ68" s="50"/>
      <c r="AK68" s="54"/>
      <c r="AL68" s="50"/>
      <c r="AM68" s="54"/>
      <c r="AN68" s="61">
        <v>20</v>
      </c>
      <c r="AO68" s="116">
        <v>0</v>
      </c>
      <c r="AP68" s="621"/>
      <c r="AQ68" s="116">
        <v>0</v>
      </c>
      <c r="AR68" s="622"/>
      <c r="AS68" s="116">
        <v>0</v>
      </c>
      <c r="AT68" s="622"/>
      <c r="AU68" s="116">
        <v>0</v>
      </c>
      <c r="AV68" s="623"/>
      <c r="AW68" s="61">
        <f>AO68</f>
        <v>0</v>
      </c>
      <c r="AX68" s="103">
        <f>AW68/AN68</f>
        <v>0</v>
      </c>
      <c r="AY68" s="61">
        <f>AW68+AL68</f>
        <v>0</v>
      </c>
      <c r="AZ68" s="624">
        <v>0</v>
      </c>
      <c r="BA68" s="50">
        <v>20</v>
      </c>
      <c r="BB68" s="50">
        <v>0</v>
      </c>
      <c r="BC68" s="50"/>
      <c r="BD68" s="50">
        <v>0</v>
      </c>
      <c r="BE68" s="50"/>
      <c r="BF68" s="50">
        <v>0</v>
      </c>
      <c r="BG68" s="50"/>
      <c r="BH68" s="50">
        <v>20</v>
      </c>
      <c r="BI68" s="50"/>
      <c r="BJ68" s="50">
        <f>+BH68</f>
        <v>20</v>
      </c>
      <c r="BK68" s="57">
        <f>BJ68/BA68</f>
        <v>1</v>
      </c>
      <c r="BL68" s="50">
        <f>BJ68+AY68</f>
        <v>20</v>
      </c>
      <c r="BM68" s="57">
        <f>BL68/X68</f>
        <v>0.32786885245901637</v>
      </c>
      <c r="BN68" s="517"/>
      <c r="BO68" s="517"/>
      <c r="BP68" s="517"/>
      <c r="BQ68" s="517"/>
      <c r="BR68" s="517"/>
      <c r="BS68" s="517"/>
      <c r="BT68" s="517"/>
      <c r="BU68" s="517"/>
      <c r="BV68" s="517"/>
      <c r="BW68" s="517"/>
      <c r="BX68" s="517"/>
      <c r="BY68" s="517"/>
      <c r="BZ68" s="517"/>
      <c r="CA68" s="517"/>
      <c r="CB68" s="517"/>
      <c r="CC68" s="517"/>
      <c r="CD68" s="517"/>
      <c r="CE68" s="517"/>
      <c r="CF68" s="517"/>
      <c r="CG68" s="517"/>
      <c r="CH68" s="517"/>
      <c r="CI68" s="517"/>
      <c r="CJ68" s="517"/>
      <c r="CK68" s="517"/>
      <c r="CL68" s="517"/>
      <c r="CM68" s="517"/>
      <c r="CN68" s="517"/>
      <c r="CO68" s="517"/>
      <c r="CP68" s="517"/>
      <c r="CQ68" s="517"/>
      <c r="CR68" s="517"/>
      <c r="CS68" s="517"/>
      <c r="CT68" s="517"/>
      <c r="CU68" s="517"/>
      <c r="CV68" s="517"/>
      <c r="CW68" s="517"/>
      <c r="CX68" s="517"/>
    </row>
    <row r="69" spans="1:102" ht="62.25" customHeight="1" x14ac:dyDescent="0.2">
      <c r="A69" s="1856"/>
      <c r="B69" s="1860"/>
      <c r="C69" s="508"/>
      <c r="D69" s="620" t="s">
        <v>1615</v>
      </c>
      <c r="E69" s="510"/>
      <c r="F69" s="510"/>
      <c r="G69" s="510"/>
      <c r="H69" s="510"/>
      <c r="I69" s="510"/>
      <c r="J69" s="510"/>
      <c r="K69" s="510"/>
      <c r="L69" s="510"/>
      <c r="M69" s="510"/>
      <c r="N69" s="510"/>
      <c r="O69" s="510"/>
      <c r="P69" s="510"/>
      <c r="Q69" s="510"/>
      <c r="R69" s="510"/>
      <c r="S69" s="510"/>
      <c r="T69" s="1851"/>
      <c r="U69" s="508" t="s">
        <v>1616</v>
      </c>
      <c r="V69" s="512" t="s">
        <v>201</v>
      </c>
      <c r="W69" s="512" t="s">
        <v>1617</v>
      </c>
      <c r="X69" s="61">
        <v>8</v>
      </c>
      <c r="Y69" s="61" t="s">
        <v>177</v>
      </c>
      <c r="Z69" s="61">
        <v>2</v>
      </c>
      <c r="AA69" s="61">
        <v>3</v>
      </c>
      <c r="AB69" s="61"/>
      <c r="AC69" s="103">
        <f>+Z69/X69</f>
        <v>0.25</v>
      </c>
      <c r="AD69" s="103">
        <f>+AA69/X69</f>
        <v>0.375</v>
      </c>
      <c r="AE69" s="50"/>
      <c r="AF69" s="50"/>
      <c r="AG69" s="50"/>
      <c r="AH69" s="50"/>
      <c r="AI69" s="535"/>
      <c r="AJ69" s="50"/>
      <c r="AK69" s="54"/>
      <c r="AL69" s="50"/>
      <c r="AM69" s="54"/>
      <c r="AN69" s="61">
        <v>2</v>
      </c>
      <c r="AO69" s="116">
        <v>0</v>
      </c>
      <c r="AP69" s="517"/>
      <c r="AQ69" s="50">
        <v>0</v>
      </c>
      <c r="AR69" s="517"/>
      <c r="AS69" s="50">
        <v>0</v>
      </c>
      <c r="AT69" s="517"/>
      <c r="AU69" s="50">
        <v>1</v>
      </c>
      <c r="AV69" s="517"/>
      <c r="AW69" s="61">
        <f>+AU69</f>
        <v>1</v>
      </c>
      <c r="AX69" s="103">
        <f>AW69/AN69</f>
        <v>0.5</v>
      </c>
      <c r="AY69" s="61">
        <f>AW69+AL69</f>
        <v>1</v>
      </c>
      <c r="AZ69" s="624">
        <f>+AY69/X69</f>
        <v>0.125</v>
      </c>
      <c r="BA69" s="50">
        <v>3</v>
      </c>
      <c r="BB69" s="50">
        <v>0</v>
      </c>
      <c r="BC69" s="50"/>
      <c r="BD69" s="50">
        <v>1</v>
      </c>
      <c r="BE69" s="50"/>
      <c r="BF69" s="50">
        <v>1</v>
      </c>
      <c r="BG69" s="50"/>
      <c r="BH69" s="50">
        <v>0</v>
      </c>
      <c r="BI69" s="50"/>
      <c r="BJ69" s="50">
        <f>+BD69+BF69</f>
        <v>2</v>
      </c>
      <c r="BK69" s="57">
        <f>BJ69/BA69</f>
        <v>0.66666666666666663</v>
      </c>
      <c r="BL69" s="50">
        <f>BJ69+AY69</f>
        <v>3</v>
      </c>
      <c r="BM69" s="57">
        <f>BL69/X69</f>
        <v>0.375</v>
      </c>
      <c r="BN69" s="517"/>
      <c r="BO69" s="517"/>
      <c r="BP69" s="517"/>
      <c r="BQ69" s="517"/>
      <c r="BR69" s="517"/>
      <c r="BS69" s="517"/>
      <c r="BT69" s="517"/>
      <c r="BU69" s="517"/>
      <c r="BV69" s="517"/>
      <c r="BW69" s="517"/>
      <c r="BX69" s="517"/>
      <c r="BY69" s="517"/>
      <c r="BZ69" s="517"/>
      <c r="CA69" s="517"/>
      <c r="CB69" s="517"/>
      <c r="CC69" s="517"/>
      <c r="CD69" s="517"/>
      <c r="CE69" s="517"/>
      <c r="CF69" s="517"/>
      <c r="CG69" s="517"/>
      <c r="CH69" s="517"/>
      <c r="CI69" s="517"/>
      <c r="CJ69" s="517"/>
      <c r="CK69" s="517"/>
      <c r="CL69" s="517"/>
      <c r="CM69" s="517"/>
      <c r="CN69" s="517"/>
      <c r="CO69" s="517"/>
      <c r="CP69" s="517"/>
      <c r="CQ69" s="517"/>
      <c r="CR69" s="517"/>
      <c r="CS69" s="517"/>
      <c r="CT69" s="517"/>
      <c r="CU69" s="517"/>
      <c r="CV69" s="517"/>
      <c r="CW69" s="517"/>
      <c r="CX69" s="517"/>
    </row>
    <row r="70" spans="1:102" ht="52.5" customHeight="1" x14ac:dyDescent="0.2">
      <c r="A70" s="1856"/>
      <c r="B70" s="1860"/>
      <c r="C70" s="620" t="s">
        <v>1618</v>
      </c>
      <c r="D70" s="508" t="s">
        <v>201</v>
      </c>
      <c r="E70" s="510"/>
      <c r="F70" s="510"/>
      <c r="G70" s="510"/>
      <c r="H70" s="510"/>
      <c r="I70" s="510"/>
      <c r="J70" s="510"/>
      <c r="K70" s="510"/>
      <c r="L70" s="510"/>
      <c r="M70" s="510"/>
      <c r="N70" s="510"/>
      <c r="O70" s="510"/>
      <c r="P70" s="510"/>
      <c r="Q70" s="510"/>
      <c r="R70" s="510"/>
      <c r="S70" s="510"/>
      <c r="T70" s="1851"/>
      <c r="U70" s="508" t="s">
        <v>1619</v>
      </c>
      <c r="V70" s="512" t="s">
        <v>201</v>
      </c>
      <c r="W70" s="513" t="s">
        <v>1620</v>
      </c>
      <c r="X70" s="61">
        <v>1</v>
      </c>
      <c r="Y70" s="61" t="s">
        <v>177</v>
      </c>
      <c r="Z70" s="61">
        <v>1</v>
      </c>
      <c r="AA70" s="61">
        <v>1</v>
      </c>
      <c r="AB70" s="61"/>
      <c r="AC70" s="103">
        <f>+Z70/X70</f>
        <v>1</v>
      </c>
      <c r="AD70" s="103"/>
      <c r="AE70" s="50"/>
      <c r="AF70" s="50"/>
      <c r="AG70" s="50"/>
      <c r="AH70" s="50"/>
      <c r="AI70" s="535"/>
      <c r="AJ70" s="50"/>
      <c r="AK70" s="54"/>
      <c r="AL70" s="50"/>
      <c r="AM70" s="54"/>
      <c r="AN70" s="61">
        <v>1</v>
      </c>
      <c r="AO70" s="625">
        <v>1</v>
      </c>
      <c r="AP70" s="517"/>
      <c r="AQ70" s="50">
        <v>1</v>
      </c>
      <c r="AR70" s="517"/>
      <c r="AS70" s="127">
        <v>1</v>
      </c>
      <c r="AT70" s="517"/>
      <c r="AU70" s="50">
        <v>1</v>
      </c>
      <c r="AV70" s="517"/>
      <c r="AW70" s="626">
        <f>AO70</f>
        <v>1</v>
      </c>
      <c r="AX70" s="627">
        <f>AW70/AN70</f>
        <v>1</v>
      </c>
      <c r="AY70" s="626">
        <f>AW70+AL70</f>
        <v>1</v>
      </c>
      <c r="AZ70" s="628">
        <f>AY70/X70</f>
        <v>1</v>
      </c>
      <c r="BA70" s="50"/>
      <c r="BB70" s="54"/>
      <c r="BC70" s="50"/>
      <c r="BD70" s="50"/>
      <c r="BE70" s="50"/>
      <c r="BF70" s="50"/>
      <c r="BG70" s="50"/>
      <c r="BH70" s="50"/>
      <c r="BI70" s="50"/>
      <c r="BJ70" s="54"/>
      <c r="BK70" s="54">
        <v>1</v>
      </c>
      <c r="BL70" s="54">
        <v>1</v>
      </c>
      <c r="BM70" s="54">
        <v>1</v>
      </c>
      <c r="BN70" s="517"/>
      <c r="BO70" s="517"/>
      <c r="BP70" s="517"/>
      <c r="BQ70" s="517"/>
      <c r="BR70" s="517"/>
      <c r="BS70" s="517"/>
      <c r="BT70" s="517"/>
      <c r="BU70" s="517"/>
      <c r="BV70" s="517"/>
      <c r="BW70" s="517"/>
      <c r="BX70" s="517"/>
      <c r="BY70" s="517"/>
      <c r="BZ70" s="517"/>
      <c r="CA70" s="517"/>
      <c r="CB70" s="517"/>
      <c r="CC70" s="517"/>
      <c r="CD70" s="517"/>
      <c r="CE70" s="517"/>
      <c r="CF70" s="517"/>
      <c r="CG70" s="517"/>
      <c r="CH70" s="517"/>
      <c r="CI70" s="517"/>
      <c r="CJ70" s="517"/>
      <c r="CK70" s="517"/>
      <c r="CL70" s="517"/>
      <c r="CM70" s="517"/>
      <c r="CN70" s="517"/>
      <c r="CO70" s="517"/>
      <c r="CP70" s="517"/>
      <c r="CQ70" s="517"/>
      <c r="CR70" s="517"/>
      <c r="CS70" s="517"/>
      <c r="CT70" s="517"/>
      <c r="CU70" s="517"/>
      <c r="CV70" s="517"/>
      <c r="CW70" s="517"/>
      <c r="CX70" s="517"/>
    </row>
    <row r="71" spans="1:102" ht="57" customHeight="1" x14ac:dyDescent="0.2">
      <c r="A71" s="1856"/>
      <c r="B71" s="1860"/>
      <c r="C71" s="620" t="s">
        <v>1621</v>
      </c>
      <c r="D71" s="620" t="s">
        <v>1622</v>
      </c>
      <c r="E71" s="510"/>
      <c r="F71" s="510"/>
      <c r="G71" s="510"/>
      <c r="H71" s="510"/>
      <c r="I71" s="510"/>
      <c r="J71" s="510"/>
      <c r="K71" s="510"/>
      <c r="L71" s="510"/>
      <c r="M71" s="510"/>
      <c r="N71" s="510"/>
      <c r="O71" s="510"/>
      <c r="P71" s="510"/>
      <c r="Q71" s="510"/>
      <c r="R71" s="510"/>
      <c r="S71" s="510"/>
      <c r="T71" s="1851"/>
      <c r="U71" s="508" t="s">
        <v>1623</v>
      </c>
      <c r="V71" s="512" t="s">
        <v>1624</v>
      </c>
      <c r="W71" s="513" t="s">
        <v>1625</v>
      </c>
      <c r="X71" s="61">
        <v>1</v>
      </c>
      <c r="Y71" s="61" t="s">
        <v>177</v>
      </c>
      <c r="Z71" s="61">
        <v>1</v>
      </c>
      <c r="AA71" s="61"/>
      <c r="AB71" s="61"/>
      <c r="AC71" s="103">
        <f>+Z71/X71</f>
        <v>1</v>
      </c>
      <c r="AD71" s="103"/>
      <c r="AE71" s="50"/>
      <c r="AF71" s="50"/>
      <c r="AG71" s="50"/>
      <c r="AH71" s="100"/>
      <c r="AI71" s="535"/>
      <c r="AJ71" s="50"/>
      <c r="AK71" s="54"/>
      <c r="AL71" s="50"/>
      <c r="AM71" s="54"/>
      <c r="AN71" s="621"/>
      <c r="AO71" s="629"/>
      <c r="AP71" s="630"/>
      <c r="AQ71" s="117"/>
      <c r="AR71" s="631"/>
      <c r="AS71" s="117">
        <v>1</v>
      </c>
      <c r="AT71" s="587"/>
      <c r="AU71" s="117">
        <v>1</v>
      </c>
      <c r="AV71" s="588"/>
      <c r="AW71" s="117">
        <v>1</v>
      </c>
      <c r="AX71" s="124">
        <v>1</v>
      </c>
      <c r="AY71" s="117">
        <f>+AW71</f>
        <v>1</v>
      </c>
      <c r="AZ71" s="595">
        <v>1</v>
      </c>
      <c r="BA71" s="510"/>
      <c r="BB71" s="510"/>
      <c r="BC71" s="510"/>
      <c r="BD71" s="510"/>
      <c r="BE71" s="510"/>
      <c r="BF71" s="510"/>
      <c r="BG71" s="510"/>
      <c r="BH71" s="510"/>
      <c r="BI71" s="510"/>
      <c r="BJ71" s="510"/>
      <c r="BK71" s="54"/>
      <c r="BL71" s="50">
        <f>AY71</f>
        <v>1</v>
      </c>
      <c r="BM71" s="54">
        <f>AZ71</f>
        <v>1</v>
      </c>
      <c r="BN71" s="517"/>
      <c r="BO71" s="517"/>
      <c r="BP71" s="517"/>
      <c r="BQ71" s="517"/>
      <c r="BR71" s="517"/>
      <c r="BS71" s="517"/>
      <c r="BT71" s="517"/>
      <c r="BU71" s="517"/>
      <c r="BV71" s="517"/>
      <c r="BW71" s="517"/>
      <c r="BX71" s="517"/>
      <c r="BY71" s="517"/>
      <c r="BZ71" s="517"/>
      <c r="CA71" s="517"/>
      <c r="CB71" s="517"/>
      <c r="CC71" s="517"/>
      <c r="CD71" s="517"/>
      <c r="CE71" s="517"/>
      <c r="CF71" s="517"/>
      <c r="CG71" s="517"/>
      <c r="CH71" s="517"/>
      <c r="CI71" s="517"/>
      <c r="CJ71" s="517"/>
      <c r="CK71" s="517"/>
      <c r="CL71" s="517"/>
      <c r="CM71" s="517"/>
      <c r="CN71" s="517"/>
      <c r="CO71" s="517"/>
      <c r="CP71" s="517"/>
      <c r="CQ71" s="517"/>
      <c r="CR71" s="517"/>
      <c r="CS71" s="517"/>
      <c r="CT71" s="517"/>
      <c r="CU71" s="517"/>
      <c r="CV71" s="517"/>
      <c r="CW71" s="517"/>
      <c r="CX71" s="517"/>
    </row>
    <row r="72" spans="1:102" ht="87" customHeight="1" x14ac:dyDescent="0.2">
      <c r="A72" s="1856"/>
      <c r="B72" s="1860"/>
      <c r="C72" s="632" t="s">
        <v>1626</v>
      </c>
      <c r="D72" s="632" t="s">
        <v>1627</v>
      </c>
      <c r="E72" s="633"/>
      <c r="F72" s="633"/>
      <c r="G72" s="633"/>
      <c r="H72" s="633"/>
      <c r="I72" s="633"/>
      <c r="J72" s="633"/>
      <c r="K72" s="633"/>
      <c r="L72" s="633"/>
      <c r="M72" s="633"/>
      <c r="N72" s="633"/>
      <c r="O72" s="633"/>
      <c r="P72" s="633"/>
      <c r="Q72" s="633"/>
      <c r="R72" s="633"/>
      <c r="S72" s="633"/>
      <c r="T72" s="1851"/>
      <c r="U72" s="118" t="s">
        <v>1628</v>
      </c>
      <c r="V72" s="548" t="s">
        <v>201</v>
      </c>
      <c r="W72" s="594" t="s">
        <v>1629</v>
      </c>
      <c r="X72" s="70">
        <v>1</v>
      </c>
      <c r="Y72" s="70">
        <v>1</v>
      </c>
      <c r="Z72" s="70">
        <v>1</v>
      </c>
      <c r="AA72" s="70"/>
      <c r="AB72" s="178">
        <v>0.25</v>
      </c>
      <c r="AC72" s="178">
        <v>0.25</v>
      </c>
      <c r="AD72" s="178"/>
      <c r="AE72" s="63">
        <v>0</v>
      </c>
      <c r="AF72" s="63">
        <v>1</v>
      </c>
      <c r="AG72" s="63"/>
      <c r="AH72" s="63">
        <v>1</v>
      </c>
      <c r="AI72" s="634"/>
      <c r="AJ72" s="50">
        <f>+AH72</f>
        <v>1</v>
      </c>
      <c r="AK72" s="65">
        <f>+AF72</f>
        <v>1</v>
      </c>
      <c r="AL72" s="63">
        <f>+AJ72</f>
        <v>1</v>
      </c>
      <c r="AM72" s="65">
        <v>0.25</v>
      </c>
      <c r="AN72" s="70">
        <v>1</v>
      </c>
      <c r="AO72" s="635">
        <v>1</v>
      </c>
      <c r="AP72" s="636"/>
      <c r="AQ72" s="63">
        <v>0</v>
      </c>
      <c r="AR72" s="636"/>
      <c r="AS72" s="637">
        <v>1</v>
      </c>
      <c r="AT72" s="638"/>
      <c r="AU72" s="63">
        <v>1</v>
      </c>
      <c r="AV72" s="636"/>
      <c r="AW72" s="639">
        <f>AO72</f>
        <v>1</v>
      </c>
      <c r="AX72" s="176">
        <f>AW72/AN72</f>
        <v>1</v>
      </c>
      <c r="AY72" s="639">
        <v>1</v>
      </c>
      <c r="AZ72" s="640">
        <v>1</v>
      </c>
      <c r="BA72" s="63"/>
      <c r="BB72" s="63">
        <v>1</v>
      </c>
      <c r="BC72" s="63"/>
      <c r="BD72" s="63">
        <v>1</v>
      </c>
      <c r="BE72" s="63"/>
      <c r="BF72" s="63">
        <v>1</v>
      </c>
      <c r="BG72" s="63"/>
      <c r="BH72" s="63"/>
      <c r="BI72" s="63"/>
      <c r="BJ72" s="63">
        <v>1</v>
      </c>
      <c r="BK72" s="65">
        <v>1</v>
      </c>
      <c r="BL72" s="63">
        <v>1</v>
      </c>
      <c r="BM72" s="65">
        <v>1</v>
      </c>
      <c r="BN72" s="636"/>
      <c r="BO72" s="636"/>
      <c r="BP72" s="636"/>
      <c r="BQ72" s="636"/>
      <c r="BR72" s="636"/>
      <c r="BS72" s="636"/>
      <c r="BT72" s="636"/>
      <c r="BU72" s="636"/>
      <c r="BV72" s="636"/>
      <c r="BW72" s="636"/>
      <c r="BX72" s="636"/>
      <c r="BY72" s="636"/>
      <c r="BZ72" s="636"/>
      <c r="CA72" s="636"/>
      <c r="CB72" s="636"/>
      <c r="CC72" s="636"/>
      <c r="CD72" s="636"/>
      <c r="CE72" s="636"/>
      <c r="CF72" s="636"/>
      <c r="CG72" s="636"/>
      <c r="CH72" s="636"/>
      <c r="CI72" s="636"/>
      <c r="CJ72" s="636"/>
      <c r="CK72" s="636"/>
      <c r="CL72" s="636"/>
      <c r="CM72" s="636"/>
      <c r="CN72" s="636"/>
      <c r="CO72" s="636"/>
      <c r="CP72" s="636"/>
      <c r="CQ72" s="636"/>
      <c r="CR72" s="636"/>
      <c r="CS72" s="636"/>
      <c r="CT72" s="636"/>
      <c r="CU72" s="636"/>
      <c r="CV72" s="636"/>
      <c r="CW72" s="636"/>
      <c r="CX72" s="636"/>
    </row>
    <row r="73" spans="1:102" ht="44.25" customHeight="1" x14ac:dyDescent="0.2">
      <c r="A73" s="1856"/>
      <c r="B73" s="1860"/>
      <c r="C73" s="533" t="s">
        <v>1630</v>
      </c>
      <c r="D73" s="533" t="s">
        <v>201</v>
      </c>
      <c r="E73" s="510"/>
      <c r="F73" s="510"/>
      <c r="G73" s="510"/>
      <c r="H73" s="510"/>
      <c r="I73" s="510"/>
      <c r="J73" s="510"/>
      <c r="K73" s="510"/>
      <c r="L73" s="510"/>
      <c r="M73" s="510"/>
      <c r="N73" s="510"/>
      <c r="O73" s="510"/>
      <c r="P73" s="510"/>
      <c r="Q73" s="510"/>
      <c r="R73" s="510"/>
      <c r="S73" s="510"/>
      <c r="T73" s="1851"/>
      <c r="U73" s="508" t="s">
        <v>1631</v>
      </c>
      <c r="V73" s="548" t="s">
        <v>1632</v>
      </c>
      <c r="W73" s="548" t="s">
        <v>1633</v>
      </c>
      <c r="X73" s="61">
        <v>1</v>
      </c>
      <c r="Y73" s="61">
        <v>1</v>
      </c>
      <c r="Z73" s="61">
        <v>1</v>
      </c>
      <c r="AA73" s="61"/>
      <c r="AB73" s="103">
        <v>0.25</v>
      </c>
      <c r="AC73" s="103">
        <v>0.25</v>
      </c>
      <c r="AD73" s="103"/>
      <c r="AE73" s="50">
        <v>1</v>
      </c>
      <c r="AF73" s="50">
        <v>1</v>
      </c>
      <c r="AG73" s="50"/>
      <c r="AH73" s="50">
        <v>1</v>
      </c>
      <c r="AI73" s="535"/>
      <c r="AJ73" s="50">
        <f>+AH73</f>
        <v>1</v>
      </c>
      <c r="AK73" s="54">
        <v>1</v>
      </c>
      <c r="AL73" s="50">
        <v>1</v>
      </c>
      <c r="AM73" s="54">
        <v>1</v>
      </c>
      <c r="AN73" s="61">
        <v>1</v>
      </c>
      <c r="AO73" s="116">
        <v>1</v>
      </c>
      <c r="AP73" s="517"/>
      <c r="AQ73" s="50">
        <v>1</v>
      </c>
      <c r="AR73" s="517"/>
      <c r="AS73" s="50">
        <v>1</v>
      </c>
      <c r="AT73" s="535"/>
      <c r="AU73" s="50">
        <v>1</v>
      </c>
      <c r="AV73" s="536"/>
      <c r="AW73" s="61">
        <f>AO73</f>
        <v>1</v>
      </c>
      <c r="AX73" s="103">
        <f>AW73/AN73</f>
        <v>1</v>
      </c>
      <c r="AY73" s="61">
        <f>AW73+AL73</f>
        <v>2</v>
      </c>
      <c r="AZ73" s="641">
        <v>1</v>
      </c>
      <c r="BA73" s="510"/>
      <c r="BB73" s="510"/>
      <c r="BC73" s="510"/>
      <c r="BD73" s="510"/>
      <c r="BE73" s="510"/>
      <c r="BF73" s="510"/>
      <c r="BG73" s="510"/>
      <c r="BH73" s="510"/>
      <c r="BI73" s="510"/>
      <c r="BJ73" s="510"/>
      <c r="BK73" s="54">
        <v>1</v>
      </c>
      <c r="BL73" s="50">
        <v>1</v>
      </c>
      <c r="BM73" s="54">
        <f>AZ73</f>
        <v>1</v>
      </c>
      <c r="BN73" s="517"/>
      <c r="BO73" s="517"/>
      <c r="BP73" s="517"/>
      <c r="BQ73" s="517"/>
      <c r="BR73" s="517"/>
      <c r="BS73" s="517"/>
      <c r="BT73" s="517"/>
      <c r="BU73" s="517"/>
      <c r="BV73" s="517"/>
      <c r="BW73" s="517"/>
      <c r="BX73" s="517"/>
      <c r="BY73" s="517"/>
      <c r="BZ73" s="517"/>
      <c r="CA73" s="517"/>
      <c r="CB73" s="517"/>
      <c r="CC73" s="517"/>
      <c r="CD73" s="517"/>
      <c r="CE73" s="517"/>
      <c r="CF73" s="517"/>
      <c r="CG73" s="517"/>
      <c r="CH73" s="517"/>
      <c r="CI73" s="517"/>
      <c r="CJ73" s="517"/>
      <c r="CK73" s="517"/>
      <c r="CL73" s="517"/>
      <c r="CM73" s="517"/>
      <c r="CN73" s="517"/>
      <c r="CO73" s="517"/>
      <c r="CP73" s="517"/>
      <c r="CQ73" s="517"/>
      <c r="CR73" s="517"/>
      <c r="CS73" s="517"/>
      <c r="CT73" s="517"/>
      <c r="CU73" s="517"/>
      <c r="CV73" s="517"/>
      <c r="CW73" s="517"/>
      <c r="CX73" s="517"/>
    </row>
    <row r="74" spans="1:102" ht="66.75" customHeight="1" x14ac:dyDescent="0.2">
      <c r="A74" s="1856"/>
      <c r="B74" s="1860"/>
      <c r="C74" s="533"/>
      <c r="D74" s="533"/>
      <c r="E74" s="510"/>
      <c r="F74" s="510"/>
      <c r="G74" s="510"/>
      <c r="H74" s="510"/>
      <c r="I74" s="510"/>
      <c r="J74" s="510"/>
      <c r="K74" s="510"/>
      <c r="L74" s="510"/>
      <c r="M74" s="510"/>
      <c r="N74" s="510"/>
      <c r="O74" s="510"/>
      <c r="P74" s="510"/>
      <c r="Q74" s="510"/>
      <c r="R74" s="510"/>
      <c r="S74" s="510"/>
      <c r="T74" s="1851"/>
      <c r="U74" s="519" t="s">
        <v>1634</v>
      </c>
      <c r="V74" s="548">
        <v>0</v>
      </c>
      <c r="W74" s="548" t="s">
        <v>1635</v>
      </c>
      <c r="X74" s="61">
        <v>1</v>
      </c>
      <c r="Y74" s="61">
        <v>1</v>
      </c>
      <c r="Z74" s="61">
        <v>1</v>
      </c>
      <c r="AA74" s="61"/>
      <c r="AB74" s="103">
        <v>0.25</v>
      </c>
      <c r="AC74" s="103">
        <v>0.25</v>
      </c>
      <c r="AD74" s="103"/>
      <c r="AE74" s="50">
        <v>0</v>
      </c>
      <c r="AF74" s="50">
        <v>1</v>
      </c>
      <c r="AG74" s="50"/>
      <c r="AH74" s="100">
        <v>1</v>
      </c>
      <c r="AI74" s="535"/>
      <c r="AJ74" s="50">
        <v>1</v>
      </c>
      <c r="AK74" s="54">
        <f>+AF74</f>
        <v>1</v>
      </c>
      <c r="AL74" s="50">
        <f>+AJ74</f>
        <v>1</v>
      </c>
      <c r="AM74" s="54">
        <f>+AK74</f>
        <v>1</v>
      </c>
      <c r="AN74" s="61">
        <v>1</v>
      </c>
      <c r="AO74" s="116">
        <v>0</v>
      </c>
      <c r="AP74" s="517"/>
      <c r="AQ74" s="50">
        <v>0</v>
      </c>
      <c r="AR74" s="517"/>
      <c r="AS74" s="50">
        <v>1</v>
      </c>
      <c r="AT74" s="127"/>
      <c r="AU74" s="50">
        <v>1</v>
      </c>
      <c r="AV74" s="517"/>
      <c r="AW74" s="138">
        <f>+AU74</f>
        <v>1</v>
      </c>
      <c r="AX74" s="642">
        <f>AW74/AN74</f>
        <v>1</v>
      </c>
      <c r="AY74" s="138">
        <v>1</v>
      </c>
      <c r="AZ74" s="643">
        <f>AY74/X74</f>
        <v>1</v>
      </c>
      <c r="BA74" s="510"/>
      <c r="BB74" s="510"/>
      <c r="BC74" s="510"/>
      <c r="BD74" s="510"/>
      <c r="BE74" s="510"/>
      <c r="BF74" s="510"/>
      <c r="BG74" s="510"/>
      <c r="BH74" s="510"/>
      <c r="BI74" s="510"/>
      <c r="BJ74" s="510"/>
      <c r="BK74" s="510"/>
      <c r="BL74" s="50">
        <v>1</v>
      </c>
      <c r="BM74" s="54">
        <f>AZ74</f>
        <v>1</v>
      </c>
      <c r="BN74" s="517"/>
      <c r="BO74" s="517"/>
      <c r="BP74" s="517"/>
      <c r="BQ74" s="517"/>
      <c r="BR74" s="517"/>
      <c r="BS74" s="517"/>
      <c r="BT74" s="517"/>
      <c r="BU74" s="517"/>
      <c r="BV74" s="517"/>
      <c r="BW74" s="517"/>
      <c r="BX74" s="517"/>
      <c r="BY74" s="517"/>
      <c r="BZ74" s="517"/>
      <c r="CA74" s="517"/>
      <c r="CB74" s="517"/>
      <c r="CC74" s="517"/>
      <c r="CD74" s="517"/>
      <c r="CE74" s="517"/>
      <c r="CF74" s="517"/>
      <c r="CG74" s="517"/>
      <c r="CH74" s="517"/>
      <c r="CI74" s="517"/>
      <c r="CJ74" s="517"/>
      <c r="CK74" s="517"/>
      <c r="CL74" s="517"/>
      <c r="CM74" s="517"/>
      <c r="CN74" s="517"/>
      <c r="CO74" s="517"/>
      <c r="CP74" s="517"/>
      <c r="CQ74" s="517"/>
      <c r="CR74" s="517"/>
      <c r="CS74" s="517"/>
      <c r="CT74" s="517"/>
      <c r="CU74" s="517"/>
      <c r="CV74" s="517"/>
      <c r="CW74" s="517"/>
      <c r="CX74" s="517"/>
    </row>
    <row r="75" spans="1:102" ht="28.5" customHeight="1" x14ac:dyDescent="0.2">
      <c r="A75" s="1856"/>
      <c r="B75" s="1860"/>
      <c r="C75" s="533"/>
      <c r="D75" s="533"/>
      <c r="E75" s="510"/>
      <c r="F75" s="510"/>
      <c r="G75" s="510"/>
      <c r="H75" s="510"/>
      <c r="I75" s="510"/>
      <c r="J75" s="510"/>
      <c r="K75" s="510"/>
      <c r="L75" s="510"/>
      <c r="M75" s="510"/>
      <c r="N75" s="510"/>
      <c r="O75" s="510"/>
      <c r="P75" s="510"/>
      <c r="Q75" s="510"/>
      <c r="R75" s="510"/>
      <c r="S75" s="510"/>
      <c r="T75" s="1852"/>
      <c r="U75" s="85"/>
      <c r="V75" s="85"/>
      <c r="W75" s="85"/>
      <c r="X75" s="72"/>
      <c r="Y75" s="72"/>
      <c r="Z75" s="72"/>
      <c r="AA75" s="72"/>
      <c r="AB75" s="86">
        <v>0.25</v>
      </c>
      <c r="AC75" s="86">
        <f>+(AC68+AC69+AC70+AC71+AC72+AC73+AC74)/7</f>
        <v>0.47540983606557374</v>
      </c>
      <c r="AD75" s="86">
        <f>AVERAGE(AD68:AD74)</f>
        <v>0.35143442622950816</v>
      </c>
      <c r="AE75" s="72"/>
      <c r="AF75" s="72"/>
      <c r="AG75" s="72"/>
      <c r="AH75" s="72"/>
      <c r="AI75" s="552"/>
      <c r="AJ75" s="72"/>
      <c r="AK75" s="86">
        <f>AVERAGE(AK68:AK74)</f>
        <v>1</v>
      </c>
      <c r="AL75" s="72"/>
      <c r="AM75" s="86">
        <f>AVERAGE(AM68:AM74)</f>
        <v>0.75</v>
      </c>
      <c r="AN75" s="72"/>
      <c r="AO75" s="125"/>
      <c r="AP75" s="517"/>
      <c r="AQ75" s="50"/>
      <c r="AR75" s="517"/>
      <c r="AS75" s="510"/>
      <c r="AT75" s="517"/>
      <c r="AU75" s="528"/>
      <c r="AV75" s="517"/>
      <c r="AW75" s="125"/>
      <c r="AX75" s="86">
        <f>AVERAGE(AX68:AX74)</f>
        <v>0.7857142857142857</v>
      </c>
      <c r="AY75" s="125"/>
      <c r="AZ75" s="593">
        <f>AVERAGE(AZ68:AZ74)</f>
        <v>0.7321428571428571</v>
      </c>
      <c r="BA75" s="531"/>
      <c r="BB75" s="531"/>
      <c r="BC75" s="531"/>
      <c r="BD75" s="531"/>
      <c r="BE75" s="531"/>
      <c r="BF75" s="531"/>
      <c r="BG75" s="531"/>
      <c r="BH75" s="531"/>
      <c r="BI75" s="531"/>
      <c r="BJ75" s="531"/>
      <c r="BK75" s="1686">
        <f>AVERAGE(BK68:BK74)</f>
        <v>0.93333333333333324</v>
      </c>
      <c r="BL75" s="1687"/>
      <c r="BM75" s="1686">
        <f>AVERAGE(BM68:BM74)</f>
        <v>0.81469555035128793</v>
      </c>
      <c r="BN75" s="517"/>
      <c r="BO75" s="517"/>
      <c r="BP75" s="517"/>
      <c r="BQ75" s="517"/>
      <c r="BR75" s="517"/>
      <c r="BS75" s="517"/>
      <c r="BT75" s="517"/>
      <c r="BU75" s="517"/>
      <c r="BV75" s="517"/>
      <c r="BW75" s="517"/>
      <c r="BX75" s="517"/>
      <c r="BY75" s="517"/>
      <c r="BZ75" s="517"/>
      <c r="CA75" s="517"/>
      <c r="CB75" s="517"/>
      <c r="CC75" s="517"/>
      <c r="CD75" s="517"/>
      <c r="CE75" s="517"/>
      <c r="CF75" s="517"/>
      <c r="CG75" s="517"/>
      <c r="CH75" s="517"/>
      <c r="CI75" s="517"/>
      <c r="CJ75" s="517"/>
      <c r="CK75" s="517"/>
      <c r="CL75" s="517"/>
      <c r="CM75" s="517"/>
      <c r="CN75" s="517"/>
      <c r="CO75" s="517"/>
      <c r="CP75" s="517"/>
      <c r="CQ75" s="517"/>
      <c r="CR75" s="517"/>
      <c r="CS75" s="517"/>
      <c r="CT75" s="517"/>
      <c r="CU75" s="517"/>
      <c r="CV75" s="517"/>
      <c r="CW75" s="517"/>
      <c r="CX75" s="517"/>
    </row>
    <row r="76" spans="1:102" ht="44.25" customHeight="1" x14ac:dyDescent="0.2">
      <c r="A76" s="1856"/>
      <c r="B76" s="1860"/>
      <c r="C76" s="599"/>
      <c r="D76" s="599"/>
      <c r="E76" s="510"/>
      <c r="F76" s="510"/>
      <c r="G76" s="510"/>
      <c r="H76" s="510"/>
      <c r="I76" s="510"/>
      <c r="J76" s="510"/>
      <c r="K76" s="510"/>
      <c r="L76" s="510"/>
      <c r="M76" s="510"/>
      <c r="N76" s="510"/>
      <c r="O76" s="510"/>
      <c r="P76" s="510"/>
      <c r="Q76" s="510"/>
      <c r="R76" s="510"/>
      <c r="S76" s="510"/>
      <c r="T76" s="1853" t="s">
        <v>1636</v>
      </c>
      <c r="U76" s="508" t="s">
        <v>1637</v>
      </c>
      <c r="V76" s="548" t="s">
        <v>1638</v>
      </c>
      <c r="W76" s="548" t="s">
        <v>1639</v>
      </c>
      <c r="X76" s="50">
        <v>20</v>
      </c>
      <c r="Y76" s="61" t="s">
        <v>177</v>
      </c>
      <c r="Z76" s="61">
        <v>6</v>
      </c>
      <c r="AA76" s="61">
        <v>13</v>
      </c>
      <c r="AB76" s="61"/>
      <c r="AC76" s="103">
        <f>+Z76/X76</f>
        <v>0.3</v>
      </c>
      <c r="AD76" s="103">
        <f>AA76/X76</f>
        <v>0.65</v>
      </c>
      <c r="AE76" s="61"/>
      <c r="AF76" s="61"/>
      <c r="AG76" s="50"/>
      <c r="AH76" s="50"/>
      <c r="AI76" s="535"/>
      <c r="AJ76" s="50"/>
      <c r="AK76" s="54"/>
      <c r="AL76" s="50"/>
      <c r="AM76" s="54"/>
      <c r="AN76" s="61">
        <v>6</v>
      </c>
      <c r="AO76" s="116">
        <v>0</v>
      </c>
      <c r="AP76" s="133"/>
      <c r="AQ76" s="117">
        <v>0</v>
      </c>
      <c r="AR76" s="133"/>
      <c r="AS76" s="117">
        <v>0</v>
      </c>
      <c r="AT76" s="474"/>
      <c r="AU76" s="117">
        <v>0</v>
      </c>
      <c r="AV76" s="133"/>
      <c r="AW76" s="61">
        <f>AO76</f>
        <v>0</v>
      </c>
      <c r="AX76" s="103">
        <f>AW76/AN76</f>
        <v>0</v>
      </c>
      <c r="AY76" s="61">
        <f>AW76+AL76</f>
        <v>0</v>
      </c>
      <c r="AZ76" s="624">
        <v>0</v>
      </c>
      <c r="BA76" s="50">
        <v>13</v>
      </c>
      <c r="BB76" s="50">
        <v>0</v>
      </c>
      <c r="BC76" s="50"/>
      <c r="BD76" s="50">
        <v>0</v>
      </c>
      <c r="BE76" s="50"/>
      <c r="BF76" s="50">
        <v>0</v>
      </c>
      <c r="BG76" s="50"/>
      <c r="BH76" s="50">
        <v>0</v>
      </c>
      <c r="BI76" s="50"/>
      <c r="BJ76" s="50">
        <v>0</v>
      </c>
      <c r="BK76" s="57">
        <v>0</v>
      </c>
      <c r="BL76" s="50">
        <v>0</v>
      </c>
      <c r="BM76" s="54">
        <v>0</v>
      </c>
      <c r="BN76" s="517"/>
      <c r="BO76" s="517"/>
      <c r="BP76" s="517"/>
      <c r="BQ76" s="517"/>
      <c r="BR76" s="517"/>
      <c r="BS76" s="517"/>
      <c r="BT76" s="517"/>
      <c r="BU76" s="517"/>
      <c r="BV76" s="517"/>
      <c r="BW76" s="517"/>
      <c r="BX76" s="517"/>
      <c r="BY76" s="517"/>
      <c r="BZ76" s="517"/>
      <c r="CA76" s="517"/>
      <c r="CB76" s="517"/>
      <c r="CC76" s="517"/>
      <c r="CD76" s="517"/>
      <c r="CE76" s="517"/>
      <c r="CF76" s="517"/>
      <c r="CG76" s="517"/>
      <c r="CH76" s="517"/>
      <c r="CI76" s="517"/>
      <c r="CJ76" s="517"/>
      <c r="CK76" s="517"/>
      <c r="CL76" s="517"/>
      <c r="CM76" s="517"/>
      <c r="CN76" s="517"/>
      <c r="CO76" s="517"/>
      <c r="CP76" s="517"/>
      <c r="CQ76" s="517"/>
      <c r="CR76" s="517"/>
      <c r="CS76" s="517"/>
      <c r="CT76" s="517"/>
      <c r="CU76" s="517"/>
      <c r="CV76" s="517"/>
      <c r="CW76" s="517"/>
      <c r="CX76" s="517"/>
    </row>
    <row r="77" spans="1:102" ht="33.75" customHeight="1" x14ac:dyDescent="0.2">
      <c r="A77" s="1856"/>
      <c r="B77" s="1860"/>
      <c r="C77" s="599"/>
      <c r="D77" s="599"/>
      <c r="E77" s="633"/>
      <c r="F77" s="633"/>
      <c r="G77" s="633"/>
      <c r="H77" s="633"/>
      <c r="I77" s="633"/>
      <c r="J77" s="633"/>
      <c r="K77" s="633"/>
      <c r="L77" s="633"/>
      <c r="M77" s="633"/>
      <c r="N77" s="633"/>
      <c r="O77" s="633"/>
      <c r="P77" s="633"/>
      <c r="Q77" s="633"/>
      <c r="R77" s="633"/>
      <c r="S77" s="633"/>
      <c r="T77" s="1862"/>
      <c r="U77" s="118" t="s">
        <v>1640</v>
      </c>
      <c r="V77" s="548" t="s">
        <v>1641</v>
      </c>
      <c r="W77" s="548" t="s">
        <v>1642</v>
      </c>
      <c r="X77" s="63">
        <v>1</v>
      </c>
      <c r="Y77" s="70">
        <v>1</v>
      </c>
      <c r="Z77" s="70">
        <v>1</v>
      </c>
      <c r="AA77" s="70">
        <v>1</v>
      </c>
      <c r="AB77" s="178">
        <v>0.25</v>
      </c>
      <c r="AC77" s="178">
        <v>0.25</v>
      </c>
      <c r="AD77" s="103">
        <v>0.25</v>
      </c>
      <c r="AE77" s="70"/>
      <c r="AF77" s="70">
        <v>1</v>
      </c>
      <c r="AG77" s="63"/>
      <c r="AH77" s="100">
        <v>1</v>
      </c>
      <c r="AI77" s="634"/>
      <c r="AJ77" s="63">
        <v>1</v>
      </c>
      <c r="AK77" s="65">
        <f>+AF77</f>
        <v>1</v>
      </c>
      <c r="AL77" s="63">
        <f>+AJ77</f>
        <v>1</v>
      </c>
      <c r="AM77" s="65">
        <v>1</v>
      </c>
      <c r="AN77" s="70">
        <v>1</v>
      </c>
      <c r="AO77" s="116">
        <v>0</v>
      </c>
      <c r="AP77" s="133"/>
      <c r="AQ77" s="117">
        <v>0</v>
      </c>
      <c r="AR77" s="133"/>
      <c r="AS77" s="117">
        <v>0</v>
      </c>
      <c r="AT77" s="474"/>
      <c r="AU77" s="117">
        <v>1</v>
      </c>
      <c r="AV77" s="133"/>
      <c r="AW77" s="61">
        <f>+AU77</f>
        <v>1</v>
      </c>
      <c r="AX77" s="103">
        <f>AW77/AN77</f>
        <v>1</v>
      </c>
      <c r="AY77" s="61">
        <v>1</v>
      </c>
      <c r="AZ77" s="1157">
        <v>0.5</v>
      </c>
      <c r="BA77" s="63">
        <v>1</v>
      </c>
      <c r="BB77" s="63">
        <v>0</v>
      </c>
      <c r="BC77" s="63"/>
      <c r="BD77" s="63">
        <v>0</v>
      </c>
      <c r="BE77" s="63"/>
      <c r="BF77" s="153">
        <v>0.375</v>
      </c>
      <c r="BG77" s="63"/>
      <c r="BH77" s="63"/>
      <c r="BI77" s="63"/>
      <c r="BJ77" s="63">
        <f>+BF77</f>
        <v>0.375</v>
      </c>
      <c r="BK77" s="153">
        <f>+BJ77</f>
        <v>0.375</v>
      </c>
      <c r="BL77" s="63">
        <f>+BJ77%</f>
        <v>3.7499999999999999E-3</v>
      </c>
      <c r="BM77" s="1689">
        <f>+BK77</f>
        <v>0.375</v>
      </c>
      <c r="BN77" s="636"/>
      <c r="BO77" s="636"/>
      <c r="BP77" s="636"/>
      <c r="BQ77" s="636"/>
      <c r="BR77" s="636"/>
      <c r="BS77" s="636"/>
      <c r="BT77" s="636"/>
      <c r="BU77" s="636"/>
      <c r="BV77" s="636"/>
      <c r="BW77" s="636"/>
      <c r="BX77" s="636"/>
      <c r="BY77" s="636"/>
      <c r="BZ77" s="636"/>
      <c r="CA77" s="636"/>
      <c r="CB77" s="636"/>
      <c r="CC77" s="636"/>
      <c r="CD77" s="636"/>
      <c r="CE77" s="636"/>
      <c r="CF77" s="636"/>
      <c r="CG77" s="636"/>
      <c r="CH77" s="636"/>
      <c r="CI77" s="636"/>
      <c r="CJ77" s="636"/>
      <c r="CK77" s="636"/>
      <c r="CL77" s="636"/>
      <c r="CM77" s="636"/>
      <c r="CN77" s="636"/>
      <c r="CO77" s="636"/>
      <c r="CP77" s="636"/>
      <c r="CQ77" s="636"/>
      <c r="CR77" s="636"/>
      <c r="CS77" s="636"/>
      <c r="CT77" s="636"/>
      <c r="CU77" s="636"/>
      <c r="CV77" s="636"/>
      <c r="CW77" s="636"/>
      <c r="CX77" s="636"/>
    </row>
    <row r="78" spans="1:102" ht="58.5" customHeight="1" x14ac:dyDescent="0.2">
      <c r="A78" s="1856"/>
      <c r="B78" s="1860"/>
      <c r="C78" s="599"/>
      <c r="D78" s="599"/>
      <c r="E78" s="510"/>
      <c r="F78" s="510"/>
      <c r="G78" s="510"/>
      <c r="H78" s="510"/>
      <c r="I78" s="510"/>
      <c r="J78" s="510"/>
      <c r="K78" s="510"/>
      <c r="L78" s="510"/>
      <c r="M78" s="510"/>
      <c r="N78" s="510"/>
      <c r="O78" s="510"/>
      <c r="P78" s="510"/>
      <c r="Q78" s="510"/>
      <c r="R78" s="510"/>
      <c r="S78" s="510"/>
      <c r="T78" s="1862"/>
      <c r="U78" s="508" t="s">
        <v>1643</v>
      </c>
      <c r="V78" s="548" t="s">
        <v>1644</v>
      </c>
      <c r="W78" s="548" t="s">
        <v>1645</v>
      </c>
      <c r="X78" s="50">
        <v>150</v>
      </c>
      <c r="Y78" s="61">
        <v>38</v>
      </c>
      <c r="Z78" s="61">
        <v>38</v>
      </c>
      <c r="AA78" s="61">
        <v>37</v>
      </c>
      <c r="AB78" s="103">
        <f>+Y78/X78</f>
        <v>0.25333333333333335</v>
      </c>
      <c r="AC78" s="103">
        <v>0.25</v>
      </c>
      <c r="AD78" s="103"/>
      <c r="AE78" s="61">
        <v>65</v>
      </c>
      <c r="AF78" s="61">
        <v>65</v>
      </c>
      <c r="AG78" s="50"/>
      <c r="AH78" s="50">
        <v>180</v>
      </c>
      <c r="AI78" s="535"/>
      <c r="AJ78" s="50">
        <f>+AH78</f>
        <v>180</v>
      </c>
      <c r="AK78" s="54">
        <v>1</v>
      </c>
      <c r="AL78" s="50">
        <f>+AJ78</f>
        <v>180</v>
      </c>
      <c r="AM78" s="54">
        <v>1</v>
      </c>
      <c r="AN78" s="61">
        <v>38</v>
      </c>
      <c r="AO78" s="116">
        <v>94</v>
      </c>
      <c r="AP78" s="133"/>
      <c r="AQ78" s="117">
        <v>79</v>
      </c>
      <c r="AR78" s="133"/>
      <c r="AS78" s="117">
        <v>75</v>
      </c>
      <c r="AT78" s="474"/>
      <c r="AU78" s="117">
        <v>65</v>
      </c>
      <c r="AV78" s="133"/>
      <c r="AW78" s="61">
        <f>AO78+AQ78+AU78</f>
        <v>238</v>
      </c>
      <c r="AX78" s="172">
        <v>1</v>
      </c>
      <c r="AY78" s="61">
        <v>493</v>
      </c>
      <c r="AZ78" s="641">
        <v>1</v>
      </c>
      <c r="BA78" s="50">
        <v>37</v>
      </c>
      <c r="BB78" s="50">
        <v>82</v>
      </c>
      <c r="BC78" s="50"/>
      <c r="BD78" s="50">
        <v>86</v>
      </c>
      <c r="BE78" s="50"/>
      <c r="BF78" s="50">
        <v>81</v>
      </c>
      <c r="BG78" s="50"/>
      <c r="BH78" s="50">
        <v>93</v>
      </c>
      <c r="BI78" s="50"/>
      <c r="BJ78" s="50">
        <f>82+BD78+BF78+BH78</f>
        <v>342</v>
      </c>
      <c r="BK78" s="57">
        <v>1</v>
      </c>
      <c r="BL78" s="50">
        <f>BJ78+AY78</f>
        <v>835</v>
      </c>
      <c r="BM78" s="54">
        <v>1</v>
      </c>
      <c r="BN78" s="517"/>
      <c r="BO78" s="517"/>
      <c r="BP78" s="517"/>
      <c r="BQ78" s="517"/>
      <c r="BR78" s="517"/>
      <c r="BS78" s="517"/>
      <c r="BT78" s="517"/>
      <c r="BU78" s="517"/>
      <c r="BV78" s="517"/>
      <c r="BW78" s="517"/>
      <c r="BX78" s="517"/>
      <c r="BY78" s="517"/>
      <c r="BZ78" s="517"/>
      <c r="CA78" s="517"/>
      <c r="CB78" s="517"/>
      <c r="CC78" s="517"/>
      <c r="CD78" s="517"/>
      <c r="CE78" s="517"/>
      <c r="CF78" s="517"/>
      <c r="CG78" s="517"/>
      <c r="CH78" s="517"/>
      <c r="CI78" s="517"/>
      <c r="CJ78" s="517"/>
      <c r="CK78" s="517"/>
      <c r="CL78" s="517"/>
      <c r="CM78" s="517"/>
      <c r="CN78" s="517"/>
      <c r="CO78" s="517"/>
      <c r="CP78" s="517"/>
      <c r="CQ78" s="517"/>
      <c r="CR78" s="517"/>
      <c r="CS78" s="517"/>
      <c r="CT78" s="517"/>
      <c r="CU78" s="517"/>
      <c r="CV78" s="517"/>
      <c r="CW78" s="517"/>
      <c r="CX78" s="517"/>
    </row>
    <row r="79" spans="1:102" ht="27.75" customHeight="1" x14ac:dyDescent="0.2">
      <c r="A79" s="1856"/>
      <c r="B79" s="1860"/>
      <c r="C79" s="599"/>
      <c r="D79" s="599"/>
      <c r="E79" s="510"/>
      <c r="F79" s="510"/>
      <c r="G79" s="510"/>
      <c r="H79" s="510"/>
      <c r="I79" s="510"/>
      <c r="J79" s="510"/>
      <c r="K79" s="510"/>
      <c r="L79" s="510"/>
      <c r="M79" s="510"/>
      <c r="N79" s="510"/>
      <c r="O79" s="510"/>
      <c r="P79" s="510"/>
      <c r="Q79" s="510"/>
      <c r="R79" s="510"/>
      <c r="S79" s="510"/>
      <c r="T79" s="1862"/>
      <c r="U79" s="508" t="s">
        <v>1646</v>
      </c>
      <c r="V79" s="548" t="s">
        <v>1647</v>
      </c>
      <c r="W79" s="548" t="s">
        <v>1648</v>
      </c>
      <c r="X79" s="50">
        <v>4</v>
      </c>
      <c r="Y79" s="61">
        <v>1</v>
      </c>
      <c r="Z79" s="61">
        <v>1</v>
      </c>
      <c r="AA79" s="61">
        <v>1</v>
      </c>
      <c r="AB79" s="103">
        <f>+Y79/X79</f>
        <v>0.25</v>
      </c>
      <c r="AC79" s="103">
        <v>0.25</v>
      </c>
      <c r="AD79" s="103">
        <v>0.25</v>
      </c>
      <c r="AE79" s="61">
        <v>0</v>
      </c>
      <c r="AF79" s="61">
        <v>0</v>
      </c>
      <c r="AG79" s="50"/>
      <c r="AH79" s="50">
        <v>0</v>
      </c>
      <c r="AI79" s="535"/>
      <c r="AJ79" s="50">
        <f>+AH79</f>
        <v>0</v>
      </c>
      <c r="AK79" s="54">
        <f>+AE79/Y79</f>
        <v>0</v>
      </c>
      <c r="AL79" s="50">
        <f>+AJ79</f>
        <v>0</v>
      </c>
      <c r="AM79" s="54">
        <f>+AL79/X79</f>
        <v>0</v>
      </c>
      <c r="AN79" s="61">
        <v>1</v>
      </c>
      <c r="AO79" s="116">
        <v>0</v>
      </c>
      <c r="AP79" s="133"/>
      <c r="AQ79" s="117">
        <v>0</v>
      </c>
      <c r="AR79" s="133"/>
      <c r="AS79" s="117">
        <v>1</v>
      </c>
      <c r="AT79" s="474"/>
      <c r="AU79" s="117">
        <v>1</v>
      </c>
      <c r="AV79" s="133"/>
      <c r="AW79" s="61">
        <f>+AS79</f>
        <v>1</v>
      </c>
      <c r="AX79" s="103">
        <f>AW79/AN79</f>
        <v>1</v>
      </c>
      <c r="AY79" s="61">
        <f>AW79+AL79</f>
        <v>1</v>
      </c>
      <c r="AZ79" s="1157">
        <v>0.5</v>
      </c>
      <c r="BA79" s="50">
        <v>1</v>
      </c>
      <c r="BB79" s="50">
        <v>0</v>
      </c>
      <c r="BC79" s="50"/>
      <c r="BD79" s="50"/>
      <c r="BE79" s="50"/>
      <c r="BF79" s="50"/>
      <c r="BG79" s="50"/>
      <c r="BH79" s="50">
        <v>1</v>
      </c>
      <c r="BI79" s="50"/>
      <c r="BJ79" s="50">
        <f>+BH79</f>
        <v>1</v>
      </c>
      <c r="BK79" s="57">
        <v>1</v>
      </c>
      <c r="BL79" s="50">
        <v>2</v>
      </c>
      <c r="BM79" s="1688">
        <v>0.5</v>
      </c>
      <c r="BN79" s="517"/>
      <c r="BO79" s="517"/>
      <c r="BP79" s="517"/>
      <c r="BQ79" s="517"/>
      <c r="BR79" s="517"/>
      <c r="BS79" s="517"/>
      <c r="BT79" s="517"/>
      <c r="BU79" s="517"/>
      <c r="BV79" s="517"/>
      <c r="BW79" s="517"/>
      <c r="BX79" s="517"/>
      <c r="BY79" s="517"/>
      <c r="BZ79" s="517"/>
      <c r="CA79" s="517"/>
      <c r="CB79" s="517"/>
      <c r="CC79" s="517"/>
      <c r="CD79" s="517"/>
      <c r="CE79" s="517"/>
      <c r="CF79" s="517"/>
      <c r="CG79" s="517"/>
      <c r="CH79" s="517"/>
      <c r="CI79" s="517"/>
      <c r="CJ79" s="517"/>
      <c r="CK79" s="517"/>
      <c r="CL79" s="517"/>
      <c r="CM79" s="517"/>
      <c r="CN79" s="517"/>
      <c r="CO79" s="517"/>
      <c r="CP79" s="517"/>
      <c r="CQ79" s="517"/>
      <c r="CR79" s="517"/>
      <c r="CS79" s="517"/>
      <c r="CT79" s="517"/>
      <c r="CU79" s="517"/>
      <c r="CV79" s="517"/>
      <c r="CW79" s="517"/>
      <c r="CX79" s="517"/>
    </row>
    <row r="80" spans="1:102" ht="12" customHeight="1" x14ac:dyDescent="0.2">
      <c r="A80" s="1856"/>
      <c r="B80" s="1860"/>
      <c r="C80" s="599"/>
      <c r="D80" s="599"/>
      <c r="E80" s="510"/>
      <c r="F80" s="510"/>
      <c r="G80" s="510"/>
      <c r="H80" s="510"/>
      <c r="I80" s="510"/>
      <c r="J80" s="510"/>
      <c r="K80" s="510"/>
      <c r="L80" s="510"/>
      <c r="M80" s="510"/>
      <c r="N80" s="510"/>
      <c r="O80" s="510"/>
      <c r="P80" s="510"/>
      <c r="Q80" s="510"/>
      <c r="R80" s="510"/>
      <c r="S80" s="510"/>
      <c r="T80" s="1854"/>
      <c r="U80" s="85"/>
      <c r="V80" s="85"/>
      <c r="W80" s="85"/>
      <c r="X80" s="72"/>
      <c r="Y80" s="78"/>
      <c r="Z80" s="78"/>
      <c r="AA80" s="78"/>
      <c r="AB80" s="646">
        <f>AVERAGE(AB78:AB79)</f>
        <v>0.25166666666666671</v>
      </c>
      <c r="AC80" s="646">
        <f>AVERAGE(AC76:AC79)</f>
        <v>0.26250000000000001</v>
      </c>
      <c r="AD80" s="646">
        <f>AVERAGE(AD76:AD79)</f>
        <v>0.3833333333333333</v>
      </c>
      <c r="AE80" s="78"/>
      <c r="AF80" s="78"/>
      <c r="AG80" s="72"/>
      <c r="AH80" s="72"/>
      <c r="AI80" s="552"/>
      <c r="AJ80" s="72"/>
      <c r="AK80" s="86">
        <f>AVERAGE(AK76:AK79)</f>
        <v>0.66666666666666663</v>
      </c>
      <c r="AL80" s="74"/>
      <c r="AM80" s="86">
        <f>AVERAGE(AM76:AM79)</f>
        <v>0.66666666666666663</v>
      </c>
      <c r="AN80" s="78"/>
      <c r="AO80" s="85"/>
      <c r="AP80" s="517"/>
      <c r="AQ80" s="50"/>
      <c r="AR80" s="517"/>
      <c r="AS80" s="510"/>
      <c r="AT80" s="517"/>
      <c r="AU80" s="528"/>
      <c r="AV80" s="517"/>
      <c r="AW80" s="85"/>
      <c r="AX80" s="86">
        <f>AVERAGE(AX76:AX79)</f>
        <v>0.75</v>
      </c>
      <c r="AY80" s="585"/>
      <c r="AZ80" s="530">
        <f>AVERAGE(AZ76:AZ79)</f>
        <v>0.5</v>
      </c>
      <c r="BA80" s="531"/>
      <c r="BB80" s="531"/>
      <c r="BC80" s="531"/>
      <c r="BD80" s="531"/>
      <c r="BE80" s="531"/>
      <c r="BF80" s="531"/>
      <c r="BG80" s="531"/>
      <c r="BH80" s="531"/>
      <c r="BI80" s="531"/>
      <c r="BJ80" s="531"/>
      <c r="BK80" s="568">
        <f>AVERAGE(BK76:BK79)</f>
        <v>0.59375</v>
      </c>
      <c r="BL80" s="531"/>
      <c r="BM80" s="1632">
        <f>AVERAGE(BM76:BM79)</f>
        <v>0.46875</v>
      </c>
      <c r="BN80" s="517"/>
      <c r="BO80" s="517"/>
      <c r="BP80" s="517"/>
      <c r="BQ80" s="517"/>
      <c r="BR80" s="517"/>
      <c r="BS80" s="517"/>
      <c r="BT80" s="517"/>
      <c r="BU80" s="517"/>
      <c r="BV80" s="517"/>
      <c r="BW80" s="517"/>
      <c r="BX80" s="517"/>
      <c r="BY80" s="517"/>
      <c r="BZ80" s="517"/>
      <c r="CA80" s="517"/>
      <c r="CB80" s="517"/>
      <c r="CC80" s="517"/>
      <c r="CD80" s="517"/>
      <c r="CE80" s="517"/>
      <c r="CF80" s="517"/>
      <c r="CG80" s="517"/>
      <c r="CH80" s="517"/>
      <c r="CI80" s="517"/>
      <c r="CJ80" s="517"/>
      <c r="CK80" s="517"/>
      <c r="CL80" s="517"/>
      <c r="CM80" s="517"/>
      <c r="CN80" s="517"/>
      <c r="CO80" s="517"/>
      <c r="CP80" s="517"/>
      <c r="CQ80" s="517"/>
      <c r="CR80" s="517"/>
      <c r="CS80" s="517"/>
      <c r="CT80" s="517"/>
      <c r="CU80" s="517"/>
      <c r="CV80" s="517"/>
      <c r="CW80" s="517"/>
      <c r="CX80" s="517"/>
    </row>
    <row r="81" spans="1:102" ht="12" customHeight="1" x14ac:dyDescent="0.2">
      <c r="A81" s="1856"/>
      <c r="B81" s="1861"/>
      <c r="C81" s="614"/>
      <c r="D81" s="614"/>
      <c r="E81" s="544"/>
      <c r="F81" s="544"/>
      <c r="G81" s="544"/>
      <c r="H81" s="544"/>
      <c r="I81" s="544"/>
      <c r="J81" s="544"/>
      <c r="K81" s="544"/>
      <c r="L81" s="544"/>
      <c r="M81" s="544"/>
      <c r="N81" s="544"/>
      <c r="O81" s="544"/>
      <c r="P81" s="544"/>
      <c r="Q81" s="544"/>
      <c r="R81" s="544"/>
      <c r="S81" s="544"/>
      <c r="T81" s="108"/>
      <c r="U81" s="109"/>
      <c r="V81" s="109"/>
      <c r="W81" s="109"/>
      <c r="X81" s="110"/>
      <c r="Y81" s="110"/>
      <c r="Z81" s="110"/>
      <c r="AA81" s="110"/>
      <c r="AB81" s="112">
        <f>+(AB80+AB75)/2</f>
        <v>0.25083333333333335</v>
      </c>
      <c r="AC81" s="112">
        <f>+(AC80+AC75)/2</f>
        <v>0.3689549180327869</v>
      </c>
      <c r="AD81" s="112">
        <f>+(AD80+AD75)/2</f>
        <v>0.36738387978142073</v>
      </c>
      <c r="AE81" s="110"/>
      <c r="AF81" s="110"/>
      <c r="AG81" s="110"/>
      <c r="AH81" s="110"/>
      <c r="AI81" s="535"/>
      <c r="AJ81" s="110"/>
      <c r="AK81" s="111">
        <f>+(AK80+AK75)/2</f>
        <v>0.83333333333333326</v>
      </c>
      <c r="AL81" s="110"/>
      <c r="AM81" s="111">
        <f>+(AM80+AM75)/2</f>
        <v>0.70833333333333326</v>
      </c>
      <c r="AN81" s="110"/>
      <c r="AO81" s="615"/>
      <c r="AP81" s="517"/>
      <c r="AQ81" s="50"/>
      <c r="AR81" s="517"/>
      <c r="AS81" s="510"/>
      <c r="AT81" s="517"/>
      <c r="AU81" s="528"/>
      <c r="AV81" s="517"/>
      <c r="AW81" s="615"/>
      <c r="AX81" s="111">
        <f>+(AX80+AX75)/2</f>
        <v>0.76785714285714279</v>
      </c>
      <c r="AY81" s="615"/>
      <c r="AZ81" s="574">
        <f>+(AZ80+AZ75)/2</f>
        <v>0.6160714285714286</v>
      </c>
      <c r="BA81" s="619"/>
      <c r="BB81" s="619"/>
      <c r="BC81" s="619"/>
      <c r="BD81" s="619"/>
      <c r="BE81" s="619"/>
      <c r="BF81" s="619"/>
      <c r="BG81" s="619"/>
      <c r="BH81" s="619"/>
      <c r="BI81" s="619"/>
      <c r="BJ81" s="619"/>
      <c r="BK81" s="618">
        <f>+(BK80+BK75)/2</f>
        <v>0.76354166666666656</v>
      </c>
      <c r="BL81" s="618"/>
      <c r="BM81" s="618">
        <f>+(BM80+BM75)/2</f>
        <v>0.64172277517564402</v>
      </c>
      <c r="BN81" s="517"/>
      <c r="BO81" s="517"/>
      <c r="BP81" s="517"/>
      <c r="BQ81" s="517"/>
      <c r="BR81" s="517"/>
      <c r="BS81" s="517"/>
      <c r="BT81" s="517"/>
      <c r="BU81" s="517"/>
      <c r="BV81" s="517"/>
      <c r="BW81" s="517"/>
      <c r="BX81" s="517"/>
      <c r="BY81" s="517"/>
      <c r="BZ81" s="517"/>
      <c r="CA81" s="517"/>
      <c r="CB81" s="517"/>
      <c r="CC81" s="517"/>
      <c r="CD81" s="517"/>
      <c r="CE81" s="517"/>
      <c r="CF81" s="517"/>
      <c r="CG81" s="517"/>
      <c r="CH81" s="517"/>
      <c r="CI81" s="517"/>
      <c r="CJ81" s="517"/>
      <c r="CK81" s="517"/>
      <c r="CL81" s="517"/>
      <c r="CM81" s="517"/>
      <c r="CN81" s="517"/>
      <c r="CO81" s="517"/>
      <c r="CP81" s="517"/>
      <c r="CQ81" s="517"/>
      <c r="CR81" s="517"/>
      <c r="CS81" s="517"/>
      <c r="CT81" s="517"/>
      <c r="CU81" s="517"/>
      <c r="CV81" s="517"/>
      <c r="CW81" s="517"/>
      <c r="CX81" s="517"/>
    </row>
    <row r="82" spans="1:102" ht="48" customHeight="1" x14ac:dyDescent="0.2">
      <c r="A82" s="1856"/>
      <c r="B82" s="1857" t="s">
        <v>1649</v>
      </c>
      <c r="C82" s="620" t="s">
        <v>1650</v>
      </c>
      <c r="D82" s="647">
        <v>1</v>
      </c>
      <c r="E82" s="510"/>
      <c r="F82" s="510"/>
      <c r="G82" s="510"/>
      <c r="H82" s="510"/>
      <c r="I82" s="510"/>
      <c r="J82" s="510"/>
      <c r="K82" s="510"/>
      <c r="L82" s="510"/>
      <c r="M82" s="510"/>
      <c r="N82" s="510"/>
      <c r="O82" s="510"/>
      <c r="P82" s="510"/>
      <c r="Q82" s="510"/>
      <c r="R82" s="510"/>
      <c r="S82" s="510"/>
      <c r="T82" s="1853" t="s">
        <v>1651</v>
      </c>
      <c r="U82" s="508" t="s">
        <v>1652</v>
      </c>
      <c r="V82" s="548" t="s">
        <v>1653</v>
      </c>
      <c r="W82" s="548" t="s">
        <v>1654</v>
      </c>
      <c r="X82" s="61">
        <v>8</v>
      </c>
      <c r="Y82" s="61">
        <v>1</v>
      </c>
      <c r="Z82" s="61">
        <v>8</v>
      </c>
      <c r="AA82" s="61">
        <v>1</v>
      </c>
      <c r="AB82" s="103">
        <f>+Y82/X82</f>
        <v>0.125</v>
      </c>
      <c r="AC82" s="103">
        <f>+Z82/X82</f>
        <v>1</v>
      </c>
      <c r="AD82" s="103">
        <f>AA82/X82</f>
        <v>0.125</v>
      </c>
      <c r="AE82" s="61">
        <v>1</v>
      </c>
      <c r="AF82" s="61">
        <v>1</v>
      </c>
      <c r="AG82" s="50"/>
      <c r="AH82" s="50">
        <v>1</v>
      </c>
      <c r="AI82" s="535"/>
      <c r="AJ82" s="50">
        <f>+AH82</f>
        <v>1</v>
      </c>
      <c r="AK82" s="54">
        <v>1</v>
      </c>
      <c r="AL82" s="50">
        <f>+AJ82</f>
        <v>1</v>
      </c>
      <c r="AM82" s="54">
        <f>+AL82/X82</f>
        <v>0.125</v>
      </c>
      <c r="AN82" s="61">
        <v>2</v>
      </c>
      <c r="AO82" s="116">
        <v>0</v>
      </c>
      <c r="AP82" s="133"/>
      <c r="AQ82" s="117">
        <v>0</v>
      </c>
      <c r="AR82" s="133"/>
      <c r="AS82" s="474">
        <v>0</v>
      </c>
      <c r="AT82" s="133"/>
      <c r="AU82" s="117">
        <v>1</v>
      </c>
      <c r="AV82" s="133"/>
      <c r="AW82" s="61">
        <f>+AU82</f>
        <v>1</v>
      </c>
      <c r="AX82" s="103">
        <f>+AW82/AN82</f>
        <v>0.5</v>
      </c>
      <c r="AY82" s="61">
        <f>1+AL82</f>
        <v>2</v>
      </c>
      <c r="AZ82" s="624">
        <f>+AY82/Z82</f>
        <v>0.25</v>
      </c>
      <c r="BA82" s="1021">
        <v>1</v>
      </c>
      <c r="BB82" s="1021">
        <v>1</v>
      </c>
      <c r="BC82" s="1021"/>
      <c r="BD82" s="1021">
        <v>1</v>
      </c>
      <c r="BE82" s="1021"/>
      <c r="BF82" s="1021">
        <v>1</v>
      </c>
      <c r="BG82" s="1021"/>
      <c r="BH82" s="1021">
        <v>1</v>
      </c>
      <c r="BI82" s="1021"/>
      <c r="BJ82" s="1021">
        <f>2+BH82</f>
        <v>3</v>
      </c>
      <c r="BK82" s="1022">
        <v>1</v>
      </c>
      <c r="BL82" s="1021">
        <f>BJ82+AY82</f>
        <v>5</v>
      </c>
      <c r="BM82" s="1023">
        <f>BL82/X82</f>
        <v>0.625</v>
      </c>
      <c r="BN82" s="517"/>
      <c r="BO82" s="517"/>
      <c r="BP82" s="517"/>
      <c r="BQ82" s="517"/>
      <c r="BR82" s="517"/>
      <c r="BS82" s="517"/>
      <c r="BT82" s="517"/>
      <c r="BU82" s="517"/>
      <c r="BV82" s="517"/>
      <c r="BW82" s="517"/>
      <c r="BX82" s="517"/>
      <c r="BY82" s="517"/>
      <c r="BZ82" s="517"/>
      <c r="CA82" s="517"/>
      <c r="CB82" s="517"/>
      <c r="CC82" s="517"/>
      <c r="CD82" s="517"/>
      <c r="CE82" s="517"/>
      <c r="CF82" s="517"/>
      <c r="CG82" s="517"/>
      <c r="CH82" s="517"/>
      <c r="CI82" s="517"/>
      <c r="CJ82" s="517"/>
      <c r="CK82" s="517"/>
      <c r="CL82" s="517"/>
      <c r="CM82" s="517"/>
      <c r="CN82" s="517"/>
      <c r="CO82" s="517"/>
      <c r="CP82" s="517"/>
      <c r="CQ82" s="517"/>
      <c r="CR82" s="517"/>
      <c r="CS82" s="517"/>
      <c r="CT82" s="517"/>
      <c r="CU82" s="517"/>
      <c r="CV82" s="517"/>
      <c r="CW82" s="517"/>
      <c r="CX82" s="517"/>
    </row>
    <row r="83" spans="1:102" ht="38.25" customHeight="1" x14ac:dyDescent="0.2">
      <c r="A83" s="1856"/>
      <c r="B83" s="1858"/>
      <c r="C83" s="648" t="s">
        <v>1655</v>
      </c>
      <c r="D83" s="649" t="s">
        <v>520</v>
      </c>
      <c r="E83" s="510"/>
      <c r="F83" s="510"/>
      <c r="G83" s="510"/>
      <c r="H83" s="510"/>
      <c r="I83" s="510"/>
      <c r="J83" s="510"/>
      <c r="K83" s="510"/>
      <c r="L83" s="510"/>
      <c r="M83" s="510"/>
      <c r="N83" s="510"/>
      <c r="O83" s="510"/>
      <c r="P83" s="510"/>
      <c r="Q83" s="510"/>
      <c r="R83" s="510"/>
      <c r="S83" s="510"/>
      <c r="T83" s="1862"/>
      <c r="U83" s="508" t="s">
        <v>1656</v>
      </c>
      <c r="V83" s="548" t="s">
        <v>1657</v>
      </c>
      <c r="W83" s="548" t="s">
        <v>1658</v>
      </c>
      <c r="X83" s="61">
        <v>8</v>
      </c>
      <c r="Y83" s="61" t="s">
        <v>177</v>
      </c>
      <c r="Z83" s="61">
        <v>2</v>
      </c>
      <c r="AA83" s="61">
        <v>3</v>
      </c>
      <c r="AB83" s="103"/>
      <c r="AC83" s="103">
        <f>+Z83/X83</f>
        <v>0.25</v>
      </c>
      <c r="AD83" s="103">
        <f>AA83/X83</f>
        <v>0.375</v>
      </c>
      <c r="AE83" s="61"/>
      <c r="AF83" s="61"/>
      <c r="AG83" s="50"/>
      <c r="AH83" s="50"/>
      <c r="AI83" s="535"/>
      <c r="AJ83" s="50"/>
      <c r="AK83" s="50"/>
      <c r="AL83" s="50"/>
      <c r="AM83" s="54"/>
      <c r="AN83" s="61">
        <v>2</v>
      </c>
      <c r="AO83" s="116">
        <v>0</v>
      </c>
      <c r="AP83" s="133"/>
      <c r="AQ83" s="117">
        <v>1</v>
      </c>
      <c r="AR83" s="133"/>
      <c r="AS83" s="117">
        <v>0</v>
      </c>
      <c r="AT83" s="474"/>
      <c r="AU83" s="117">
        <v>2</v>
      </c>
      <c r="AV83" s="133"/>
      <c r="AW83" s="61">
        <f>+AU83+AQ83</f>
        <v>3</v>
      </c>
      <c r="AX83" s="103">
        <v>1</v>
      </c>
      <c r="AY83" s="61">
        <f>AW83+AL83</f>
        <v>3</v>
      </c>
      <c r="AZ83" s="624">
        <f>AY83/X83</f>
        <v>0.375</v>
      </c>
      <c r="BA83" s="1021">
        <v>3</v>
      </c>
      <c r="BB83" s="1021">
        <v>0</v>
      </c>
      <c r="BC83" s="1021"/>
      <c r="BD83" s="1021">
        <v>1</v>
      </c>
      <c r="BE83" s="1021"/>
      <c r="BF83" s="1021">
        <v>0</v>
      </c>
      <c r="BG83" s="1021"/>
      <c r="BH83" s="1021">
        <v>2</v>
      </c>
      <c r="BI83" s="1021"/>
      <c r="BJ83" s="1021">
        <f>+BD83+BH83</f>
        <v>3</v>
      </c>
      <c r="BK83" s="1022">
        <f>+BJ83/BA83</f>
        <v>1</v>
      </c>
      <c r="BL83" s="1021">
        <f>BJ83+AY83</f>
        <v>6</v>
      </c>
      <c r="BM83" s="1023">
        <f>BL83/X83</f>
        <v>0.75</v>
      </c>
      <c r="BN83" s="517"/>
      <c r="BO83" s="517"/>
      <c r="BP83" s="517"/>
      <c r="BQ83" s="517"/>
      <c r="BR83" s="517"/>
      <c r="BS83" s="517"/>
      <c r="BT83" s="517"/>
      <c r="BU83" s="517"/>
      <c r="BV83" s="517"/>
      <c r="BW83" s="517"/>
      <c r="BX83" s="517"/>
      <c r="BY83" s="517"/>
      <c r="BZ83" s="517"/>
      <c r="CA83" s="517"/>
      <c r="CB83" s="517"/>
      <c r="CC83" s="517"/>
      <c r="CD83" s="517"/>
      <c r="CE83" s="517"/>
      <c r="CF83" s="517"/>
      <c r="CG83" s="517"/>
      <c r="CH83" s="517"/>
      <c r="CI83" s="517"/>
      <c r="CJ83" s="517"/>
      <c r="CK83" s="517"/>
      <c r="CL83" s="517"/>
      <c r="CM83" s="517"/>
      <c r="CN83" s="517"/>
      <c r="CO83" s="517"/>
      <c r="CP83" s="517"/>
      <c r="CQ83" s="517"/>
      <c r="CR83" s="517"/>
      <c r="CS83" s="517"/>
      <c r="CT83" s="517"/>
      <c r="CU83" s="517"/>
      <c r="CV83" s="517"/>
      <c r="CW83" s="517"/>
      <c r="CX83" s="517"/>
    </row>
    <row r="84" spans="1:102" ht="69.75" customHeight="1" x14ac:dyDescent="0.2">
      <c r="A84" s="1856"/>
      <c r="B84" s="1858"/>
      <c r="C84" s="508" t="s">
        <v>1659</v>
      </c>
      <c r="D84" s="508">
        <v>0</v>
      </c>
      <c r="E84" s="510"/>
      <c r="F84" s="510"/>
      <c r="G84" s="510"/>
      <c r="H84" s="510"/>
      <c r="I84" s="510"/>
      <c r="J84" s="510"/>
      <c r="K84" s="510"/>
      <c r="L84" s="510"/>
      <c r="M84" s="510"/>
      <c r="N84" s="510"/>
      <c r="O84" s="510"/>
      <c r="P84" s="510"/>
      <c r="Q84" s="510"/>
      <c r="R84" s="510"/>
      <c r="S84" s="510"/>
      <c r="T84" s="1862"/>
      <c r="U84" s="508" t="s">
        <v>1660</v>
      </c>
      <c r="V84" s="548" t="s">
        <v>1661</v>
      </c>
      <c r="W84" s="548" t="s">
        <v>1662</v>
      </c>
      <c r="X84" s="61">
        <f>24*4</f>
        <v>96</v>
      </c>
      <c r="Y84" s="61">
        <v>24</v>
      </c>
      <c r="Z84" s="61">
        <v>24</v>
      </c>
      <c r="AA84" s="61">
        <v>24</v>
      </c>
      <c r="AB84" s="103">
        <v>0.25</v>
      </c>
      <c r="AC84" s="103">
        <v>0.25</v>
      </c>
      <c r="AD84" s="103">
        <v>0.25</v>
      </c>
      <c r="AE84" s="61">
        <v>24</v>
      </c>
      <c r="AF84" s="61">
        <v>24</v>
      </c>
      <c r="AG84" s="50"/>
      <c r="AH84" s="100">
        <v>24</v>
      </c>
      <c r="AI84" s="535"/>
      <c r="AJ84" s="50">
        <f>+AE84</f>
        <v>24</v>
      </c>
      <c r="AK84" s="54">
        <f>+AJ84/Y84</f>
        <v>1</v>
      </c>
      <c r="AL84" s="50">
        <f>+AJ84</f>
        <v>24</v>
      </c>
      <c r="AM84" s="54">
        <v>0.25</v>
      </c>
      <c r="AN84" s="61">
        <v>24</v>
      </c>
      <c r="AO84" s="116">
        <v>0</v>
      </c>
      <c r="AP84" s="133"/>
      <c r="AQ84" s="117">
        <v>23</v>
      </c>
      <c r="AR84" s="133"/>
      <c r="AS84" s="117">
        <v>24</v>
      </c>
      <c r="AT84" s="133"/>
      <c r="AU84" s="117">
        <v>24</v>
      </c>
      <c r="AV84" s="133"/>
      <c r="AW84" s="61">
        <v>24</v>
      </c>
      <c r="AX84" s="103">
        <v>1</v>
      </c>
      <c r="AY84" s="61">
        <f>AW84+AL84</f>
        <v>48</v>
      </c>
      <c r="AZ84" s="641">
        <v>0.5</v>
      </c>
      <c r="BA84" s="1021">
        <v>24</v>
      </c>
      <c r="BB84" s="1021">
        <v>0</v>
      </c>
      <c r="BC84" s="1021"/>
      <c r="BD84" s="1259">
        <v>24</v>
      </c>
      <c r="BE84" s="1021"/>
      <c r="BF84" s="1021">
        <v>24</v>
      </c>
      <c r="BG84" s="1021"/>
      <c r="BH84" s="1021">
        <v>24</v>
      </c>
      <c r="BI84" s="1021"/>
      <c r="BJ84" s="1260">
        <f>+BD84</f>
        <v>24</v>
      </c>
      <c r="BK84" s="1022">
        <v>1</v>
      </c>
      <c r="BL84" s="1021">
        <f>BJ84+AY84</f>
        <v>72</v>
      </c>
      <c r="BM84" s="1023">
        <f>+BL84/X84</f>
        <v>0.75</v>
      </c>
      <c r="BN84" s="517"/>
      <c r="BO84" s="517"/>
      <c r="BP84" s="517"/>
      <c r="BQ84" s="517"/>
      <c r="BR84" s="517"/>
      <c r="BS84" s="517"/>
      <c r="BT84" s="517"/>
      <c r="BU84" s="517"/>
      <c r="BV84" s="517"/>
      <c r="BW84" s="517"/>
      <c r="BX84" s="517"/>
      <c r="BY84" s="517"/>
      <c r="BZ84" s="517"/>
      <c r="CA84" s="517"/>
      <c r="CB84" s="517"/>
      <c r="CC84" s="517"/>
      <c r="CD84" s="517"/>
      <c r="CE84" s="517"/>
      <c r="CF84" s="517"/>
      <c r="CG84" s="517"/>
      <c r="CH84" s="517"/>
      <c r="CI84" s="517"/>
      <c r="CJ84" s="517"/>
      <c r="CK84" s="517"/>
      <c r="CL84" s="517"/>
      <c r="CM84" s="517"/>
      <c r="CN84" s="517"/>
      <c r="CO84" s="517"/>
      <c r="CP84" s="517"/>
      <c r="CQ84" s="517"/>
      <c r="CR84" s="517"/>
      <c r="CS84" s="517"/>
      <c r="CT84" s="517"/>
      <c r="CU84" s="517"/>
      <c r="CV84" s="517"/>
      <c r="CW84" s="517"/>
      <c r="CX84" s="517"/>
    </row>
    <row r="85" spans="1:102" ht="33.75" customHeight="1" x14ac:dyDescent="0.2">
      <c r="A85" s="1856"/>
      <c r="B85" s="1858"/>
      <c r="C85" s="508"/>
      <c r="D85" s="508"/>
      <c r="E85" s="510"/>
      <c r="F85" s="510"/>
      <c r="G85" s="510"/>
      <c r="H85" s="510"/>
      <c r="I85" s="510"/>
      <c r="J85" s="510"/>
      <c r="K85" s="510"/>
      <c r="L85" s="510"/>
      <c r="M85" s="510"/>
      <c r="N85" s="510"/>
      <c r="O85" s="510"/>
      <c r="P85" s="510"/>
      <c r="Q85" s="510"/>
      <c r="R85" s="510"/>
      <c r="S85" s="510"/>
      <c r="T85" s="1862"/>
      <c r="U85" s="508" t="s">
        <v>1663</v>
      </c>
      <c r="V85" s="548" t="s">
        <v>1664</v>
      </c>
      <c r="W85" s="548" t="s">
        <v>1665</v>
      </c>
      <c r="X85" s="61">
        <v>1</v>
      </c>
      <c r="Y85" s="61">
        <v>1</v>
      </c>
      <c r="Z85" s="61">
        <v>1</v>
      </c>
      <c r="AA85" s="61"/>
      <c r="AB85" s="103">
        <v>0.25</v>
      </c>
      <c r="AC85" s="103">
        <v>0.25</v>
      </c>
      <c r="AD85" s="103"/>
      <c r="AE85" s="61">
        <v>1</v>
      </c>
      <c r="AF85" s="61">
        <v>1</v>
      </c>
      <c r="AG85" s="50"/>
      <c r="AH85" s="50">
        <v>1</v>
      </c>
      <c r="AI85" s="535"/>
      <c r="AJ85" s="50">
        <f>+AH85</f>
        <v>1</v>
      </c>
      <c r="AK85" s="54">
        <f>+AJ85/Y85</f>
        <v>1</v>
      </c>
      <c r="AL85" s="50">
        <f>+AJ85</f>
        <v>1</v>
      </c>
      <c r="AM85" s="54">
        <v>0.25</v>
      </c>
      <c r="AN85" s="61">
        <v>1</v>
      </c>
      <c r="AO85" s="116">
        <v>1</v>
      </c>
      <c r="AP85" s="133"/>
      <c r="AQ85" s="117">
        <v>1</v>
      </c>
      <c r="AR85" s="133"/>
      <c r="AS85" s="117">
        <v>1</v>
      </c>
      <c r="AT85" s="474"/>
      <c r="AU85" s="117">
        <v>1</v>
      </c>
      <c r="AV85" s="133"/>
      <c r="AW85" s="61">
        <f>AO85</f>
        <v>1</v>
      </c>
      <c r="AX85" s="103">
        <f>AW85/AN85</f>
        <v>1</v>
      </c>
      <c r="AY85" s="61">
        <f>AW85+AL85</f>
        <v>2</v>
      </c>
      <c r="AZ85" s="641">
        <v>0.5</v>
      </c>
      <c r="BA85" s="1021"/>
      <c r="BB85" s="1021"/>
      <c r="BC85" s="1021"/>
      <c r="BD85" s="1021"/>
      <c r="BE85" s="1021"/>
      <c r="BF85" s="1021"/>
      <c r="BG85" s="50" t="s">
        <v>2200</v>
      </c>
      <c r="BH85" s="1021"/>
      <c r="BI85" s="1021"/>
      <c r="BJ85" s="1021"/>
      <c r="BK85" s="1022"/>
      <c r="BL85" s="1021">
        <f>+AY85</f>
        <v>2</v>
      </c>
      <c r="BM85" s="1022">
        <v>1</v>
      </c>
      <c r="BN85" s="517"/>
      <c r="BO85" s="517"/>
      <c r="BP85" s="517"/>
      <c r="BQ85" s="517"/>
      <c r="BR85" s="517"/>
      <c r="BS85" s="517"/>
      <c r="BT85" s="517"/>
      <c r="BU85" s="517"/>
      <c r="BV85" s="517"/>
      <c r="BW85" s="517"/>
      <c r="BX85" s="517"/>
      <c r="BY85" s="517"/>
      <c r="BZ85" s="517"/>
      <c r="CA85" s="517"/>
      <c r="CB85" s="517"/>
      <c r="CC85" s="517"/>
      <c r="CD85" s="517"/>
      <c r="CE85" s="517"/>
      <c r="CF85" s="517"/>
      <c r="CG85" s="517"/>
      <c r="CH85" s="517"/>
      <c r="CI85" s="517"/>
      <c r="CJ85" s="517"/>
      <c r="CK85" s="517"/>
      <c r="CL85" s="517"/>
      <c r="CM85" s="517"/>
      <c r="CN85" s="517"/>
      <c r="CO85" s="517"/>
      <c r="CP85" s="517"/>
      <c r="CQ85" s="517"/>
      <c r="CR85" s="517"/>
      <c r="CS85" s="517"/>
      <c r="CT85" s="517"/>
      <c r="CU85" s="517"/>
      <c r="CV85" s="517"/>
      <c r="CW85" s="517"/>
      <c r="CX85" s="517"/>
    </row>
    <row r="86" spans="1:102" ht="50.25" customHeight="1" x14ac:dyDescent="0.2">
      <c r="A86" s="1856"/>
      <c r="B86" s="1858"/>
      <c r="C86" s="620" t="s">
        <v>1666</v>
      </c>
      <c r="D86" s="620" t="s">
        <v>1667</v>
      </c>
      <c r="E86" s="510"/>
      <c r="F86" s="510"/>
      <c r="G86" s="510"/>
      <c r="H86" s="510"/>
      <c r="I86" s="510"/>
      <c r="J86" s="510"/>
      <c r="K86" s="510"/>
      <c r="L86" s="510"/>
      <c r="M86" s="510"/>
      <c r="N86" s="510"/>
      <c r="O86" s="510"/>
      <c r="P86" s="510"/>
      <c r="Q86" s="510"/>
      <c r="R86" s="510"/>
      <c r="S86" s="510"/>
      <c r="T86" s="1862"/>
      <c r="U86" s="508" t="s">
        <v>1668</v>
      </c>
      <c r="V86" s="548" t="s">
        <v>1669</v>
      </c>
      <c r="W86" s="548" t="s">
        <v>1670</v>
      </c>
      <c r="X86" s="61">
        <v>3665</v>
      </c>
      <c r="Y86" s="61">
        <v>120</v>
      </c>
      <c r="Z86" s="61">
        <v>1181</v>
      </c>
      <c r="AA86" s="61">
        <v>1182</v>
      </c>
      <c r="AB86" s="103">
        <f>+Y86/X86</f>
        <v>3.2742155525238743E-2</v>
      </c>
      <c r="AC86" s="103">
        <f>+Z86/X86</f>
        <v>0.32223738062755797</v>
      </c>
      <c r="AD86" s="103">
        <f>AA86/X86</f>
        <v>0.32251023192360162</v>
      </c>
      <c r="AE86" s="61">
        <v>114</v>
      </c>
      <c r="AF86" s="61">
        <v>120</v>
      </c>
      <c r="AG86" s="50"/>
      <c r="AH86" s="50">
        <v>147</v>
      </c>
      <c r="AI86" s="535"/>
      <c r="AJ86" s="50">
        <f>+AH86</f>
        <v>147</v>
      </c>
      <c r="AK86" s="54">
        <v>1</v>
      </c>
      <c r="AL86" s="50">
        <f>+AJ86</f>
        <v>147</v>
      </c>
      <c r="AM86" s="54">
        <f>+AL86/X86</f>
        <v>4.0109140518417463E-2</v>
      </c>
      <c r="AN86" s="61">
        <v>1181</v>
      </c>
      <c r="AO86" s="116">
        <v>5</v>
      </c>
      <c r="AP86" s="133"/>
      <c r="AQ86" s="117">
        <v>29</v>
      </c>
      <c r="AR86" s="133"/>
      <c r="AS86" s="117">
        <v>226</v>
      </c>
      <c r="AT86" s="133"/>
      <c r="AU86" s="117">
        <v>83</v>
      </c>
      <c r="AV86" s="133"/>
      <c r="AW86" s="61">
        <f>AO86+AQ86+AS86+AU86</f>
        <v>343</v>
      </c>
      <c r="AX86" s="103">
        <f>AW86/AN86</f>
        <v>0.29043183742591022</v>
      </c>
      <c r="AY86" s="61">
        <f>AW86+AL86</f>
        <v>490</v>
      </c>
      <c r="AZ86" s="624">
        <f>AY86/X86</f>
        <v>0.13369713506139155</v>
      </c>
      <c r="BA86" s="1021">
        <f>AA86</f>
        <v>1182</v>
      </c>
      <c r="BB86" s="1021">
        <v>51</v>
      </c>
      <c r="BC86" s="1021"/>
      <c r="BD86" s="1021">
        <v>9</v>
      </c>
      <c r="BE86" s="1021"/>
      <c r="BF86" s="1021">
        <v>21</v>
      </c>
      <c r="BG86" s="1021"/>
      <c r="BH86" s="1021">
        <v>9</v>
      </c>
      <c r="BI86" s="1021"/>
      <c r="BJ86" s="1021">
        <f>51+BD86+BF86+BH86</f>
        <v>90</v>
      </c>
      <c r="BK86" s="1023">
        <f>BJ86/BA86</f>
        <v>7.6142131979695438E-2</v>
      </c>
      <c r="BL86" s="1021">
        <f>BJ86+AY86</f>
        <v>580</v>
      </c>
      <c r="BM86" s="1023">
        <f>BL86/X86</f>
        <v>0.15825375170532061</v>
      </c>
      <c r="BN86" s="517"/>
      <c r="BO86" s="517"/>
      <c r="BP86" s="517"/>
      <c r="BQ86" s="517"/>
      <c r="BR86" s="517"/>
      <c r="BS86" s="517"/>
      <c r="BT86" s="517"/>
      <c r="BU86" s="517"/>
      <c r="BV86" s="517"/>
      <c r="BW86" s="517"/>
      <c r="BX86" s="517"/>
      <c r="BY86" s="517"/>
      <c r="BZ86" s="517"/>
      <c r="CA86" s="517"/>
      <c r="CB86" s="517"/>
      <c r="CC86" s="517"/>
      <c r="CD86" s="517"/>
      <c r="CE86" s="517"/>
      <c r="CF86" s="517"/>
      <c r="CG86" s="517"/>
      <c r="CH86" s="517"/>
      <c r="CI86" s="517"/>
      <c r="CJ86" s="517"/>
      <c r="CK86" s="517"/>
      <c r="CL86" s="517"/>
      <c r="CM86" s="517"/>
      <c r="CN86" s="517"/>
      <c r="CO86" s="517"/>
      <c r="CP86" s="517"/>
      <c r="CQ86" s="517"/>
      <c r="CR86" s="517"/>
      <c r="CS86" s="517"/>
      <c r="CT86" s="517"/>
      <c r="CU86" s="517"/>
      <c r="CV86" s="517"/>
      <c r="CW86" s="517"/>
      <c r="CX86" s="517"/>
    </row>
    <row r="87" spans="1:102" ht="24" customHeight="1" x14ac:dyDescent="0.2">
      <c r="A87" s="1856"/>
      <c r="B87" s="1858"/>
      <c r="C87" s="620"/>
      <c r="D87" s="620"/>
      <c r="E87" s="510"/>
      <c r="F87" s="510"/>
      <c r="G87" s="510"/>
      <c r="H87" s="510"/>
      <c r="I87" s="510"/>
      <c r="J87" s="510"/>
      <c r="K87" s="510"/>
      <c r="L87" s="510"/>
      <c r="M87" s="510"/>
      <c r="N87" s="510"/>
      <c r="O87" s="510"/>
      <c r="P87" s="510"/>
      <c r="Q87" s="510"/>
      <c r="R87" s="510"/>
      <c r="S87" s="510"/>
      <c r="T87" s="1854"/>
      <c r="U87" s="85"/>
      <c r="V87" s="85"/>
      <c r="W87" s="85"/>
      <c r="X87" s="72"/>
      <c r="Y87" s="72"/>
      <c r="Z87" s="72"/>
      <c r="AA87" s="72"/>
      <c r="AB87" s="86">
        <f>AVERAGE(AB82:AB86)</f>
        <v>0.16443553888130968</v>
      </c>
      <c r="AC87" s="86">
        <f>AVERAGE(AC82:AC86)</f>
        <v>0.41444747612551158</v>
      </c>
      <c r="AD87" s="86">
        <f>AVERAGE(AD82:AD86)</f>
        <v>0.26812755798090038</v>
      </c>
      <c r="AE87" s="72"/>
      <c r="AF87" s="72"/>
      <c r="AG87" s="72"/>
      <c r="AH87" s="72"/>
      <c r="AI87" s="552"/>
      <c r="AJ87" s="72"/>
      <c r="AK87" s="86">
        <f>AVERAGE(AK82:AK86)</f>
        <v>1</v>
      </c>
      <c r="AL87" s="72"/>
      <c r="AM87" s="86">
        <f>AVERAGE(AM82:AM86)</f>
        <v>0.16627728512960438</v>
      </c>
      <c r="AN87" s="72"/>
      <c r="AO87" s="125"/>
      <c r="AP87" s="517"/>
      <c r="AQ87" s="50"/>
      <c r="AR87" s="517"/>
      <c r="AS87" s="510"/>
      <c r="AT87" s="517"/>
      <c r="AU87" s="528"/>
      <c r="AV87" s="517"/>
      <c r="AW87" s="125"/>
      <c r="AX87" s="86">
        <f>AVERAGE(AX82:AX86)</f>
        <v>0.7580863674851821</v>
      </c>
      <c r="AY87" s="125"/>
      <c r="AZ87" s="530">
        <f>AVERAGE(AZ82:AZ86)</f>
        <v>0.35173942701227834</v>
      </c>
      <c r="BA87" s="1021"/>
      <c r="BB87" s="1024"/>
      <c r="BC87" s="1024"/>
      <c r="BD87" s="1024"/>
      <c r="BE87" s="1024"/>
      <c r="BF87" s="1024"/>
      <c r="BG87" s="1024"/>
      <c r="BH87" s="1024"/>
      <c r="BI87" s="1024"/>
      <c r="BJ87" s="1024"/>
      <c r="BK87" s="1029">
        <f>AVERAGE(BK82:BK86)</f>
        <v>0.76903553299492389</v>
      </c>
      <c r="BL87" s="1024"/>
      <c r="BM87" s="1025">
        <f>AVERAGE(BM82:BM86)</f>
        <v>0.65665075034106413</v>
      </c>
      <c r="BN87" s="517"/>
      <c r="BO87" s="517"/>
      <c r="BP87" s="517"/>
      <c r="BQ87" s="517"/>
      <c r="BR87" s="517"/>
      <c r="BS87" s="517"/>
      <c r="BT87" s="517"/>
      <c r="BU87" s="517"/>
      <c r="BV87" s="517"/>
      <c r="BW87" s="517"/>
      <c r="BX87" s="517"/>
      <c r="BY87" s="517"/>
      <c r="BZ87" s="517"/>
      <c r="CA87" s="517"/>
      <c r="CB87" s="517"/>
      <c r="CC87" s="517"/>
      <c r="CD87" s="517"/>
      <c r="CE87" s="517"/>
      <c r="CF87" s="517"/>
      <c r="CG87" s="517"/>
      <c r="CH87" s="517"/>
      <c r="CI87" s="517"/>
      <c r="CJ87" s="517"/>
      <c r="CK87" s="517"/>
      <c r="CL87" s="517"/>
      <c r="CM87" s="517"/>
      <c r="CN87" s="517"/>
      <c r="CO87" s="517"/>
      <c r="CP87" s="517"/>
      <c r="CQ87" s="517"/>
      <c r="CR87" s="517"/>
      <c r="CS87" s="517"/>
      <c r="CT87" s="517"/>
      <c r="CU87" s="517"/>
      <c r="CV87" s="517"/>
      <c r="CW87" s="517"/>
      <c r="CX87" s="517"/>
    </row>
    <row r="88" spans="1:102" ht="43.5" customHeight="1" x14ac:dyDescent="0.2">
      <c r="A88" s="1856"/>
      <c r="B88" s="1858"/>
      <c r="C88" s="620" t="s">
        <v>1671</v>
      </c>
      <c r="D88" s="647" t="s">
        <v>1672</v>
      </c>
      <c r="E88" s="510"/>
      <c r="F88" s="510"/>
      <c r="G88" s="510"/>
      <c r="H88" s="510"/>
      <c r="I88" s="510"/>
      <c r="J88" s="510"/>
      <c r="K88" s="510"/>
      <c r="L88" s="510"/>
      <c r="M88" s="510"/>
      <c r="N88" s="510"/>
      <c r="O88" s="510"/>
      <c r="P88" s="510"/>
      <c r="Q88" s="510"/>
      <c r="R88" s="510"/>
      <c r="S88" s="510"/>
      <c r="T88" s="1853" t="s">
        <v>1673</v>
      </c>
      <c r="U88" s="508" t="s">
        <v>1674</v>
      </c>
      <c r="V88" s="548" t="s">
        <v>201</v>
      </c>
      <c r="W88" s="548" t="s">
        <v>1675</v>
      </c>
      <c r="X88" s="61">
        <v>12</v>
      </c>
      <c r="Y88" s="61" t="s">
        <v>177</v>
      </c>
      <c r="Z88" s="61">
        <v>12</v>
      </c>
      <c r="AA88" s="61">
        <v>4</v>
      </c>
      <c r="AB88" s="61"/>
      <c r="AC88" s="103">
        <f>+Z88/X88</f>
        <v>1</v>
      </c>
      <c r="AD88" s="103">
        <v>0.33</v>
      </c>
      <c r="AE88" s="61"/>
      <c r="AF88" s="61"/>
      <c r="AG88" s="50"/>
      <c r="AH88" s="50"/>
      <c r="AI88" s="535"/>
      <c r="AJ88" s="50"/>
      <c r="AK88" s="50"/>
      <c r="AL88" s="50"/>
      <c r="AM88" s="50"/>
      <c r="AN88" s="61">
        <v>4</v>
      </c>
      <c r="AO88" s="116">
        <v>0</v>
      </c>
      <c r="AP88" s="133"/>
      <c r="AQ88" s="116">
        <v>2</v>
      </c>
      <c r="AR88" s="133"/>
      <c r="AS88" s="117">
        <v>2</v>
      </c>
      <c r="AT88" s="133"/>
      <c r="AU88" s="117">
        <v>2</v>
      </c>
      <c r="AV88" s="133"/>
      <c r="AW88" s="61">
        <f>+AU88+AS88</f>
        <v>4</v>
      </c>
      <c r="AX88" s="103">
        <v>1</v>
      </c>
      <c r="AY88" s="61">
        <f>AW88+AL88</f>
        <v>4</v>
      </c>
      <c r="AZ88" s="624">
        <f>AY88/X88</f>
        <v>0.33333333333333331</v>
      </c>
      <c r="BA88" s="50">
        <v>4</v>
      </c>
      <c r="BB88" s="50">
        <v>0</v>
      </c>
      <c r="BC88" s="50"/>
      <c r="BD88" s="50">
        <v>1</v>
      </c>
      <c r="BE88" s="50"/>
      <c r="BF88" s="50">
        <v>2</v>
      </c>
      <c r="BG88" s="50"/>
      <c r="BH88" s="50">
        <v>1</v>
      </c>
      <c r="BI88" s="50"/>
      <c r="BJ88" s="50">
        <f>+BD88+BF88+BH88</f>
        <v>4</v>
      </c>
      <c r="BK88" s="57">
        <f>+BJ88/BA88</f>
        <v>1</v>
      </c>
      <c r="BL88" s="50">
        <f>BJ88+AY88</f>
        <v>8</v>
      </c>
      <c r="BM88" s="57">
        <f>BL88/X88</f>
        <v>0.66666666666666663</v>
      </c>
      <c r="BN88" s="517"/>
      <c r="BO88" s="517"/>
      <c r="BP88" s="517"/>
      <c r="BQ88" s="517"/>
      <c r="BR88" s="517"/>
      <c r="BS88" s="517"/>
      <c r="BT88" s="517"/>
      <c r="BU88" s="517"/>
      <c r="BV88" s="517"/>
      <c r="BW88" s="517"/>
      <c r="BX88" s="517"/>
      <c r="BY88" s="517"/>
      <c r="BZ88" s="517"/>
      <c r="CA88" s="517"/>
      <c r="CB88" s="517"/>
      <c r="CC88" s="517"/>
      <c r="CD88" s="517"/>
      <c r="CE88" s="517"/>
      <c r="CF88" s="517"/>
      <c r="CG88" s="517"/>
      <c r="CH88" s="517"/>
      <c r="CI88" s="517"/>
      <c r="CJ88" s="517"/>
      <c r="CK88" s="517"/>
      <c r="CL88" s="517"/>
      <c r="CM88" s="517"/>
      <c r="CN88" s="517"/>
      <c r="CO88" s="517"/>
      <c r="CP88" s="517"/>
      <c r="CQ88" s="517"/>
      <c r="CR88" s="517"/>
      <c r="CS88" s="517"/>
      <c r="CT88" s="517"/>
      <c r="CU88" s="517"/>
      <c r="CV88" s="517"/>
      <c r="CW88" s="517"/>
      <c r="CX88" s="517"/>
    </row>
    <row r="89" spans="1:102" ht="40.5" customHeight="1" x14ac:dyDescent="0.2">
      <c r="A89" s="1856"/>
      <c r="B89" s="1858"/>
      <c r="C89" s="599"/>
      <c r="D89" s="599"/>
      <c r="E89" s="510"/>
      <c r="F89" s="510"/>
      <c r="G89" s="510"/>
      <c r="H89" s="510"/>
      <c r="I89" s="510"/>
      <c r="J89" s="510"/>
      <c r="K89" s="510"/>
      <c r="L89" s="510"/>
      <c r="M89" s="510"/>
      <c r="N89" s="510"/>
      <c r="O89" s="510"/>
      <c r="P89" s="510"/>
      <c r="Q89" s="510"/>
      <c r="R89" s="510"/>
      <c r="S89" s="510"/>
      <c r="T89" s="1862"/>
      <c r="U89" s="508" t="s">
        <v>1676</v>
      </c>
      <c r="V89" s="548" t="s">
        <v>201</v>
      </c>
      <c r="W89" s="548" t="s">
        <v>1677</v>
      </c>
      <c r="X89" s="61">
        <v>1</v>
      </c>
      <c r="Y89" s="61">
        <v>1</v>
      </c>
      <c r="Z89" s="61">
        <v>1</v>
      </c>
      <c r="AA89" s="61">
        <v>1</v>
      </c>
      <c r="AB89" s="103">
        <v>0.25</v>
      </c>
      <c r="AC89" s="103">
        <v>0.25</v>
      </c>
      <c r="AD89" s="103">
        <v>1</v>
      </c>
      <c r="AE89" s="61">
        <v>0</v>
      </c>
      <c r="AF89" s="61">
        <v>0</v>
      </c>
      <c r="AG89" s="50"/>
      <c r="AH89" s="50">
        <v>0</v>
      </c>
      <c r="AI89" s="535"/>
      <c r="AJ89" s="50">
        <f>+AH89</f>
        <v>0</v>
      </c>
      <c r="AK89" s="54">
        <f>+AJ89/Y89</f>
        <v>0</v>
      </c>
      <c r="AL89" s="50">
        <f>+AJ89</f>
        <v>0</v>
      </c>
      <c r="AM89" s="54">
        <f>+AL89/X89</f>
        <v>0</v>
      </c>
      <c r="AN89" s="61">
        <v>1</v>
      </c>
      <c r="AO89" s="116">
        <v>0</v>
      </c>
      <c r="AP89" s="133"/>
      <c r="AQ89" s="116">
        <v>0</v>
      </c>
      <c r="AR89" s="133"/>
      <c r="AS89" s="117">
        <v>0</v>
      </c>
      <c r="AT89" s="474"/>
      <c r="AU89" s="117">
        <v>0</v>
      </c>
      <c r="AV89" s="133"/>
      <c r="AW89" s="61">
        <f>AO89</f>
        <v>0</v>
      </c>
      <c r="AX89" s="103">
        <f>AW89/AN89</f>
        <v>0</v>
      </c>
      <c r="AY89" s="61">
        <f>AW89+AL89</f>
        <v>0</v>
      </c>
      <c r="AZ89" s="624">
        <f>AY89/X89</f>
        <v>0</v>
      </c>
      <c r="BA89" s="50">
        <v>1</v>
      </c>
      <c r="BB89" s="50">
        <v>0</v>
      </c>
      <c r="BC89" s="50"/>
      <c r="BD89" s="50">
        <v>0</v>
      </c>
      <c r="BE89" s="50"/>
      <c r="BF89" s="50">
        <v>1</v>
      </c>
      <c r="BG89" s="61" t="s">
        <v>2262</v>
      </c>
      <c r="BH89" s="50">
        <v>0</v>
      </c>
      <c r="BI89" s="50"/>
      <c r="BJ89" s="50">
        <v>1</v>
      </c>
      <c r="BK89" s="57">
        <v>1</v>
      </c>
      <c r="BL89" s="50">
        <f>BJ89+AY89</f>
        <v>1</v>
      </c>
      <c r="BM89" s="57">
        <v>1</v>
      </c>
      <c r="BN89" s="517"/>
      <c r="BO89" s="517"/>
      <c r="BP89" s="517"/>
      <c r="BQ89" s="517"/>
      <c r="BR89" s="517"/>
      <c r="BS89" s="517"/>
      <c r="BT89" s="517"/>
      <c r="BU89" s="517"/>
      <c r="BV89" s="517"/>
      <c r="BW89" s="517"/>
      <c r="BX89" s="517"/>
      <c r="BY89" s="517"/>
      <c r="BZ89" s="517"/>
      <c r="CA89" s="517"/>
      <c r="CB89" s="517"/>
      <c r="CC89" s="517"/>
      <c r="CD89" s="517"/>
      <c r="CE89" s="517"/>
      <c r="CF89" s="517"/>
      <c r="CG89" s="517"/>
      <c r="CH89" s="517"/>
      <c r="CI89" s="517"/>
      <c r="CJ89" s="517"/>
      <c r="CK89" s="517"/>
      <c r="CL89" s="517"/>
      <c r="CM89" s="517"/>
      <c r="CN89" s="517"/>
      <c r="CO89" s="517"/>
      <c r="CP89" s="517"/>
      <c r="CQ89" s="517"/>
      <c r="CR89" s="517"/>
      <c r="CS89" s="517"/>
      <c r="CT89" s="517"/>
      <c r="CU89" s="517"/>
      <c r="CV89" s="517"/>
      <c r="CW89" s="517"/>
      <c r="CX89" s="517"/>
    </row>
    <row r="90" spans="1:102" ht="41.25" customHeight="1" x14ac:dyDescent="0.2">
      <c r="A90" s="1856"/>
      <c r="B90" s="1858"/>
      <c r="C90" s="599"/>
      <c r="D90" s="599"/>
      <c r="E90" s="510"/>
      <c r="F90" s="510"/>
      <c r="G90" s="510"/>
      <c r="H90" s="510"/>
      <c r="I90" s="510"/>
      <c r="J90" s="510"/>
      <c r="K90" s="510"/>
      <c r="L90" s="510"/>
      <c r="M90" s="510"/>
      <c r="N90" s="510"/>
      <c r="O90" s="510"/>
      <c r="P90" s="510"/>
      <c r="Q90" s="510"/>
      <c r="R90" s="510"/>
      <c r="S90" s="510"/>
      <c r="T90" s="1862"/>
      <c r="U90" s="563" t="s">
        <v>1678</v>
      </c>
      <c r="V90" s="650" t="s">
        <v>201</v>
      </c>
      <c r="W90" s="650" t="s">
        <v>1679</v>
      </c>
      <c r="X90" s="61">
        <v>30</v>
      </c>
      <c r="Y90" s="61" t="s">
        <v>177</v>
      </c>
      <c r="Z90" s="61">
        <v>10</v>
      </c>
      <c r="AA90" s="61">
        <v>6</v>
      </c>
      <c r="AB90" s="61"/>
      <c r="AC90" s="103">
        <f>+Z90/X90</f>
        <v>0.33333333333333331</v>
      </c>
      <c r="AD90" s="103">
        <f>AA90/X90</f>
        <v>0.2</v>
      </c>
      <c r="AE90" s="61"/>
      <c r="AF90" s="61"/>
      <c r="AG90" s="50"/>
      <c r="AH90" s="50"/>
      <c r="AI90" s="535"/>
      <c r="AJ90" s="50"/>
      <c r="AK90" s="50"/>
      <c r="AL90" s="50"/>
      <c r="AM90" s="50"/>
      <c r="AN90" s="61">
        <v>10</v>
      </c>
      <c r="AO90" s="116">
        <v>0</v>
      </c>
      <c r="AP90" s="133"/>
      <c r="AQ90" s="116">
        <v>7</v>
      </c>
      <c r="AR90" s="133"/>
      <c r="AS90" s="117">
        <v>14</v>
      </c>
      <c r="AT90" s="133"/>
      <c r="AU90" s="117">
        <v>3</v>
      </c>
      <c r="AV90" s="133"/>
      <c r="AW90" s="61">
        <f>AO90+AQ90+AS90+AU90</f>
        <v>24</v>
      </c>
      <c r="AX90" s="103">
        <v>1</v>
      </c>
      <c r="AY90" s="61">
        <f>AW90+AL90</f>
        <v>24</v>
      </c>
      <c r="AZ90" s="624">
        <f>AY90/X90</f>
        <v>0.8</v>
      </c>
      <c r="BA90" s="50">
        <v>6</v>
      </c>
      <c r="BB90" s="50">
        <v>1</v>
      </c>
      <c r="BC90" s="50"/>
      <c r="BD90" s="50">
        <v>3</v>
      </c>
      <c r="BE90" s="50"/>
      <c r="BF90" s="50">
        <v>3</v>
      </c>
      <c r="BG90" s="50" t="s">
        <v>2200</v>
      </c>
      <c r="BH90" s="50">
        <v>0</v>
      </c>
      <c r="BI90" s="50"/>
      <c r="BJ90" s="50">
        <f>BB90+BD90+BF90</f>
        <v>7</v>
      </c>
      <c r="BK90" s="57">
        <v>1</v>
      </c>
      <c r="BL90" s="50">
        <f>BJ90+AY90</f>
        <v>31</v>
      </c>
      <c r="BM90" s="57">
        <v>1</v>
      </c>
      <c r="BN90" s="517"/>
      <c r="BO90" s="517"/>
      <c r="BP90" s="517"/>
      <c r="BQ90" s="517"/>
      <c r="BR90" s="517"/>
      <c r="BS90" s="517"/>
      <c r="BT90" s="517"/>
      <c r="BU90" s="517"/>
      <c r="BV90" s="517"/>
      <c r="BW90" s="517"/>
      <c r="BX90" s="517"/>
      <c r="BY90" s="517"/>
      <c r="BZ90" s="517"/>
      <c r="CA90" s="517"/>
      <c r="CB90" s="517"/>
      <c r="CC90" s="517"/>
      <c r="CD90" s="517"/>
      <c r="CE90" s="517"/>
      <c r="CF90" s="517"/>
      <c r="CG90" s="517"/>
      <c r="CH90" s="517"/>
      <c r="CI90" s="517"/>
      <c r="CJ90" s="517"/>
      <c r="CK90" s="517"/>
      <c r="CL90" s="517"/>
      <c r="CM90" s="517"/>
      <c r="CN90" s="517"/>
      <c r="CO90" s="517"/>
      <c r="CP90" s="517"/>
      <c r="CQ90" s="517"/>
      <c r="CR90" s="517"/>
      <c r="CS90" s="517"/>
      <c r="CT90" s="517"/>
      <c r="CU90" s="517"/>
      <c r="CV90" s="517"/>
      <c r="CW90" s="517"/>
      <c r="CX90" s="517"/>
    </row>
    <row r="91" spans="1:102" ht="12" customHeight="1" x14ac:dyDescent="0.2">
      <c r="A91" s="1856"/>
      <c r="B91" s="1858"/>
      <c r="C91" s="599"/>
      <c r="D91" s="599"/>
      <c r="E91" s="510"/>
      <c r="F91" s="510"/>
      <c r="G91" s="510"/>
      <c r="H91" s="510"/>
      <c r="I91" s="510"/>
      <c r="J91" s="510"/>
      <c r="K91" s="510"/>
      <c r="L91" s="510"/>
      <c r="M91" s="510"/>
      <c r="N91" s="510"/>
      <c r="O91" s="510"/>
      <c r="P91" s="510"/>
      <c r="Q91" s="510"/>
      <c r="R91" s="510"/>
      <c r="S91" s="510"/>
      <c r="T91" s="1854"/>
      <c r="U91" s="85"/>
      <c r="V91" s="85"/>
      <c r="W91" s="85"/>
      <c r="X91" s="72"/>
      <c r="Y91" s="72"/>
      <c r="Z91" s="72"/>
      <c r="AA91" s="72"/>
      <c r="AB91" s="86">
        <f>+(AB88+AB89+AB90)/3</f>
        <v>8.3333333333333329E-2</v>
      </c>
      <c r="AC91" s="86">
        <f>+(AC88+AC89+AC90)/3</f>
        <v>0.52777777777777779</v>
      </c>
      <c r="AD91" s="86">
        <f>AVERAGE(AD88:AD90)</f>
        <v>0.51</v>
      </c>
      <c r="AE91" s="72"/>
      <c r="AF91" s="72"/>
      <c r="AG91" s="72"/>
      <c r="AH91" s="72"/>
      <c r="AI91" s="552"/>
      <c r="AJ91" s="72"/>
      <c r="AK91" s="97">
        <f>AVERAGE(AK88:AK90)</f>
        <v>0</v>
      </c>
      <c r="AL91" s="97"/>
      <c r="AM91" s="97">
        <f>AVERAGE(AM88:AM90)</f>
        <v>0</v>
      </c>
      <c r="AN91" s="72"/>
      <c r="AO91" s="125"/>
      <c r="AP91" s="517"/>
      <c r="AQ91" s="50"/>
      <c r="AR91" s="517"/>
      <c r="AS91" s="510"/>
      <c r="AT91" s="517"/>
      <c r="AU91" s="528"/>
      <c r="AV91" s="517"/>
      <c r="AW91" s="125"/>
      <c r="AX91" s="97">
        <f>AVERAGE(AX88:AX90)</f>
        <v>0.66666666666666663</v>
      </c>
      <c r="AY91" s="651"/>
      <c r="AZ91" s="1186">
        <f>AVERAGE(AZ88:AZ90)</f>
        <v>0.37777777777777777</v>
      </c>
      <c r="BA91" s="50"/>
      <c r="BB91" s="74"/>
      <c r="BC91" s="74"/>
      <c r="BD91" s="74"/>
      <c r="BE91" s="74"/>
      <c r="BF91" s="74"/>
      <c r="BG91" s="74"/>
      <c r="BH91" s="74"/>
      <c r="BI91" s="74"/>
      <c r="BJ91" s="74"/>
      <c r="BK91" s="107">
        <f>AVERAGE(BK88:BK90)</f>
        <v>1</v>
      </c>
      <c r="BL91" s="74"/>
      <c r="BM91" s="1026">
        <f>AVERAGE(BM88:BM90)</f>
        <v>0.88888888888888884</v>
      </c>
      <c r="BN91" s="517"/>
      <c r="BO91" s="517"/>
      <c r="BP91" s="517"/>
      <c r="BQ91" s="517"/>
      <c r="BR91" s="517"/>
      <c r="BS91" s="517"/>
      <c r="BT91" s="517"/>
      <c r="BU91" s="517"/>
      <c r="BV91" s="517"/>
      <c r="BW91" s="517"/>
      <c r="BX91" s="517"/>
      <c r="BY91" s="517"/>
      <c r="BZ91" s="517"/>
      <c r="CA91" s="517"/>
      <c r="CB91" s="517"/>
      <c r="CC91" s="517"/>
      <c r="CD91" s="517"/>
      <c r="CE91" s="517"/>
      <c r="CF91" s="517"/>
      <c r="CG91" s="517"/>
      <c r="CH91" s="517"/>
      <c r="CI91" s="517"/>
      <c r="CJ91" s="517"/>
      <c r="CK91" s="517"/>
      <c r="CL91" s="517"/>
      <c r="CM91" s="517"/>
      <c r="CN91" s="517"/>
      <c r="CO91" s="517"/>
      <c r="CP91" s="517"/>
      <c r="CQ91" s="517"/>
      <c r="CR91" s="517"/>
      <c r="CS91" s="517"/>
      <c r="CT91" s="517"/>
      <c r="CU91" s="517"/>
      <c r="CV91" s="517"/>
      <c r="CW91" s="517"/>
      <c r="CX91" s="517"/>
    </row>
    <row r="92" spans="1:102" ht="12" customHeight="1" x14ac:dyDescent="0.2">
      <c r="A92" s="1856"/>
      <c r="B92" s="1859"/>
      <c r="C92" s="614"/>
      <c r="D92" s="614"/>
      <c r="E92" s="544"/>
      <c r="F92" s="544"/>
      <c r="G92" s="544"/>
      <c r="H92" s="544"/>
      <c r="I92" s="544"/>
      <c r="J92" s="544"/>
      <c r="K92" s="544"/>
      <c r="L92" s="544"/>
      <c r="M92" s="544"/>
      <c r="N92" s="544"/>
      <c r="O92" s="544"/>
      <c r="P92" s="544"/>
      <c r="Q92" s="544"/>
      <c r="R92" s="544"/>
      <c r="S92" s="544"/>
      <c r="T92" s="108"/>
      <c r="U92" s="652"/>
      <c r="V92" s="652"/>
      <c r="W92" s="652"/>
      <c r="X92" s="110"/>
      <c r="Y92" s="110"/>
      <c r="Z92" s="110"/>
      <c r="AA92" s="110"/>
      <c r="AB92" s="112">
        <f>+(AB91+AB87)/2</f>
        <v>0.1238844361073215</v>
      </c>
      <c r="AC92" s="112">
        <f>+(AC91+AC87)/2</f>
        <v>0.47111262695164469</v>
      </c>
      <c r="AD92" s="112">
        <f>+(AD91+AD87)/2</f>
        <v>0.38906377899045019</v>
      </c>
      <c r="AE92" s="110"/>
      <c r="AF92" s="110"/>
      <c r="AG92" s="110"/>
      <c r="AH92" s="110"/>
      <c r="AI92" s="535"/>
      <c r="AJ92" s="110"/>
      <c r="AK92" s="112">
        <f>+(AK91+AK87)/2</f>
        <v>0.5</v>
      </c>
      <c r="AL92" s="150"/>
      <c r="AM92" s="112">
        <f>+(AM91+AM87)/2</f>
        <v>8.313864256480219E-2</v>
      </c>
      <c r="AN92" s="110"/>
      <c r="AO92" s="653"/>
      <c r="AP92" s="517"/>
      <c r="AQ92" s="50"/>
      <c r="AR92" s="517"/>
      <c r="AS92" s="510"/>
      <c r="AT92" s="517"/>
      <c r="AU92" s="528"/>
      <c r="AV92" s="517"/>
      <c r="AW92" s="653"/>
      <c r="AX92" s="654">
        <f>+(AX91+AX87)/2</f>
        <v>0.71237651707592442</v>
      </c>
      <c r="AY92" s="655"/>
      <c r="AZ92" s="656">
        <f>+(AZ91+AZ87)/2</f>
        <v>0.36475860239502805</v>
      </c>
      <c r="BA92" s="619"/>
      <c r="BB92" s="619"/>
      <c r="BC92" s="619"/>
      <c r="BD92" s="619"/>
      <c r="BE92" s="619"/>
      <c r="BF92" s="619"/>
      <c r="BG92" s="619"/>
      <c r="BH92" s="619"/>
      <c r="BI92" s="619"/>
      <c r="BJ92" s="619"/>
      <c r="BK92" s="618">
        <f>+(BK91+BK87)/2</f>
        <v>0.88451776649746194</v>
      </c>
      <c r="BL92" s="619"/>
      <c r="BM92" s="657">
        <f>+(BM91+BM87)/2</f>
        <v>0.77276981961497648</v>
      </c>
      <c r="BN92" s="517"/>
      <c r="BO92" s="517"/>
      <c r="BP92" s="517"/>
      <c r="BQ92" s="517"/>
      <c r="BR92" s="517"/>
      <c r="BS92" s="517"/>
      <c r="BT92" s="517"/>
      <c r="BU92" s="517"/>
      <c r="BV92" s="517"/>
      <c r="BW92" s="517"/>
      <c r="BX92" s="517"/>
      <c r="BY92" s="517"/>
      <c r="BZ92" s="517"/>
      <c r="CA92" s="517"/>
      <c r="CB92" s="517"/>
      <c r="CC92" s="517"/>
      <c r="CD92" s="517"/>
      <c r="CE92" s="517"/>
      <c r="CF92" s="517"/>
      <c r="CG92" s="517"/>
      <c r="CH92" s="517"/>
      <c r="CI92" s="517"/>
      <c r="CJ92" s="517"/>
      <c r="CK92" s="517"/>
      <c r="CL92" s="517"/>
      <c r="CM92" s="517"/>
      <c r="CN92" s="517"/>
      <c r="CO92" s="517"/>
      <c r="CP92" s="517"/>
      <c r="CQ92" s="517"/>
      <c r="CR92" s="517"/>
      <c r="CS92" s="517"/>
      <c r="CT92" s="517"/>
      <c r="CU92" s="517"/>
      <c r="CV92" s="517"/>
      <c r="CW92" s="517"/>
      <c r="CX92" s="517"/>
    </row>
    <row r="93" spans="1:102" ht="42" customHeight="1" x14ac:dyDescent="0.2">
      <c r="A93" s="1856"/>
      <c r="B93" s="1806" t="s">
        <v>1680</v>
      </c>
      <c r="C93" s="508" t="s">
        <v>1681</v>
      </c>
      <c r="D93" s="508" t="s">
        <v>1682</v>
      </c>
      <c r="E93" s="510"/>
      <c r="F93" s="510"/>
      <c r="G93" s="510"/>
      <c r="H93" s="510"/>
      <c r="I93" s="510"/>
      <c r="J93" s="510"/>
      <c r="K93" s="510"/>
      <c r="L93" s="510"/>
      <c r="M93" s="510"/>
      <c r="N93" s="510"/>
      <c r="O93" s="510"/>
      <c r="P93" s="510"/>
      <c r="Q93" s="510"/>
      <c r="R93" s="510"/>
      <c r="S93" s="510"/>
      <c r="T93" s="1853" t="s">
        <v>1683</v>
      </c>
      <c r="U93" s="508" t="s">
        <v>1684</v>
      </c>
      <c r="V93" s="548" t="s">
        <v>1685</v>
      </c>
      <c r="W93" s="548" t="s">
        <v>1686</v>
      </c>
      <c r="X93" s="50">
        <v>1054</v>
      </c>
      <c r="Y93" s="50">
        <v>262</v>
      </c>
      <c r="Z93" s="50">
        <v>264</v>
      </c>
      <c r="AA93" s="50">
        <v>1054</v>
      </c>
      <c r="AB93" s="55">
        <f>+Y93/X93</f>
        <v>0.24857685009487665</v>
      </c>
      <c r="AC93" s="55">
        <f>+Z93/X93</f>
        <v>0.25047438330170779</v>
      </c>
      <c r="AD93" s="55"/>
      <c r="AE93" s="50">
        <v>893</v>
      </c>
      <c r="AF93" s="50">
        <v>1416</v>
      </c>
      <c r="AG93" s="50"/>
      <c r="AH93" s="50">
        <v>1683</v>
      </c>
      <c r="AI93" s="535"/>
      <c r="AJ93" s="50">
        <f>+AH93</f>
        <v>1683</v>
      </c>
      <c r="AK93" s="54">
        <v>1</v>
      </c>
      <c r="AL93" s="50">
        <f>+AJ93</f>
        <v>1683</v>
      </c>
      <c r="AM93" s="54">
        <v>1</v>
      </c>
      <c r="AN93" s="535">
        <v>264</v>
      </c>
      <c r="AO93" s="50">
        <v>1200</v>
      </c>
      <c r="AP93" s="526"/>
      <c r="AQ93" s="50">
        <v>1101</v>
      </c>
      <c r="AR93" s="536"/>
      <c r="AS93" s="50">
        <v>1885</v>
      </c>
      <c r="AT93" s="50"/>
      <c r="AU93" s="50">
        <v>1773</v>
      </c>
      <c r="AV93" s="510"/>
      <c r="AW93" s="50">
        <f>+AO93+AQ93+AS93+AU93</f>
        <v>5959</v>
      </c>
      <c r="AX93" s="103">
        <v>1</v>
      </c>
      <c r="AY93" s="61">
        <v>5969</v>
      </c>
      <c r="AZ93" s="537">
        <v>1</v>
      </c>
      <c r="BA93" s="50">
        <v>1054</v>
      </c>
      <c r="BB93" s="50">
        <v>557</v>
      </c>
      <c r="BC93" s="50"/>
      <c r="BD93" s="50">
        <f>2160-BB93</f>
        <v>1603</v>
      </c>
      <c r="BE93" s="50"/>
      <c r="BF93" s="50">
        <v>2471</v>
      </c>
      <c r="BG93" s="50"/>
      <c r="BH93" s="50">
        <v>2630</v>
      </c>
      <c r="BI93" s="50"/>
      <c r="BJ93" s="50">
        <f>+BH93</f>
        <v>2630</v>
      </c>
      <c r="BK93" s="57">
        <v>1</v>
      </c>
      <c r="BL93" s="50">
        <f>BJ93+AY93</f>
        <v>8599</v>
      </c>
      <c r="BM93" s="54">
        <v>1</v>
      </c>
      <c r="BN93" s="517"/>
      <c r="BO93" s="517"/>
      <c r="BP93" s="517"/>
      <c r="BQ93" s="517"/>
      <c r="BR93" s="517"/>
      <c r="BS93" s="517"/>
      <c r="BT93" s="517"/>
      <c r="BU93" s="517"/>
      <c r="BV93" s="517"/>
      <c r="BW93" s="517"/>
      <c r="BX93" s="517"/>
      <c r="BY93" s="517"/>
      <c r="BZ93" s="517"/>
      <c r="CA93" s="517"/>
      <c r="CB93" s="517"/>
      <c r="CC93" s="517"/>
      <c r="CD93" s="517"/>
      <c r="CE93" s="517"/>
      <c r="CF93" s="517"/>
      <c r="CG93" s="517"/>
      <c r="CH93" s="517"/>
      <c r="CI93" s="517"/>
      <c r="CJ93" s="517"/>
      <c r="CK93" s="517"/>
      <c r="CL93" s="517"/>
      <c r="CM93" s="517"/>
      <c r="CN93" s="517"/>
      <c r="CO93" s="517"/>
      <c r="CP93" s="517"/>
      <c r="CQ93" s="517"/>
      <c r="CR93" s="517"/>
      <c r="CS93" s="517"/>
      <c r="CT93" s="517"/>
      <c r="CU93" s="517"/>
      <c r="CV93" s="517"/>
      <c r="CW93" s="517"/>
      <c r="CX93" s="517"/>
    </row>
    <row r="94" spans="1:102" ht="18" customHeight="1" x14ac:dyDescent="0.2">
      <c r="A94" s="1856"/>
      <c r="B94" s="1860"/>
      <c r="C94" s="508"/>
      <c r="D94" s="508"/>
      <c r="E94" s="510"/>
      <c r="F94" s="510"/>
      <c r="G94" s="510"/>
      <c r="H94" s="510"/>
      <c r="I94" s="510"/>
      <c r="J94" s="510"/>
      <c r="K94" s="510"/>
      <c r="L94" s="510"/>
      <c r="M94" s="510"/>
      <c r="N94" s="510"/>
      <c r="O94" s="510"/>
      <c r="P94" s="510"/>
      <c r="Q94" s="510"/>
      <c r="R94" s="510"/>
      <c r="S94" s="510"/>
      <c r="T94" s="1854"/>
      <c r="U94" s="85"/>
      <c r="V94" s="85"/>
      <c r="W94" s="85"/>
      <c r="X94" s="72"/>
      <c r="Y94" s="72"/>
      <c r="Z94" s="72"/>
      <c r="AA94" s="72"/>
      <c r="AB94" s="73">
        <f>+AB93</f>
        <v>0.24857685009487665</v>
      </c>
      <c r="AC94" s="73">
        <f>+AC93</f>
        <v>0.25047438330170779</v>
      </c>
      <c r="AD94" s="73"/>
      <c r="AE94" s="72"/>
      <c r="AF94" s="72"/>
      <c r="AG94" s="72"/>
      <c r="AH94" s="72"/>
      <c r="AI94" s="552"/>
      <c r="AJ94" s="72"/>
      <c r="AK94" s="86">
        <f>+AK93</f>
        <v>1</v>
      </c>
      <c r="AL94" s="72"/>
      <c r="AM94" s="86">
        <f>+AM93</f>
        <v>1</v>
      </c>
      <c r="AN94" s="552"/>
      <c r="AO94" s="510"/>
      <c r="AP94" s="526"/>
      <c r="AQ94" s="50"/>
      <c r="AR94" s="527"/>
      <c r="AS94" s="510"/>
      <c r="AT94" s="510"/>
      <c r="AU94" s="528"/>
      <c r="AV94" s="510"/>
      <c r="AW94" s="510"/>
      <c r="AX94" s="86">
        <f>+AX93</f>
        <v>1</v>
      </c>
      <c r="AY94" s="510"/>
      <c r="AZ94" s="530">
        <f>+AZ93</f>
        <v>1</v>
      </c>
      <c r="BA94" s="510"/>
      <c r="BB94" s="510"/>
      <c r="BC94" s="510"/>
      <c r="BD94" s="510"/>
      <c r="BE94" s="510"/>
      <c r="BF94" s="510"/>
      <c r="BG94" s="510"/>
      <c r="BH94" s="510"/>
      <c r="BI94" s="510"/>
      <c r="BJ94" s="510"/>
      <c r="BK94" s="530">
        <f>+BK93</f>
        <v>1</v>
      </c>
      <c r="BL94" s="510"/>
      <c r="BM94" s="530">
        <f>+BM93</f>
        <v>1</v>
      </c>
      <c r="BN94" s="517"/>
      <c r="BO94" s="517"/>
      <c r="BP94" s="517"/>
      <c r="BQ94" s="517"/>
      <c r="BR94" s="517"/>
      <c r="BS94" s="517"/>
      <c r="BT94" s="517"/>
      <c r="BU94" s="517"/>
      <c r="BV94" s="517"/>
      <c r="BW94" s="517"/>
      <c r="BX94" s="517"/>
      <c r="BY94" s="517"/>
      <c r="BZ94" s="517"/>
      <c r="CA94" s="517"/>
      <c r="CB94" s="517"/>
      <c r="CC94" s="517"/>
      <c r="CD94" s="517"/>
      <c r="CE94" s="517"/>
      <c r="CF94" s="517"/>
      <c r="CG94" s="517"/>
      <c r="CH94" s="517"/>
      <c r="CI94" s="517"/>
      <c r="CJ94" s="517"/>
      <c r="CK94" s="517"/>
      <c r="CL94" s="517"/>
      <c r="CM94" s="517"/>
      <c r="CN94" s="517"/>
      <c r="CO94" s="517"/>
      <c r="CP94" s="517"/>
      <c r="CQ94" s="517"/>
      <c r="CR94" s="517"/>
      <c r="CS94" s="517"/>
      <c r="CT94" s="517"/>
      <c r="CU94" s="517"/>
      <c r="CV94" s="517"/>
      <c r="CW94" s="517"/>
      <c r="CX94" s="517"/>
    </row>
    <row r="95" spans="1:102" ht="51.75" customHeight="1" x14ac:dyDescent="0.2">
      <c r="A95" s="1856"/>
      <c r="B95" s="1860"/>
      <c r="C95" s="508"/>
      <c r="D95" s="508"/>
      <c r="E95" s="510"/>
      <c r="F95" s="510"/>
      <c r="G95" s="510"/>
      <c r="H95" s="510"/>
      <c r="I95" s="510"/>
      <c r="J95" s="510"/>
      <c r="K95" s="510"/>
      <c r="L95" s="510"/>
      <c r="M95" s="510"/>
      <c r="N95" s="510"/>
      <c r="O95" s="510"/>
      <c r="P95" s="510"/>
      <c r="Q95" s="510"/>
      <c r="R95" s="510"/>
      <c r="S95" s="510"/>
      <c r="T95" s="1853" t="s">
        <v>1687</v>
      </c>
      <c r="U95" s="508" t="s">
        <v>1688</v>
      </c>
      <c r="V95" s="548" t="s">
        <v>1200</v>
      </c>
      <c r="W95" s="548" t="s">
        <v>1689</v>
      </c>
      <c r="X95" s="50">
        <v>128</v>
      </c>
      <c r="Y95" s="50">
        <v>20</v>
      </c>
      <c r="Z95" s="50">
        <v>36</v>
      </c>
      <c r="AA95" s="50">
        <v>32</v>
      </c>
      <c r="AB95" s="54">
        <f>+Y95/X95</f>
        <v>0.15625</v>
      </c>
      <c r="AC95" s="54">
        <f>+Z95/X95</f>
        <v>0.28125</v>
      </c>
      <c r="AD95" s="55"/>
      <c r="AE95" s="50">
        <v>0</v>
      </c>
      <c r="AF95" s="50">
        <v>107</v>
      </c>
      <c r="AG95" s="50"/>
      <c r="AH95" s="50">
        <v>107</v>
      </c>
      <c r="AI95" s="535"/>
      <c r="AJ95" s="50">
        <v>36</v>
      </c>
      <c r="AK95" s="54">
        <v>1</v>
      </c>
      <c r="AL95" s="50">
        <f>+AJ95</f>
        <v>36</v>
      </c>
      <c r="AM95" s="54">
        <f>+AL95/X95</f>
        <v>0.28125</v>
      </c>
      <c r="AN95" s="535">
        <v>36</v>
      </c>
      <c r="AO95" s="50">
        <v>27</v>
      </c>
      <c r="AP95" s="535"/>
      <c r="AQ95" s="50">
        <v>37</v>
      </c>
      <c r="AR95" s="536"/>
      <c r="AS95" s="50">
        <v>37</v>
      </c>
      <c r="AT95" s="510"/>
      <c r="AU95" s="50">
        <v>36</v>
      </c>
      <c r="AV95" s="510"/>
      <c r="AW95" s="50">
        <f>+AS95+AO95+AQ95+AU95</f>
        <v>137</v>
      </c>
      <c r="AX95" s="54">
        <v>1</v>
      </c>
      <c r="AY95" s="50">
        <v>73</v>
      </c>
      <c r="AZ95" s="1476">
        <v>1</v>
      </c>
      <c r="BA95" s="50">
        <v>32</v>
      </c>
      <c r="BB95" s="50">
        <v>2.2000000000000002</v>
      </c>
      <c r="BC95" s="50"/>
      <c r="BD95" s="50">
        <f>16-BB95</f>
        <v>13.8</v>
      </c>
      <c r="BE95" s="50"/>
      <c r="BF95" s="50">
        <v>4</v>
      </c>
      <c r="BG95" s="50"/>
      <c r="BH95" s="50">
        <v>60</v>
      </c>
      <c r="BI95" s="50"/>
      <c r="BJ95" s="50">
        <f>+BH95</f>
        <v>60</v>
      </c>
      <c r="BK95" s="57">
        <v>1</v>
      </c>
      <c r="BL95" s="1477">
        <f>+AY95+BH95</f>
        <v>133</v>
      </c>
      <c r="BM95" s="1478">
        <v>1</v>
      </c>
      <c r="BN95" s="1158"/>
      <c r="BO95" s="517"/>
      <c r="BP95" s="517"/>
      <c r="BQ95" s="517"/>
      <c r="BR95" s="517"/>
      <c r="BS95" s="517"/>
      <c r="BT95" s="517"/>
      <c r="BU95" s="517"/>
      <c r="BV95" s="517"/>
      <c r="BW95" s="517"/>
      <c r="BX95" s="517"/>
      <c r="BY95" s="517"/>
      <c r="BZ95" s="517"/>
      <c r="CA95" s="517"/>
      <c r="CB95" s="517"/>
      <c r="CC95" s="517"/>
      <c r="CD95" s="517"/>
      <c r="CE95" s="517"/>
      <c r="CF95" s="517"/>
      <c r="CG95" s="517"/>
      <c r="CH95" s="517"/>
      <c r="CI95" s="517"/>
      <c r="CJ95" s="517"/>
      <c r="CK95" s="517"/>
      <c r="CL95" s="517"/>
      <c r="CM95" s="517"/>
      <c r="CN95" s="517"/>
      <c r="CO95" s="517"/>
      <c r="CP95" s="517"/>
      <c r="CQ95" s="517"/>
      <c r="CR95" s="517"/>
      <c r="CS95" s="517"/>
      <c r="CT95" s="517"/>
      <c r="CU95" s="517"/>
      <c r="CV95" s="517"/>
      <c r="CW95" s="517"/>
      <c r="CX95" s="517"/>
    </row>
    <row r="96" spans="1:102" ht="12" customHeight="1" x14ac:dyDescent="0.2">
      <c r="A96" s="1856"/>
      <c r="B96" s="1860"/>
      <c r="C96" s="508"/>
      <c r="D96" s="508"/>
      <c r="E96" s="510"/>
      <c r="F96" s="510"/>
      <c r="G96" s="510"/>
      <c r="H96" s="510"/>
      <c r="I96" s="510"/>
      <c r="J96" s="510"/>
      <c r="K96" s="510"/>
      <c r="L96" s="510"/>
      <c r="M96" s="510"/>
      <c r="N96" s="510"/>
      <c r="O96" s="510"/>
      <c r="P96" s="510"/>
      <c r="Q96" s="510"/>
      <c r="R96" s="510"/>
      <c r="S96" s="510"/>
      <c r="T96" s="1854"/>
      <c r="U96" s="85"/>
      <c r="V96" s="85"/>
      <c r="W96" s="85"/>
      <c r="X96" s="72"/>
      <c r="Y96" s="72"/>
      <c r="Z96" s="72"/>
      <c r="AA96" s="72"/>
      <c r="AB96" s="86">
        <f>+AB95</f>
        <v>0.15625</v>
      </c>
      <c r="AC96" s="86">
        <f>+AC95</f>
        <v>0.28125</v>
      </c>
      <c r="AD96" s="86"/>
      <c r="AE96" s="72"/>
      <c r="AF96" s="72"/>
      <c r="AG96" s="72"/>
      <c r="AH96" s="72"/>
      <c r="AI96" s="552"/>
      <c r="AJ96" s="72"/>
      <c r="AK96" s="86">
        <f>+AK95</f>
        <v>1</v>
      </c>
      <c r="AL96" s="72"/>
      <c r="AM96" s="86">
        <f>+AM95</f>
        <v>0.28125</v>
      </c>
      <c r="AN96" s="552"/>
      <c r="AO96" s="510"/>
      <c r="AP96" s="526"/>
      <c r="AQ96" s="50"/>
      <c r="AR96" s="527"/>
      <c r="AS96" s="510"/>
      <c r="AT96" s="510"/>
      <c r="AU96" s="528"/>
      <c r="AV96" s="510"/>
      <c r="AW96" s="510"/>
      <c r="AX96" s="86">
        <f>+AX95</f>
        <v>1</v>
      </c>
      <c r="AY96" s="510"/>
      <c r="AZ96" s="530">
        <f>+AZ95</f>
        <v>1</v>
      </c>
      <c r="BA96" s="74"/>
      <c r="BB96" s="74"/>
      <c r="BC96" s="74"/>
      <c r="BD96" s="74"/>
      <c r="BE96" s="74"/>
      <c r="BF96" s="74"/>
      <c r="BG96" s="74"/>
      <c r="BH96" s="74"/>
      <c r="BI96" s="74"/>
      <c r="BJ96" s="74"/>
      <c r="BK96" s="107">
        <f>+BK95</f>
        <v>1</v>
      </c>
      <c r="BL96" s="74"/>
      <c r="BM96" s="73">
        <f>+BM95</f>
        <v>1</v>
      </c>
      <c r="BN96" s="517"/>
      <c r="BO96" s="517"/>
      <c r="BP96" s="517"/>
      <c r="BQ96" s="517"/>
      <c r="BR96" s="517"/>
      <c r="BS96" s="517"/>
      <c r="BT96" s="517"/>
      <c r="BU96" s="517"/>
      <c r="BV96" s="517"/>
      <c r="BW96" s="517"/>
      <c r="BX96" s="517"/>
      <c r="BY96" s="517"/>
      <c r="BZ96" s="517"/>
      <c r="CA96" s="517"/>
      <c r="CB96" s="517"/>
      <c r="CC96" s="517"/>
      <c r="CD96" s="517"/>
      <c r="CE96" s="517"/>
      <c r="CF96" s="517"/>
      <c r="CG96" s="517"/>
      <c r="CH96" s="517"/>
      <c r="CI96" s="517"/>
      <c r="CJ96" s="517"/>
      <c r="CK96" s="517"/>
      <c r="CL96" s="517"/>
      <c r="CM96" s="517"/>
      <c r="CN96" s="517"/>
      <c r="CO96" s="517"/>
      <c r="CP96" s="517"/>
      <c r="CQ96" s="517"/>
      <c r="CR96" s="517"/>
      <c r="CS96" s="517"/>
      <c r="CT96" s="517"/>
      <c r="CU96" s="517"/>
      <c r="CV96" s="517"/>
      <c r="CW96" s="517"/>
      <c r="CX96" s="517"/>
    </row>
    <row r="97" spans="1:102" ht="46.5" customHeight="1" x14ac:dyDescent="0.2">
      <c r="A97" s="1856"/>
      <c r="B97" s="1860"/>
      <c r="C97" s="508"/>
      <c r="D97" s="508"/>
      <c r="E97" s="510"/>
      <c r="F97" s="510"/>
      <c r="G97" s="510"/>
      <c r="H97" s="510"/>
      <c r="I97" s="510"/>
      <c r="J97" s="510"/>
      <c r="K97" s="510"/>
      <c r="L97" s="510"/>
      <c r="M97" s="510"/>
      <c r="N97" s="510"/>
      <c r="O97" s="510"/>
      <c r="P97" s="510"/>
      <c r="Q97" s="510"/>
      <c r="R97" s="510"/>
      <c r="S97" s="510"/>
      <c r="T97" s="1853" t="s">
        <v>1690</v>
      </c>
      <c r="U97" s="508" t="s">
        <v>1681</v>
      </c>
      <c r="V97" s="548">
        <v>0</v>
      </c>
      <c r="W97" s="548" t="s">
        <v>1691</v>
      </c>
      <c r="X97" s="50">
        <v>1</v>
      </c>
      <c r="Y97" s="50">
        <v>0.25</v>
      </c>
      <c r="Z97" s="50">
        <v>0.25</v>
      </c>
      <c r="AA97" s="50">
        <v>1</v>
      </c>
      <c r="AB97" s="54">
        <f>+Y97</f>
        <v>0.25</v>
      </c>
      <c r="AC97" s="54">
        <v>0.25</v>
      </c>
      <c r="AD97" s="55">
        <v>0.65</v>
      </c>
      <c r="AE97" s="50">
        <v>0.25</v>
      </c>
      <c r="AF97" s="50">
        <v>0.25</v>
      </c>
      <c r="AG97" s="50"/>
      <c r="AH97" s="160">
        <v>0.25</v>
      </c>
      <c r="AI97" s="535"/>
      <c r="AJ97" s="54">
        <v>0.25</v>
      </c>
      <c r="AK97" s="54">
        <v>1</v>
      </c>
      <c r="AL97" s="54">
        <v>0</v>
      </c>
      <c r="AM97" s="54">
        <f>+AL97/X97</f>
        <v>0</v>
      </c>
      <c r="AN97" s="535">
        <v>0.25</v>
      </c>
      <c r="AO97" s="50">
        <v>0.06</v>
      </c>
      <c r="AP97" s="526"/>
      <c r="AQ97" s="50">
        <v>0.12</v>
      </c>
      <c r="AR97" s="527"/>
      <c r="AS97" s="50">
        <v>0.17</v>
      </c>
      <c r="AT97" s="510"/>
      <c r="AU97" s="50">
        <v>0</v>
      </c>
      <c r="AV97" s="510"/>
      <c r="AW97" s="54">
        <f>+AO97+AQ97+AS97+AU97</f>
        <v>0.35</v>
      </c>
      <c r="AX97" s="54">
        <v>1</v>
      </c>
      <c r="AY97" s="54">
        <f>+AW97+AL97</f>
        <v>0.35</v>
      </c>
      <c r="AZ97" s="537">
        <f>+AY97</f>
        <v>0.35</v>
      </c>
      <c r="BA97" s="55">
        <v>0.4</v>
      </c>
      <c r="BB97" s="50">
        <v>0.16</v>
      </c>
      <c r="BC97" s="50"/>
      <c r="BD97" s="50">
        <v>0.02</v>
      </c>
      <c r="BE97" s="50"/>
      <c r="BF97" s="50">
        <v>0.3</v>
      </c>
      <c r="BG97" s="50"/>
      <c r="BH97" s="50">
        <v>0.4</v>
      </c>
      <c r="BI97" s="50"/>
      <c r="BJ97" s="50">
        <f>+BH97</f>
        <v>0.4</v>
      </c>
      <c r="BK97" s="57">
        <f>BJ97/BA97</f>
        <v>1</v>
      </c>
      <c r="BL97" s="54">
        <f>BJ97+AY97</f>
        <v>0.75</v>
      </c>
      <c r="BM97" s="54">
        <f>BL97/X97</f>
        <v>0.75</v>
      </c>
      <c r="BN97" s="517"/>
      <c r="BO97" s="517"/>
      <c r="BP97" s="517"/>
      <c r="BQ97" s="517"/>
      <c r="BR97" s="517"/>
      <c r="BS97" s="517"/>
      <c r="BT97" s="517"/>
      <c r="BU97" s="517"/>
      <c r="BV97" s="517"/>
      <c r="BW97" s="517"/>
      <c r="BX97" s="517"/>
      <c r="BY97" s="517"/>
      <c r="BZ97" s="517"/>
      <c r="CA97" s="517"/>
      <c r="CB97" s="517"/>
      <c r="CC97" s="517"/>
      <c r="CD97" s="517"/>
      <c r="CE97" s="517"/>
      <c r="CF97" s="517"/>
      <c r="CG97" s="517"/>
      <c r="CH97" s="517"/>
      <c r="CI97" s="517"/>
      <c r="CJ97" s="517"/>
      <c r="CK97" s="517"/>
      <c r="CL97" s="517"/>
      <c r="CM97" s="517"/>
      <c r="CN97" s="517"/>
      <c r="CO97" s="517"/>
      <c r="CP97" s="517"/>
      <c r="CQ97" s="517"/>
      <c r="CR97" s="517"/>
      <c r="CS97" s="517"/>
      <c r="CT97" s="517"/>
      <c r="CU97" s="517"/>
      <c r="CV97" s="517"/>
      <c r="CW97" s="517"/>
      <c r="CX97" s="517"/>
    </row>
    <row r="98" spans="1:102" ht="12" customHeight="1" x14ac:dyDescent="0.2">
      <c r="A98" s="1856"/>
      <c r="B98" s="1860"/>
      <c r="C98" s="508"/>
      <c r="D98" s="508"/>
      <c r="E98" s="510"/>
      <c r="F98" s="510"/>
      <c r="G98" s="510"/>
      <c r="H98" s="510"/>
      <c r="I98" s="510"/>
      <c r="J98" s="510"/>
      <c r="K98" s="510"/>
      <c r="L98" s="510"/>
      <c r="M98" s="510"/>
      <c r="N98" s="510"/>
      <c r="O98" s="510"/>
      <c r="P98" s="510"/>
      <c r="Q98" s="510"/>
      <c r="R98" s="510"/>
      <c r="S98" s="510"/>
      <c r="T98" s="1854"/>
      <c r="U98" s="85"/>
      <c r="V98" s="85"/>
      <c r="W98" s="85"/>
      <c r="X98" s="72"/>
      <c r="Y98" s="72"/>
      <c r="Z98" s="72"/>
      <c r="AA98" s="72"/>
      <c r="AB98" s="97">
        <f>+AB97</f>
        <v>0.25</v>
      </c>
      <c r="AC98" s="97">
        <f>+AC97</f>
        <v>0.25</v>
      </c>
      <c r="AD98" s="1018">
        <f>AVERAGE(AD97)</f>
        <v>0.65</v>
      </c>
      <c r="AE98" s="72"/>
      <c r="AF98" s="72"/>
      <c r="AG98" s="72"/>
      <c r="AH98" s="72"/>
      <c r="AI98" s="552"/>
      <c r="AJ98" s="72"/>
      <c r="AK98" s="86">
        <f>+AK97</f>
        <v>1</v>
      </c>
      <c r="AL98" s="72"/>
      <c r="AM98" s="86">
        <f>+AM97</f>
        <v>0</v>
      </c>
      <c r="AN98" s="552"/>
      <c r="AO98" s="510"/>
      <c r="AP98" s="526"/>
      <c r="AQ98" s="50"/>
      <c r="AR98" s="527"/>
      <c r="AS98" s="510"/>
      <c r="AT98" s="510"/>
      <c r="AU98" s="528"/>
      <c r="AV98" s="510"/>
      <c r="AW98" s="510"/>
      <c r="AX98" s="532">
        <f>+AX97</f>
        <v>1</v>
      </c>
      <c r="AY98" s="510"/>
      <c r="AZ98" s="530">
        <f>+AZ97</f>
        <v>0.35</v>
      </c>
      <c r="BA98" s="531"/>
      <c r="BB98" s="531"/>
      <c r="BC98" s="531"/>
      <c r="BD98" s="531"/>
      <c r="BE98" s="531"/>
      <c r="BF98" s="531"/>
      <c r="BG98" s="531"/>
      <c r="BH98" s="531"/>
      <c r="BI98" s="531"/>
      <c r="BJ98" s="531"/>
      <c r="BK98" s="568">
        <f>+BK97</f>
        <v>1</v>
      </c>
      <c r="BL98" s="531"/>
      <c r="BM98" s="532">
        <f>+BM97</f>
        <v>0.75</v>
      </c>
      <c r="BN98" s="517"/>
      <c r="BO98" s="517"/>
      <c r="BP98" s="517"/>
      <c r="BQ98" s="517"/>
      <c r="BR98" s="517"/>
      <c r="BS98" s="517"/>
      <c r="BT98" s="517"/>
      <c r="BU98" s="517"/>
      <c r="BV98" s="517"/>
      <c r="BW98" s="517"/>
      <c r="BX98" s="517"/>
      <c r="BY98" s="517"/>
      <c r="BZ98" s="517"/>
      <c r="CA98" s="517"/>
      <c r="CB98" s="517"/>
      <c r="CC98" s="517"/>
      <c r="CD98" s="517"/>
      <c r="CE98" s="517"/>
      <c r="CF98" s="517"/>
      <c r="CG98" s="517"/>
      <c r="CH98" s="517"/>
      <c r="CI98" s="517"/>
      <c r="CJ98" s="517"/>
      <c r="CK98" s="517"/>
      <c r="CL98" s="517"/>
      <c r="CM98" s="517"/>
      <c r="CN98" s="517"/>
      <c r="CO98" s="517"/>
      <c r="CP98" s="517"/>
      <c r="CQ98" s="517"/>
      <c r="CR98" s="517"/>
      <c r="CS98" s="517"/>
      <c r="CT98" s="517"/>
      <c r="CU98" s="517"/>
      <c r="CV98" s="517"/>
      <c r="CW98" s="517"/>
      <c r="CX98" s="517"/>
    </row>
    <row r="99" spans="1:102" ht="34.5" customHeight="1" x14ac:dyDescent="0.2">
      <c r="A99" s="1856"/>
      <c r="B99" s="1860"/>
      <c r="C99" s="508"/>
      <c r="D99" s="508"/>
      <c r="E99" s="633"/>
      <c r="F99" s="633"/>
      <c r="G99" s="633"/>
      <c r="H99" s="633"/>
      <c r="I99" s="633"/>
      <c r="J99" s="633"/>
      <c r="K99" s="633"/>
      <c r="L99" s="633"/>
      <c r="M99" s="633"/>
      <c r="N99" s="633"/>
      <c r="O99" s="633"/>
      <c r="P99" s="633"/>
      <c r="Q99" s="633"/>
      <c r="R99" s="633"/>
      <c r="S99" s="633"/>
      <c r="T99" s="1853" t="s">
        <v>1692</v>
      </c>
      <c r="U99" s="118" t="s">
        <v>1693</v>
      </c>
      <c r="V99" s="548" t="s">
        <v>1694</v>
      </c>
      <c r="W99" s="548" t="s">
        <v>1695</v>
      </c>
      <c r="X99" s="79">
        <v>230437</v>
      </c>
      <c r="Y99" s="63">
        <v>507</v>
      </c>
      <c r="Z99" s="79">
        <v>220722</v>
      </c>
      <c r="AA99" s="79">
        <v>56709</v>
      </c>
      <c r="AB99" s="153">
        <f>+Y99/X99</f>
        <v>2.2001675078220945E-3</v>
      </c>
      <c r="AC99" s="54">
        <f>+Z99/X99</f>
        <v>0.95784097171895133</v>
      </c>
      <c r="AD99" s="55">
        <f>AA99/X99</f>
        <v>0.24609329230982871</v>
      </c>
      <c r="AE99" s="63">
        <v>0</v>
      </c>
      <c r="AF99" s="63">
        <v>507</v>
      </c>
      <c r="AG99" s="63"/>
      <c r="AH99" s="100">
        <v>507</v>
      </c>
      <c r="AI99" s="634"/>
      <c r="AJ99" s="63">
        <v>507</v>
      </c>
      <c r="AK99" s="65">
        <v>1</v>
      </c>
      <c r="AL99" s="63">
        <f>+AJ99</f>
        <v>507</v>
      </c>
      <c r="AM99" s="153">
        <f>+AL99/X99</f>
        <v>2.2001675078220945E-3</v>
      </c>
      <c r="AN99" s="658">
        <f>+Z99</f>
        <v>220722</v>
      </c>
      <c r="AO99" s="63">
        <v>5939</v>
      </c>
      <c r="AP99" s="634"/>
      <c r="AQ99" s="63">
        <v>3136</v>
      </c>
      <c r="AR99" s="659"/>
      <c r="AS99" s="63">
        <v>10362</v>
      </c>
      <c r="AT99" s="633"/>
      <c r="AU99" s="63">
        <v>24206</v>
      </c>
      <c r="AV99" s="63"/>
      <c r="AW99" s="50">
        <f>+AU99+AS99+AQ99+AO99</f>
        <v>43643</v>
      </c>
      <c r="AX99" s="522">
        <f>+AW99/AN99</f>
        <v>0.1977283641866239</v>
      </c>
      <c r="AY99" s="56">
        <f>+AW99+AL99</f>
        <v>44150</v>
      </c>
      <c r="AZ99" s="660">
        <f>+AY99/X99</f>
        <v>0.19159249599673664</v>
      </c>
      <c r="BA99" s="63">
        <v>56709</v>
      </c>
      <c r="BB99" s="63">
        <v>24217</v>
      </c>
      <c r="BC99" s="63"/>
      <c r="BD99" s="63">
        <f>70173-BB99</f>
        <v>45956</v>
      </c>
      <c r="BE99" s="63"/>
      <c r="BF99" s="63">
        <v>203722</v>
      </c>
      <c r="BG99" s="63"/>
      <c r="BH99" s="63">
        <v>248129</v>
      </c>
      <c r="BI99" s="63"/>
      <c r="BJ99" s="50">
        <f>+BH99</f>
        <v>248129</v>
      </c>
      <c r="BK99" s="57">
        <v>1</v>
      </c>
      <c r="BL99" s="56">
        <f>BJ99+AY99-170</f>
        <v>292109</v>
      </c>
      <c r="BM99" s="1479">
        <v>1</v>
      </c>
      <c r="BN99" s="636"/>
      <c r="BO99" s="636"/>
      <c r="BP99" s="636"/>
      <c r="BQ99" s="636"/>
      <c r="BR99" s="636"/>
      <c r="BS99" s="636"/>
      <c r="BT99" s="636"/>
      <c r="BU99" s="636"/>
      <c r="BV99" s="636"/>
      <c r="BW99" s="636"/>
      <c r="BX99" s="636"/>
      <c r="BY99" s="636"/>
      <c r="BZ99" s="636"/>
      <c r="CA99" s="636"/>
      <c r="CB99" s="636"/>
      <c r="CC99" s="636"/>
      <c r="CD99" s="636"/>
      <c r="CE99" s="636"/>
      <c r="CF99" s="636"/>
      <c r="CG99" s="636"/>
      <c r="CH99" s="636"/>
      <c r="CI99" s="636"/>
      <c r="CJ99" s="636"/>
      <c r="CK99" s="636"/>
      <c r="CL99" s="636"/>
      <c r="CM99" s="636"/>
      <c r="CN99" s="636"/>
      <c r="CO99" s="636"/>
      <c r="CP99" s="636"/>
      <c r="CQ99" s="636"/>
      <c r="CR99" s="636"/>
      <c r="CS99" s="636"/>
      <c r="CT99" s="636"/>
      <c r="CU99" s="636"/>
      <c r="CV99" s="636"/>
      <c r="CW99" s="636"/>
      <c r="CX99" s="636"/>
    </row>
    <row r="100" spans="1:102" ht="12" customHeight="1" x14ac:dyDescent="0.2">
      <c r="A100" s="1856"/>
      <c r="B100" s="1860"/>
      <c r="C100" s="508"/>
      <c r="D100" s="508"/>
      <c r="E100" s="510"/>
      <c r="F100" s="510"/>
      <c r="G100" s="510"/>
      <c r="H100" s="510"/>
      <c r="I100" s="510"/>
      <c r="J100" s="510"/>
      <c r="K100" s="510"/>
      <c r="L100" s="510"/>
      <c r="M100" s="510"/>
      <c r="N100" s="510"/>
      <c r="O100" s="510"/>
      <c r="P100" s="510"/>
      <c r="Q100" s="510"/>
      <c r="R100" s="510"/>
      <c r="S100" s="510"/>
      <c r="T100" s="1854"/>
      <c r="U100" s="85"/>
      <c r="V100" s="85"/>
      <c r="W100" s="85"/>
      <c r="X100" s="72"/>
      <c r="Y100" s="72"/>
      <c r="Z100" s="72"/>
      <c r="AA100" s="72"/>
      <c r="AB100" s="97">
        <f>+AB99</f>
        <v>2.2001675078220945E-3</v>
      </c>
      <c r="AC100" s="97">
        <f>+AC99</f>
        <v>0.95784097171895133</v>
      </c>
      <c r="AD100" s="1018">
        <f>AVERAGE(AD99)</f>
        <v>0.24609329230982871</v>
      </c>
      <c r="AE100" s="72"/>
      <c r="AF100" s="72"/>
      <c r="AG100" s="72"/>
      <c r="AH100" s="72"/>
      <c r="AI100" s="552"/>
      <c r="AJ100" s="72"/>
      <c r="AK100" s="86">
        <f>+AK99</f>
        <v>1</v>
      </c>
      <c r="AL100" s="86"/>
      <c r="AM100" s="86">
        <f>+AM99</f>
        <v>2.2001675078220945E-3</v>
      </c>
      <c r="AN100" s="552"/>
      <c r="AO100" s="510"/>
      <c r="AP100" s="526"/>
      <c r="AQ100" s="50"/>
      <c r="AR100" s="527"/>
      <c r="AS100" s="510"/>
      <c r="AT100" s="510"/>
      <c r="AU100" s="528"/>
      <c r="AV100" s="510"/>
      <c r="AW100" s="510"/>
      <c r="AX100" s="568">
        <f>+AX99</f>
        <v>0.1977283641866239</v>
      </c>
      <c r="AY100" s="510"/>
      <c r="AZ100" s="1027">
        <f>+AZ99</f>
        <v>0.19159249599673664</v>
      </c>
      <c r="BA100" s="565"/>
      <c r="BB100" s="565"/>
      <c r="BC100" s="565"/>
      <c r="BD100" s="565"/>
      <c r="BE100" s="565"/>
      <c r="BF100" s="565"/>
      <c r="BG100" s="565"/>
      <c r="BH100" s="565"/>
      <c r="BI100" s="565"/>
      <c r="BJ100" s="565"/>
      <c r="BK100" s="1200">
        <f>+BK99</f>
        <v>1</v>
      </c>
      <c r="BL100" s="1201"/>
      <c r="BM100" s="1255">
        <f>+BM99</f>
        <v>1</v>
      </c>
      <c r="BN100" s="1160"/>
      <c r="BO100" s="517"/>
      <c r="BP100" s="517"/>
      <c r="BQ100" s="517"/>
      <c r="BR100" s="517"/>
      <c r="BS100" s="517"/>
      <c r="BT100" s="517"/>
      <c r="BU100" s="517"/>
      <c r="BV100" s="517"/>
      <c r="BW100" s="517"/>
      <c r="BX100" s="517"/>
      <c r="BY100" s="517"/>
      <c r="BZ100" s="517"/>
      <c r="CA100" s="517"/>
      <c r="CB100" s="517"/>
      <c r="CC100" s="517"/>
      <c r="CD100" s="517"/>
      <c r="CE100" s="517"/>
      <c r="CF100" s="517"/>
      <c r="CG100" s="517"/>
      <c r="CH100" s="517"/>
      <c r="CI100" s="517"/>
      <c r="CJ100" s="517"/>
      <c r="CK100" s="517"/>
      <c r="CL100" s="517"/>
      <c r="CM100" s="517"/>
      <c r="CN100" s="517"/>
      <c r="CO100" s="517"/>
      <c r="CP100" s="517"/>
      <c r="CQ100" s="517"/>
      <c r="CR100" s="517"/>
      <c r="CS100" s="517"/>
      <c r="CT100" s="517"/>
      <c r="CU100" s="517"/>
      <c r="CV100" s="517"/>
      <c r="CW100" s="517"/>
      <c r="CX100" s="517"/>
    </row>
    <row r="101" spans="1:102" ht="55.5" customHeight="1" x14ac:dyDescent="0.2">
      <c r="A101" s="1856"/>
      <c r="B101" s="1860"/>
      <c r="C101" s="508"/>
      <c r="D101" s="508"/>
      <c r="E101" s="510"/>
      <c r="F101" s="510"/>
      <c r="G101" s="510"/>
      <c r="H101" s="510"/>
      <c r="I101" s="510"/>
      <c r="J101" s="510"/>
      <c r="K101" s="510"/>
      <c r="L101" s="510"/>
      <c r="M101" s="510"/>
      <c r="N101" s="510"/>
      <c r="O101" s="510"/>
      <c r="P101" s="510"/>
      <c r="Q101" s="510"/>
      <c r="R101" s="510"/>
      <c r="S101" s="510"/>
      <c r="T101" s="1853" t="s">
        <v>1696</v>
      </c>
      <c r="U101" s="519" t="s">
        <v>1697</v>
      </c>
      <c r="V101" s="548" t="s">
        <v>1200</v>
      </c>
      <c r="W101" s="548" t="s">
        <v>1698</v>
      </c>
      <c r="X101" s="79">
        <v>102837</v>
      </c>
      <c r="Y101" s="63" t="s">
        <v>177</v>
      </c>
      <c r="Z101" s="634">
        <v>25709</v>
      </c>
      <c r="AA101" s="634">
        <v>25709</v>
      </c>
      <c r="AB101" s="63"/>
      <c r="AC101" s="54">
        <f>+Z101/X101</f>
        <v>0.24999756896836742</v>
      </c>
      <c r="AD101" s="55">
        <f>AA101/X101</f>
        <v>0.24999756896836742</v>
      </c>
      <c r="AE101" s="63"/>
      <c r="AF101" s="63"/>
      <c r="AG101" s="63"/>
      <c r="AH101" s="63"/>
      <c r="AI101" s="634"/>
      <c r="AJ101" s="63"/>
      <c r="AK101" s="63"/>
      <c r="AL101" s="63"/>
      <c r="AM101" s="63"/>
      <c r="AN101" s="634">
        <v>25709</v>
      </c>
      <c r="AO101" s="510"/>
      <c r="AP101" s="526"/>
      <c r="AQ101" s="50">
        <v>11309</v>
      </c>
      <c r="AR101" s="527"/>
      <c r="AS101" s="49">
        <v>0</v>
      </c>
      <c r="AT101" s="510"/>
      <c r="AU101" s="50">
        <v>18546</v>
      </c>
      <c r="AV101" s="50"/>
      <c r="AW101" s="50">
        <f>+AO101+AQ101+AU101</f>
        <v>29855</v>
      </c>
      <c r="AX101" s="103">
        <v>1</v>
      </c>
      <c r="AY101" s="1475">
        <v>93659</v>
      </c>
      <c r="AZ101" s="1480">
        <v>0.29031379756313391</v>
      </c>
      <c r="BA101" s="50">
        <v>25709</v>
      </c>
      <c r="BB101" s="50">
        <v>109</v>
      </c>
      <c r="BC101" s="50"/>
      <c r="BD101" s="50">
        <f>272-BB101</f>
        <v>163</v>
      </c>
      <c r="BE101" s="50"/>
      <c r="BF101" s="50">
        <v>272</v>
      </c>
      <c r="BG101" s="50"/>
      <c r="BH101" s="50">
        <v>1062</v>
      </c>
      <c r="BI101" s="50"/>
      <c r="BJ101" s="50">
        <f>+BD101+BB101+BH101</f>
        <v>1334</v>
      </c>
      <c r="BK101" s="57">
        <f>BJ101/BA101</f>
        <v>5.1888443735656771E-2</v>
      </c>
      <c r="BL101" s="50">
        <f>+AY101+BJ101</f>
        <v>94993</v>
      </c>
      <c r="BM101" s="1481">
        <f>BL101/X101</f>
        <v>0.92372395149605691</v>
      </c>
      <c r="BN101" s="517"/>
      <c r="BO101" s="517"/>
      <c r="BP101" s="517"/>
      <c r="BQ101" s="517"/>
      <c r="BR101" s="517"/>
      <c r="BS101" s="517"/>
      <c r="BT101" s="517"/>
      <c r="BU101" s="517"/>
      <c r="BV101" s="517"/>
      <c r="BW101" s="517"/>
      <c r="BX101" s="517"/>
      <c r="BY101" s="517"/>
      <c r="BZ101" s="517"/>
      <c r="CA101" s="517"/>
      <c r="CB101" s="517"/>
      <c r="CC101" s="517"/>
      <c r="CD101" s="517"/>
      <c r="CE101" s="517"/>
      <c r="CF101" s="517"/>
      <c r="CG101" s="517"/>
      <c r="CH101" s="517"/>
      <c r="CI101" s="517"/>
      <c r="CJ101" s="517"/>
      <c r="CK101" s="517"/>
      <c r="CL101" s="517"/>
      <c r="CM101" s="517"/>
      <c r="CN101" s="517"/>
      <c r="CO101" s="517"/>
      <c r="CP101" s="517"/>
      <c r="CQ101" s="517"/>
      <c r="CR101" s="517"/>
      <c r="CS101" s="517"/>
      <c r="CT101" s="517"/>
      <c r="CU101" s="517"/>
      <c r="CV101" s="517"/>
      <c r="CW101" s="517"/>
      <c r="CX101" s="517"/>
    </row>
    <row r="102" spans="1:102" ht="12" customHeight="1" x14ac:dyDescent="0.2">
      <c r="A102" s="1856"/>
      <c r="B102" s="1860"/>
      <c r="C102" s="508"/>
      <c r="D102" s="508"/>
      <c r="E102" s="510"/>
      <c r="F102" s="510"/>
      <c r="G102" s="510"/>
      <c r="H102" s="510"/>
      <c r="I102" s="510"/>
      <c r="J102" s="510"/>
      <c r="K102" s="510"/>
      <c r="L102" s="510"/>
      <c r="M102" s="510"/>
      <c r="N102" s="510"/>
      <c r="O102" s="510"/>
      <c r="P102" s="510"/>
      <c r="Q102" s="510"/>
      <c r="R102" s="510"/>
      <c r="S102" s="510"/>
      <c r="T102" s="1854"/>
      <c r="U102" s="85"/>
      <c r="V102" s="85"/>
      <c r="W102" s="85"/>
      <c r="X102" s="72"/>
      <c r="Y102" s="72"/>
      <c r="Z102" s="72"/>
      <c r="AA102" s="72"/>
      <c r="AB102" s="72"/>
      <c r="AC102" s="97">
        <f>+AC101</f>
        <v>0.24999756896836742</v>
      </c>
      <c r="AD102" s="1018">
        <f>AVERAGE(AD101)</f>
        <v>0.24999756896836742</v>
      </c>
      <c r="AE102" s="72"/>
      <c r="AF102" s="72"/>
      <c r="AG102" s="72"/>
      <c r="AH102" s="72"/>
      <c r="AI102" s="552"/>
      <c r="AJ102" s="72"/>
      <c r="AK102" s="72"/>
      <c r="AL102" s="72"/>
      <c r="AM102" s="72"/>
      <c r="AN102" s="552"/>
      <c r="AO102" s="510"/>
      <c r="AP102" s="526"/>
      <c r="AQ102" s="50"/>
      <c r="AR102" s="527"/>
      <c r="AS102" s="510"/>
      <c r="AT102" s="510"/>
      <c r="AU102" s="528"/>
      <c r="AV102" s="510"/>
      <c r="AW102" s="510"/>
      <c r="AX102" s="568">
        <f>+AX101</f>
        <v>1</v>
      </c>
      <c r="AY102" s="510"/>
      <c r="AZ102" s="1028">
        <f>+AZ101</f>
        <v>0.29031379756313391</v>
      </c>
      <c r="BA102" s="565"/>
      <c r="BB102" s="565"/>
      <c r="BC102" s="565"/>
      <c r="BD102" s="565"/>
      <c r="BE102" s="565"/>
      <c r="BF102" s="565"/>
      <c r="BG102" s="565"/>
      <c r="BH102" s="565"/>
      <c r="BI102" s="565"/>
      <c r="BJ102" s="565"/>
      <c r="BK102" s="568">
        <f>+BK101</f>
        <v>5.1888443735656771E-2</v>
      </c>
      <c r="BL102" s="565"/>
      <c r="BM102" s="532">
        <f>+BM101</f>
        <v>0.92372395149605691</v>
      </c>
      <c r="BN102" s="1160"/>
      <c r="BO102" s="517"/>
      <c r="BP102" s="517"/>
      <c r="BQ102" s="517"/>
      <c r="BR102" s="517"/>
      <c r="BS102" s="517"/>
      <c r="BT102" s="517"/>
      <c r="BU102" s="517"/>
      <c r="BV102" s="517"/>
      <c r="BW102" s="517"/>
      <c r="BX102" s="517"/>
      <c r="BY102" s="517"/>
      <c r="BZ102" s="517"/>
      <c r="CA102" s="517"/>
      <c r="CB102" s="517"/>
      <c r="CC102" s="517"/>
      <c r="CD102" s="517"/>
      <c r="CE102" s="517"/>
      <c r="CF102" s="517"/>
      <c r="CG102" s="517"/>
      <c r="CH102" s="517"/>
      <c r="CI102" s="517"/>
      <c r="CJ102" s="517"/>
      <c r="CK102" s="517"/>
      <c r="CL102" s="517"/>
      <c r="CM102" s="517"/>
      <c r="CN102" s="517"/>
      <c r="CO102" s="517"/>
      <c r="CP102" s="517"/>
      <c r="CQ102" s="517"/>
      <c r="CR102" s="517"/>
      <c r="CS102" s="517"/>
      <c r="CT102" s="517"/>
      <c r="CU102" s="517"/>
      <c r="CV102" s="517"/>
      <c r="CW102" s="517"/>
      <c r="CX102" s="517"/>
    </row>
    <row r="103" spans="1:102" ht="39" customHeight="1" x14ac:dyDescent="0.2">
      <c r="A103" s="1856"/>
      <c r="B103" s="1860"/>
      <c r="C103" s="508"/>
      <c r="D103" s="508"/>
      <c r="E103" s="510"/>
      <c r="F103" s="510"/>
      <c r="G103" s="510"/>
      <c r="H103" s="510"/>
      <c r="I103" s="510"/>
      <c r="J103" s="510"/>
      <c r="K103" s="510"/>
      <c r="L103" s="510"/>
      <c r="M103" s="510"/>
      <c r="N103" s="510"/>
      <c r="O103" s="510"/>
      <c r="P103" s="510"/>
      <c r="Q103" s="510"/>
      <c r="R103" s="510"/>
      <c r="S103" s="510"/>
      <c r="T103" s="1853" t="s">
        <v>1699</v>
      </c>
      <c r="U103" s="519" t="s">
        <v>1700</v>
      </c>
      <c r="V103" s="548" t="s">
        <v>1200</v>
      </c>
      <c r="W103" s="548" t="s">
        <v>1701</v>
      </c>
      <c r="X103" s="50">
        <v>4</v>
      </c>
      <c r="Y103" s="50" t="s">
        <v>177</v>
      </c>
      <c r="Z103" s="50">
        <v>1</v>
      </c>
      <c r="AA103" s="50">
        <v>1</v>
      </c>
      <c r="AB103" s="54"/>
      <c r="AC103" s="54">
        <v>0.25</v>
      </c>
      <c r="AD103" s="55">
        <f>AA103/X103</f>
        <v>0.25</v>
      </c>
      <c r="AE103" s="50"/>
      <c r="AF103" s="50"/>
      <c r="AG103" s="50"/>
      <c r="AH103" s="100">
        <v>4</v>
      </c>
      <c r="AI103" s="535"/>
      <c r="AJ103" s="50"/>
      <c r="AK103" s="54"/>
      <c r="AL103" s="50"/>
      <c r="AM103" s="54"/>
      <c r="AN103" s="535">
        <v>1</v>
      </c>
      <c r="AO103" s="49">
        <v>1</v>
      </c>
      <c r="AP103" s="514"/>
      <c r="AQ103" s="49">
        <v>1</v>
      </c>
      <c r="AR103" s="515"/>
      <c r="AS103" s="49">
        <v>1</v>
      </c>
      <c r="AT103" s="49"/>
      <c r="AU103" s="50">
        <v>1</v>
      </c>
      <c r="AV103" s="49"/>
      <c r="AW103" s="50">
        <f>+AU103</f>
        <v>1</v>
      </c>
      <c r="AX103" s="103">
        <f>AW103/AN103</f>
        <v>1</v>
      </c>
      <c r="AY103" s="61">
        <v>2</v>
      </c>
      <c r="AZ103" s="576">
        <v>0.5</v>
      </c>
      <c r="BA103" s="50">
        <v>1</v>
      </c>
      <c r="BB103" s="50">
        <v>0.3</v>
      </c>
      <c r="BC103" s="50"/>
      <c r="BD103" s="50">
        <v>0.15</v>
      </c>
      <c r="BE103" s="50"/>
      <c r="BF103" s="50">
        <v>0.3</v>
      </c>
      <c r="BG103" s="50"/>
      <c r="BH103" s="50">
        <v>1</v>
      </c>
      <c r="BI103" s="50"/>
      <c r="BJ103" s="50">
        <f>+BH103</f>
        <v>1</v>
      </c>
      <c r="BK103" s="57">
        <f>+BJ103</f>
        <v>1</v>
      </c>
      <c r="BL103" s="50">
        <f>+BJ103+AY103</f>
        <v>3</v>
      </c>
      <c r="BM103" s="66">
        <f>+BL103/X103</f>
        <v>0.75</v>
      </c>
      <c r="BN103" s="517"/>
      <c r="BO103" s="517"/>
      <c r="BP103" s="517"/>
      <c r="BQ103" s="517"/>
      <c r="BR103" s="517"/>
      <c r="BS103" s="517"/>
      <c r="BT103" s="517"/>
      <c r="BU103" s="517"/>
      <c r="BV103" s="517"/>
      <c r="BW103" s="517"/>
      <c r="BX103" s="517"/>
      <c r="BY103" s="517"/>
      <c r="BZ103" s="517"/>
      <c r="CA103" s="517"/>
      <c r="CB103" s="517"/>
      <c r="CC103" s="517"/>
      <c r="CD103" s="517"/>
      <c r="CE103" s="517"/>
      <c r="CF103" s="517"/>
      <c r="CG103" s="517"/>
      <c r="CH103" s="517"/>
      <c r="CI103" s="517"/>
      <c r="CJ103" s="517"/>
      <c r="CK103" s="517"/>
      <c r="CL103" s="517"/>
      <c r="CM103" s="517"/>
      <c r="CN103" s="517"/>
      <c r="CO103" s="517"/>
      <c r="CP103" s="517"/>
      <c r="CQ103" s="517"/>
      <c r="CR103" s="517"/>
      <c r="CS103" s="517"/>
      <c r="CT103" s="517"/>
      <c r="CU103" s="517"/>
      <c r="CV103" s="517"/>
      <c r="CW103" s="517"/>
      <c r="CX103" s="517"/>
    </row>
    <row r="104" spans="1:102" ht="12" customHeight="1" x14ac:dyDescent="0.2">
      <c r="A104" s="1856"/>
      <c r="B104" s="1860"/>
      <c r="C104" s="508"/>
      <c r="D104" s="508"/>
      <c r="E104" s="510"/>
      <c r="F104" s="510"/>
      <c r="G104" s="510"/>
      <c r="H104" s="510"/>
      <c r="I104" s="510"/>
      <c r="J104" s="510"/>
      <c r="K104" s="510"/>
      <c r="L104" s="510"/>
      <c r="M104" s="510"/>
      <c r="N104" s="510"/>
      <c r="O104" s="510"/>
      <c r="P104" s="510"/>
      <c r="Q104" s="510"/>
      <c r="R104" s="510"/>
      <c r="S104" s="510"/>
      <c r="T104" s="1854"/>
      <c r="U104" s="85"/>
      <c r="V104" s="85"/>
      <c r="W104" s="85"/>
      <c r="X104" s="72"/>
      <c r="Y104" s="72"/>
      <c r="Z104" s="72"/>
      <c r="AA104" s="72"/>
      <c r="AB104" s="97">
        <f>+AB103</f>
        <v>0</v>
      </c>
      <c r="AC104" s="97">
        <f>+AC103</f>
        <v>0.25</v>
      </c>
      <c r="AD104" s="1029">
        <f>AVERAGE(AD103)</f>
        <v>0.25</v>
      </c>
      <c r="AE104" s="72"/>
      <c r="AF104" s="72"/>
      <c r="AG104" s="72"/>
      <c r="AH104" s="72"/>
      <c r="AI104" s="552"/>
      <c r="AJ104" s="72"/>
      <c r="AK104" s="86">
        <f>+AK103</f>
        <v>0</v>
      </c>
      <c r="AL104" s="72"/>
      <c r="AM104" s="86">
        <f>+AM103</f>
        <v>0</v>
      </c>
      <c r="AN104" s="552"/>
      <c r="AO104" s="510"/>
      <c r="AP104" s="526"/>
      <c r="AQ104" s="50"/>
      <c r="AR104" s="527"/>
      <c r="AS104" s="510"/>
      <c r="AT104" s="510"/>
      <c r="AU104" s="528"/>
      <c r="AV104" s="510"/>
      <c r="AW104" s="510"/>
      <c r="AX104" s="532">
        <f>+AX103</f>
        <v>1</v>
      </c>
      <c r="AY104" s="510"/>
      <c r="AZ104" s="1028">
        <f>+AZ103</f>
        <v>0.5</v>
      </c>
      <c r="BA104" s="565"/>
      <c r="BB104" s="565"/>
      <c r="BC104" s="565"/>
      <c r="BD104" s="565"/>
      <c r="BE104" s="565"/>
      <c r="BF104" s="565"/>
      <c r="BG104" s="565"/>
      <c r="BH104" s="565"/>
      <c r="BI104" s="565"/>
      <c r="BJ104" s="565"/>
      <c r="BK104" s="568">
        <f>+BK103</f>
        <v>1</v>
      </c>
      <c r="BL104" s="565"/>
      <c r="BM104" s="532">
        <f>+BM103</f>
        <v>0.75</v>
      </c>
      <c r="BN104" s="517"/>
      <c r="BO104" s="1161"/>
      <c r="BP104" s="517"/>
      <c r="BQ104" s="517"/>
      <c r="BR104" s="517"/>
      <c r="BS104" s="517"/>
      <c r="BT104" s="517"/>
      <c r="BU104" s="517"/>
      <c r="BV104" s="517"/>
      <c r="BW104" s="517"/>
      <c r="BX104" s="517"/>
      <c r="BY104" s="517"/>
      <c r="BZ104" s="517"/>
      <c r="CA104" s="517"/>
      <c r="CB104" s="517"/>
      <c r="CC104" s="517"/>
      <c r="CD104" s="517"/>
      <c r="CE104" s="517"/>
      <c r="CF104" s="517"/>
      <c r="CG104" s="517"/>
      <c r="CH104" s="517"/>
      <c r="CI104" s="517"/>
      <c r="CJ104" s="517"/>
      <c r="CK104" s="517"/>
      <c r="CL104" s="517"/>
      <c r="CM104" s="517"/>
      <c r="CN104" s="517"/>
      <c r="CO104" s="517"/>
      <c r="CP104" s="517"/>
      <c r="CQ104" s="517"/>
      <c r="CR104" s="517"/>
      <c r="CS104" s="517"/>
      <c r="CT104" s="517"/>
      <c r="CU104" s="517"/>
      <c r="CV104" s="517"/>
      <c r="CW104" s="517"/>
      <c r="CX104" s="517"/>
    </row>
    <row r="105" spans="1:102" ht="12" customHeight="1" x14ac:dyDescent="0.2">
      <c r="A105" s="1856"/>
      <c r="B105" s="1861"/>
      <c r="C105" s="508"/>
      <c r="D105" s="109"/>
      <c r="E105" s="544"/>
      <c r="F105" s="544"/>
      <c r="G105" s="544"/>
      <c r="H105" s="544"/>
      <c r="I105" s="544"/>
      <c r="J105" s="544"/>
      <c r="K105" s="544"/>
      <c r="L105" s="544"/>
      <c r="M105" s="544"/>
      <c r="N105" s="544"/>
      <c r="O105" s="544"/>
      <c r="P105" s="544"/>
      <c r="Q105" s="544"/>
      <c r="R105" s="544"/>
      <c r="S105" s="544"/>
      <c r="T105" s="108"/>
      <c r="U105" s="109"/>
      <c r="V105" s="109"/>
      <c r="W105" s="109"/>
      <c r="X105" s="110"/>
      <c r="Y105" s="110"/>
      <c r="Z105" s="110"/>
      <c r="AA105" s="110"/>
      <c r="AB105" s="112">
        <f>+(AB104+AB98+AB96+AB94+AB100+AB102)/6</f>
        <v>0.10950450293378312</v>
      </c>
      <c r="AC105" s="112">
        <f>+(AC104+AC98+AC96+AC94+AC100+AC102)/6</f>
        <v>0.37326048733150441</v>
      </c>
      <c r="AD105" s="112">
        <f>+(AD104+AD102+AD100+AD98+AD96+AD94)/6</f>
        <v>0.23268181021303269</v>
      </c>
      <c r="AE105" s="110"/>
      <c r="AF105" s="110"/>
      <c r="AG105" s="110"/>
      <c r="AH105" s="110"/>
      <c r="AI105" s="535"/>
      <c r="AJ105" s="110"/>
      <c r="AK105" s="112">
        <f>+(AK104+AK102+AK100+AK98+AK96+AK94)/5</f>
        <v>0.8</v>
      </c>
      <c r="AL105" s="110"/>
      <c r="AM105" s="112">
        <f>+(AM104+AM102+AM100+AM98+AM96+AM94)/6</f>
        <v>0.21390836125130366</v>
      </c>
      <c r="AN105" s="545"/>
      <c r="AO105" s="510"/>
      <c r="AP105" s="526"/>
      <c r="AQ105" s="50"/>
      <c r="AR105" s="527"/>
      <c r="AS105" s="510"/>
      <c r="AT105" s="510"/>
      <c r="AU105" s="528"/>
      <c r="AV105" s="510"/>
      <c r="AW105" s="510"/>
      <c r="AX105" s="662">
        <f>+(AX104+AX102+AX100+AX98+AX96+AX94)/6</f>
        <v>0.86628806069777065</v>
      </c>
      <c r="AY105" s="662"/>
      <c r="AZ105" s="1203">
        <f>+(AZ104+AZ102+AZ100+AZ98+AZ96+AZ94)/6</f>
        <v>0.55531771559331178</v>
      </c>
      <c r="BA105" s="544"/>
      <c r="BB105" s="544"/>
      <c r="BC105" s="544"/>
      <c r="BD105" s="544"/>
      <c r="BE105" s="544"/>
      <c r="BF105" s="544"/>
      <c r="BG105" s="544"/>
      <c r="BH105" s="544"/>
      <c r="BI105" s="544"/>
      <c r="BJ105" s="544"/>
      <c r="BK105" s="618">
        <f>+(BK104+BK102+BK100+BK98+BK96+BK94)/6</f>
        <v>0.84198140728927617</v>
      </c>
      <c r="BL105" s="544"/>
      <c r="BM105" s="618">
        <f>+(BM104+BM102+BM100+BM98+BM96+BM94)/6</f>
        <v>0.90395399191600945</v>
      </c>
      <c r="BN105" s="517"/>
      <c r="BO105" s="517"/>
      <c r="BP105" s="517"/>
      <c r="BQ105" s="517"/>
      <c r="BR105" s="517"/>
      <c r="BS105" s="517"/>
      <c r="BT105" s="517"/>
      <c r="BU105" s="517"/>
      <c r="BV105" s="517"/>
      <c r="BW105" s="517"/>
      <c r="BX105" s="517"/>
      <c r="BY105" s="517"/>
      <c r="BZ105" s="517"/>
      <c r="CA105" s="517"/>
      <c r="CB105" s="517"/>
      <c r="CC105" s="517"/>
      <c r="CD105" s="517"/>
      <c r="CE105" s="517"/>
      <c r="CF105" s="517"/>
      <c r="CG105" s="517"/>
      <c r="CH105" s="517"/>
      <c r="CI105" s="517"/>
      <c r="CJ105" s="517"/>
      <c r="CK105" s="517"/>
      <c r="CL105" s="517"/>
      <c r="CM105" s="517"/>
      <c r="CN105" s="517"/>
      <c r="CO105" s="517"/>
      <c r="CP105" s="517"/>
      <c r="CQ105" s="517"/>
      <c r="CR105" s="517"/>
      <c r="CS105" s="517"/>
      <c r="CT105" s="517"/>
      <c r="CU105" s="517"/>
      <c r="CV105" s="517"/>
      <c r="CW105" s="517"/>
      <c r="CX105" s="517"/>
    </row>
    <row r="106" spans="1:102" ht="37.5" customHeight="1" x14ac:dyDescent="0.2">
      <c r="A106" s="1856"/>
      <c r="B106" s="1857" t="s">
        <v>1702</v>
      </c>
      <c r="C106" s="508" t="s">
        <v>1703</v>
      </c>
      <c r="D106" s="508" t="s">
        <v>1704</v>
      </c>
      <c r="E106" s="510"/>
      <c r="F106" s="510"/>
      <c r="G106" s="510"/>
      <c r="H106" s="510"/>
      <c r="I106" s="510"/>
      <c r="J106" s="510"/>
      <c r="K106" s="510"/>
      <c r="L106" s="510"/>
      <c r="M106" s="510"/>
      <c r="N106" s="510"/>
      <c r="O106" s="510"/>
      <c r="P106" s="510"/>
      <c r="Q106" s="510"/>
      <c r="R106" s="510"/>
      <c r="S106" s="510"/>
      <c r="T106" s="1853" t="s">
        <v>1705</v>
      </c>
      <c r="U106" s="508" t="s">
        <v>1706</v>
      </c>
      <c r="V106" s="650" t="s">
        <v>1707</v>
      </c>
      <c r="W106" s="548" t="s">
        <v>1708</v>
      </c>
      <c r="X106" s="50">
        <v>427</v>
      </c>
      <c r="Y106" s="130">
        <v>100</v>
      </c>
      <c r="Z106" s="130">
        <v>120</v>
      </c>
      <c r="AA106" s="130">
        <v>120</v>
      </c>
      <c r="AB106" s="122">
        <f>+Y106/X106</f>
        <v>0.23419203747072601</v>
      </c>
      <c r="AC106" s="122">
        <f>+Z106/X106</f>
        <v>0.28103044496487117</v>
      </c>
      <c r="AD106" s="1022">
        <f>AA106/X106</f>
        <v>0.28103044496487117</v>
      </c>
      <c r="AE106" s="61">
        <v>53</v>
      </c>
      <c r="AF106" s="61">
        <v>38</v>
      </c>
      <c r="AG106" s="50"/>
      <c r="AH106" s="50">
        <v>100</v>
      </c>
      <c r="AI106" s="535"/>
      <c r="AJ106" s="50">
        <f>+AH106</f>
        <v>100</v>
      </c>
      <c r="AK106" s="55">
        <f>+AJ106/Y106</f>
        <v>1</v>
      </c>
      <c r="AL106" s="50">
        <f>+AJ106</f>
        <v>100</v>
      </c>
      <c r="AM106" s="55">
        <f>+AL106/X106</f>
        <v>0.23419203747072601</v>
      </c>
      <c r="AN106" s="130">
        <v>120</v>
      </c>
      <c r="AO106" s="174">
        <v>54</v>
      </c>
      <c r="AP106" s="127"/>
      <c r="AQ106" s="50">
        <v>36</v>
      </c>
      <c r="AR106" s="517"/>
      <c r="AS106" s="50">
        <v>14</v>
      </c>
      <c r="AT106" s="517"/>
      <c r="AU106" s="50">
        <v>22</v>
      </c>
      <c r="AV106" s="517"/>
      <c r="AW106" s="174">
        <f t="shared" ref="AW106:AW116" si="2">+AO106+AQ106+AS106+AU106</f>
        <v>126</v>
      </c>
      <c r="AX106" s="137">
        <v>1</v>
      </c>
      <c r="AY106" s="174">
        <f t="shared" ref="AY106:AY112" si="3">+AW106+AL106</f>
        <v>226</v>
      </c>
      <c r="AZ106" s="663">
        <f>+AY106/X106</f>
        <v>0.52927400468384078</v>
      </c>
      <c r="BA106" s="174">
        <v>120</v>
      </c>
      <c r="BB106" s="174">
        <v>44</v>
      </c>
      <c r="BC106" s="50"/>
      <c r="BD106" s="1418">
        <v>66</v>
      </c>
      <c r="BE106" s="1418"/>
      <c r="BF106" s="1418">
        <v>0</v>
      </c>
      <c r="BG106" s="1444"/>
      <c r="BH106" s="50">
        <v>12</v>
      </c>
      <c r="BI106" s="50"/>
      <c r="BJ106" s="50">
        <f>BB106+BD106+BF106+BH106</f>
        <v>122</v>
      </c>
      <c r="BK106" s="57">
        <v>1</v>
      </c>
      <c r="BL106" s="50">
        <f>BJ106+AY106</f>
        <v>348</v>
      </c>
      <c r="BM106" s="57">
        <f t="shared" ref="BM106:BM110" si="4">BL106/X106</f>
        <v>0.81498829039812648</v>
      </c>
      <c r="BN106" s="517"/>
      <c r="BO106" s="517"/>
      <c r="BP106" s="517"/>
      <c r="BQ106" s="517"/>
      <c r="BR106" s="517"/>
      <c r="BS106" s="517"/>
      <c r="BT106" s="517"/>
      <c r="BU106" s="517"/>
      <c r="BV106" s="517"/>
      <c r="BW106" s="517"/>
      <c r="BX106" s="517"/>
      <c r="BY106" s="517"/>
      <c r="BZ106" s="517"/>
      <c r="CA106" s="517"/>
      <c r="CB106" s="517"/>
      <c r="CC106" s="517"/>
      <c r="CD106" s="517"/>
      <c r="CE106" s="517"/>
      <c r="CF106" s="517"/>
      <c r="CG106" s="517"/>
      <c r="CH106" s="517"/>
      <c r="CI106" s="517"/>
      <c r="CJ106" s="517"/>
      <c r="CK106" s="517"/>
      <c r="CL106" s="517"/>
      <c r="CM106" s="517"/>
      <c r="CN106" s="517"/>
      <c r="CO106" s="517"/>
      <c r="CP106" s="517"/>
      <c r="CQ106" s="517"/>
      <c r="CR106" s="517"/>
      <c r="CS106" s="517"/>
      <c r="CT106" s="517"/>
      <c r="CU106" s="517"/>
      <c r="CV106" s="517"/>
      <c r="CW106" s="517"/>
      <c r="CX106" s="517"/>
    </row>
    <row r="107" spans="1:102" ht="36" customHeight="1" x14ac:dyDescent="0.2">
      <c r="A107" s="1856"/>
      <c r="B107" s="1858"/>
      <c r="C107" s="508"/>
      <c r="D107" s="508"/>
      <c r="E107" s="510"/>
      <c r="F107" s="510"/>
      <c r="G107" s="510"/>
      <c r="H107" s="510"/>
      <c r="I107" s="510"/>
      <c r="J107" s="510"/>
      <c r="K107" s="510"/>
      <c r="L107" s="510"/>
      <c r="M107" s="510"/>
      <c r="N107" s="510"/>
      <c r="O107" s="510"/>
      <c r="P107" s="510"/>
      <c r="Q107" s="510"/>
      <c r="R107" s="510"/>
      <c r="S107" s="510"/>
      <c r="T107" s="1862"/>
      <c r="U107" s="508"/>
      <c r="V107" s="664"/>
      <c r="W107" s="548" t="s">
        <v>1709</v>
      </c>
      <c r="X107" s="50">
        <v>299</v>
      </c>
      <c r="Y107" s="83">
        <v>100</v>
      </c>
      <c r="Z107" s="83">
        <v>66</v>
      </c>
      <c r="AA107" s="130">
        <v>50</v>
      </c>
      <c r="AB107" s="122">
        <f>+Y107/X107</f>
        <v>0.33444816053511706</v>
      </c>
      <c r="AC107" s="122">
        <f>+Z107/X107</f>
        <v>0.22073578595317725</v>
      </c>
      <c r="AD107" s="1022">
        <f>AA107/X107</f>
        <v>0.16722408026755853</v>
      </c>
      <c r="AE107" s="61">
        <v>60</v>
      </c>
      <c r="AF107" s="61">
        <v>26</v>
      </c>
      <c r="AG107" s="50"/>
      <c r="AH107" s="50">
        <v>100</v>
      </c>
      <c r="AI107" s="535"/>
      <c r="AJ107" s="50">
        <f>+AH107</f>
        <v>100</v>
      </c>
      <c r="AK107" s="55">
        <f>+AJ107/Y107</f>
        <v>1</v>
      </c>
      <c r="AL107" s="50">
        <f>+AJ107</f>
        <v>100</v>
      </c>
      <c r="AM107" s="55">
        <f>+AL107/X107</f>
        <v>0.33444816053511706</v>
      </c>
      <c r="AN107" s="83">
        <v>99</v>
      </c>
      <c r="AO107" s="50">
        <v>31</v>
      </c>
      <c r="AP107" s="127"/>
      <c r="AQ107" s="50">
        <v>47</v>
      </c>
      <c r="AR107" s="517"/>
      <c r="AS107" s="50">
        <v>12</v>
      </c>
      <c r="AT107" s="517"/>
      <c r="AU107" s="50">
        <v>14</v>
      </c>
      <c r="AV107" s="517"/>
      <c r="AW107" s="174">
        <f t="shared" si="2"/>
        <v>104</v>
      </c>
      <c r="AX107" s="137">
        <v>1</v>
      </c>
      <c r="AY107" s="50">
        <f t="shared" si="3"/>
        <v>204</v>
      </c>
      <c r="AZ107" s="537">
        <f>+AY107/X107</f>
        <v>0.68227424749163879</v>
      </c>
      <c r="BA107" s="174">
        <v>50</v>
      </c>
      <c r="BB107" s="174">
        <v>28</v>
      </c>
      <c r="BC107" s="50"/>
      <c r="BD107" s="1418">
        <v>50</v>
      </c>
      <c r="BE107" s="1418"/>
      <c r="BF107" s="1418">
        <v>0</v>
      </c>
      <c r="BG107" s="1418"/>
      <c r="BH107" s="50">
        <v>0</v>
      </c>
      <c r="BI107" s="50"/>
      <c r="BJ107" s="50">
        <f>BB107+BD107</f>
        <v>78</v>
      </c>
      <c r="BK107" s="57">
        <v>1</v>
      </c>
      <c r="BL107" s="50">
        <f>BJ107+AY107</f>
        <v>282</v>
      </c>
      <c r="BM107" s="57">
        <f t="shared" si="4"/>
        <v>0.94314381270903014</v>
      </c>
      <c r="BN107" s="517"/>
      <c r="BO107" s="517"/>
      <c r="BP107" s="517"/>
      <c r="BQ107" s="517"/>
      <c r="BR107" s="517"/>
      <c r="BS107" s="517"/>
      <c r="BT107" s="517"/>
      <c r="BU107" s="517"/>
      <c r="BV107" s="517"/>
      <c r="BW107" s="517"/>
      <c r="BX107" s="517"/>
      <c r="BY107" s="517"/>
      <c r="BZ107" s="517"/>
      <c r="CA107" s="517"/>
      <c r="CB107" s="517"/>
      <c r="CC107" s="517"/>
      <c r="CD107" s="517"/>
      <c r="CE107" s="517"/>
      <c r="CF107" s="517"/>
      <c r="CG107" s="517"/>
      <c r="CH107" s="517"/>
      <c r="CI107" s="517"/>
      <c r="CJ107" s="517"/>
      <c r="CK107" s="517"/>
      <c r="CL107" s="517"/>
      <c r="CM107" s="517"/>
      <c r="CN107" s="517"/>
      <c r="CO107" s="517"/>
      <c r="CP107" s="517"/>
      <c r="CQ107" s="517"/>
      <c r="CR107" s="517"/>
      <c r="CS107" s="517"/>
      <c r="CT107" s="517"/>
      <c r="CU107" s="517"/>
      <c r="CV107" s="517"/>
      <c r="CW107" s="517"/>
      <c r="CX107" s="517"/>
    </row>
    <row r="108" spans="1:102" ht="30.75" customHeight="1" x14ac:dyDescent="0.2">
      <c r="A108" s="1856"/>
      <c r="B108" s="1858"/>
      <c r="C108" s="508"/>
      <c r="D108" s="508"/>
      <c r="E108" s="510"/>
      <c r="F108" s="510"/>
      <c r="G108" s="510"/>
      <c r="H108" s="510"/>
      <c r="I108" s="510"/>
      <c r="J108" s="510"/>
      <c r="K108" s="510"/>
      <c r="L108" s="510"/>
      <c r="M108" s="510"/>
      <c r="N108" s="510"/>
      <c r="O108" s="510"/>
      <c r="P108" s="510"/>
      <c r="Q108" s="510"/>
      <c r="R108" s="510"/>
      <c r="S108" s="510"/>
      <c r="T108" s="1862"/>
      <c r="U108" s="508"/>
      <c r="V108" s="664"/>
      <c r="W108" s="548" t="s">
        <v>1710</v>
      </c>
      <c r="X108" s="50">
        <v>256</v>
      </c>
      <c r="Y108" s="83">
        <v>50</v>
      </c>
      <c r="Z108" s="83">
        <v>85</v>
      </c>
      <c r="AA108" s="83">
        <v>128</v>
      </c>
      <c r="AB108" s="122">
        <f>+Y108/X108</f>
        <v>0.1953125</v>
      </c>
      <c r="AC108" s="122">
        <f>+Z108/X108</f>
        <v>0.33203125</v>
      </c>
      <c r="AD108" s="1022">
        <f>AA108/X108</f>
        <v>0.5</v>
      </c>
      <c r="AE108" s="61"/>
      <c r="AF108" s="61"/>
      <c r="AG108" s="50"/>
      <c r="AH108" s="50"/>
      <c r="AI108" s="535"/>
      <c r="AJ108" s="50"/>
      <c r="AK108" s="55"/>
      <c r="AL108" s="50"/>
      <c r="AM108" s="55"/>
      <c r="AN108" s="83">
        <v>85</v>
      </c>
      <c r="AO108" s="50">
        <v>0</v>
      </c>
      <c r="AP108" s="127"/>
      <c r="AQ108" s="50">
        <v>0</v>
      </c>
      <c r="AR108" s="517"/>
      <c r="AS108" s="50">
        <v>0</v>
      </c>
      <c r="AT108" s="517"/>
      <c r="AU108" s="50">
        <v>0</v>
      </c>
      <c r="AV108" s="517"/>
      <c r="AW108" s="174">
        <f t="shared" si="2"/>
        <v>0</v>
      </c>
      <c r="AX108" s="54">
        <f>+AW108/AN108</f>
        <v>0</v>
      </c>
      <c r="AY108" s="50">
        <f t="shared" si="3"/>
        <v>0</v>
      </c>
      <c r="AZ108" s="537">
        <f>+AY108/X108</f>
        <v>0</v>
      </c>
      <c r="BA108" s="83">
        <f>AA108</f>
        <v>128</v>
      </c>
      <c r="BB108" s="50">
        <v>0</v>
      </c>
      <c r="BC108" s="50"/>
      <c r="BD108" s="50">
        <v>0</v>
      </c>
      <c r="BE108" s="50"/>
      <c r="BF108" s="50">
        <v>0</v>
      </c>
      <c r="BG108" s="50"/>
      <c r="BH108" s="50">
        <v>26</v>
      </c>
      <c r="BI108" s="50"/>
      <c r="BJ108" s="50">
        <f>BB108+BH108</f>
        <v>26</v>
      </c>
      <c r="BK108" s="57">
        <f>BJ108/BA108</f>
        <v>0.203125</v>
      </c>
      <c r="BL108" s="50">
        <f>BJ108+AY108</f>
        <v>26</v>
      </c>
      <c r="BM108" s="57">
        <f t="shared" si="4"/>
        <v>0.1015625</v>
      </c>
      <c r="BN108" s="517"/>
      <c r="BO108" s="517"/>
      <c r="BP108" s="517"/>
      <c r="BQ108" s="517"/>
      <c r="BR108" s="517"/>
      <c r="BS108" s="517"/>
      <c r="BT108" s="517"/>
      <c r="BU108" s="517"/>
      <c r="BV108" s="517"/>
      <c r="BW108" s="517"/>
      <c r="BX108" s="517"/>
      <c r="BY108" s="517"/>
      <c r="BZ108" s="517"/>
      <c r="CA108" s="517"/>
      <c r="CB108" s="517"/>
      <c r="CC108" s="517"/>
      <c r="CD108" s="517"/>
      <c r="CE108" s="517"/>
      <c r="CF108" s="517"/>
      <c r="CG108" s="517"/>
      <c r="CH108" s="517"/>
      <c r="CI108" s="517"/>
      <c r="CJ108" s="517"/>
      <c r="CK108" s="517"/>
      <c r="CL108" s="517"/>
      <c r="CM108" s="517"/>
      <c r="CN108" s="517"/>
      <c r="CO108" s="517"/>
      <c r="CP108" s="517"/>
      <c r="CQ108" s="517"/>
      <c r="CR108" s="517"/>
      <c r="CS108" s="517"/>
      <c r="CT108" s="517"/>
      <c r="CU108" s="517"/>
      <c r="CV108" s="517"/>
      <c r="CW108" s="517"/>
      <c r="CX108" s="517"/>
    </row>
    <row r="109" spans="1:102" ht="57" customHeight="1" x14ac:dyDescent="0.2">
      <c r="A109" s="1856"/>
      <c r="B109" s="1858"/>
      <c r="C109" s="508"/>
      <c r="D109" s="508"/>
      <c r="E109" s="510"/>
      <c r="F109" s="510"/>
      <c r="G109" s="510"/>
      <c r="H109" s="510"/>
      <c r="I109" s="510"/>
      <c r="J109" s="510"/>
      <c r="K109" s="510"/>
      <c r="L109" s="510"/>
      <c r="M109" s="510"/>
      <c r="N109" s="510"/>
      <c r="O109" s="510"/>
      <c r="P109" s="510"/>
      <c r="Q109" s="510"/>
      <c r="R109" s="510"/>
      <c r="S109" s="510"/>
      <c r="T109" s="1862"/>
      <c r="U109" s="508"/>
      <c r="V109" s="665"/>
      <c r="W109" s="666" t="s">
        <v>1711</v>
      </c>
      <c r="X109" s="50">
        <v>171</v>
      </c>
      <c r="Y109" s="50">
        <v>100</v>
      </c>
      <c r="Z109" s="50">
        <v>40</v>
      </c>
      <c r="AA109" s="50">
        <v>40</v>
      </c>
      <c r="AB109" s="122">
        <f>+Y109/X109</f>
        <v>0.58479532163742687</v>
      </c>
      <c r="AC109" s="122">
        <f>+Z109/X109</f>
        <v>0.23391812865497075</v>
      </c>
      <c r="AD109" s="1022">
        <f>AA109/X109</f>
        <v>0.23391812865497075</v>
      </c>
      <c r="AE109" s="61">
        <v>20</v>
      </c>
      <c r="AF109" s="61">
        <v>17</v>
      </c>
      <c r="AG109" s="667"/>
      <c r="AH109" s="667">
        <v>50</v>
      </c>
      <c r="AI109" s="535"/>
      <c r="AJ109" s="50">
        <f>+AH109</f>
        <v>50</v>
      </c>
      <c r="AK109" s="55">
        <f>+AJ109/Y109</f>
        <v>0.5</v>
      </c>
      <c r="AL109" s="50">
        <f>+AJ109</f>
        <v>50</v>
      </c>
      <c r="AM109" s="55">
        <f>+AL109/X109</f>
        <v>0.29239766081871343</v>
      </c>
      <c r="AN109" s="50">
        <v>55</v>
      </c>
      <c r="AO109" s="50">
        <v>12</v>
      </c>
      <c r="AP109" s="127"/>
      <c r="AQ109" s="50">
        <v>19</v>
      </c>
      <c r="AR109" s="517"/>
      <c r="AS109" s="50">
        <v>8</v>
      </c>
      <c r="AT109" s="517"/>
      <c r="AU109" s="50">
        <v>16</v>
      </c>
      <c r="AV109" s="517"/>
      <c r="AW109" s="174">
        <f t="shared" si="2"/>
        <v>55</v>
      </c>
      <c r="AX109" s="54">
        <f>+AW109/AN109</f>
        <v>1</v>
      </c>
      <c r="AY109" s="50">
        <f t="shared" si="3"/>
        <v>105</v>
      </c>
      <c r="AZ109" s="537">
        <f>+AY109/X109</f>
        <v>0.61403508771929827</v>
      </c>
      <c r="BA109" s="50">
        <v>40</v>
      </c>
      <c r="BB109" s="50">
        <v>16</v>
      </c>
      <c r="BC109" s="50"/>
      <c r="BD109" s="1418">
        <v>26</v>
      </c>
      <c r="BE109" s="50"/>
      <c r="BF109" s="50">
        <v>0</v>
      </c>
      <c r="BG109" s="1418"/>
      <c r="BH109" s="50">
        <v>2</v>
      </c>
      <c r="BI109" s="50"/>
      <c r="BJ109" s="50">
        <f>BB109+BD109+BF109+BH109</f>
        <v>44</v>
      </c>
      <c r="BK109" s="57">
        <v>1</v>
      </c>
      <c r="BL109" s="50">
        <f>BJ109+AY109</f>
        <v>149</v>
      </c>
      <c r="BM109" s="57">
        <f t="shared" si="4"/>
        <v>0.87134502923976609</v>
      </c>
      <c r="BN109" s="517"/>
      <c r="BO109" s="517"/>
      <c r="BP109" s="517"/>
      <c r="BQ109" s="517"/>
      <c r="BR109" s="517"/>
      <c r="BS109" s="517"/>
      <c r="BT109" s="517"/>
      <c r="BU109" s="517"/>
      <c r="BV109" s="517"/>
      <c r="BW109" s="517"/>
      <c r="BX109" s="517"/>
      <c r="BY109" s="517"/>
      <c r="BZ109" s="517"/>
      <c r="CA109" s="517"/>
      <c r="CB109" s="517"/>
      <c r="CC109" s="517"/>
      <c r="CD109" s="517"/>
      <c r="CE109" s="517"/>
      <c r="CF109" s="517"/>
      <c r="CG109" s="517"/>
      <c r="CH109" s="517"/>
      <c r="CI109" s="517"/>
      <c r="CJ109" s="517"/>
      <c r="CK109" s="517"/>
      <c r="CL109" s="517"/>
      <c r="CM109" s="517"/>
      <c r="CN109" s="517"/>
      <c r="CO109" s="517"/>
      <c r="CP109" s="517"/>
      <c r="CQ109" s="517"/>
      <c r="CR109" s="517"/>
      <c r="CS109" s="517"/>
      <c r="CT109" s="517"/>
      <c r="CU109" s="517"/>
      <c r="CV109" s="517"/>
      <c r="CW109" s="517"/>
      <c r="CX109" s="517"/>
    </row>
    <row r="110" spans="1:102" ht="57" customHeight="1" x14ac:dyDescent="0.2">
      <c r="A110" s="1856"/>
      <c r="B110" s="1858"/>
      <c r="C110" s="508"/>
      <c r="D110" s="508"/>
      <c r="E110" s="510"/>
      <c r="F110" s="510"/>
      <c r="G110" s="510"/>
      <c r="H110" s="510"/>
      <c r="I110" s="510"/>
      <c r="J110" s="510"/>
      <c r="K110" s="510"/>
      <c r="L110" s="510"/>
      <c r="M110" s="510"/>
      <c r="N110" s="510"/>
      <c r="O110" s="510"/>
      <c r="P110" s="510"/>
      <c r="Q110" s="510"/>
      <c r="R110" s="510"/>
      <c r="S110" s="510"/>
      <c r="T110" s="1862"/>
      <c r="U110" s="508"/>
      <c r="V110" s="665"/>
      <c r="W110" s="666" t="s">
        <v>2223</v>
      </c>
      <c r="X110" s="50">
        <v>427</v>
      </c>
      <c r="Y110" s="50"/>
      <c r="Z110" s="50"/>
      <c r="AA110" s="50"/>
      <c r="AB110" s="122"/>
      <c r="AC110" s="122"/>
      <c r="AD110" s="1022"/>
      <c r="AE110" s="61"/>
      <c r="AF110" s="61"/>
      <c r="AG110" s="667"/>
      <c r="AH110" s="667"/>
      <c r="AI110" s="857"/>
      <c r="AJ110" s="50"/>
      <c r="AK110" s="55"/>
      <c r="AL110" s="50"/>
      <c r="AM110" s="55"/>
      <c r="AN110" s="50"/>
      <c r="AO110" s="50"/>
      <c r="AP110" s="127"/>
      <c r="AQ110" s="50"/>
      <c r="AR110" s="517"/>
      <c r="AS110" s="50"/>
      <c r="AT110" s="517"/>
      <c r="AU110" s="50"/>
      <c r="AV110" s="517"/>
      <c r="AW110" s="1288"/>
      <c r="AX110" s="54"/>
      <c r="AY110" s="50">
        <v>139</v>
      </c>
      <c r="AZ110" s="1417"/>
      <c r="BA110" s="50">
        <v>150</v>
      </c>
      <c r="BB110" s="50">
        <v>4</v>
      </c>
      <c r="BC110" s="50"/>
      <c r="BD110" s="1418">
        <v>0</v>
      </c>
      <c r="BE110" s="50"/>
      <c r="BF110" s="50">
        <v>4</v>
      </c>
      <c r="BG110" s="50"/>
      <c r="BH110" s="50"/>
      <c r="BI110" s="50"/>
      <c r="BJ110" s="50">
        <f>+BF110+BD110+BB110</f>
        <v>8</v>
      </c>
      <c r="BK110" s="57">
        <f>+BJ110/BA110</f>
        <v>5.3333333333333337E-2</v>
      </c>
      <c r="BL110" s="50">
        <f>+BJ110+AY110</f>
        <v>147</v>
      </c>
      <c r="BM110" s="57">
        <f t="shared" si="4"/>
        <v>0.34426229508196721</v>
      </c>
      <c r="BN110" s="517"/>
      <c r="BO110" s="517"/>
      <c r="BP110" s="517"/>
      <c r="BQ110" s="517"/>
      <c r="BR110" s="517"/>
      <c r="BS110" s="517"/>
      <c r="BT110" s="517"/>
      <c r="BU110" s="517"/>
      <c r="BV110" s="517"/>
      <c r="BW110" s="517"/>
      <c r="BX110" s="517"/>
      <c r="BY110" s="517"/>
      <c r="BZ110" s="517"/>
      <c r="CA110" s="517"/>
      <c r="CB110" s="517"/>
      <c r="CC110" s="517"/>
      <c r="CD110" s="517"/>
      <c r="CE110" s="517"/>
      <c r="CF110" s="517"/>
      <c r="CG110" s="517"/>
      <c r="CH110" s="517"/>
      <c r="CI110" s="517"/>
      <c r="CJ110" s="517"/>
      <c r="CK110" s="517"/>
      <c r="CL110" s="517"/>
      <c r="CM110" s="517"/>
      <c r="CN110" s="517"/>
      <c r="CO110" s="517"/>
      <c r="CP110" s="517"/>
      <c r="CQ110" s="517"/>
      <c r="CR110" s="517"/>
      <c r="CS110" s="517"/>
      <c r="CT110" s="517"/>
      <c r="CU110" s="517"/>
      <c r="CV110" s="517"/>
      <c r="CW110" s="517"/>
      <c r="CX110" s="517"/>
    </row>
    <row r="111" spans="1:102" ht="44.25" customHeight="1" x14ac:dyDescent="0.2">
      <c r="A111" s="1856"/>
      <c r="B111" s="1858"/>
      <c r="C111" s="508"/>
      <c r="D111" s="508" t="s">
        <v>1712</v>
      </c>
      <c r="E111" s="510"/>
      <c r="F111" s="510"/>
      <c r="G111" s="510"/>
      <c r="H111" s="510"/>
      <c r="I111" s="510"/>
      <c r="J111" s="510"/>
      <c r="K111" s="510"/>
      <c r="L111" s="510"/>
      <c r="M111" s="510"/>
      <c r="N111" s="510"/>
      <c r="O111" s="510"/>
      <c r="P111" s="510"/>
      <c r="Q111" s="510"/>
      <c r="R111" s="510"/>
      <c r="S111" s="510"/>
      <c r="T111" s="1862"/>
      <c r="U111" s="508"/>
      <c r="V111" s="548" t="s">
        <v>1713</v>
      </c>
      <c r="W111" s="548" t="s">
        <v>1714</v>
      </c>
      <c r="X111" s="50">
        <v>36</v>
      </c>
      <c r="Y111" s="83">
        <v>100</v>
      </c>
      <c r="Z111" s="83">
        <v>9</v>
      </c>
      <c r="AA111" s="83">
        <v>9</v>
      </c>
      <c r="AB111" s="54">
        <v>0.25</v>
      </c>
      <c r="AC111" s="122">
        <f>+Z111/X111</f>
        <v>0.25</v>
      </c>
      <c r="AD111" s="1022">
        <f>AA111/X111</f>
        <v>0.25</v>
      </c>
      <c r="AE111" s="61">
        <v>0</v>
      </c>
      <c r="AF111" s="61">
        <v>9</v>
      </c>
      <c r="AG111" s="50"/>
      <c r="AH111" s="50">
        <v>9</v>
      </c>
      <c r="AI111" s="535"/>
      <c r="AJ111" s="50">
        <f>+AH111</f>
        <v>9</v>
      </c>
      <c r="AK111" s="54">
        <f>+AJ111/Y111</f>
        <v>0.09</v>
      </c>
      <c r="AL111" s="50">
        <f>+AJ111</f>
        <v>9</v>
      </c>
      <c r="AM111" s="54">
        <f>+AL111/X111</f>
        <v>0.25</v>
      </c>
      <c r="AN111" s="83">
        <v>9</v>
      </c>
      <c r="AO111" s="50">
        <v>0</v>
      </c>
      <c r="AP111" s="517"/>
      <c r="AQ111" s="50">
        <v>1</v>
      </c>
      <c r="AR111" s="517"/>
      <c r="AS111" s="50">
        <v>0</v>
      </c>
      <c r="AT111" s="517"/>
      <c r="AU111" s="50">
        <v>8</v>
      </c>
      <c r="AV111" s="517"/>
      <c r="AW111" s="174">
        <f t="shared" si="2"/>
        <v>9</v>
      </c>
      <c r="AX111" s="54">
        <f>+AW111/AN111</f>
        <v>1</v>
      </c>
      <c r="AY111" s="50">
        <f t="shared" si="3"/>
        <v>18</v>
      </c>
      <c r="AZ111" s="537">
        <f>+AY111/X111</f>
        <v>0.5</v>
      </c>
      <c r="BA111" s="83">
        <f>AA111</f>
        <v>9</v>
      </c>
      <c r="BB111" s="50">
        <v>3</v>
      </c>
      <c r="BC111" s="50"/>
      <c r="BD111" s="1418">
        <v>5</v>
      </c>
      <c r="BE111" s="50"/>
      <c r="BF111" s="50">
        <v>0</v>
      </c>
      <c r="BG111" s="1418"/>
      <c r="BH111" s="50">
        <v>15</v>
      </c>
      <c r="BI111" s="50"/>
      <c r="BJ111" s="50">
        <f>BB111+BD111+BH111</f>
        <v>23</v>
      </c>
      <c r="BK111" s="57">
        <v>1</v>
      </c>
      <c r="BL111" s="50">
        <f>BJ111+AY111</f>
        <v>41</v>
      </c>
      <c r="BM111" s="57">
        <v>1</v>
      </c>
      <c r="BN111" s="517"/>
      <c r="BO111" s="517"/>
      <c r="BP111" s="517"/>
      <c r="BQ111" s="517"/>
      <c r="BR111" s="517"/>
      <c r="BS111" s="517"/>
      <c r="BT111" s="517"/>
      <c r="BU111" s="517"/>
      <c r="BV111" s="517"/>
      <c r="BW111" s="517"/>
      <c r="BX111" s="517"/>
      <c r="BY111" s="517"/>
      <c r="BZ111" s="517"/>
      <c r="CA111" s="517"/>
      <c r="CB111" s="517"/>
      <c r="CC111" s="517"/>
      <c r="CD111" s="517"/>
      <c r="CE111" s="517"/>
      <c r="CF111" s="517"/>
      <c r="CG111" s="517"/>
      <c r="CH111" s="517"/>
      <c r="CI111" s="517"/>
      <c r="CJ111" s="517"/>
      <c r="CK111" s="517"/>
      <c r="CL111" s="517"/>
      <c r="CM111" s="517"/>
      <c r="CN111" s="517"/>
      <c r="CO111" s="517"/>
      <c r="CP111" s="517"/>
      <c r="CQ111" s="517"/>
      <c r="CR111" s="517"/>
      <c r="CS111" s="517"/>
      <c r="CT111" s="517"/>
      <c r="CU111" s="517"/>
      <c r="CV111" s="517"/>
      <c r="CW111" s="517"/>
      <c r="CX111" s="517"/>
    </row>
    <row r="112" spans="1:102" ht="21" customHeight="1" x14ac:dyDescent="0.2">
      <c r="A112" s="1856"/>
      <c r="B112" s="1858"/>
      <c r="C112" s="508"/>
      <c r="D112" s="508">
        <v>0</v>
      </c>
      <c r="E112" s="510"/>
      <c r="F112" s="510"/>
      <c r="G112" s="510"/>
      <c r="H112" s="510"/>
      <c r="I112" s="510"/>
      <c r="J112" s="510"/>
      <c r="K112" s="510"/>
      <c r="L112" s="510"/>
      <c r="M112" s="510"/>
      <c r="N112" s="510"/>
      <c r="O112" s="510"/>
      <c r="P112" s="510"/>
      <c r="Q112" s="510"/>
      <c r="R112" s="510"/>
      <c r="S112" s="510"/>
      <c r="T112" s="1862"/>
      <c r="U112" s="508"/>
      <c r="V112" s="548" t="s">
        <v>1715</v>
      </c>
      <c r="W112" s="548" t="s">
        <v>1716</v>
      </c>
      <c r="X112" s="50">
        <v>1</v>
      </c>
      <c r="Y112" s="83">
        <v>1</v>
      </c>
      <c r="Z112" s="83"/>
      <c r="AA112" s="83"/>
      <c r="AB112" s="54">
        <v>1</v>
      </c>
      <c r="AC112" s="122"/>
      <c r="AD112" s="1022"/>
      <c r="AE112" s="61">
        <v>1</v>
      </c>
      <c r="AF112" s="61">
        <v>1</v>
      </c>
      <c r="AG112" s="50"/>
      <c r="AH112" s="50">
        <v>1</v>
      </c>
      <c r="AI112" s="535"/>
      <c r="AJ112" s="50">
        <f>+AH112</f>
        <v>1</v>
      </c>
      <c r="AK112" s="54">
        <f>+AJ112/Y112</f>
        <v>1</v>
      </c>
      <c r="AL112" s="50">
        <f>+AJ112</f>
        <v>1</v>
      </c>
      <c r="AM112" s="54">
        <v>1</v>
      </c>
      <c r="AN112" s="83"/>
      <c r="AO112" s="50">
        <v>0</v>
      </c>
      <c r="AP112" s="517"/>
      <c r="AQ112" s="50">
        <v>0</v>
      </c>
      <c r="AR112" s="517"/>
      <c r="AS112" s="50">
        <v>0</v>
      </c>
      <c r="AT112" s="517"/>
      <c r="AU112" s="50">
        <v>0</v>
      </c>
      <c r="AV112" s="517"/>
      <c r="AW112" s="174">
        <f t="shared" si="2"/>
        <v>0</v>
      </c>
      <c r="AX112" s="54">
        <v>0</v>
      </c>
      <c r="AY112" s="50">
        <f t="shared" si="3"/>
        <v>1</v>
      </c>
      <c r="AZ112" s="537">
        <v>1</v>
      </c>
      <c r="BA112" s="50"/>
      <c r="BB112" s="50"/>
      <c r="BC112" s="50"/>
      <c r="BD112" s="50"/>
      <c r="BE112" s="50"/>
      <c r="BF112" s="50"/>
      <c r="BG112" s="50"/>
      <c r="BH112" s="50"/>
      <c r="BI112" s="50"/>
      <c r="BJ112" s="50"/>
      <c r="BK112" s="50"/>
      <c r="BL112" s="50"/>
      <c r="BM112" s="54">
        <f>AZ112</f>
        <v>1</v>
      </c>
      <c r="BN112" s="517"/>
      <c r="BO112" s="517"/>
      <c r="BP112" s="517"/>
      <c r="BQ112" s="517"/>
      <c r="BR112" s="517"/>
      <c r="BS112" s="517"/>
      <c r="BT112" s="517"/>
      <c r="BU112" s="517"/>
      <c r="BV112" s="517"/>
      <c r="BW112" s="517"/>
      <c r="BX112" s="517"/>
      <c r="BY112" s="517"/>
      <c r="BZ112" s="517"/>
      <c r="CA112" s="517"/>
      <c r="CB112" s="517"/>
      <c r="CC112" s="517"/>
      <c r="CD112" s="517"/>
      <c r="CE112" s="517"/>
      <c r="CF112" s="517"/>
      <c r="CG112" s="517"/>
      <c r="CH112" s="517"/>
      <c r="CI112" s="517"/>
      <c r="CJ112" s="517"/>
      <c r="CK112" s="517"/>
      <c r="CL112" s="517"/>
      <c r="CM112" s="517"/>
      <c r="CN112" s="517"/>
      <c r="CO112" s="517"/>
      <c r="CP112" s="517"/>
      <c r="CQ112" s="517"/>
      <c r="CR112" s="517"/>
      <c r="CS112" s="517"/>
      <c r="CT112" s="517"/>
      <c r="CU112" s="517"/>
      <c r="CV112" s="517"/>
      <c r="CW112" s="517"/>
      <c r="CX112" s="517"/>
    </row>
    <row r="113" spans="1:102" ht="33.75" customHeight="1" x14ac:dyDescent="0.2">
      <c r="A113" s="1856"/>
      <c r="B113" s="1858"/>
      <c r="C113" s="508"/>
      <c r="D113" s="508">
        <v>0</v>
      </c>
      <c r="E113" s="510"/>
      <c r="F113" s="510"/>
      <c r="G113" s="510"/>
      <c r="H113" s="510"/>
      <c r="I113" s="510"/>
      <c r="J113" s="510"/>
      <c r="K113" s="510"/>
      <c r="L113" s="510"/>
      <c r="M113" s="510"/>
      <c r="N113" s="510"/>
      <c r="O113" s="510"/>
      <c r="P113" s="510"/>
      <c r="Q113" s="510"/>
      <c r="R113" s="510"/>
      <c r="S113" s="510"/>
      <c r="T113" s="1862"/>
      <c r="U113" s="508"/>
      <c r="V113" s="548" t="s">
        <v>1715</v>
      </c>
      <c r="W113" s="548" t="s">
        <v>1717</v>
      </c>
      <c r="X113" s="50">
        <v>1</v>
      </c>
      <c r="Y113" s="83">
        <v>0.15</v>
      </c>
      <c r="Z113" s="83">
        <v>0.85</v>
      </c>
      <c r="AA113" s="83">
        <v>0.3</v>
      </c>
      <c r="AB113" s="54">
        <f>+Y113</f>
        <v>0.15</v>
      </c>
      <c r="AC113" s="122">
        <v>0.85</v>
      </c>
      <c r="AD113" s="1021" t="s">
        <v>1344</v>
      </c>
      <c r="AE113" s="61">
        <v>7.4999999999999997E-2</v>
      </c>
      <c r="AF113" s="61">
        <v>0.05</v>
      </c>
      <c r="AG113" s="50"/>
      <c r="AH113" s="50">
        <v>1</v>
      </c>
      <c r="AI113" s="535"/>
      <c r="AJ113" s="50">
        <v>0.15</v>
      </c>
      <c r="AK113" s="54">
        <v>1</v>
      </c>
      <c r="AL113" s="50">
        <f>+AJ113</f>
        <v>0.15</v>
      </c>
      <c r="AM113" s="54">
        <f>+AL113/X113</f>
        <v>0.15</v>
      </c>
      <c r="AN113" s="83">
        <v>1</v>
      </c>
      <c r="AO113" s="50">
        <v>0</v>
      </c>
      <c r="AP113" s="517"/>
      <c r="AQ113" s="50">
        <v>0.05</v>
      </c>
      <c r="AR113" s="517"/>
      <c r="AS113" s="50">
        <v>0</v>
      </c>
      <c r="AT113" s="517"/>
      <c r="AU113" s="50">
        <v>0</v>
      </c>
      <c r="AV113" s="517"/>
      <c r="AW113" s="174">
        <f t="shared" si="2"/>
        <v>0.05</v>
      </c>
      <c r="AX113" s="54">
        <f>+AQ113</f>
        <v>0.05</v>
      </c>
      <c r="AY113" s="54">
        <f>+AX113+AM113</f>
        <v>0.2</v>
      </c>
      <c r="AZ113" s="537">
        <f>+AY113/X113</f>
        <v>0.2</v>
      </c>
      <c r="BA113" s="50">
        <v>0.3</v>
      </c>
      <c r="BB113" s="50">
        <v>0</v>
      </c>
      <c r="BC113" s="50"/>
      <c r="BD113" s="50">
        <v>0</v>
      </c>
      <c r="BE113" s="50"/>
      <c r="BF113" s="50">
        <v>0.05</v>
      </c>
      <c r="BG113" s="50"/>
      <c r="BH113" s="50">
        <v>0</v>
      </c>
      <c r="BI113" s="50"/>
      <c r="BJ113" s="50">
        <f>+BF113</f>
        <v>0.05</v>
      </c>
      <c r="BK113" s="57">
        <f>BJ113/BA113</f>
        <v>0.16666666666666669</v>
      </c>
      <c r="BL113" s="57">
        <f>+BJ113+AY113</f>
        <v>0.25</v>
      </c>
      <c r="BM113" s="57">
        <f>BL113/X113</f>
        <v>0.25</v>
      </c>
      <c r="BN113" s="517"/>
      <c r="BO113" s="517"/>
      <c r="BP113" s="517"/>
      <c r="BQ113" s="517"/>
      <c r="BR113" s="517"/>
      <c r="BS113" s="517"/>
      <c r="BT113" s="517"/>
      <c r="BU113" s="517"/>
      <c r="BV113" s="517"/>
      <c r="BW113" s="517"/>
      <c r="BX113" s="517"/>
      <c r="BY113" s="517"/>
      <c r="BZ113" s="517"/>
      <c r="CA113" s="517"/>
      <c r="CB113" s="517"/>
      <c r="CC113" s="517"/>
      <c r="CD113" s="517"/>
      <c r="CE113" s="517"/>
      <c r="CF113" s="517"/>
      <c r="CG113" s="517"/>
      <c r="CH113" s="517"/>
      <c r="CI113" s="517"/>
      <c r="CJ113" s="517"/>
      <c r="CK113" s="517"/>
      <c r="CL113" s="517"/>
      <c r="CM113" s="517"/>
      <c r="CN113" s="517"/>
      <c r="CO113" s="517"/>
      <c r="CP113" s="517"/>
      <c r="CQ113" s="517"/>
      <c r="CR113" s="517"/>
      <c r="CS113" s="517"/>
      <c r="CT113" s="517"/>
      <c r="CU113" s="517"/>
      <c r="CV113" s="517"/>
      <c r="CW113" s="517"/>
      <c r="CX113" s="517"/>
    </row>
    <row r="114" spans="1:102" ht="40.5" customHeight="1" x14ac:dyDescent="0.2">
      <c r="A114" s="1856"/>
      <c r="B114" s="1858"/>
      <c r="C114" s="508" t="s">
        <v>1718</v>
      </c>
      <c r="D114" s="508" t="s">
        <v>201</v>
      </c>
      <c r="E114" s="510"/>
      <c r="F114" s="510"/>
      <c r="G114" s="510"/>
      <c r="H114" s="510"/>
      <c r="I114" s="510"/>
      <c r="J114" s="510"/>
      <c r="K114" s="510"/>
      <c r="L114" s="510"/>
      <c r="M114" s="510"/>
      <c r="N114" s="510"/>
      <c r="O114" s="510"/>
      <c r="P114" s="510"/>
      <c r="Q114" s="510"/>
      <c r="R114" s="510"/>
      <c r="S114" s="510"/>
      <c r="T114" s="1862"/>
      <c r="U114" s="508" t="s">
        <v>1719</v>
      </c>
      <c r="V114" s="548" t="s">
        <v>1720</v>
      </c>
      <c r="W114" s="548" t="s">
        <v>1721</v>
      </c>
      <c r="X114" s="50">
        <v>82059</v>
      </c>
      <c r="Y114" s="83">
        <v>8000</v>
      </c>
      <c r="Z114" s="83">
        <v>20000</v>
      </c>
      <c r="AA114" s="83">
        <v>15000</v>
      </c>
      <c r="AB114" s="54">
        <f>+Y114/X114</f>
        <v>9.7490829768824866E-2</v>
      </c>
      <c r="AC114" s="122">
        <f>+Z114/X114</f>
        <v>0.24372707442206218</v>
      </c>
      <c r="AD114" s="1022">
        <f>AA114/X114</f>
        <v>0.18279530581654663</v>
      </c>
      <c r="AE114" s="83">
        <v>2100</v>
      </c>
      <c r="AF114" s="83">
        <v>1050</v>
      </c>
      <c r="AG114" s="50"/>
      <c r="AH114" s="50">
        <v>7750</v>
      </c>
      <c r="AI114" s="535"/>
      <c r="AJ114" s="50">
        <f>+AH114</f>
        <v>7750</v>
      </c>
      <c r="AK114" s="54">
        <f>+AJ114/Y114</f>
        <v>0.96875</v>
      </c>
      <c r="AL114" s="50">
        <f>+AJ114</f>
        <v>7750</v>
      </c>
      <c r="AM114" s="54">
        <f>+AL114/X114</f>
        <v>9.444424133854909E-2</v>
      </c>
      <c r="AN114" s="83">
        <v>20000</v>
      </c>
      <c r="AO114" s="50">
        <v>6000</v>
      </c>
      <c r="AP114" s="517"/>
      <c r="AQ114" s="50">
        <v>5884</v>
      </c>
      <c r="AR114" s="517"/>
      <c r="AS114" s="50">
        <v>584</v>
      </c>
      <c r="AT114" s="517"/>
      <c r="AU114" s="50">
        <v>7704</v>
      </c>
      <c r="AV114" s="517"/>
      <c r="AW114" s="174">
        <f t="shared" si="2"/>
        <v>20172</v>
      </c>
      <c r="AX114" s="54">
        <f>+AW114/AN114</f>
        <v>1.0085999999999999</v>
      </c>
      <c r="AY114" s="50">
        <f>+AW114+AL114</f>
        <v>27922</v>
      </c>
      <c r="AZ114" s="537">
        <f>+AY114/X114</f>
        <v>0.340267368600641</v>
      </c>
      <c r="BA114" s="50">
        <v>15000</v>
      </c>
      <c r="BB114" s="50">
        <v>11278</v>
      </c>
      <c r="BC114" s="50"/>
      <c r="BD114" s="1164">
        <v>17741</v>
      </c>
      <c r="BE114" s="50"/>
      <c r="BF114" s="50">
        <v>0</v>
      </c>
      <c r="BG114" s="1418"/>
      <c r="BH114" s="50">
        <v>0</v>
      </c>
      <c r="BI114" s="50"/>
      <c r="BJ114" s="50">
        <f>BB114+BD114+BF114</f>
        <v>29019</v>
      </c>
      <c r="BK114" s="57">
        <v>1</v>
      </c>
      <c r="BL114" s="83">
        <f>BJ114+AY114</f>
        <v>56941</v>
      </c>
      <c r="BM114" s="57">
        <f>BL114/X114</f>
        <v>0.69390316723333212</v>
      </c>
      <c r="BN114" s="517"/>
      <c r="BO114" s="517"/>
      <c r="BP114" s="517"/>
      <c r="BQ114" s="517"/>
      <c r="BR114" s="517"/>
      <c r="BS114" s="517"/>
      <c r="BT114" s="517"/>
      <c r="BU114" s="517"/>
      <c r="BV114" s="517"/>
      <c r="BW114" s="517"/>
      <c r="BX114" s="517"/>
      <c r="BY114" s="517"/>
      <c r="BZ114" s="517"/>
      <c r="CA114" s="517"/>
      <c r="CB114" s="517"/>
      <c r="CC114" s="517"/>
      <c r="CD114" s="517"/>
      <c r="CE114" s="517"/>
      <c r="CF114" s="517"/>
      <c r="CG114" s="517"/>
      <c r="CH114" s="517"/>
      <c r="CI114" s="517"/>
      <c r="CJ114" s="517"/>
      <c r="CK114" s="517"/>
      <c r="CL114" s="517"/>
      <c r="CM114" s="517"/>
      <c r="CN114" s="517"/>
      <c r="CO114" s="517"/>
      <c r="CP114" s="517"/>
      <c r="CQ114" s="517"/>
      <c r="CR114" s="517"/>
      <c r="CS114" s="517"/>
      <c r="CT114" s="517"/>
      <c r="CU114" s="517"/>
      <c r="CV114" s="517"/>
      <c r="CW114" s="517"/>
      <c r="CX114" s="517"/>
    </row>
    <row r="115" spans="1:102" ht="72" customHeight="1" x14ac:dyDescent="0.2">
      <c r="A115" s="1856"/>
      <c r="B115" s="1858"/>
      <c r="C115" s="508"/>
      <c r="D115" s="508">
        <v>0</v>
      </c>
      <c r="E115" s="510"/>
      <c r="F115" s="510"/>
      <c r="G115" s="510"/>
      <c r="H115" s="510"/>
      <c r="I115" s="510"/>
      <c r="J115" s="510"/>
      <c r="K115" s="510"/>
      <c r="L115" s="510"/>
      <c r="M115" s="510"/>
      <c r="N115" s="510"/>
      <c r="O115" s="510"/>
      <c r="P115" s="510"/>
      <c r="Q115" s="510"/>
      <c r="R115" s="510"/>
      <c r="S115" s="510"/>
      <c r="T115" s="1862"/>
      <c r="U115" s="508"/>
      <c r="V115" s="548" t="s">
        <v>1722</v>
      </c>
      <c r="W115" s="548" t="s">
        <v>1723</v>
      </c>
      <c r="X115" s="50">
        <v>1</v>
      </c>
      <c r="Y115" s="50" t="s">
        <v>177</v>
      </c>
      <c r="Z115" s="50"/>
      <c r="AA115" s="50">
        <v>1</v>
      </c>
      <c r="AB115" s="50"/>
      <c r="AC115" s="122"/>
      <c r="AD115" s="1022"/>
      <c r="AE115" s="50"/>
      <c r="AF115" s="50"/>
      <c r="AG115" s="50"/>
      <c r="AH115" s="50"/>
      <c r="AI115" s="535"/>
      <c r="AJ115" s="50"/>
      <c r="AK115" s="50"/>
      <c r="AL115" s="50"/>
      <c r="AM115" s="50"/>
      <c r="AN115" s="50"/>
      <c r="AO115" s="50">
        <v>0</v>
      </c>
      <c r="AP115" s="517"/>
      <c r="AQ115" s="50">
        <v>0.15</v>
      </c>
      <c r="AR115" s="517"/>
      <c r="AS115" s="50">
        <v>0</v>
      </c>
      <c r="AT115" s="517"/>
      <c r="AU115" s="50">
        <v>0</v>
      </c>
      <c r="AV115" s="517"/>
      <c r="AW115" s="174">
        <f t="shared" si="2"/>
        <v>0.15</v>
      </c>
      <c r="AX115" s="54">
        <v>1</v>
      </c>
      <c r="AY115" s="50">
        <f>+AW115+AL115</f>
        <v>0.15</v>
      </c>
      <c r="AZ115" s="537">
        <f>+AY115</f>
        <v>0.15</v>
      </c>
      <c r="BA115" s="50">
        <v>1</v>
      </c>
      <c r="BB115" s="50">
        <v>0.15</v>
      </c>
      <c r="BC115" s="50"/>
      <c r="BD115" s="50">
        <v>0.15</v>
      </c>
      <c r="BE115" s="50"/>
      <c r="BF115" s="50">
        <v>0.2</v>
      </c>
      <c r="BG115" s="61"/>
      <c r="BH115" s="50">
        <v>0.15</v>
      </c>
      <c r="BI115" s="50"/>
      <c r="BJ115" s="50">
        <f>BB115+BD115+BF115+BH115</f>
        <v>0.65</v>
      </c>
      <c r="BK115" s="57">
        <f>BJ115/BA115</f>
        <v>0.65</v>
      </c>
      <c r="BL115" s="57">
        <f>BK115+AY115</f>
        <v>0.8</v>
      </c>
      <c r="BM115" s="57">
        <f>BL115/X115</f>
        <v>0.8</v>
      </c>
      <c r="BN115" s="517"/>
      <c r="BO115" s="517"/>
      <c r="BP115" s="517"/>
      <c r="BQ115" s="517"/>
      <c r="BR115" s="517"/>
      <c r="BS115" s="517"/>
      <c r="BT115" s="517"/>
      <c r="BU115" s="517"/>
      <c r="BV115" s="517"/>
      <c r="BW115" s="517"/>
      <c r="BX115" s="517"/>
      <c r="BY115" s="517"/>
      <c r="BZ115" s="517"/>
      <c r="CA115" s="517"/>
      <c r="CB115" s="517"/>
      <c r="CC115" s="517"/>
      <c r="CD115" s="517"/>
      <c r="CE115" s="517"/>
      <c r="CF115" s="517"/>
      <c r="CG115" s="517"/>
      <c r="CH115" s="517"/>
      <c r="CI115" s="517"/>
      <c r="CJ115" s="517"/>
      <c r="CK115" s="517"/>
      <c r="CL115" s="517"/>
      <c r="CM115" s="517"/>
      <c r="CN115" s="517"/>
      <c r="CO115" s="517"/>
      <c r="CP115" s="517"/>
      <c r="CQ115" s="517"/>
      <c r="CR115" s="517"/>
      <c r="CS115" s="517"/>
      <c r="CT115" s="517"/>
      <c r="CU115" s="517"/>
      <c r="CV115" s="517"/>
      <c r="CW115" s="517"/>
      <c r="CX115" s="517"/>
    </row>
    <row r="116" spans="1:102" ht="42" customHeight="1" x14ac:dyDescent="0.2">
      <c r="A116" s="1856"/>
      <c r="B116" s="1858"/>
      <c r="C116" s="508"/>
      <c r="D116" s="508"/>
      <c r="E116" s="510"/>
      <c r="F116" s="510"/>
      <c r="G116" s="510"/>
      <c r="H116" s="510"/>
      <c r="I116" s="510"/>
      <c r="J116" s="510"/>
      <c r="K116" s="510"/>
      <c r="L116" s="510"/>
      <c r="M116" s="510"/>
      <c r="N116" s="510"/>
      <c r="O116" s="510"/>
      <c r="P116" s="510"/>
      <c r="Q116" s="510"/>
      <c r="R116" s="510"/>
      <c r="S116" s="510"/>
      <c r="T116" s="1862"/>
      <c r="U116" s="508"/>
      <c r="V116" s="548">
        <v>0</v>
      </c>
      <c r="W116" s="548" t="s">
        <v>1724</v>
      </c>
      <c r="X116" s="50">
        <v>1</v>
      </c>
      <c r="Y116" s="50" t="s">
        <v>177</v>
      </c>
      <c r="Z116" s="50">
        <v>1</v>
      </c>
      <c r="AA116" s="50">
        <v>0.3</v>
      </c>
      <c r="AB116" s="50"/>
      <c r="AC116" s="122">
        <f>+Z116/X116</f>
        <v>1</v>
      </c>
      <c r="AD116" s="1022">
        <v>0.3</v>
      </c>
      <c r="AE116" s="50"/>
      <c r="AF116" s="50"/>
      <c r="AG116" s="50"/>
      <c r="AH116" s="50"/>
      <c r="AI116" s="535"/>
      <c r="AJ116" s="50"/>
      <c r="AK116" s="50"/>
      <c r="AL116" s="50"/>
      <c r="AM116" s="50"/>
      <c r="AN116" s="50">
        <v>1</v>
      </c>
      <c r="AO116" s="50">
        <v>0</v>
      </c>
      <c r="AP116" s="517"/>
      <c r="AQ116" s="50">
        <v>0</v>
      </c>
      <c r="AR116" s="517"/>
      <c r="AS116" s="50">
        <v>0</v>
      </c>
      <c r="AT116" s="517"/>
      <c r="AU116" s="50">
        <v>0</v>
      </c>
      <c r="AV116" s="517"/>
      <c r="AW116" s="174">
        <f t="shared" si="2"/>
        <v>0</v>
      </c>
      <c r="AX116" s="54">
        <f>+AW116/AN116</f>
        <v>0</v>
      </c>
      <c r="AY116" s="50">
        <f>+AW116+AL116</f>
        <v>0</v>
      </c>
      <c r="AZ116" s="537">
        <f>+AY116/X116</f>
        <v>0</v>
      </c>
      <c r="BA116" s="54">
        <v>0.3</v>
      </c>
      <c r="BB116" s="50">
        <v>0</v>
      </c>
      <c r="BC116" s="50"/>
      <c r="BD116" s="50"/>
      <c r="BE116" s="50"/>
      <c r="BF116" s="50">
        <v>0.1</v>
      </c>
      <c r="BG116" s="61"/>
      <c r="BH116" s="50">
        <v>0</v>
      </c>
      <c r="BI116" s="50"/>
      <c r="BJ116" s="50">
        <f>+BF116</f>
        <v>0.1</v>
      </c>
      <c r="BK116" s="57">
        <v>0.3</v>
      </c>
      <c r="BL116" s="57">
        <f>+BJ116</f>
        <v>0.1</v>
      </c>
      <c r="BM116" s="57">
        <f>BL116/X116</f>
        <v>0.1</v>
      </c>
      <c r="BN116" s="517"/>
      <c r="BO116" s="517"/>
      <c r="BP116" s="517"/>
      <c r="BQ116" s="517"/>
      <c r="BR116" s="517"/>
      <c r="BS116" s="517"/>
      <c r="BT116" s="517"/>
      <c r="BU116" s="517"/>
      <c r="BV116" s="517"/>
      <c r="BW116" s="517"/>
      <c r="BX116" s="517"/>
      <c r="BY116" s="517"/>
      <c r="BZ116" s="517"/>
      <c r="CA116" s="517"/>
      <c r="CB116" s="517"/>
      <c r="CC116" s="517"/>
      <c r="CD116" s="517"/>
      <c r="CE116" s="517"/>
      <c r="CF116" s="517"/>
      <c r="CG116" s="517"/>
      <c r="CH116" s="517"/>
      <c r="CI116" s="517"/>
      <c r="CJ116" s="517"/>
      <c r="CK116" s="517"/>
      <c r="CL116" s="517"/>
      <c r="CM116" s="517"/>
      <c r="CN116" s="517"/>
      <c r="CO116" s="517"/>
      <c r="CP116" s="517"/>
      <c r="CQ116" s="517"/>
      <c r="CR116" s="517"/>
      <c r="CS116" s="517"/>
      <c r="CT116" s="517"/>
      <c r="CU116" s="517"/>
      <c r="CV116" s="517"/>
      <c r="CW116" s="517"/>
      <c r="CX116" s="517"/>
    </row>
    <row r="117" spans="1:102" ht="21.75" customHeight="1" x14ac:dyDescent="0.2">
      <c r="A117" s="1856"/>
      <c r="B117" s="1858"/>
      <c r="C117" s="508"/>
      <c r="D117" s="508"/>
      <c r="E117" s="510"/>
      <c r="F117" s="510"/>
      <c r="G117" s="510"/>
      <c r="H117" s="510"/>
      <c r="I117" s="510"/>
      <c r="J117" s="510"/>
      <c r="K117" s="510"/>
      <c r="L117" s="510"/>
      <c r="M117" s="510"/>
      <c r="N117" s="510"/>
      <c r="O117" s="510"/>
      <c r="P117" s="510"/>
      <c r="Q117" s="510"/>
      <c r="R117" s="510"/>
      <c r="S117" s="510"/>
      <c r="T117" s="1854"/>
      <c r="U117" s="85"/>
      <c r="V117" s="85"/>
      <c r="W117" s="85"/>
      <c r="X117" s="72"/>
      <c r="Y117" s="72"/>
      <c r="Z117" s="72"/>
      <c r="AA117" s="72"/>
      <c r="AB117" s="86">
        <f>+(AVERAGE(AB106:AB116))</f>
        <v>0.35577985617651181</v>
      </c>
      <c r="AC117" s="86">
        <f>AVERAGE(AC106:AC116)</f>
        <v>0.42643033549938514</v>
      </c>
      <c r="AD117" s="1018">
        <f>AVERAGE(AD106:AD116)</f>
        <v>0.27356685138627818</v>
      </c>
      <c r="AE117" s="72"/>
      <c r="AF117" s="72"/>
      <c r="AG117" s="72"/>
      <c r="AH117" s="72"/>
      <c r="AI117" s="535"/>
      <c r="AJ117" s="72"/>
      <c r="AK117" s="86">
        <f>AVERAGE(AK106:AK116)</f>
        <v>0.79410714285714279</v>
      </c>
      <c r="AL117" s="97"/>
      <c r="AM117" s="86">
        <f>AVERAGE(AM106:AM116)</f>
        <v>0.33649744288044359</v>
      </c>
      <c r="AN117" s="72"/>
      <c r="AO117" s="72"/>
      <c r="AP117" s="517"/>
      <c r="AQ117" s="50"/>
      <c r="AR117" s="517"/>
      <c r="AS117" s="510"/>
      <c r="AT117" s="517"/>
      <c r="AU117" s="528"/>
      <c r="AV117" s="517"/>
      <c r="AW117" s="72"/>
      <c r="AX117" s="86">
        <f>AVERAGE(AX106:AX116)</f>
        <v>0.60586000000000007</v>
      </c>
      <c r="AY117" s="72"/>
      <c r="AZ117" s="530">
        <f>AVERAGE(AZ106:AZ116)</f>
        <v>0.40158507084954193</v>
      </c>
      <c r="BA117" s="668"/>
      <c r="BB117" s="668"/>
      <c r="BC117" s="668"/>
      <c r="BD117" s="668"/>
      <c r="BE117" s="668"/>
      <c r="BF117" s="668"/>
      <c r="BG117" s="668"/>
      <c r="BH117" s="668"/>
      <c r="BI117" s="668"/>
      <c r="BJ117" s="668"/>
      <c r="BK117" s="542">
        <f>AVERAGE(BK106:BK116)</f>
        <v>0.63731249999999995</v>
      </c>
      <c r="BL117" s="530"/>
      <c r="BM117" s="542">
        <f>AVERAGE(BM106:BM116)</f>
        <v>0.62901864496929294</v>
      </c>
      <c r="BN117" s="517"/>
      <c r="BO117" s="517"/>
      <c r="BP117" s="517"/>
      <c r="BQ117" s="517"/>
      <c r="BR117" s="517"/>
      <c r="BS117" s="517"/>
      <c r="BT117" s="517"/>
      <c r="BU117" s="517"/>
      <c r="BV117" s="517"/>
      <c r="BW117" s="517"/>
      <c r="BX117" s="517"/>
      <c r="BY117" s="517"/>
      <c r="BZ117" s="517"/>
      <c r="CA117" s="517"/>
      <c r="CB117" s="517"/>
      <c r="CC117" s="517"/>
      <c r="CD117" s="517"/>
      <c r="CE117" s="517"/>
      <c r="CF117" s="517"/>
      <c r="CG117" s="517"/>
      <c r="CH117" s="517"/>
      <c r="CI117" s="517"/>
      <c r="CJ117" s="517"/>
      <c r="CK117" s="517"/>
      <c r="CL117" s="517"/>
      <c r="CM117" s="517"/>
      <c r="CN117" s="517"/>
      <c r="CO117" s="517"/>
      <c r="CP117" s="517"/>
      <c r="CQ117" s="517"/>
      <c r="CR117" s="517"/>
      <c r="CS117" s="517"/>
      <c r="CT117" s="517"/>
      <c r="CU117" s="517"/>
      <c r="CV117" s="517"/>
      <c r="CW117" s="517"/>
      <c r="CX117" s="517"/>
    </row>
    <row r="118" spans="1:102" ht="42" customHeight="1" x14ac:dyDescent="0.2">
      <c r="A118" s="1856"/>
      <c r="B118" s="1858"/>
      <c r="C118" s="508" t="s">
        <v>1725</v>
      </c>
      <c r="D118" s="508" t="s">
        <v>1726</v>
      </c>
      <c r="E118" s="510"/>
      <c r="F118" s="510"/>
      <c r="G118" s="510"/>
      <c r="H118" s="510"/>
      <c r="I118" s="510"/>
      <c r="J118" s="510"/>
      <c r="K118" s="510"/>
      <c r="L118" s="510"/>
      <c r="M118" s="510"/>
      <c r="N118" s="510"/>
      <c r="O118" s="510"/>
      <c r="P118" s="510"/>
      <c r="Q118" s="510"/>
      <c r="R118" s="510"/>
      <c r="S118" s="510"/>
      <c r="T118" s="1853" t="s">
        <v>1727</v>
      </c>
      <c r="U118" s="519" t="s">
        <v>1728</v>
      </c>
      <c r="V118" s="548" t="s">
        <v>1729</v>
      </c>
      <c r="W118" s="548" t="s">
        <v>1730</v>
      </c>
      <c r="X118" s="50">
        <v>5</v>
      </c>
      <c r="Y118" s="50" t="s">
        <v>177</v>
      </c>
      <c r="Z118" s="50">
        <v>2</v>
      </c>
      <c r="AA118" s="50">
        <v>3</v>
      </c>
      <c r="AB118" s="50"/>
      <c r="AC118" s="54">
        <f>+Z118/X118</f>
        <v>0.4</v>
      </c>
      <c r="AD118" s="54">
        <f>AA118/X118</f>
        <v>0.6</v>
      </c>
      <c r="AE118" s="50"/>
      <c r="AF118" s="50"/>
      <c r="AG118" s="50"/>
      <c r="AH118" s="50"/>
      <c r="AI118" s="535"/>
      <c r="AJ118" s="50"/>
      <c r="AK118" s="50"/>
      <c r="AL118" s="50">
        <v>0.1</v>
      </c>
      <c r="AM118" s="50"/>
      <c r="AN118" s="50">
        <v>2</v>
      </c>
      <c r="AO118" s="57">
        <v>0.05</v>
      </c>
      <c r="AP118" s="526"/>
      <c r="AQ118" s="57">
        <v>0.05</v>
      </c>
      <c r="AR118" s="669"/>
      <c r="AS118" s="54">
        <v>0.25</v>
      </c>
      <c r="AT118" s="527"/>
      <c r="AU118" s="174">
        <v>0</v>
      </c>
      <c r="AV118" s="510"/>
      <c r="AW118" s="54">
        <f>+AO118+AQ118+AS118</f>
        <v>0.35</v>
      </c>
      <c r="AX118" s="57">
        <f>AW118/AN118</f>
        <v>0.17499999999999999</v>
      </c>
      <c r="AY118" s="57">
        <f>AW118+AL118</f>
        <v>0.44999999999999996</v>
      </c>
      <c r="AZ118" s="1030">
        <f>AY118/X118</f>
        <v>0.09</v>
      </c>
      <c r="BA118" s="1031">
        <v>3</v>
      </c>
      <c r="BB118" s="1031">
        <v>0</v>
      </c>
      <c r="BC118" s="1031"/>
      <c r="BD118" s="1031">
        <v>0</v>
      </c>
      <c r="BE118" s="1031"/>
      <c r="BF118" s="1031">
        <v>0</v>
      </c>
      <c r="BG118" s="1031"/>
      <c r="BH118" s="1031">
        <v>0.7</v>
      </c>
      <c r="BI118" s="1031"/>
      <c r="BJ118" s="1031">
        <f>+BH118</f>
        <v>0.7</v>
      </c>
      <c r="BK118" s="1032">
        <f>BJ118/BA118</f>
        <v>0.23333333333333331</v>
      </c>
      <c r="BL118" s="1032">
        <f>+BK118</f>
        <v>0.23333333333333331</v>
      </c>
      <c r="BM118" s="1032">
        <f>+BK118</f>
        <v>0.23333333333333331</v>
      </c>
      <c r="BN118" s="517"/>
      <c r="BO118" s="517"/>
      <c r="BP118" s="517"/>
      <c r="BQ118" s="517"/>
      <c r="BR118" s="517"/>
      <c r="BS118" s="517"/>
      <c r="BT118" s="517"/>
      <c r="BU118" s="517"/>
      <c r="BV118" s="517"/>
      <c r="BW118" s="517"/>
      <c r="BX118" s="517"/>
      <c r="BY118" s="517"/>
      <c r="BZ118" s="517"/>
      <c r="CA118" s="517"/>
      <c r="CB118" s="517"/>
      <c r="CC118" s="517"/>
      <c r="CD118" s="517"/>
      <c r="CE118" s="517"/>
      <c r="CF118" s="517"/>
      <c r="CG118" s="517"/>
      <c r="CH118" s="517"/>
      <c r="CI118" s="517"/>
      <c r="CJ118" s="517"/>
      <c r="CK118" s="517"/>
      <c r="CL118" s="517"/>
      <c r="CM118" s="517"/>
      <c r="CN118" s="517"/>
      <c r="CO118" s="517"/>
      <c r="CP118" s="517"/>
      <c r="CQ118" s="517"/>
      <c r="CR118" s="517"/>
      <c r="CS118" s="517"/>
      <c r="CT118" s="517"/>
      <c r="CU118" s="517"/>
      <c r="CV118" s="517"/>
      <c r="CW118" s="517"/>
      <c r="CX118" s="517"/>
    </row>
    <row r="119" spans="1:102" ht="63.75" customHeight="1" x14ac:dyDescent="0.2">
      <c r="A119" s="1856"/>
      <c r="B119" s="1858"/>
      <c r="C119" s="508"/>
      <c r="D119" s="508"/>
      <c r="E119" s="510"/>
      <c r="F119" s="510"/>
      <c r="G119" s="510"/>
      <c r="H119" s="510"/>
      <c r="I119" s="510"/>
      <c r="J119" s="510"/>
      <c r="K119" s="510"/>
      <c r="L119" s="510"/>
      <c r="M119" s="510"/>
      <c r="N119" s="510"/>
      <c r="O119" s="510"/>
      <c r="P119" s="510"/>
      <c r="Q119" s="510"/>
      <c r="R119" s="510"/>
      <c r="S119" s="510"/>
      <c r="T119" s="1862"/>
      <c r="U119" s="519" t="s">
        <v>1731</v>
      </c>
      <c r="V119" s="548" t="s">
        <v>1732</v>
      </c>
      <c r="W119" s="548" t="s">
        <v>1733</v>
      </c>
      <c r="X119" s="50">
        <v>21</v>
      </c>
      <c r="Y119" s="50">
        <v>7</v>
      </c>
      <c r="Z119" s="50">
        <v>7</v>
      </c>
      <c r="AA119" s="50">
        <v>21</v>
      </c>
      <c r="AB119" s="54">
        <f>+Y119/X119</f>
        <v>0.33333333333333331</v>
      </c>
      <c r="AC119" s="54">
        <f>+Z119/X119</f>
        <v>0.33333333333333331</v>
      </c>
      <c r="AD119" s="54"/>
      <c r="AE119" s="50">
        <v>4</v>
      </c>
      <c r="AF119" s="50">
        <v>6</v>
      </c>
      <c r="AG119" s="50"/>
      <c r="AH119" s="50">
        <v>7</v>
      </c>
      <c r="AI119" s="535"/>
      <c r="AJ119" s="50">
        <f>+AH119</f>
        <v>7</v>
      </c>
      <c r="AK119" s="54">
        <f>+AJ119/Y119</f>
        <v>1</v>
      </c>
      <c r="AL119" s="50">
        <f>+AJ119</f>
        <v>7</v>
      </c>
      <c r="AM119" s="54">
        <f>+AL119/X119</f>
        <v>0.33333333333333331</v>
      </c>
      <c r="AN119" s="50">
        <v>21</v>
      </c>
      <c r="AO119" s="50">
        <v>21</v>
      </c>
      <c r="AP119" s="535"/>
      <c r="AQ119" s="50">
        <v>21</v>
      </c>
      <c r="AR119" s="670"/>
      <c r="AS119" s="50">
        <v>21</v>
      </c>
      <c r="AT119" s="536"/>
      <c r="AU119" s="50">
        <v>21</v>
      </c>
      <c r="AV119" s="50"/>
      <c r="AW119" s="50">
        <f>AO119</f>
        <v>21</v>
      </c>
      <c r="AX119" s="54">
        <f>AW119/AN119</f>
        <v>1</v>
      </c>
      <c r="AY119" s="50">
        <v>21</v>
      </c>
      <c r="AZ119" s="1033">
        <f>AY119/X119</f>
        <v>1</v>
      </c>
      <c r="BA119" s="1031">
        <v>21</v>
      </c>
      <c r="BB119" s="1031">
        <v>21</v>
      </c>
      <c r="BC119" s="1031"/>
      <c r="BD119" s="1031">
        <v>21</v>
      </c>
      <c r="BE119" s="1031"/>
      <c r="BF119" s="1031">
        <v>21</v>
      </c>
      <c r="BG119" s="1031"/>
      <c r="BH119" s="1031">
        <v>21</v>
      </c>
      <c r="BI119" s="1031"/>
      <c r="BJ119" s="1031">
        <f>BB119</f>
        <v>21</v>
      </c>
      <c r="BK119" s="1032">
        <f>IFERROR(IF((+BJ119/BA119)&gt;100%,100%,(+BJ119/BA119)),"NP")</f>
        <v>1</v>
      </c>
      <c r="BL119" s="1032">
        <f>IFERROR(IF((+AY119+BJ119)&gt;100%,100%,(+AY119+BJ119)),"NP")</f>
        <v>1</v>
      </c>
      <c r="BM119" s="1032">
        <v>1</v>
      </c>
      <c r="BN119" s="517"/>
      <c r="BO119" s="517"/>
      <c r="BP119" s="517"/>
      <c r="BQ119" s="517"/>
      <c r="BR119" s="517"/>
      <c r="BS119" s="517"/>
      <c r="BT119" s="517"/>
      <c r="BU119" s="517"/>
      <c r="BV119" s="517"/>
      <c r="BW119" s="517"/>
      <c r="BX119" s="517"/>
      <c r="BY119" s="517"/>
      <c r="BZ119" s="517"/>
      <c r="CA119" s="517"/>
      <c r="CB119" s="517"/>
      <c r="CC119" s="517"/>
      <c r="CD119" s="517"/>
      <c r="CE119" s="517"/>
      <c r="CF119" s="517"/>
      <c r="CG119" s="517"/>
      <c r="CH119" s="517"/>
      <c r="CI119" s="517"/>
      <c r="CJ119" s="517"/>
      <c r="CK119" s="517"/>
      <c r="CL119" s="517"/>
      <c r="CM119" s="517"/>
      <c r="CN119" s="517"/>
      <c r="CO119" s="517"/>
      <c r="CP119" s="517"/>
      <c r="CQ119" s="517"/>
      <c r="CR119" s="517"/>
      <c r="CS119" s="517"/>
      <c r="CT119" s="517"/>
      <c r="CU119" s="517"/>
      <c r="CV119" s="517"/>
      <c r="CW119" s="517"/>
      <c r="CX119" s="517"/>
    </row>
    <row r="120" spans="1:102" ht="33.75" customHeight="1" x14ac:dyDescent="0.2">
      <c r="A120" s="1856"/>
      <c r="B120" s="1858"/>
      <c r="C120" s="508"/>
      <c r="D120" s="508"/>
      <c r="E120" s="510"/>
      <c r="F120" s="510"/>
      <c r="G120" s="510"/>
      <c r="H120" s="510"/>
      <c r="I120" s="510"/>
      <c r="J120" s="510"/>
      <c r="K120" s="510"/>
      <c r="L120" s="510"/>
      <c r="M120" s="510"/>
      <c r="N120" s="510"/>
      <c r="O120" s="510"/>
      <c r="P120" s="510"/>
      <c r="Q120" s="510"/>
      <c r="R120" s="510"/>
      <c r="S120" s="510"/>
      <c r="T120" s="1862"/>
      <c r="U120" s="519" t="s">
        <v>1734</v>
      </c>
      <c r="V120" s="548" t="s">
        <v>1735</v>
      </c>
      <c r="W120" s="594" t="s">
        <v>1736</v>
      </c>
      <c r="X120" s="50">
        <v>1</v>
      </c>
      <c r="Y120" s="50">
        <v>1</v>
      </c>
      <c r="Z120" s="50" t="s">
        <v>177</v>
      </c>
      <c r="AA120" s="50" t="s">
        <v>177</v>
      </c>
      <c r="AB120" s="54">
        <v>1</v>
      </c>
      <c r="AC120" s="54"/>
      <c r="AD120" s="54"/>
      <c r="AE120" s="50">
        <v>1</v>
      </c>
      <c r="AF120" s="50">
        <v>1</v>
      </c>
      <c r="AG120" s="50"/>
      <c r="AH120" s="50">
        <v>1</v>
      </c>
      <c r="AI120" s="535"/>
      <c r="AJ120" s="50">
        <f>+AH120</f>
        <v>1</v>
      </c>
      <c r="AK120" s="54">
        <f>+AJ120/Y120</f>
        <v>1</v>
      </c>
      <c r="AL120" s="50">
        <f>+AJ120</f>
        <v>1</v>
      </c>
      <c r="AM120" s="54">
        <v>1</v>
      </c>
      <c r="AN120" s="50" t="s">
        <v>177</v>
      </c>
      <c r="AO120" s="510"/>
      <c r="AP120" s="526"/>
      <c r="AQ120" s="50"/>
      <c r="AR120" s="669"/>
      <c r="AS120" s="510"/>
      <c r="AT120" s="527"/>
      <c r="AU120" s="528"/>
      <c r="AV120" s="510"/>
      <c r="AW120" s="510"/>
      <c r="AX120" s="524"/>
      <c r="AY120" s="50"/>
      <c r="AZ120" s="1030">
        <v>1</v>
      </c>
      <c r="BA120" s="1031" t="s">
        <v>177</v>
      </c>
      <c r="BB120" s="1031"/>
      <c r="BC120" s="1031"/>
      <c r="BD120" s="1031"/>
      <c r="BE120" s="1031"/>
      <c r="BF120" s="1031"/>
      <c r="BG120" s="1031"/>
      <c r="BH120" s="1031"/>
      <c r="BI120" s="1031"/>
      <c r="BJ120" s="1031"/>
      <c r="BK120" s="1032">
        <v>1</v>
      </c>
      <c r="BL120" s="1034">
        <v>1</v>
      </c>
      <c r="BM120" s="1032">
        <v>1</v>
      </c>
      <c r="BN120" s="517"/>
      <c r="BO120" s="517"/>
      <c r="BP120" s="517"/>
      <c r="BQ120" s="517"/>
      <c r="BR120" s="517"/>
      <c r="BS120" s="517"/>
      <c r="BT120" s="517"/>
      <c r="BU120" s="517"/>
      <c r="BV120" s="517"/>
      <c r="BW120" s="517"/>
      <c r="BX120" s="517"/>
      <c r="BY120" s="517"/>
      <c r="BZ120" s="517"/>
      <c r="CA120" s="517"/>
      <c r="CB120" s="517"/>
      <c r="CC120" s="517"/>
      <c r="CD120" s="517"/>
      <c r="CE120" s="517"/>
      <c r="CF120" s="517"/>
      <c r="CG120" s="517"/>
      <c r="CH120" s="517"/>
      <c r="CI120" s="517"/>
      <c r="CJ120" s="517"/>
      <c r="CK120" s="517"/>
      <c r="CL120" s="517"/>
      <c r="CM120" s="517"/>
      <c r="CN120" s="517"/>
      <c r="CO120" s="517"/>
      <c r="CP120" s="517"/>
      <c r="CQ120" s="517"/>
      <c r="CR120" s="517"/>
      <c r="CS120" s="517"/>
      <c r="CT120" s="517"/>
      <c r="CU120" s="517"/>
      <c r="CV120" s="517"/>
      <c r="CW120" s="517"/>
      <c r="CX120" s="517"/>
    </row>
    <row r="121" spans="1:102" ht="30" customHeight="1" x14ac:dyDescent="0.2">
      <c r="A121" s="1856"/>
      <c r="B121" s="1858"/>
      <c r="C121" s="508"/>
      <c r="D121" s="508"/>
      <c r="E121" s="510"/>
      <c r="F121" s="510"/>
      <c r="G121" s="510"/>
      <c r="H121" s="510"/>
      <c r="I121" s="510"/>
      <c r="J121" s="510"/>
      <c r="K121" s="510"/>
      <c r="L121" s="510"/>
      <c r="M121" s="510"/>
      <c r="N121" s="510"/>
      <c r="O121" s="510"/>
      <c r="P121" s="510"/>
      <c r="Q121" s="510"/>
      <c r="R121" s="510"/>
      <c r="S121" s="510"/>
      <c r="T121" s="1862"/>
      <c r="U121" s="519"/>
      <c r="V121" s="548" t="s">
        <v>1737</v>
      </c>
      <c r="W121" s="594" t="s">
        <v>1738</v>
      </c>
      <c r="X121" s="50">
        <v>3</v>
      </c>
      <c r="Y121" s="50">
        <v>3</v>
      </c>
      <c r="Z121" s="50" t="s">
        <v>177</v>
      </c>
      <c r="AA121" s="50" t="s">
        <v>177</v>
      </c>
      <c r="AB121" s="54">
        <v>1</v>
      </c>
      <c r="AC121" s="54"/>
      <c r="AD121" s="54"/>
      <c r="AE121" s="50">
        <v>3</v>
      </c>
      <c r="AF121" s="50">
        <v>3</v>
      </c>
      <c r="AG121" s="50"/>
      <c r="AH121" s="50">
        <v>3</v>
      </c>
      <c r="AI121" s="535"/>
      <c r="AJ121" s="50">
        <f>+AH121</f>
        <v>3</v>
      </c>
      <c r="AK121" s="54">
        <f>+AJ121/Y121</f>
        <v>1</v>
      </c>
      <c r="AL121" s="50">
        <f>+AJ121</f>
        <v>3</v>
      </c>
      <c r="AM121" s="54">
        <v>1</v>
      </c>
      <c r="AN121" s="50" t="s">
        <v>177</v>
      </c>
      <c r="AO121" s="510"/>
      <c r="AP121" s="526"/>
      <c r="AQ121" s="50"/>
      <c r="AR121" s="669"/>
      <c r="AS121" s="510"/>
      <c r="AT121" s="527"/>
      <c r="AU121" s="528"/>
      <c r="AV121" s="510"/>
      <c r="AW121" s="661"/>
      <c r="AX121" s="510"/>
      <c r="AY121" s="510"/>
      <c r="AZ121" s="1033">
        <v>1</v>
      </c>
      <c r="BA121" s="1031" t="s">
        <v>177</v>
      </c>
      <c r="BB121" s="1031"/>
      <c r="BC121" s="1031"/>
      <c r="BD121" s="1031"/>
      <c r="BE121" s="1031"/>
      <c r="BF121" s="1031"/>
      <c r="BG121" s="1031"/>
      <c r="BH121" s="1031"/>
      <c r="BI121" s="1031"/>
      <c r="BJ121" s="1031"/>
      <c r="BK121" s="1032">
        <v>1</v>
      </c>
      <c r="BL121" s="1034">
        <v>1</v>
      </c>
      <c r="BM121" s="1032">
        <v>1</v>
      </c>
      <c r="BN121" s="517"/>
      <c r="BO121" s="517"/>
      <c r="BP121" s="517"/>
      <c r="BQ121" s="517"/>
      <c r="BR121" s="517"/>
      <c r="BS121" s="517"/>
      <c r="BT121" s="517"/>
      <c r="BU121" s="517"/>
      <c r="BV121" s="517"/>
      <c r="BW121" s="517"/>
      <c r="BX121" s="517"/>
      <c r="BY121" s="517"/>
      <c r="BZ121" s="517"/>
      <c r="CA121" s="517"/>
      <c r="CB121" s="517"/>
      <c r="CC121" s="517"/>
      <c r="CD121" s="517"/>
      <c r="CE121" s="517"/>
      <c r="CF121" s="517"/>
      <c r="CG121" s="517"/>
      <c r="CH121" s="517"/>
      <c r="CI121" s="517"/>
      <c r="CJ121" s="517"/>
      <c r="CK121" s="517"/>
      <c r="CL121" s="517"/>
      <c r="CM121" s="517"/>
      <c r="CN121" s="517"/>
      <c r="CO121" s="517"/>
      <c r="CP121" s="517"/>
      <c r="CQ121" s="517"/>
      <c r="CR121" s="517"/>
      <c r="CS121" s="517"/>
      <c r="CT121" s="517"/>
      <c r="CU121" s="517"/>
      <c r="CV121" s="517"/>
      <c r="CW121" s="517"/>
      <c r="CX121" s="517"/>
    </row>
    <row r="122" spans="1:102" ht="23.25" customHeight="1" x14ac:dyDescent="0.2">
      <c r="A122" s="1856"/>
      <c r="B122" s="1858"/>
      <c r="C122" s="508"/>
      <c r="D122" s="508"/>
      <c r="E122" s="510"/>
      <c r="F122" s="510"/>
      <c r="G122" s="510"/>
      <c r="H122" s="510"/>
      <c r="I122" s="510"/>
      <c r="J122" s="510"/>
      <c r="K122" s="510"/>
      <c r="L122" s="510"/>
      <c r="M122" s="510"/>
      <c r="N122" s="510"/>
      <c r="O122" s="510"/>
      <c r="P122" s="510"/>
      <c r="Q122" s="510"/>
      <c r="R122" s="510"/>
      <c r="S122" s="510"/>
      <c r="T122" s="1862"/>
      <c r="U122" s="519"/>
      <c r="V122" s="548" t="s">
        <v>1739</v>
      </c>
      <c r="W122" s="594" t="s">
        <v>1740</v>
      </c>
      <c r="X122" s="50">
        <v>7</v>
      </c>
      <c r="Y122" s="50">
        <v>1</v>
      </c>
      <c r="Z122" s="50">
        <v>1</v>
      </c>
      <c r="AA122" s="50">
        <v>4</v>
      </c>
      <c r="AB122" s="54">
        <f>+Y122/X122</f>
        <v>0.14285714285714285</v>
      </c>
      <c r="AC122" s="54">
        <f>+Z122/X122</f>
        <v>0.14285714285714285</v>
      </c>
      <c r="AD122" s="54">
        <f>AA122/X122</f>
        <v>0.5714285714285714</v>
      </c>
      <c r="AE122" s="50">
        <v>0</v>
      </c>
      <c r="AF122" s="54">
        <v>0.9</v>
      </c>
      <c r="AG122" s="50"/>
      <c r="AH122" s="50">
        <v>1</v>
      </c>
      <c r="AI122" s="535"/>
      <c r="AJ122" s="50">
        <f>+AH122</f>
        <v>1</v>
      </c>
      <c r="AK122" s="54">
        <f>+AJ122/Y122</f>
        <v>1</v>
      </c>
      <c r="AL122" s="50">
        <v>1.7</v>
      </c>
      <c r="AM122" s="54">
        <f>+AL122/X122</f>
        <v>0.24285714285714285</v>
      </c>
      <c r="AN122" s="50">
        <v>1</v>
      </c>
      <c r="AO122" s="67">
        <v>0.7</v>
      </c>
      <c r="AP122" s="516"/>
      <c r="AQ122" s="57">
        <v>0</v>
      </c>
      <c r="AR122" s="672"/>
      <c r="AS122" s="67">
        <v>0.7</v>
      </c>
      <c r="AT122" s="673"/>
      <c r="AU122" s="57"/>
      <c r="AV122" s="57"/>
      <c r="AW122" s="88">
        <f>+AO122+AS122</f>
        <v>1.4</v>
      </c>
      <c r="AX122" s="57">
        <v>1</v>
      </c>
      <c r="AY122" s="56">
        <f>+AW122+AL122</f>
        <v>3.0999999999999996</v>
      </c>
      <c r="AZ122" s="1030">
        <f>+AY122/X122</f>
        <v>0.44285714285714278</v>
      </c>
      <c r="BA122" s="1031">
        <v>4</v>
      </c>
      <c r="BB122" s="1031">
        <v>0</v>
      </c>
      <c r="BC122" s="1031"/>
      <c r="BD122" s="1031">
        <v>0</v>
      </c>
      <c r="BE122" s="1031"/>
      <c r="BF122" s="1031">
        <v>0</v>
      </c>
      <c r="BG122" s="1031"/>
      <c r="BH122" s="1031">
        <v>4</v>
      </c>
      <c r="BI122" s="1031"/>
      <c r="BJ122" s="1031">
        <f>+BH122</f>
        <v>4</v>
      </c>
      <c r="BK122" s="1032"/>
      <c r="BL122" s="1035">
        <f>BJ122+AY122</f>
        <v>7.1</v>
      </c>
      <c r="BM122" s="1032">
        <v>0.44</v>
      </c>
      <c r="BN122" s="517"/>
      <c r="BO122" s="517"/>
      <c r="BP122" s="517"/>
      <c r="BQ122" s="517"/>
      <c r="BR122" s="517"/>
      <c r="BS122" s="517"/>
      <c r="BT122" s="517"/>
      <c r="BU122" s="517"/>
      <c r="BV122" s="517"/>
      <c r="BW122" s="517"/>
      <c r="BX122" s="517"/>
      <c r="BY122" s="517"/>
      <c r="BZ122" s="517"/>
      <c r="CA122" s="517"/>
      <c r="CB122" s="517"/>
      <c r="CC122" s="517"/>
      <c r="CD122" s="517"/>
      <c r="CE122" s="517"/>
      <c r="CF122" s="517"/>
      <c r="CG122" s="517"/>
      <c r="CH122" s="517"/>
      <c r="CI122" s="517"/>
      <c r="CJ122" s="517"/>
      <c r="CK122" s="517"/>
      <c r="CL122" s="517"/>
      <c r="CM122" s="517"/>
      <c r="CN122" s="517"/>
      <c r="CO122" s="517"/>
      <c r="CP122" s="517"/>
      <c r="CQ122" s="517"/>
      <c r="CR122" s="517"/>
      <c r="CS122" s="517"/>
      <c r="CT122" s="517"/>
      <c r="CU122" s="517"/>
      <c r="CV122" s="517"/>
      <c r="CW122" s="517"/>
      <c r="CX122" s="517"/>
    </row>
    <row r="123" spans="1:102" ht="26.25" customHeight="1" x14ac:dyDescent="0.2">
      <c r="A123" s="1856"/>
      <c r="B123" s="1858"/>
      <c r="C123" s="508"/>
      <c r="D123" s="508"/>
      <c r="E123" s="510"/>
      <c r="F123" s="510"/>
      <c r="G123" s="510"/>
      <c r="H123" s="510"/>
      <c r="I123" s="510"/>
      <c r="J123" s="510"/>
      <c r="K123" s="510"/>
      <c r="L123" s="510"/>
      <c r="M123" s="510"/>
      <c r="N123" s="510"/>
      <c r="O123" s="510"/>
      <c r="P123" s="510"/>
      <c r="Q123" s="510"/>
      <c r="R123" s="510"/>
      <c r="S123" s="510"/>
      <c r="T123" s="1862"/>
      <c r="U123" s="519"/>
      <c r="V123" s="548" t="s">
        <v>1741</v>
      </c>
      <c r="W123" s="666" t="s">
        <v>1742</v>
      </c>
      <c r="X123" s="50">
        <v>5</v>
      </c>
      <c r="Y123" s="50" t="s">
        <v>177</v>
      </c>
      <c r="Z123" s="50">
        <v>2</v>
      </c>
      <c r="AA123" s="50">
        <v>3</v>
      </c>
      <c r="AB123" s="50"/>
      <c r="AC123" s="54">
        <f>+Z123/X123</f>
        <v>0.4</v>
      </c>
      <c r="AD123" s="54">
        <f>AA123/X123</f>
        <v>0.6</v>
      </c>
      <c r="AE123" s="50"/>
      <c r="AF123" s="50"/>
      <c r="AG123" s="50"/>
      <c r="AH123" s="50"/>
      <c r="AI123" s="535"/>
      <c r="AJ123" s="50"/>
      <c r="AK123" s="54"/>
      <c r="AL123" s="50">
        <v>0.95</v>
      </c>
      <c r="AM123" s="54"/>
      <c r="AN123" s="50">
        <v>2</v>
      </c>
      <c r="AO123" s="57">
        <v>0.05</v>
      </c>
      <c r="AP123" s="535"/>
      <c r="AQ123" s="50">
        <v>0</v>
      </c>
      <c r="AR123" s="670"/>
      <c r="AS123" s="50">
        <v>0</v>
      </c>
      <c r="AT123" s="536"/>
      <c r="AU123" s="50"/>
      <c r="AV123" s="50"/>
      <c r="AW123" s="54">
        <f>+AO123+AQ123</f>
        <v>0.05</v>
      </c>
      <c r="AX123" s="57">
        <f>AW123/AN123</f>
        <v>2.5000000000000001E-2</v>
      </c>
      <c r="AY123" s="67">
        <f>+AW123+AL123</f>
        <v>1</v>
      </c>
      <c r="AZ123" s="1030">
        <f>AY123/X123</f>
        <v>0.2</v>
      </c>
      <c r="BA123" s="1031">
        <v>3</v>
      </c>
      <c r="BB123" s="1031">
        <v>0</v>
      </c>
      <c r="BC123" s="1031"/>
      <c r="BD123" s="1031">
        <v>0</v>
      </c>
      <c r="BE123" s="1031"/>
      <c r="BF123" s="1031">
        <v>0</v>
      </c>
      <c r="BG123" s="1031"/>
      <c r="BH123" s="1031">
        <v>0.7</v>
      </c>
      <c r="BI123" s="1031"/>
      <c r="BJ123" s="1031">
        <f>+BH123</f>
        <v>0.7</v>
      </c>
      <c r="BK123" s="1032">
        <f>IFERROR(IF((+BJ123/BA123)&gt;100%,100%,(+BJ123/BA123)),"NP")</f>
        <v>0.23333333333333331</v>
      </c>
      <c r="BL123" s="1035">
        <f>BJ123+AY123</f>
        <v>1.7</v>
      </c>
      <c r="BM123" s="1032">
        <f>+BL123/5</f>
        <v>0.33999999999999997</v>
      </c>
      <c r="BN123" s="517"/>
      <c r="BO123" s="517"/>
      <c r="BP123" s="517"/>
      <c r="BQ123" s="517"/>
      <c r="BR123" s="517"/>
      <c r="BS123" s="517"/>
      <c r="BT123" s="517"/>
      <c r="BU123" s="517"/>
      <c r="BV123" s="517"/>
      <c r="BW123" s="517"/>
      <c r="BX123" s="517"/>
      <c r="BY123" s="517"/>
      <c r="BZ123" s="517"/>
      <c r="CA123" s="517"/>
      <c r="CB123" s="517"/>
      <c r="CC123" s="517"/>
      <c r="CD123" s="517"/>
      <c r="CE123" s="517"/>
      <c r="CF123" s="517"/>
      <c r="CG123" s="517"/>
      <c r="CH123" s="517"/>
      <c r="CI123" s="517"/>
      <c r="CJ123" s="517"/>
      <c r="CK123" s="517"/>
      <c r="CL123" s="517"/>
      <c r="CM123" s="517"/>
      <c r="CN123" s="517"/>
      <c r="CO123" s="517"/>
      <c r="CP123" s="517"/>
      <c r="CQ123" s="517"/>
      <c r="CR123" s="517"/>
      <c r="CS123" s="517"/>
      <c r="CT123" s="517"/>
      <c r="CU123" s="517"/>
      <c r="CV123" s="517"/>
      <c r="CW123" s="517"/>
      <c r="CX123" s="517"/>
    </row>
    <row r="124" spans="1:102" ht="46.5" customHeight="1" x14ac:dyDescent="0.2">
      <c r="A124" s="1856"/>
      <c r="B124" s="1858"/>
      <c r="C124" s="508"/>
      <c r="D124" s="508"/>
      <c r="E124" s="510"/>
      <c r="F124" s="510"/>
      <c r="G124" s="510"/>
      <c r="H124" s="510"/>
      <c r="I124" s="510"/>
      <c r="J124" s="510"/>
      <c r="K124" s="510"/>
      <c r="L124" s="510"/>
      <c r="M124" s="510"/>
      <c r="N124" s="510"/>
      <c r="O124" s="510"/>
      <c r="P124" s="510"/>
      <c r="Q124" s="510"/>
      <c r="R124" s="510"/>
      <c r="S124" s="510"/>
      <c r="T124" s="1862"/>
      <c r="U124" s="519" t="s">
        <v>1743</v>
      </c>
      <c r="V124" s="548" t="s">
        <v>1744</v>
      </c>
      <c r="W124" s="666" t="s">
        <v>1745</v>
      </c>
      <c r="X124" s="50">
        <f>1*4</f>
        <v>4</v>
      </c>
      <c r="Y124" s="50">
        <v>1</v>
      </c>
      <c r="Z124" s="50">
        <v>1</v>
      </c>
      <c r="AA124" s="50">
        <v>1</v>
      </c>
      <c r="AB124" s="54">
        <v>0.25</v>
      </c>
      <c r="AC124" s="54">
        <f>+Z124/X124</f>
        <v>0.25</v>
      </c>
      <c r="AD124" s="54">
        <f>AA124/X124</f>
        <v>0.25</v>
      </c>
      <c r="AE124" s="50">
        <v>1</v>
      </c>
      <c r="AF124" s="50">
        <v>1</v>
      </c>
      <c r="AG124" s="50"/>
      <c r="AH124" s="50">
        <v>1</v>
      </c>
      <c r="AI124" s="535"/>
      <c r="AJ124" s="50">
        <f>+AH124</f>
        <v>1</v>
      </c>
      <c r="AK124" s="54">
        <f>+AJ124/Y124</f>
        <v>1</v>
      </c>
      <c r="AL124" s="50">
        <f>+AJ124</f>
        <v>1</v>
      </c>
      <c r="AM124" s="54">
        <f>+AL124/X124</f>
        <v>0.25</v>
      </c>
      <c r="AN124" s="50">
        <v>1</v>
      </c>
      <c r="AO124" s="50">
        <v>0</v>
      </c>
      <c r="AP124" s="535"/>
      <c r="AQ124" s="50">
        <v>0</v>
      </c>
      <c r="AR124" s="670"/>
      <c r="AS124" s="50"/>
      <c r="AT124" s="536"/>
      <c r="AU124" s="57">
        <v>0.69799999999999995</v>
      </c>
      <c r="AV124" s="50"/>
      <c r="AW124" s="57">
        <f>+AU124</f>
        <v>0.69799999999999995</v>
      </c>
      <c r="AX124" s="54">
        <f>AW124/AN124</f>
        <v>0.69799999999999995</v>
      </c>
      <c r="AY124" s="57">
        <f>+AW124</f>
        <v>0.69799999999999995</v>
      </c>
      <c r="AZ124" s="1033">
        <f>+AY124</f>
        <v>0.69799999999999995</v>
      </c>
      <c r="BA124" s="1031">
        <v>1</v>
      </c>
      <c r="BB124" s="1031">
        <v>0</v>
      </c>
      <c r="BC124" s="1031"/>
      <c r="BD124" s="1031"/>
      <c r="BE124" s="1031"/>
      <c r="BF124" s="1034">
        <v>0.7</v>
      </c>
      <c r="BG124" s="1031"/>
      <c r="BH124" s="1034">
        <v>0.65</v>
      </c>
      <c r="BI124" s="1031"/>
      <c r="BJ124" s="1034">
        <f>+BH124</f>
        <v>0.65</v>
      </c>
      <c r="BK124" s="1032">
        <v>1</v>
      </c>
      <c r="BL124" s="1032">
        <v>1</v>
      </c>
      <c r="BM124" s="1034">
        <v>0.75</v>
      </c>
      <c r="BN124" s="517"/>
      <c r="BO124" s="517"/>
      <c r="BP124" s="517"/>
      <c r="BQ124" s="517"/>
      <c r="BR124" s="517"/>
      <c r="BS124" s="517"/>
      <c r="BT124" s="517"/>
      <c r="BU124" s="517"/>
      <c r="BV124" s="517"/>
      <c r="BW124" s="517"/>
      <c r="BX124" s="517"/>
      <c r="BY124" s="517"/>
      <c r="BZ124" s="517"/>
      <c r="CA124" s="517"/>
      <c r="CB124" s="517"/>
      <c r="CC124" s="517"/>
      <c r="CD124" s="517"/>
      <c r="CE124" s="517"/>
      <c r="CF124" s="517"/>
      <c r="CG124" s="517"/>
      <c r="CH124" s="517"/>
      <c r="CI124" s="517"/>
      <c r="CJ124" s="517"/>
      <c r="CK124" s="517"/>
      <c r="CL124" s="517"/>
      <c r="CM124" s="517"/>
      <c r="CN124" s="517"/>
      <c r="CO124" s="517"/>
      <c r="CP124" s="517"/>
      <c r="CQ124" s="517"/>
      <c r="CR124" s="517"/>
      <c r="CS124" s="517"/>
      <c r="CT124" s="517"/>
      <c r="CU124" s="517"/>
      <c r="CV124" s="517"/>
      <c r="CW124" s="517"/>
      <c r="CX124" s="517"/>
    </row>
    <row r="125" spans="1:102" ht="42" customHeight="1" x14ac:dyDescent="0.2">
      <c r="A125" s="1856"/>
      <c r="B125" s="1858"/>
      <c r="C125" s="508"/>
      <c r="D125" s="508"/>
      <c r="E125" s="510"/>
      <c r="F125" s="510"/>
      <c r="G125" s="510"/>
      <c r="H125" s="510"/>
      <c r="I125" s="510"/>
      <c r="J125" s="510"/>
      <c r="K125" s="510"/>
      <c r="L125" s="510"/>
      <c r="M125" s="510"/>
      <c r="N125" s="510"/>
      <c r="O125" s="510"/>
      <c r="P125" s="510"/>
      <c r="Q125" s="510"/>
      <c r="R125" s="510"/>
      <c r="S125" s="510"/>
      <c r="T125" s="1862"/>
      <c r="U125" s="519" t="s">
        <v>1746</v>
      </c>
      <c r="V125" s="548" t="s">
        <v>1747</v>
      </c>
      <c r="W125" s="666" t="s">
        <v>1748</v>
      </c>
      <c r="X125" s="50">
        <f>3*4</f>
        <v>12</v>
      </c>
      <c r="Y125" s="50">
        <v>3</v>
      </c>
      <c r="Z125" s="50">
        <v>3</v>
      </c>
      <c r="AA125" s="50">
        <v>3</v>
      </c>
      <c r="AB125" s="54">
        <f>+Y125/X125</f>
        <v>0.25</v>
      </c>
      <c r="AC125" s="54">
        <f>+Z125/X125</f>
        <v>0.25</v>
      </c>
      <c r="AD125" s="54"/>
      <c r="AE125" s="50">
        <v>3</v>
      </c>
      <c r="AF125" s="50">
        <v>3</v>
      </c>
      <c r="AG125" s="50"/>
      <c r="AH125" s="50">
        <v>3</v>
      </c>
      <c r="AI125" s="535"/>
      <c r="AJ125" s="50">
        <f>+AH125</f>
        <v>3</v>
      </c>
      <c r="AK125" s="54">
        <f>+AJ125/Y125</f>
        <v>1</v>
      </c>
      <c r="AL125" s="50">
        <f>+AJ125</f>
        <v>3</v>
      </c>
      <c r="AM125" s="54">
        <f>+AL125/X125</f>
        <v>0.25</v>
      </c>
      <c r="AN125" s="50">
        <v>3</v>
      </c>
      <c r="AO125" s="510">
        <v>3</v>
      </c>
      <c r="AP125" s="526"/>
      <c r="AQ125" s="50">
        <v>0</v>
      </c>
      <c r="AR125" s="669"/>
      <c r="AS125" s="50">
        <v>3</v>
      </c>
      <c r="AT125" s="536"/>
      <c r="AU125" s="50">
        <v>3</v>
      </c>
      <c r="AV125" s="50"/>
      <c r="AW125" s="50">
        <f>AO125</f>
        <v>3</v>
      </c>
      <c r="AX125" s="674">
        <f>AW125/AN125</f>
        <v>1</v>
      </c>
      <c r="AY125" s="50">
        <v>6</v>
      </c>
      <c r="AZ125" s="1030">
        <v>1</v>
      </c>
      <c r="BA125" s="1031">
        <v>3</v>
      </c>
      <c r="BB125" s="1031">
        <v>3</v>
      </c>
      <c r="BC125" s="1031"/>
      <c r="BD125" s="1031">
        <v>3</v>
      </c>
      <c r="BE125" s="1031"/>
      <c r="BF125" s="1031">
        <v>3</v>
      </c>
      <c r="BG125" s="1031"/>
      <c r="BH125" s="1031">
        <v>3</v>
      </c>
      <c r="BI125" s="1031"/>
      <c r="BJ125" s="1031">
        <f>BB125</f>
        <v>3</v>
      </c>
      <c r="BK125" s="1032">
        <f>BJ125/BA125</f>
        <v>1</v>
      </c>
      <c r="BL125" s="1031">
        <f>BJ125+AY125</f>
        <v>9</v>
      </c>
      <c r="BM125" s="1034">
        <v>1</v>
      </c>
      <c r="BN125" s="517"/>
      <c r="BO125" s="517"/>
      <c r="BP125" s="517"/>
      <c r="BQ125" s="517"/>
      <c r="BR125" s="517"/>
      <c r="BS125" s="517"/>
      <c r="BT125" s="517"/>
      <c r="BU125" s="517"/>
      <c r="BV125" s="517"/>
      <c r="BW125" s="517"/>
      <c r="BX125" s="517"/>
      <c r="BY125" s="517"/>
      <c r="BZ125" s="517"/>
      <c r="CA125" s="517"/>
      <c r="CB125" s="517"/>
      <c r="CC125" s="517"/>
      <c r="CD125" s="517"/>
      <c r="CE125" s="517"/>
      <c r="CF125" s="517"/>
      <c r="CG125" s="517"/>
      <c r="CH125" s="517"/>
      <c r="CI125" s="517"/>
      <c r="CJ125" s="517"/>
      <c r="CK125" s="517"/>
      <c r="CL125" s="517"/>
      <c r="CM125" s="517"/>
      <c r="CN125" s="517"/>
      <c r="CO125" s="517"/>
      <c r="CP125" s="517"/>
      <c r="CQ125" s="517"/>
      <c r="CR125" s="517"/>
      <c r="CS125" s="517"/>
      <c r="CT125" s="517"/>
      <c r="CU125" s="517"/>
      <c r="CV125" s="517"/>
      <c r="CW125" s="517"/>
      <c r="CX125" s="517"/>
    </row>
    <row r="126" spans="1:102" ht="93.75" customHeight="1" x14ac:dyDescent="0.2">
      <c r="A126" s="1856"/>
      <c r="B126" s="1858"/>
      <c r="C126" s="508"/>
      <c r="D126" s="508"/>
      <c r="E126" s="510"/>
      <c r="F126" s="510"/>
      <c r="G126" s="510"/>
      <c r="H126" s="510"/>
      <c r="I126" s="510"/>
      <c r="J126" s="510"/>
      <c r="K126" s="510"/>
      <c r="L126" s="510"/>
      <c r="M126" s="510"/>
      <c r="N126" s="510"/>
      <c r="O126" s="510"/>
      <c r="P126" s="510"/>
      <c r="Q126" s="510"/>
      <c r="R126" s="510"/>
      <c r="S126" s="510"/>
      <c r="T126" s="1862"/>
      <c r="U126" s="519" t="s">
        <v>1749</v>
      </c>
      <c r="V126" s="548" t="s">
        <v>1750</v>
      </c>
      <c r="W126" s="666" t="s">
        <v>1751</v>
      </c>
      <c r="X126" s="50">
        <v>5</v>
      </c>
      <c r="Y126" s="50">
        <v>1</v>
      </c>
      <c r="Z126" s="50">
        <v>4</v>
      </c>
      <c r="AA126" s="50">
        <v>5</v>
      </c>
      <c r="AB126" s="54">
        <f>+Y126/X126</f>
        <v>0.2</v>
      </c>
      <c r="AC126" s="54">
        <f>+Z126/X126</f>
        <v>0.8</v>
      </c>
      <c r="AD126" s="54">
        <v>0.2</v>
      </c>
      <c r="AE126" s="50">
        <v>1</v>
      </c>
      <c r="AF126" s="50">
        <v>1</v>
      </c>
      <c r="AG126" s="50"/>
      <c r="AH126" s="50">
        <v>1</v>
      </c>
      <c r="AI126" s="535"/>
      <c r="AJ126" s="50">
        <f>+AH126</f>
        <v>1</v>
      </c>
      <c r="AK126" s="54">
        <f>+AJ126/Y126</f>
        <v>1</v>
      </c>
      <c r="AL126" s="50">
        <f>+AJ126</f>
        <v>1</v>
      </c>
      <c r="AM126" s="54">
        <f>+AL126/X126</f>
        <v>0.2</v>
      </c>
      <c r="AN126" s="50">
        <v>5</v>
      </c>
      <c r="AO126" s="510">
        <v>0</v>
      </c>
      <c r="AP126" s="526"/>
      <c r="AQ126" s="50">
        <v>1</v>
      </c>
      <c r="AR126" s="669"/>
      <c r="AS126" s="50">
        <v>2</v>
      </c>
      <c r="AT126" s="536"/>
      <c r="AU126" s="50"/>
      <c r="AV126" s="50"/>
      <c r="AW126" s="50">
        <v>2</v>
      </c>
      <c r="AX126" s="674">
        <f>AW126/AN126</f>
        <v>0.4</v>
      </c>
      <c r="AY126" s="50">
        <f>AW126+AL126</f>
        <v>3</v>
      </c>
      <c r="AZ126" s="1030">
        <v>0.8</v>
      </c>
      <c r="BA126" s="1031">
        <v>5</v>
      </c>
      <c r="BB126" s="1031">
        <v>0</v>
      </c>
      <c r="BC126" s="1031"/>
      <c r="BD126" s="1031">
        <v>0</v>
      </c>
      <c r="BE126" s="1031"/>
      <c r="BF126" s="1031">
        <v>0</v>
      </c>
      <c r="BG126" s="1031"/>
      <c r="BH126" s="1031">
        <v>4</v>
      </c>
      <c r="BI126" s="1031"/>
      <c r="BJ126" s="1031">
        <f>+BH126</f>
        <v>4</v>
      </c>
      <c r="BK126" s="1032">
        <f>BJ126/BA126</f>
        <v>0.8</v>
      </c>
      <c r="BL126" s="1031">
        <v>8</v>
      </c>
      <c r="BM126" s="1034">
        <v>1</v>
      </c>
      <c r="BN126" s="517"/>
      <c r="BO126" s="517"/>
      <c r="BP126" s="517"/>
      <c r="BQ126" s="517"/>
      <c r="BR126" s="517"/>
      <c r="BS126" s="517"/>
      <c r="BT126" s="517"/>
      <c r="BU126" s="517"/>
      <c r="BV126" s="517"/>
      <c r="BW126" s="517"/>
      <c r="BX126" s="517"/>
      <c r="BY126" s="517"/>
      <c r="BZ126" s="517"/>
      <c r="CA126" s="517"/>
      <c r="CB126" s="517"/>
      <c r="CC126" s="517"/>
      <c r="CD126" s="517"/>
      <c r="CE126" s="517"/>
      <c r="CF126" s="517"/>
      <c r="CG126" s="517"/>
      <c r="CH126" s="517"/>
      <c r="CI126" s="517"/>
      <c r="CJ126" s="517"/>
      <c r="CK126" s="517"/>
      <c r="CL126" s="517"/>
      <c r="CM126" s="517"/>
      <c r="CN126" s="517"/>
      <c r="CO126" s="517"/>
      <c r="CP126" s="517"/>
      <c r="CQ126" s="517"/>
      <c r="CR126" s="517"/>
      <c r="CS126" s="517"/>
      <c r="CT126" s="517"/>
      <c r="CU126" s="517"/>
      <c r="CV126" s="517"/>
      <c r="CW126" s="517"/>
      <c r="CX126" s="517"/>
    </row>
    <row r="127" spans="1:102" ht="12" customHeight="1" x14ac:dyDescent="0.2">
      <c r="A127" s="1856"/>
      <c r="B127" s="1858"/>
      <c r="C127" s="508"/>
      <c r="D127" s="508"/>
      <c r="E127" s="510"/>
      <c r="F127" s="510"/>
      <c r="G127" s="510"/>
      <c r="H127" s="510"/>
      <c r="I127" s="510"/>
      <c r="J127" s="510"/>
      <c r="K127" s="510"/>
      <c r="L127" s="510"/>
      <c r="M127" s="510"/>
      <c r="N127" s="510"/>
      <c r="O127" s="510"/>
      <c r="P127" s="510"/>
      <c r="Q127" s="510"/>
      <c r="R127" s="510"/>
      <c r="S127" s="510"/>
      <c r="T127" s="1854"/>
      <c r="U127" s="85"/>
      <c r="V127" s="85"/>
      <c r="W127" s="85"/>
      <c r="X127" s="72"/>
      <c r="Y127" s="72"/>
      <c r="Z127" s="72"/>
      <c r="AA127" s="72"/>
      <c r="AB127" s="86">
        <f>AVERAGE(AB118:AB126)</f>
        <v>0.45374149659863944</v>
      </c>
      <c r="AC127" s="86">
        <f>AVERAGE(AC118:AC126)</f>
        <v>0.36802721088435369</v>
      </c>
      <c r="AD127" s="86">
        <f>AVERAGE(AD118:AD126)</f>
        <v>0.44428571428571428</v>
      </c>
      <c r="AE127" s="72"/>
      <c r="AF127" s="72"/>
      <c r="AG127" s="72"/>
      <c r="AH127" s="72"/>
      <c r="AI127" s="552"/>
      <c r="AJ127" s="72"/>
      <c r="AK127" s="86">
        <f>AVERAGE(AK118:AK126)</f>
        <v>1</v>
      </c>
      <c r="AL127" s="72"/>
      <c r="AM127" s="86">
        <f>AVERAGE(AM118:AM126)</f>
        <v>0.46802721088435373</v>
      </c>
      <c r="AN127" s="72"/>
      <c r="AO127" s="540"/>
      <c r="AP127" s="517"/>
      <c r="AQ127" s="50"/>
      <c r="AR127" s="517"/>
      <c r="AS127" s="569"/>
      <c r="AT127" s="517"/>
      <c r="AU127" s="592"/>
      <c r="AV127" s="517"/>
      <c r="AW127" s="540"/>
      <c r="AX127" s="541">
        <f>AVERAGE(AX118:AX126)</f>
        <v>0.61399999999999999</v>
      </c>
      <c r="AY127" s="540"/>
      <c r="AZ127" s="675">
        <f>AVERAGE(AZ119:AZ126)</f>
        <v>0.76760714285714282</v>
      </c>
      <c r="BA127" s="510"/>
      <c r="BB127" s="510"/>
      <c r="BC127" s="510"/>
      <c r="BD127" s="510"/>
      <c r="BE127" s="510"/>
      <c r="BF127" s="510"/>
      <c r="BG127" s="510"/>
      <c r="BH127" s="510"/>
      <c r="BI127" s="510"/>
      <c r="BJ127" s="510"/>
      <c r="BK127" s="675">
        <f>AVERAGE(BK118:BK126)</f>
        <v>0.78333333333333333</v>
      </c>
      <c r="BL127" s="510"/>
      <c r="BM127" s="675">
        <f>AVERAGE(BM118:BM126)</f>
        <v>0.75148148148148153</v>
      </c>
      <c r="BN127" s="517"/>
      <c r="BO127" s="517"/>
      <c r="BP127" s="517"/>
      <c r="BQ127" s="517"/>
      <c r="BR127" s="517"/>
      <c r="BS127" s="517"/>
      <c r="BT127" s="517"/>
      <c r="BU127" s="517"/>
      <c r="BV127" s="517"/>
      <c r="BW127" s="517"/>
      <c r="BX127" s="517"/>
      <c r="BY127" s="517"/>
      <c r="BZ127" s="517"/>
      <c r="CA127" s="517"/>
      <c r="CB127" s="517"/>
      <c r="CC127" s="517"/>
      <c r="CD127" s="517"/>
      <c r="CE127" s="517"/>
      <c r="CF127" s="517"/>
      <c r="CG127" s="517"/>
      <c r="CH127" s="517"/>
      <c r="CI127" s="517"/>
      <c r="CJ127" s="517"/>
      <c r="CK127" s="517"/>
      <c r="CL127" s="517"/>
      <c r="CM127" s="517"/>
      <c r="CN127" s="517"/>
      <c r="CO127" s="517"/>
      <c r="CP127" s="517"/>
      <c r="CQ127" s="517"/>
      <c r="CR127" s="517"/>
      <c r="CS127" s="517"/>
      <c r="CT127" s="517"/>
      <c r="CU127" s="517"/>
      <c r="CV127" s="517"/>
      <c r="CW127" s="517"/>
      <c r="CX127" s="517"/>
    </row>
    <row r="128" spans="1:102" ht="36" customHeight="1" x14ac:dyDescent="0.2">
      <c r="A128" s="1856"/>
      <c r="B128" s="1858"/>
      <c r="C128" s="508"/>
      <c r="D128" s="508"/>
      <c r="E128" s="510"/>
      <c r="F128" s="510"/>
      <c r="G128" s="510"/>
      <c r="H128" s="510"/>
      <c r="I128" s="510"/>
      <c r="J128" s="510"/>
      <c r="K128" s="510"/>
      <c r="L128" s="510"/>
      <c r="M128" s="510"/>
      <c r="N128" s="510"/>
      <c r="O128" s="510"/>
      <c r="P128" s="510"/>
      <c r="Q128" s="510"/>
      <c r="R128" s="510"/>
      <c r="S128" s="510"/>
      <c r="T128" s="1853" t="s">
        <v>1752</v>
      </c>
      <c r="U128" s="519" t="s">
        <v>1753</v>
      </c>
      <c r="V128" s="548">
        <v>0</v>
      </c>
      <c r="W128" s="548" t="s">
        <v>1754</v>
      </c>
      <c r="X128" s="50">
        <v>5</v>
      </c>
      <c r="Y128" s="50">
        <v>1</v>
      </c>
      <c r="Z128" s="50">
        <v>2</v>
      </c>
      <c r="AA128" s="50">
        <v>2</v>
      </c>
      <c r="AB128" s="54">
        <f>+Y128/X128</f>
        <v>0.2</v>
      </c>
      <c r="AC128" s="54">
        <f>+Z128/X128</f>
        <v>0.4</v>
      </c>
      <c r="AD128" s="54">
        <f>AA128/X128</f>
        <v>0.4</v>
      </c>
      <c r="AE128" s="50">
        <v>0.5</v>
      </c>
      <c r="AF128" s="50">
        <v>0.9</v>
      </c>
      <c r="AG128" s="50"/>
      <c r="AH128" s="50">
        <v>1</v>
      </c>
      <c r="AI128" s="535"/>
      <c r="AJ128" s="50">
        <f>+AH128</f>
        <v>1</v>
      </c>
      <c r="AK128" s="54">
        <f>+AJ128/Y128</f>
        <v>1</v>
      </c>
      <c r="AL128" s="50">
        <f>+AJ128</f>
        <v>1</v>
      </c>
      <c r="AM128" s="54">
        <f>+AL128/X128</f>
        <v>0.2</v>
      </c>
      <c r="AN128" s="535">
        <v>2</v>
      </c>
      <c r="AO128" s="510">
        <v>0</v>
      </c>
      <c r="AP128" s="517"/>
      <c r="AQ128" s="50">
        <v>0</v>
      </c>
      <c r="AR128" s="517"/>
      <c r="AS128" s="510"/>
      <c r="AT128" s="510"/>
      <c r="AU128" s="528"/>
      <c r="AV128" s="510"/>
      <c r="AW128" s="50">
        <v>1</v>
      </c>
      <c r="AX128" s="57">
        <f>AW128/AN128</f>
        <v>0.5</v>
      </c>
      <c r="AY128" s="50">
        <f>AW128+AL128</f>
        <v>2</v>
      </c>
      <c r="AZ128" s="516">
        <f>AY128/X128</f>
        <v>0.4</v>
      </c>
      <c r="BA128" s="50">
        <v>2</v>
      </c>
      <c r="BB128" s="50">
        <v>0</v>
      </c>
      <c r="BC128" s="50"/>
      <c r="BD128" s="50">
        <v>0</v>
      </c>
      <c r="BE128" s="50"/>
      <c r="BF128" s="50">
        <v>0</v>
      </c>
      <c r="BG128" s="50"/>
      <c r="BH128" s="50">
        <v>1</v>
      </c>
      <c r="BI128" s="50"/>
      <c r="BJ128" s="50">
        <f>+BH128</f>
        <v>1</v>
      </c>
      <c r="BK128" s="57">
        <f>BJ128/BA128</f>
        <v>0.5</v>
      </c>
      <c r="BL128" s="50">
        <f>BJ128+AY128</f>
        <v>3</v>
      </c>
      <c r="BM128" s="54">
        <f>+BL128/5</f>
        <v>0.6</v>
      </c>
      <c r="BN128" s="517"/>
      <c r="BO128" s="517"/>
      <c r="BP128" s="517"/>
      <c r="BQ128" s="517"/>
      <c r="BR128" s="517"/>
      <c r="BS128" s="517"/>
      <c r="BT128" s="517"/>
      <c r="BU128" s="517"/>
      <c r="BV128" s="517"/>
      <c r="BW128" s="517"/>
      <c r="BX128" s="517"/>
      <c r="BY128" s="517"/>
      <c r="BZ128" s="517"/>
      <c r="CA128" s="517"/>
      <c r="CB128" s="517"/>
      <c r="CC128" s="517"/>
      <c r="CD128" s="517"/>
      <c r="CE128" s="517"/>
      <c r="CF128" s="517"/>
      <c r="CG128" s="517"/>
      <c r="CH128" s="517"/>
      <c r="CI128" s="517"/>
      <c r="CJ128" s="517"/>
      <c r="CK128" s="517"/>
      <c r="CL128" s="517"/>
      <c r="CM128" s="517"/>
      <c r="CN128" s="517"/>
      <c r="CO128" s="517"/>
      <c r="CP128" s="517"/>
      <c r="CQ128" s="517"/>
      <c r="CR128" s="517"/>
      <c r="CS128" s="517"/>
      <c r="CT128" s="517"/>
      <c r="CU128" s="517"/>
      <c r="CV128" s="517"/>
      <c r="CW128" s="517"/>
      <c r="CX128" s="517"/>
    </row>
    <row r="129" spans="1:102" ht="39.75" customHeight="1" x14ac:dyDescent="0.2">
      <c r="A129" s="1856"/>
      <c r="B129" s="1858"/>
      <c r="C129" s="508"/>
      <c r="D129" s="508"/>
      <c r="E129" s="510"/>
      <c r="F129" s="510"/>
      <c r="G129" s="510"/>
      <c r="H129" s="510"/>
      <c r="I129" s="510"/>
      <c r="J129" s="510"/>
      <c r="K129" s="510"/>
      <c r="L129" s="510"/>
      <c r="M129" s="510"/>
      <c r="N129" s="510"/>
      <c r="O129" s="510"/>
      <c r="P129" s="510"/>
      <c r="Q129" s="510"/>
      <c r="R129" s="510"/>
      <c r="S129" s="510"/>
      <c r="T129" s="1862"/>
      <c r="U129" s="519" t="s">
        <v>1755</v>
      </c>
      <c r="V129" s="548">
        <v>0</v>
      </c>
      <c r="W129" s="548" t="s">
        <v>1756</v>
      </c>
      <c r="X129" s="50">
        <v>5</v>
      </c>
      <c r="Y129" s="50">
        <v>1</v>
      </c>
      <c r="Z129" s="50">
        <v>2</v>
      </c>
      <c r="AA129" s="50">
        <v>2</v>
      </c>
      <c r="AB129" s="54">
        <f>+Y129/X129</f>
        <v>0.2</v>
      </c>
      <c r="AC129" s="54">
        <f>+Z129/X129</f>
        <v>0.4</v>
      </c>
      <c r="AD129" s="54">
        <f>AA129/X129</f>
        <v>0.4</v>
      </c>
      <c r="AE129" s="50">
        <v>0.5</v>
      </c>
      <c r="AF129" s="50">
        <v>0.9</v>
      </c>
      <c r="AG129" s="50"/>
      <c r="AH129" s="50">
        <v>1</v>
      </c>
      <c r="AI129" s="535"/>
      <c r="AJ129" s="50">
        <f>+AH129</f>
        <v>1</v>
      </c>
      <c r="AK129" s="54">
        <f>+AJ129/Y129</f>
        <v>1</v>
      </c>
      <c r="AL129" s="50">
        <f>+AJ129</f>
        <v>1</v>
      </c>
      <c r="AM129" s="54">
        <f>+AL129/X129</f>
        <v>0.2</v>
      </c>
      <c r="AN129" s="535">
        <v>2</v>
      </c>
      <c r="AO129" s="510">
        <v>0</v>
      </c>
      <c r="AP129" s="517"/>
      <c r="AQ129" s="50">
        <v>0</v>
      </c>
      <c r="AR129" s="517"/>
      <c r="AS129" s="510"/>
      <c r="AT129" s="510"/>
      <c r="AU129" s="528"/>
      <c r="AV129" s="510"/>
      <c r="AW129" s="50">
        <v>1</v>
      </c>
      <c r="AX129" s="57">
        <f>AW129/AN129</f>
        <v>0.5</v>
      </c>
      <c r="AY129" s="50">
        <f>AW129+AL129</f>
        <v>2</v>
      </c>
      <c r="AZ129" s="516">
        <f>AY129/X129</f>
        <v>0.4</v>
      </c>
      <c r="BA129" s="50">
        <v>2</v>
      </c>
      <c r="BB129" s="50">
        <v>0</v>
      </c>
      <c r="BC129" s="50"/>
      <c r="BD129" s="50"/>
      <c r="BE129" s="50"/>
      <c r="BF129" s="50"/>
      <c r="BG129" s="50"/>
      <c r="BH129" s="50"/>
      <c r="BI129" s="50"/>
      <c r="BJ129" s="50">
        <v>1</v>
      </c>
      <c r="BK129" s="57">
        <f>BJ129/BA129</f>
        <v>0.5</v>
      </c>
      <c r="BL129" s="50">
        <f>BJ129+AY129</f>
        <v>3</v>
      </c>
      <c r="BM129" s="54">
        <v>0.6</v>
      </c>
      <c r="BN129" s="517"/>
      <c r="BO129" s="517"/>
      <c r="BP129" s="517"/>
      <c r="BQ129" s="517"/>
      <c r="BR129" s="517"/>
      <c r="BS129" s="517"/>
      <c r="BT129" s="517"/>
      <c r="BU129" s="517"/>
      <c r="BV129" s="517"/>
      <c r="BW129" s="517"/>
      <c r="BX129" s="517"/>
      <c r="BY129" s="517"/>
      <c r="BZ129" s="517"/>
      <c r="CA129" s="517"/>
      <c r="CB129" s="517"/>
      <c r="CC129" s="517"/>
      <c r="CD129" s="517"/>
      <c r="CE129" s="517"/>
      <c r="CF129" s="517"/>
      <c r="CG129" s="517"/>
      <c r="CH129" s="517"/>
      <c r="CI129" s="517"/>
      <c r="CJ129" s="517"/>
      <c r="CK129" s="517"/>
      <c r="CL129" s="517"/>
      <c r="CM129" s="517"/>
      <c r="CN129" s="517"/>
      <c r="CO129" s="517"/>
      <c r="CP129" s="517"/>
      <c r="CQ129" s="517"/>
      <c r="CR129" s="517"/>
      <c r="CS129" s="517"/>
      <c r="CT129" s="517"/>
      <c r="CU129" s="517"/>
      <c r="CV129" s="517"/>
      <c r="CW129" s="517"/>
      <c r="CX129" s="517"/>
    </row>
    <row r="130" spans="1:102" ht="12" customHeight="1" x14ac:dyDescent="0.2">
      <c r="A130" s="1856"/>
      <c r="B130" s="1858"/>
      <c r="C130" s="508"/>
      <c r="D130" s="508"/>
      <c r="E130" s="510"/>
      <c r="F130" s="510"/>
      <c r="G130" s="510"/>
      <c r="H130" s="510"/>
      <c r="I130" s="510"/>
      <c r="J130" s="510"/>
      <c r="K130" s="510"/>
      <c r="L130" s="510"/>
      <c r="M130" s="510"/>
      <c r="N130" s="510"/>
      <c r="O130" s="510"/>
      <c r="P130" s="510"/>
      <c r="Q130" s="510"/>
      <c r="R130" s="510"/>
      <c r="S130" s="510"/>
      <c r="T130" s="1854"/>
      <c r="U130" s="85"/>
      <c r="V130" s="85"/>
      <c r="W130" s="85"/>
      <c r="X130" s="72"/>
      <c r="Y130" s="72"/>
      <c r="Z130" s="72"/>
      <c r="AA130" s="72"/>
      <c r="AB130" s="86">
        <f>AVERAGE(AB128:AB129)</f>
        <v>0.2</v>
      </c>
      <c r="AC130" s="86">
        <f>AVERAGE(AC128:AC129)</f>
        <v>0.4</v>
      </c>
      <c r="AD130" s="86">
        <f>AVERAGE(AD128:AD129)</f>
        <v>0.4</v>
      </c>
      <c r="AE130" s="72"/>
      <c r="AF130" s="72"/>
      <c r="AG130" s="72"/>
      <c r="AH130" s="72"/>
      <c r="AI130" s="552"/>
      <c r="AJ130" s="72"/>
      <c r="AK130" s="86">
        <f>AVERAGE(AK128:AK129)</f>
        <v>1</v>
      </c>
      <c r="AL130" s="74"/>
      <c r="AM130" s="86">
        <f>AVERAGE(AM128:AM129)</f>
        <v>0.2</v>
      </c>
      <c r="AN130" s="540"/>
      <c r="AO130" s="676"/>
      <c r="AP130" s="517"/>
      <c r="AQ130" s="50"/>
      <c r="AR130" s="517"/>
      <c r="AS130" s="517"/>
      <c r="AT130" s="517"/>
      <c r="AU130" s="592"/>
      <c r="AV130" s="517"/>
      <c r="AW130" s="676"/>
      <c r="AX130" s="677">
        <f>AVERAGE(AX128:AX129)</f>
        <v>0.5</v>
      </c>
      <c r="AY130" s="678"/>
      <c r="AZ130" s="679">
        <f>AVERAGE(AZ128:AZ129)</f>
        <v>0.4</v>
      </c>
      <c r="BA130" s="510"/>
      <c r="BB130" s="510"/>
      <c r="BC130" s="510"/>
      <c r="BD130" s="510"/>
      <c r="BE130" s="510"/>
      <c r="BF130" s="510"/>
      <c r="BG130" s="510"/>
      <c r="BH130" s="510"/>
      <c r="BI130" s="510"/>
      <c r="BJ130" s="510"/>
      <c r="BK130" s="679">
        <f>AVERAGE(BK128:BK129)</f>
        <v>0.5</v>
      </c>
      <c r="BL130" s="510"/>
      <c r="BM130" s="679">
        <f>AVERAGE(BM128:BM129)</f>
        <v>0.6</v>
      </c>
      <c r="BN130" s="517"/>
      <c r="BO130" s="517"/>
      <c r="BP130" s="517"/>
      <c r="BQ130" s="517"/>
      <c r="BR130" s="517"/>
      <c r="BS130" s="517"/>
      <c r="BT130" s="517"/>
      <c r="BU130" s="517"/>
      <c r="BV130" s="517"/>
      <c r="BW130" s="517"/>
      <c r="BX130" s="517"/>
      <c r="BY130" s="517"/>
      <c r="BZ130" s="517"/>
      <c r="CA130" s="517"/>
      <c r="CB130" s="517"/>
      <c r="CC130" s="517"/>
      <c r="CD130" s="517"/>
      <c r="CE130" s="517"/>
      <c r="CF130" s="517"/>
      <c r="CG130" s="517"/>
      <c r="CH130" s="517"/>
      <c r="CI130" s="517"/>
      <c r="CJ130" s="517"/>
      <c r="CK130" s="517"/>
      <c r="CL130" s="517"/>
      <c r="CM130" s="517"/>
      <c r="CN130" s="517"/>
      <c r="CO130" s="517"/>
      <c r="CP130" s="517"/>
      <c r="CQ130" s="517"/>
      <c r="CR130" s="517"/>
      <c r="CS130" s="517"/>
      <c r="CT130" s="517"/>
      <c r="CU130" s="517"/>
      <c r="CV130" s="517"/>
      <c r="CW130" s="517"/>
      <c r="CX130" s="517"/>
    </row>
    <row r="131" spans="1:102" ht="51.75" customHeight="1" x14ac:dyDescent="0.2">
      <c r="A131" s="1856"/>
      <c r="B131" s="1858"/>
      <c r="C131" s="508" t="s">
        <v>1757</v>
      </c>
      <c r="D131" s="508" t="s">
        <v>201</v>
      </c>
      <c r="E131" s="510"/>
      <c r="F131" s="510"/>
      <c r="G131" s="510"/>
      <c r="H131" s="510"/>
      <c r="I131" s="510"/>
      <c r="J131" s="510"/>
      <c r="K131" s="510"/>
      <c r="L131" s="510"/>
      <c r="M131" s="510"/>
      <c r="N131" s="510"/>
      <c r="O131" s="510"/>
      <c r="P131" s="510"/>
      <c r="Q131" s="510"/>
      <c r="R131" s="510"/>
      <c r="S131" s="510"/>
      <c r="T131" s="1853" t="s">
        <v>1758</v>
      </c>
      <c r="U131" s="508" t="s">
        <v>1759</v>
      </c>
      <c r="V131" s="548" t="s">
        <v>1760</v>
      </c>
      <c r="W131" s="665" t="s">
        <v>1761</v>
      </c>
      <c r="X131" s="61">
        <v>1</v>
      </c>
      <c r="Y131" s="61" t="s">
        <v>177</v>
      </c>
      <c r="Z131" s="61" t="s">
        <v>177</v>
      </c>
      <c r="AA131" s="61" t="s">
        <v>177</v>
      </c>
      <c r="AB131" s="61"/>
      <c r="AC131" s="61"/>
      <c r="AD131" s="61"/>
      <c r="AE131" s="61"/>
      <c r="AF131" s="61"/>
      <c r="AG131" s="50"/>
      <c r="AH131" s="50"/>
      <c r="AI131" s="535"/>
      <c r="AJ131" s="50"/>
      <c r="AK131" s="50"/>
      <c r="AL131" s="50"/>
      <c r="AM131" s="535"/>
      <c r="AN131" s="61" t="s">
        <v>177</v>
      </c>
      <c r="AO131" s="510"/>
      <c r="AP131" s="526"/>
      <c r="AQ131" s="50"/>
      <c r="AR131" s="527"/>
      <c r="AS131" s="510"/>
      <c r="AT131" s="510"/>
      <c r="AU131" s="528"/>
      <c r="AV131" s="510"/>
      <c r="AW131" s="510"/>
      <c r="AX131" s="510"/>
      <c r="AY131" s="510"/>
      <c r="AZ131" s="526"/>
      <c r="BA131" s="510"/>
      <c r="BB131" s="510"/>
      <c r="BC131" s="510"/>
      <c r="BD131" s="510"/>
      <c r="BE131" s="510"/>
      <c r="BF131" s="510"/>
      <c r="BG131" s="510"/>
      <c r="BH131" s="510"/>
      <c r="BI131" s="510"/>
      <c r="BJ131" s="510"/>
      <c r="BK131" s="510"/>
      <c r="BL131" s="510"/>
      <c r="BM131" s="510"/>
      <c r="BN131" s="517"/>
      <c r="BO131" s="517"/>
      <c r="BP131" s="517"/>
      <c r="BQ131" s="517"/>
      <c r="BR131" s="517"/>
      <c r="BS131" s="517"/>
      <c r="BT131" s="517"/>
      <c r="BU131" s="517"/>
      <c r="BV131" s="517"/>
      <c r="BW131" s="517"/>
      <c r="BX131" s="517"/>
      <c r="BY131" s="517"/>
      <c r="BZ131" s="517"/>
      <c r="CA131" s="517"/>
      <c r="CB131" s="517"/>
      <c r="CC131" s="517"/>
      <c r="CD131" s="517"/>
      <c r="CE131" s="517"/>
      <c r="CF131" s="517"/>
      <c r="CG131" s="517"/>
      <c r="CH131" s="517"/>
      <c r="CI131" s="517"/>
      <c r="CJ131" s="517"/>
      <c r="CK131" s="517"/>
      <c r="CL131" s="517"/>
      <c r="CM131" s="517"/>
      <c r="CN131" s="517"/>
      <c r="CO131" s="517"/>
      <c r="CP131" s="517"/>
      <c r="CQ131" s="517"/>
      <c r="CR131" s="517"/>
      <c r="CS131" s="517"/>
      <c r="CT131" s="517"/>
      <c r="CU131" s="517"/>
      <c r="CV131" s="517"/>
      <c r="CW131" s="517"/>
      <c r="CX131" s="517"/>
    </row>
    <row r="132" spans="1:102" ht="41.25" customHeight="1" x14ac:dyDescent="0.2">
      <c r="A132" s="1856"/>
      <c r="B132" s="1858"/>
      <c r="C132" s="508"/>
      <c r="D132" s="508"/>
      <c r="E132" s="510"/>
      <c r="F132" s="510"/>
      <c r="G132" s="510"/>
      <c r="H132" s="510"/>
      <c r="I132" s="510"/>
      <c r="J132" s="510"/>
      <c r="K132" s="510"/>
      <c r="L132" s="510"/>
      <c r="M132" s="510"/>
      <c r="N132" s="510"/>
      <c r="O132" s="510"/>
      <c r="P132" s="510"/>
      <c r="Q132" s="510"/>
      <c r="R132" s="510"/>
      <c r="S132" s="510"/>
      <c r="T132" s="1862"/>
      <c r="U132" s="508" t="s">
        <v>1762</v>
      </c>
      <c r="V132" s="548" t="s">
        <v>201</v>
      </c>
      <c r="W132" s="548" t="s">
        <v>1763</v>
      </c>
      <c r="X132" s="61">
        <v>30</v>
      </c>
      <c r="Y132" s="61" t="s">
        <v>177</v>
      </c>
      <c r="Z132" s="61" t="s">
        <v>177</v>
      </c>
      <c r="AA132" s="61" t="s">
        <v>177</v>
      </c>
      <c r="AB132" s="61"/>
      <c r="AC132" s="61"/>
      <c r="AD132" s="61"/>
      <c r="AE132" s="61"/>
      <c r="AF132" s="61"/>
      <c r="AG132" s="50"/>
      <c r="AH132" s="50"/>
      <c r="AI132" s="535"/>
      <c r="AJ132" s="50"/>
      <c r="AK132" s="50"/>
      <c r="AL132" s="50"/>
      <c r="AM132" s="535"/>
      <c r="AN132" s="61" t="s">
        <v>177</v>
      </c>
      <c r="AO132" s="510"/>
      <c r="AP132" s="526"/>
      <c r="AQ132" s="50"/>
      <c r="AR132" s="527"/>
      <c r="AS132" s="510"/>
      <c r="AT132" s="510"/>
      <c r="AU132" s="528"/>
      <c r="AV132" s="510"/>
      <c r="AW132" s="510"/>
      <c r="AX132" s="510"/>
      <c r="AY132" s="510"/>
      <c r="AZ132" s="526"/>
      <c r="BA132" s="510"/>
      <c r="BB132" s="510"/>
      <c r="BC132" s="510"/>
      <c r="BD132" s="510"/>
      <c r="BE132" s="510"/>
      <c r="BF132" s="510"/>
      <c r="BG132" s="510"/>
      <c r="BH132" s="510"/>
      <c r="BI132" s="510"/>
      <c r="BJ132" s="510"/>
      <c r="BK132" s="510"/>
      <c r="BL132" s="510"/>
      <c r="BM132" s="510"/>
      <c r="BN132" s="517"/>
      <c r="BO132" s="517"/>
      <c r="BP132" s="517"/>
      <c r="BQ132" s="517"/>
      <c r="BR132" s="517"/>
      <c r="BS132" s="517"/>
      <c r="BT132" s="517"/>
      <c r="BU132" s="517"/>
      <c r="BV132" s="517"/>
      <c r="BW132" s="517"/>
      <c r="BX132" s="517"/>
      <c r="BY132" s="517"/>
      <c r="BZ132" s="517"/>
      <c r="CA132" s="517"/>
      <c r="CB132" s="517"/>
      <c r="CC132" s="517"/>
      <c r="CD132" s="517"/>
      <c r="CE132" s="517"/>
      <c r="CF132" s="517"/>
      <c r="CG132" s="517"/>
      <c r="CH132" s="517"/>
      <c r="CI132" s="517"/>
      <c r="CJ132" s="517"/>
      <c r="CK132" s="517"/>
      <c r="CL132" s="517"/>
      <c r="CM132" s="517"/>
      <c r="CN132" s="517"/>
      <c r="CO132" s="517"/>
      <c r="CP132" s="517"/>
      <c r="CQ132" s="517"/>
      <c r="CR132" s="517"/>
      <c r="CS132" s="517"/>
      <c r="CT132" s="517"/>
      <c r="CU132" s="517"/>
      <c r="CV132" s="517"/>
      <c r="CW132" s="517"/>
      <c r="CX132" s="517"/>
    </row>
    <row r="133" spans="1:102" ht="12" customHeight="1" x14ac:dyDescent="0.2">
      <c r="A133" s="1856"/>
      <c r="B133" s="1858"/>
      <c r="C133" s="563"/>
      <c r="D133" s="563"/>
      <c r="E133" s="569"/>
      <c r="F133" s="569"/>
      <c r="G133" s="569"/>
      <c r="H133" s="569"/>
      <c r="I133" s="569"/>
      <c r="J133" s="569"/>
      <c r="K133" s="569"/>
      <c r="L133" s="569"/>
      <c r="M133" s="569"/>
      <c r="N133" s="569"/>
      <c r="O133" s="569"/>
      <c r="P133" s="569"/>
      <c r="Q133" s="569"/>
      <c r="R133" s="569"/>
      <c r="S133" s="569"/>
      <c r="T133" s="1854"/>
      <c r="U133" s="539"/>
      <c r="V133" s="539"/>
      <c r="W133" s="539"/>
      <c r="X133" s="72"/>
      <c r="Y133" s="72"/>
      <c r="Z133" s="72"/>
      <c r="AA133" s="72"/>
      <c r="AB133" s="72"/>
      <c r="AC133" s="72"/>
      <c r="AD133" s="72">
        <v>0</v>
      </c>
      <c r="AE133" s="72"/>
      <c r="AF133" s="72"/>
      <c r="AG133" s="72"/>
      <c r="AH133" s="72"/>
      <c r="AI133" s="552"/>
      <c r="AJ133" s="72"/>
      <c r="AK133" s="72"/>
      <c r="AL133" s="72"/>
      <c r="AM133" s="552"/>
      <c r="AN133" s="72"/>
      <c r="AO133" s="510"/>
      <c r="AP133" s="526"/>
      <c r="AQ133" s="50"/>
      <c r="AR133" s="669"/>
      <c r="AS133" s="510"/>
      <c r="AT133" s="527"/>
      <c r="AU133" s="528"/>
      <c r="AV133" s="510"/>
      <c r="AW133" s="510"/>
      <c r="AX133" s="510"/>
      <c r="AY133" s="510"/>
      <c r="AZ133" s="526"/>
      <c r="BA133" s="510"/>
      <c r="BB133" s="510"/>
      <c r="BC133" s="510"/>
      <c r="BD133" s="510"/>
      <c r="BE133" s="510"/>
      <c r="BF133" s="510"/>
      <c r="BG133" s="510"/>
      <c r="BH133" s="510"/>
      <c r="BI133" s="510"/>
      <c r="BJ133" s="510"/>
      <c r="BK133" s="510"/>
      <c r="BL133" s="510"/>
      <c r="BM133" s="510"/>
      <c r="BN133" s="517"/>
      <c r="BO133" s="517"/>
      <c r="BP133" s="517"/>
      <c r="BQ133" s="517"/>
      <c r="BR133" s="517"/>
      <c r="BS133" s="517"/>
      <c r="BT133" s="517"/>
      <c r="BU133" s="517"/>
      <c r="BV133" s="517"/>
      <c r="BW133" s="517"/>
      <c r="BX133" s="517"/>
      <c r="BY133" s="517"/>
      <c r="BZ133" s="517"/>
      <c r="CA133" s="517"/>
      <c r="CB133" s="517"/>
      <c r="CC133" s="517"/>
      <c r="CD133" s="517"/>
      <c r="CE133" s="517"/>
      <c r="CF133" s="517"/>
      <c r="CG133" s="517"/>
      <c r="CH133" s="517"/>
      <c r="CI133" s="517"/>
      <c r="CJ133" s="517"/>
      <c r="CK133" s="517"/>
      <c r="CL133" s="517"/>
      <c r="CM133" s="517"/>
      <c r="CN133" s="517"/>
      <c r="CO133" s="517"/>
      <c r="CP133" s="517"/>
      <c r="CQ133" s="517"/>
      <c r="CR133" s="517"/>
      <c r="CS133" s="517"/>
      <c r="CT133" s="517"/>
      <c r="CU133" s="517"/>
      <c r="CV133" s="517"/>
      <c r="CW133" s="517"/>
      <c r="CX133" s="517"/>
    </row>
    <row r="134" spans="1:102" ht="12" customHeight="1" x14ac:dyDescent="0.2">
      <c r="A134" s="1856"/>
      <c r="B134" s="1859"/>
      <c r="C134" s="109"/>
      <c r="D134" s="109"/>
      <c r="E134" s="544"/>
      <c r="F134" s="544"/>
      <c r="G134" s="544"/>
      <c r="H134" s="544"/>
      <c r="I134" s="544"/>
      <c r="J134" s="544"/>
      <c r="K134" s="544"/>
      <c r="L134" s="544"/>
      <c r="M134" s="544"/>
      <c r="N134" s="544"/>
      <c r="O134" s="544"/>
      <c r="P134" s="544"/>
      <c r="Q134" s="544"/>
      <c r="R134" s="544"/>
      <c r="S134" s="544"/>
      <c r="T134" s="108"/>
      <c r="U134" s="109"/>
      <c r="V134" s="109"/>
      <c r="W134" s="109"/>
      <c r="X134" s="110"/>
      <c r="Y134" s="110"/>
      <c r="Z134" s="110"/>
      <c r="AA134" s="110"/>
      <c r="AB134" s="112">
        <f>+(AB133+AB130+AB127+AB117)/3</f>
        <v>0.33650711759171709</v>
      </c>
      <c r="AC134" s="112">
        <f>+(AC133+AC130+AC127+AC117)/3</f>
        <v>0.39815251546124636</v>
      </c>
      <c r="AD134" s="112">
        <f>+(AD130+AD127+AD117)/3</f>
        <v>0.37261752189066416</v>
      </c>
      <c r="AE134" s="110"/>
      <c r="AF134" s="110"/>
      <c r="AG134" s="110"/>
      <c r="AH134" s="110"/>
      <c r="AI134" s="545"/>
      <c r="AJ134" s="110"/>
      <c r="AK134" s="112">
        <f>+(AK133+AK130+AK127+AK117)/3</f>
        <v>0.9313690476190476</v>
      </c>
      <c r="AL134" s="112"/>
      <c r="AM134" s="546">
        <f>+(AM133+AM130+AM127+AM117)/4</f>
        <v>0.25113116344119935</v>
      </c>
      <c r="AN134" s="110"/>
      <c r="AO134" s="510"/>
      <c r="AP134" s="526"/>
      <c r="AQ134" s="50"/>
      <c r="AR134" s="669"/>
      <c r="AS134" s="510"/>
      <c r="AT134" s="527"/>
      <c r="AU134" s="528"/>
      <c r="AV134" s="510"/>
      <c r="AW134" s="510"/>
      <c r="AX134" s="680">
        <f>+(AX130+AX127+AX117)/3</f>
        <v>0.57328666666666661</v>
      </c>
      <c r="AY134" s="680"/>
      <c r="AZ134" s="1142">
        <f>+(AZ130+AZ127+AZ117)/3</f>
        <v>0.52306407123556153</v>
      </c>
      <c r="BA134" s="1143"/>
      <c r="BB134" s="1143"/>
      <c r="BC134" s="1143"/>
      <c r="BD134" s="1143"/>
      <c r="BE134" s="1143"/>
      <c r="BF134" s="1143"/>
      <c r="BG134" s="1143"/>
      <c r="BH134" s="1143"/>
      <c r="BI134" s="1143"/>
      <c r="BJ134" s="1143"/>
      <c r="BK134" s="1142">
        <f>+(BK130+BK127+BK117)/3</f>
        <v>0.64021527777777776</v>
      </c>
      <c r="BL134" s="1143"/>
      <c r="BM134" s="1142">
        <f>+(BM130+BM127+BM117)/3</f>
        <v>0.66016670881692485</v>
      </c>
      <c r="BN134" s="517"/>
      <c r="BO134" s="517"/>
      <c r="BP134" s="517"/>
      <c r="BQ134" s="517"/>
      <c r="BR134" s="517"/>
      <c r="BS134" s="517"/>
      <c r="BT134" s="517"/>
      <c r="BU134" s="517"/>
      <c r="BV134" s="517"/>
      <c r="BW134" s="517"/>
      <c r="BX134" s="517"/>
      <c r="BY134" s="517"/>
      <c r="BZ134" s="517"/>
      <c r="CA134" s="517"/>
      <c r="CB134" s="517"/>
      <c r="CC134" s="517"/>
      <c r="CD134" s="517"/>
      <c r="CE134" s="517"/>
      <c r="CF134" s="517"/>
      <c r="CG134" s="517"/>
      <c r="CH134" s="517"/>
      <c r="CI134" s="517"/>
      <c r="CJ134" s="517"/>
      <c r="CK134" s="517"/>
      <c r="CL134" s="517"/>
      <c r="CM134" s="517"/>
      <c r="CN134" s="517"/>
      <c r="CO134" s="517"/>
      <c r="CP134" s="517"/>
      <c r="CQ134" s="517"/>
      <c r="CR134" s="517"/>
      <c r="CS134" s="517"/>
      <c r="CT134" s="517"/>
      <c r="CU134" s="517"/>
      <c r="CV134" s="517"/>
      <c r="CW134" s="517"/>
      <c r="CX134" s="517"/>
    </row>
    <row r="135" spans="1:102" ht="113.25" customHeight="1" x14ac:dyDescent="0.2">
      <c r="A135" s="1856"/>
      <c r="B135" s="1806" t="s">
        <v>1764</v>
      </c>
      <c r="C135" s="681" t="s">
        <v>1765</v>
      </c>
      <c r="D135" s="682" t="s">
        <v>1766</v>
      </c>
      <c r="E135" s="683"/>
      <c r="F135" s="683"/>
      <c r="G135" s="683"/>
      <c r="H135" s="683"/>
      <c r="I135" s="683"/>
      <c r="J135" s="683"/>
      <c r="K135" s="683"/>
      <c r="L135" s="683"/>
      <c r="M135" s="683"/>
      <c r="N135" s="683"/>
      <c r="O135" s="683"/>
      <c r="P135" s="683"/>
      <c r="Q135" s="683"/>
      <c r="R135" s="683"/>
      <c r="S135" s="683"/>
      <c r="T135" s="1853" t="s">
        <v>1767</v>
      </c>
      <c r="U135" s="566" t="s">
        <v>1768</v>
      </c>
      <c r="V135" s="684" t="s">
        <v>1769</v>
      </c>
      <c r="W135" s="665" t="s">
        <v>1770</v>
      </c>
      <c r="X135" s="685">
        <v>1047261338899</v>
      </c>
      <c r="Y135" s="685">
        <v>261815334724.75</v>
      </c>
      <c r="Z135" s="686">
        <v>270200018339</v>
      </c>
      <c r="AA135" s="686">
        <v>271583094439.5</v>
      </c>
      <c r="AB135" s="178">
        <f t="shared" ref="AB135:AB140" si="5">+Y135/X135</f>
        <v>0.25</v>
      </c>
      <c r="AC135" s="178">
        <f t="shared" ref="AC135:AC140" si="6">+Z135/X135</f>
        <v>0.25800629537519731</v>
      </c>
      <c r="AD135" s="178">
        <f>AA135/X135</f>
        <v>0.25932695531854444</v>
      </c>
      <c r="AE135" s="685">
        <v>215853802747.98001</v>
      </c>
      <c r="AF135" s="685">
        <v>235216225532</v>
      </c>
      <c r="AG135" s="50"/>
      <c r="AH135" s="685">
        <v>238685952491</v>
      </c>
      <c r="AI135" s="535"/>
      <c r="AJ135" s="685">
        <f t="shared" ref="AJ135:AJ140" si="7">+AH135</f>
        <v>238685952491</v>
      </c>
      <c r="AK135" s="54">
        <f>+AJ135/Y135</f>
        <v>0.91165764886130052</v>
      </c>
      <c r="AL135" s="687">
        <f>+AJ135</f>
        <v>238685952491</v>
      </c>
      <c r="AM135" s="54">
        <f t="shared" ref="AM135:AM140" si="8">+AL135/X135</f>
        <v>0.22791441221532513</v>
      </c>
      <c r="AN135" s="688">
        <v>270200018339</v>
      </c>
      <c r="AO135" s="689">
        <v>188163095089</v>
      </c>
      <c r="AP135" s="636"/>
      <c r="AQ135" s="690">
        <v>18232984246</v>
      </c>
      <c r="AR135" s="517"/>
      <c r="AS135" s="56">
        <v>15272411291</v>
      </c>
      <c r="AT135" s="517"/>
      <c r="AU135" s="56">
        <v>22067832249</v>
      </c>
      <c r="AV135" s="517"/>
      <c r="AW135" s="688">
        <f>AO135+AQ135+AU135+AS135</f>
        <v>243736322875</v>
      </c>
      <c r="AX135" s="137">
        <f>AW135/AN135</f>
        <v>0.9020588687347979</v>
      </c>
      <c r="AY135" s="691">
        <v>504462913190</v>
      </c>
      <c r="AZ135" s="692">
        <f>AY135/X135</f>
        <v>0.48169725593073903</v>
      </c>
      <c r="BA135" s="1251">
        <f>AA135</f>
        <v>271583094439.5</v>
      </c>
      <c r="BB135" s="1251">
        <v>211013693295</v>
      </c>
      <c r="BC135" s="1251"/>
      <c r="BD135" s="1251">
        <v>24612040123</v>
      </c>
      <c r="BE135" s="1251"/>
      <c r="BF135" s="1251">
        <v>20919176662</v>
      </c>
      <c r="BG135" s="1252"/>
      <c r="BH135" s="1251">
        <v>47944391113</v>
      </c>
      <c r="BI135" s="1252"/>
      <c r="BJ135" s="1251">
        <f>BB135+BD135+BF135+BH135</f>
        <v>304489301193</v>
      </c>
      <c r="BK135" s="1253">
        <v>1</v>
      </c>
      <c r="BL135" s="687">
        <f>BJ135+AY135</f>
        <v>808952214383</v>
      </c>
      <c r="BM135" s="57">
        <f>BL135/X135</f>
        <v>0.77244541007640211</v>
      </c>
      <c r="BN135" s="517"/>
      <c r="BO135" s="517"/>
      <c r="BP135" s="517"/>
      <c r="BQ135" s="517"/>
      <c r="BR135" s="517"/>
      <c r="BS135" s="517"/>
      <c r="BT135" s="517"/>
      <c r="BU135" s="517"/>
      <c r="BV135" s="517"/>
      <c r="BW135" s="517"/>
      <c r="BX135" s="517"/>
      <c r="BY135" s="517"/>
      <c r="BZ135" s="517"/>
      <c r="CA135" s="517"/>
      <c r="CB135" s="517"/>
      <c r="CC135" s="517"/>
      <c r="CD135" s="517"/>
      <c r="CE135" s="517"/>
      <c r="CF135" s="517"/>
      <c r="CG135" s="517"/>
      <c r="CH135" s="517"/>
      <c r="CI135" s="517"/>
      <c r="CJ135" s="517"/>
      <c r="CK135" s="517"/>
      <c r="CL135" s="517"/>
      <c r="CM135" s="517"/>
      <c r="CN135" s="517"/>
      <c r="CO135" s="517"/>
      <c r="CP135" s="517"/>
      <c r="CQ135" s="517"/>
      <c r="CR135" s="517"/>
      <c r="CS135" s="517"/>
      <c r="CT135" s="517"/>
      <c r="CU135" s="517"/>
      <c r="CV135" s="517"/>
      <c r="CW135" s="517"/>
      <c r="CX135" s="517"/>
    </row>
    <row r="136" spans="1:102" ht="79.5" customHeight="1" x14ac:dyDescent="0.2">
      <c r="A136" s="1856"/>
      <c r="B136" s="1860"/>
      <c r="C136" s="620" t="s">
        <v>1771</v>
      </c>
      <c r="D136" s="534"/>
      <c r="E136" s="510"/>
      <c r="F136" s="510"/>
      <c r="G136" s="510"/>
      <c r="H136" s="510"/>
      <c r="I136" s="510"/>
      <c r="J136" s="510"/>
      <c r="K136" s="510"/>
      <c r="L136" s="510"/>
      <c r="M136" s="510"/>
      <c r="N136" s="510"/>
      <c r="O136" s="510"/>
      <c r="P136" s="510"/>
      <c r="Q136" s="510"/>
      <c r="R136" s="510"/>
      <c r="S136" s="510"/>
      <c r="T136" s="1862"/>
      <c r="U136" s="508" t="s">
        <v>1772</v>
      </c>
      <c r="V136" s="693" t="s">
        <v>1773</v>
      </c>
      <c r="W136" s="548" t="s">
        <v>1774</v>
      </c>
      <c r="X136" s="685">
        <v>1189376917533</v>
      </c>
      <c r="Y136" s="685">
        <v>297344229383.25</v>
      </c>
      <c r="Z136" s="694">
        <v>317106374979</v>
      </c>
      <c r="AA136" s="694">
        <v>282507785478</v>
      </c>
      <c r="AB136" s="178">
        <f t="shared" si="5"/>
        <v>0.25</v>
      </c>
      <c r="AC136" s="178">
        <f t="shared" si="6"/>
        <v>0.26661554491635886</v>
      </c>
      <c r="AD136" s="178">
        <f>AA136/X136</f>
        <v>0.23752586864051164</v>
      </c>
      <c r="AE136" s="685">
        <v>225140398394.76801</v>
      </c>
      <c r="AF136" s="685">
        <v>234445065406</v>
      </c>
      <c r="AG136" s="50"/>
      <c r="AH136" s="685">
        <v>255457731976</v>
      </c>
      <c r="AI136" s="535"/>
      <c r="AJ136" s="685">
        <f t="shared" si="7"/>
        <v>255457731976</v>
      </c>
      <c r="AK136" s="54">
        <f>+AJ136/Y136</f>
        <v>0.85913129205792638</v>
      </c>
      <c r="AL136" s="687">
        <v>282329711371</v>
      </c>
      <c r="AM136" s="54">
        <f t="shared" si="8"/>
        <v>0.23737614814032792</v>
      </c>
      <c r="AN136" s="694">
        <v>317106374979</v>
      </c>
      <c r="AO136" s="695">
        <v>93219004458</v>
      </c>
      <c r="AP136" s="636"/>
      <c r="AQ136" s="690">
        <v>97229838805</v>
      </c>
      <c r="AR136" s="517"/>
      <c r="AS136" s="696">
        <v>94185218995</v>
      </c>
      <c r="AT136" s="517"/>
      <c r="AU136" s="697">
        <v>54740468322</v>
      </c>
      <c r="AV136" s="517"/>
      <c r="AW136" s="698">
        <f>AO136+AQ136+AS136+AU136</f>
        <v>339374530580</v>
      </c>
      <c r="AX136" s="54">
        <v>1</v>
      </c>
      <c r="AY136" s="687">
        <v>627039231271</v>
      </c>
      <c r="AZ136" s="699">
        <f>AY136/X136</f>
        <v>0.52719976487487397</v>
      </c>
      <c r="BA136" s="1251">
        <v>282507785478</v>
      </c>
      <c r="BB136" s="1251">
        <v>141446898672</v>
      </c>
      <c r="BC136" s="1251"/>
      <c r="BD136" s="1251">
        <v>151501709073</v>
      </c>
      <c r="BE136" s="1251"/>
      <c r="BF136" s="1251">
        <v>141780464968</v>
      </c>
      <c r="BG136" s="50"/>
      <c r="BH136" s="1251">
        <v>120319994758</v>
      </c>
      <c r="BI136" s="50"/>
      <c r="BJ136" s="1251">
        <f>BB136+BD136+BF136+BH136</f>
        <v>555049067471</v>
      </c>
      <c r="BK136" s="57">
        <v>1</v>
      </c>
      <c r="BL136" s="687">
        <f>BJ136+AY136</f>
        <v>1182088298742</v>
      </c>
      <c r="BM136" s="57">
        <f>BL136/X136</f>
        <v>0.99387190159523353</v>
      </c>
      <c r="BN136" s="517"/>
      <c r="BO136" s="517"/>
      <c r="BP136" s="517"/>
      <c r="BQ136" s="517"/>
      <c r="BR136" s="517"/>
      <c r="BS136" s="517"/>
      <c r="BT136" s="517"/>
      <c r="BU136" s="517"/>
      <c r="BV136" s="517"/>
      <c r="BW136" s="517"/>
      <c r="BX136" s="517"/>
      <c r="BY136" s="517"/>
      <c r="BZ136" s="517"/>
      <c r="CA136" s="517"/>
      <c r="CB136" s="517"/>
      <c r="CC136" s="517"/>
      <c r="CD136" s="517"/>
      <c r="CE136" s="517"/>
      <c r="CF136" s="517"/>
      <c r="CG136" s="517"/>
      <c r="CH136" s="517"/>
      <c r="CI136" s="517"/>
      <c r="CJ136" s="517"/>
      <c r="CK136" s="517"/>
      <c r="CL136" s="517"/>
      <c r="CM136" s="517"/>
      <c r="CN136" s="517"/>
      <c r="CO136" s="517"/>
      <c r="CP136" s="517"/>
      <c r="CQ136" s="517"/>
      <c r="CR136" s="517"/>
      <c r="CS136" s="517"/>
      <c r="CT136" s="517"/>
      <c r="CU136" s="517"/>
      <c r="CV136" s="517"/>
      <c r="CW136" s="517"/>
      <c r="CX136" s="517"/>
    </row>
    <row r="137" spans="1:102" ht="87.75" customHeight="1" x14ac:dyDescent="0.2">
      <c r="A137" s="1856"/>
      <c r="B137" s="1860"/>
      <c r="C137" s="533" t="s">
        <v>1775</v>
      </c>
      <c r="D137" s="534" t="s">
        <v>1776</v>
      </c>
      <c r="E137" s="510"/>
      <c r="F137" s="510"/>
      <c r="G137" s="510"/>
      <c r="H137" s="510"/>
      <c r="I137" s="510"/>
      <c r="J137" s="510"/>
      <c r="K137" s="510"/>
      <c r="L137" s="510"/>
      <c r="M137" s="510"/>
      <c r="N137" s="510"/>
      <c r="O137" s="510"/>
      <c r="P137" s="510"/>
      <c r="Q137" s="510"/>
      <c r="R137" s="510"/>
      <c r="S137" s="510"/>
      <c r="T137" s="1862"/>
      <c r="U137" s="508" t="s">
        <v>1777</v>
      </c>
      <c r="V137" s="693">
        <v>33340137211</v>
      </c>
      <c r="W137" s="548" t="s">
        <v>1778</v>
      </c>
      <c r="X137" s="700">
        <v>14454734972</v>
      </c>
      <c r="Y137" s="685">
        <v>3613683743</v>
      </c>
      <c r="Z137" s="686">
        <v>4306485119</v>
      </c>
      <c r="AA137" s="686">
        <v>1329796059.23</v>
      </c>
      <c r="AB137" s="178">
        <f t="shared" si="5"/>
        <v>0.25</v>
      </c>
      <c r="AC137" s="178">
        <f t="shared" si="6"/>
        <v>0.29792902653296743</v>
      </c>
      <c r="AD137" s="178">
        <f>AA137/X137</f>
        <v>9.1997263305479027E-2</v>
      </c>
      <c r="AE137" s="685">
        <v>3318029006.0404</v>
      </c>
      <c r="AF137" s="685">
        <v>4010984808.1999998</v>
      </c>
      <c r="AG137" s="50"/>
      <c r="AH137" s="685">
        <v>4434453307</v>
      </c>
      <c r="AI137" s="535"/>
      <c r="AJ137" s="685">
        <f t="shared" si="7"/>
        <v>4434453307</v>
      </c>
      <c r="AK137" s="54">
        <v>1</v>
      </c>
      <c r="AL137" s="686">
        <v>5048528353.54</v>
      </c>
      <c r="AM137" s="54">
        <f t="shared" si="8"/>
        <v>0.349264677859498</v>
      </c>
      <c r="AN137" s="686">
        <v>4306485119</v>
      </c>
      <c r="AO137" s="686">
        <v>1687250500</v>
      </c>
      <c r="AP137" s="686"/>
      <c r="AQ137" s="686">
        <v>1306466000</v>
      </c>
      <c r="AR137" s="686"/>
      <c r="AS137" s="686">
        <v>1957742000</v>
      </c>
      <c r="AT137" s="686"/>
      <c r="AU137" s="686">
        <v>1063455000</v>
      </c>
      <c r="AV137" s="517"/>
      <c r="AW137" s="688">
        <f>AO137+AQ137+AS137+AU137</f>
        <v>6014913500</v>
      </c>
      <c r="AX137" s="54">
        <v>1</v>
      </c>
      <c r="AY137" s="687">
        <v>12162533853.540001</v>
      </c>
      <c r="AZ137" s="699">
        <f>AY137/X137</f>
        <v>0.84142212756579904</v>
      </c>
      <c r="BA137" s="686">
        <v>1329796059.23</v>
      </c>
      <c r="BB137" s="686">
        <v>1597536000</v>
      </c>
      <c r="BC137" s="686"/>
      <c r="BD137" s="686">
        <v>3499162000</v>
      </c>
      <c r="BE137" s="686"/>
      <c r="BF137" s="686">
        <v>1472881949.1300001</v>
      </c>
      <c r="BG137" s="1254"/>
      <c r="BH137" s="1254">
        <v>3761425000</v>
      </c>
      <c r="BI137" s="1254"/>
      <c r="BJ137" s="1254">
        <f>BB137+BD137+BF137+BH137</f>
        <v>10331004949.130001</v>
      </c>
      <c r="BK137" s="57">
        <v>1</v>
      </c>
      <c r="BL137" s="687">
        <f>+BJ137+AY137</f>
        <v>22493538802.670002</v>
      </c>
      <c r="BM137" s="57">
        <v>1</v>
      </c>
      <c r="BN137" s="517"/>
      <c r="BO137" s="517"/>
      <c r="BP137" s="517"/>
      <c r="BQ137" s="517"/>
      <c r="BR137" s="517"/>
      <c r="BS137" s="517"/>
      <c r="BT137" s="517"/>
      <c r="BU137" s="517"/>
      <c r="BV137" s="517"/>
      <c r="BW137" s="517"/>
      <c r="BX137" s="517"/>
      <c r="BY137" s="517"/>
      <c r="BZ137" s="517"/>
      <c r="CA137" s="517"/>
      <c r="CB137" s="517"/>
      <c r="CC137" s="517"/>
      <c r="CD137" s="517"/>
      <c r="CE137" s="517"/>
      <c r="CF137" s="517"/>
      <c r="CG137" s="517"/>
      <c r="CH137" s="517"/>
      <c r="CI137" s="517"/>
      <c r="CJ137" s="517"/>
      <c r="CK137" s="517"/>
      <c r="CL137" s="517"/>
      <c r="CM137" s="517"/>
      <c r="CN137" s="517"/>
      <c r="CO137" s="517"/>
      <c r="CP137" s="517"/>
      <c r="CQ137" s="517"/>
      <c r="CR137" s="517"/>
      <c r="CS137" s="517"/>
      <c r="CT137" s="517"/>
      <c r="CU137" s="517"/>
      <c r="CV137" s="517"/>
      <c r="CW137" s="517"/>
      <c r="CX137" s="517"/>
    </row>
    <row r="138" spans="1:102" ht="79.5" customHeight="1" x14ac:dyDescent="0.2">
      <c r="A138" s="1856"/>
      <c r="B138" s="1860"/>
      <c r="C138" s="620" t="s">
        <v>1779</v>
      </c>
      <c r="D138" s="534"/>
      <c r="E138" s="510"/>
      <c r="F138" s="510"/>
      <c r="G138" s="510"/>
      <c r="H138" s="510"/>
      <c r="I138" s="510"/>
      <c r="J138" s="510"/>
      <c r="K138" s="510"/>
      <c r="L138" s="510"/>
      <c r="M138" s="510"/>
      <c r="N138" s="510"/>
      <c r="O138" s="510"/>
      <c r="P138" s="510"/>
      <c r="Q138" s="510"/>
      <c r="R138" s="510"/>
      <c r="S138" s="510"/>
      <c r="T138" s="1862"/>
      <c r="U138" s="508" t="s">
        <v>1780</v>
      </c>
      <c r="V138" s="693">
        <v>141298575616</v>
      </c>
      <c r="W138" s="548" t="s">
        <v>1781</v>
      </c>
      <c r="X138" s="700">
        <v>176659841306</v>
      </c>
      <c r="Y138" s="685">
        <v>44164960326.5</v>
      </c>
      <c r="Z138" s="694">
        <v>43721766829</v>
      </c>
      <c r="AA138" s="694">
        <v>58514225726.5</v>
      </c>
      <c r="AB138" s="178">
        <f t="shared" si="5"/>
        <v>0.25</v>
      </c>
      <c r="AC138" s="178">
        <f t="shared" si="6"/>
        <v>0.24749126063839078</v>
      </c>
      <c r="AD138" s="178"/>
      <c r="AE138" s="685">
        <v>20055040000.121201</v>
      </c>
      <c r="AF138" s="685">
        <v>22385290999.110298</v>
      </c>
      <c r="AG138" s="50"/>
      <c r="AH138" s="685">
        <v>25139565000</v>
      </c>
      <c r="AI138" s="535"/>
      <c r="AJ138" s="685">
        <f t="shared" si="7"/>
        <v>25139565000</v>
      </c>
      <c r="AK138" s="54">
        <f>+AJ138/Y138</f>
        <v>0.56921968941327628</v>
      </c>
      <c r="AL138" s="701">
        <v>27235150000</v>
      </c>
      <c r="AM138" s="54">
        <f t="shared" si="8"/>
        <v>0.15416718252805878</v>
      </c>
      <c r="AN138" s="701">
        <v>43721766829</v>
      </c>
      <c r="AO138" s="701">
        <v>9062830853</v>
      </c>
      <c r="AP138" s="701">
        <v>8570319000</v>
      </c>
      <c r="AQ138" s="701">
        <v>8570319000</v>
      </c>
      <c r="AR138" s="701">
        <v>3928913000</v>
      </c>
      <c r="AS138" s="701">
        <v>7101301000</v>
      </c>
      <c r="AT138" s="701"/>
      <c r="AU138" s="701">
        <v>3928913000</v>
      </c>
      <c r="AV138" s="517"/>
      <c r="AW138" s="702">
        <f>AO138+AQ138+AS138+AU138</f>
        <v>28663363853</v>
      </c>
      <c r="AX138" s="54">
        <f>AW138/AN138</f>
        <v>0.65558567120823708</v>
      </c>
      <c r="AY138" s="687">
        <v>67743434853</v>
      </c>
      <c r="AZ138" s="516">
        <f>AY138/X138</f>
        <v>0.38346821978436357</v>
      </c>
      <c r="BA138" s="687">
        <f>AA138</f>
        <v>58514225726.5</v>
      </c>
      <c r="BB138" s="687">
        <v>11311834000</v>
      </c>
      <c r="BC138" s="50"/>
      <c r="BD138" s="687">
        <v>11701120000</v>
      </c>
      <c r="BE138" s="687"/>
      <c r="BF138" s="687">
        <v>8605271000</v>
      </c>
      <c r="BG138" s="1254"/>
      <c r="BH138" s="1254">
        <v>12163092000</v>
      </c>
      <c r="BI138" s="1254"/>
      <c r="BJ138" s="1254">
        <f>BB138+BD138+BF138+BH138</f>
        <v>43781317000</v>
      </c>
      <c r="BK138" s="57">
        <f>BJ138/BA138</f>
        <v>0.74821663375735759</v>
      </c>
      <c r="BL138" s="687">
        <f>BJ138+AY138</f>
        <v>111524751853</v>
      </c>
      <c r="BM138" s="57">
        <f>BL138/X138</f>
        <v>0.63129656988553073</v>
      </c>
      <c r="BN138" s="517"/>
      <c r="BO138" s="517"/>
      <c r="BP138" s="517"/>
      <c r="BQ138" s="517"/>
      <c r="BR138" s="517"/>
      <c r="BS138" s="517"/>
      <c r="BT138" s="517"/>
      <c r="BU138" s="517"/>
      <c r="BV138" s="517"/>
      <c r="BW138" s="517"/>
      <c r="BX138" s="517"/>
      <c r="BY138" s="517"/>
      <c r="BZ138" s="517"/>
      <c r="CA138" s="517"/>
      <c r="CB138" s="517"/>
      <c r="CC138" s="517"/>
      <c r="CD138" s="517"/>
      <c r="CE138" s="517"/>
      <c r="CF138" s="517"/>
      <c r="CG138" s="517"/>
      <c r="CH138" s="517"/>
      <c r="CI138" s="517"/>
      <c r="CJ138" s="517"/>
      <c r="CK138" s="517"/>
      <c r="CL138" s="517"/>
      <c r="CM138" s="517"/>
      <c r="CN138" s="517"/>
      <c r="CO138" s="517"/>
      <c r="CP138" s="517"/>
      <c r="CQ138" s="517"/>
      <c r="CR138" s="517"/>
      <c r="CS138" s="517"/>
      <c r="CT138" s="517"/>
      <c r="CU138" s="517"/>
      <c r="CV138" s="517"/>
      <c r="CW138" s="517"/>
      <c r="CX138" s="517"/>
    </row>
    <row r="139" spans="1:102" ht="60.75" customHeight="1" x14ac:dyDescent="0.2">
      <c r="A139" s="1856"/>
      <c r="B139" s="1860"/>
      <c r="C139" s="533" t="s">
        <v>1782</v>
      </c>
      <c r="D139" s="534" t="s">
        <v>1776</v>
      </c>
      <c r="E139" s="510"/>
      <c r="F139" s="510"/>
      <c r="G139" s="510"/>
      <c r="H139" s="510"/>
      <c r="I139" s="510"/>
      <c r="J139" s="510"/>
      <c r="K139" s="510"/>
      <c r="L139" s="510"/>
      <c r="M139" s="510"/>
      <c r="N139" s="510"/>
      <c r="O139" s="510"/>
      <c r="P139" s="510"/>
      <c r="Q139" s="510"/>
      <c r="R139" s="510"/>
      <c r="S139" s="510"/>
      <c r="T139" s="1862"/>
      <c r="U139" s="508" t="s">
        <v>1783</v>
      </c>
      <c r="V139" s="548">
        <v>0</v>
      </c>
      <c r="W139" s="548" t="s">
        <v>1784</v>
      </c>
      <c r="X139" s="703">
        <v>1</v>
      </c>
      <c r="Y139" s="178">
        <v>0.5</v>
      </c>
      <c r="Z139" s="178">
        <v>0.5</v>
      </c>
      <c r="AA139" s="178"/>
      <c r="AB139" s="178">
        <f t="shared" si="5"/>
        <v>0.5</v>
      </c>
      <c r="AC139" s="178">
        <f t="shared" si="6"/>
        <v>0.5</v>
      </c>
      <c r="AD139" s="178"/>
      <c r="AE139" s="70">
        <v>0</v>
      </c>
      <c r="AF139" s="70">
        <v>0</v>
      </c>
      <c r="AG139" s="50"/>
      <c r="AH139" s="50">
        <v>0</v>
      </c>
      <c r="AI139" s="535"/>
      <c r="AJ139" s="704">
        <f t="shared" si="7"/>
        <v>0</v>
      </c>
      <c r="AK139" s="54">
        <f>+AJ139/Y139</f>
        <v>0</v>
      </c>
      <c r="AL139" s="56">
        <f>+AJ139</f>
        <v>0</v>
      </c>
      <c r="AM139" s="537">
        <f t="shared" si="8"/>
        <v>0</v>
      </c>
      <c r="AN139" s="118">
        <v>1</v>
      </c>
      <c r="AO139" s="124">
        <v>0.25</v>
      </c>
      <c r="AP139" s="526"/>
      <c r="AQ139" s="50">
        <v>0.25</v>
      </c>
      <c r="AR139" s="527"/>
      <c r="AS139" s="50">
        <v>0.5</v>
      </c>
      <c r="AT139" s="510"/>
      <c r="AU139" s="50">
        <v>0</v>
      </c>
      <c r="AV139" s="510"/>
      <c r="AW139" s="103">
        <v>0.75</v>
      </c>
      <c r="AX139" s="582">
        <f>AW139/AN139</f>
        <v>0.75</v>
      </c>
      <c r="AY139" s="54">
        <v>0</v>
      </c>
      <c r="AZ139" s="537">
        <f>+AY139/X139</f>
        <v>0</v>
      </c>
      <c r="BA139" s="510">
        <v>1</v>
      </c>
      <c r="BB139" s="50">
        <v>0</v>
      </c>
      <c r="BC139" s="50"/>
      <c r="BD139" s="50">
        <v>0</v>
      </c>
      <c r="BE139" s="50"/>
      <c r="BF139" s="50">
        <v>0</v>
      </c>
      <c r="BG139" s="50"/>
      <c r="BH139" s="50">
        <v>0.5</v>
      </c>
      <c r="BI139" s="50"/>
      <c r="BJ139" s="50">
        <f>+BH139</f>
        <v>0.5</v>
      </c>
      <c r="BK139" s="54">
        <v>0.5</v>
      </c>
      <c r="BL139" s="50">
        <f>+BJ139</f>
        <v>0.5</v>
      </c>
      <c r="BM139" s="54">
        <f>+BL139</f>
        <v>0.5</v>
      </c>
      <c r="BN139" s="517"/>
      <c r="BO139" s="517"/>
      <c r="BP139" s="517"/>
      <c r="BQ139" s="517"/>
      <c r="BR139" s="517"/>
      <c r="BS139" s="517"/>
      <c r="BT139" s="517"/>
      <c r="BU139" s="517"/>
      <c r="BV139" s="517"/>
      <c r="BW139" s="517"/>
      <c r="BX139" s="517"/>
      <c r="BY139" s="517"/>
      <c r="BZ139" s="517"/>
      <c r="CA139" s="517"/>
      <c r="CB139" s="517"/>
      <c r="CC139" s="517"/>
      <c r="CD139" s="517"/>
      <c r="CE139" s="517"/>
      <c r="CF139" s="517"/>
      <c r="CG139" s="517"/>
      <c r="CH139" s="517"/>
      <c r="CI139" s="517"/>
      <c r="CJ139" s="517"/>
      <c r="CK139" s="517"/>
      <c r="CL139" s="517"/>
      <c r="CM139" s="517"/>
      <c r="CN139" s="517"/>
      <c r="CO139" s="517"/>
      <c r="CP139" s="517"/>
      <c r="CQ139" s="517"/>
      <c r="CR139" s="517"/>
      <c r="CS139" s="517"/>
      <c r="CT139" s="517"/>
      <c r="CU139" s="517"/>
      <c r="CV139" s="517"/>
      <c r="CW139" s="517"/>
      <c r="CX139" s="517"/>
    </row>
    <row r="140" spans="1:102" ht="66" customHeight="1" x14ac:dyDescent="0.2">
      <c r="A140" s="1856"/>
      <c r="B140" s="1860"/>
      <c r="C140" s="508"/>
      <c r="D140" s="508"/>
      <c r="E140" s="510"/>
      <c r="F140" s="510"/>
      <c r="G140" s="510"/>
      <c r="H140" s="510"/>
      <c r="I140" s="510"/>
      <c r="J140" s="510"/>
      <c r="K140" s="510"/>
      <c r="L140" s="510"/>
      <c r="M140" s="510"/>
      <c r="N140" s="510"/>
      <c r="O140" s="510"/>
      <c r="P140" s="510"/>
      <c r="Q140" s="510"/>
      <c r="R140" s="510"/>
      <c r="S140" s="510"/>
      <c r="T140" s="1862"/>
      <c r="U140" s="508" t="s">
        <v>1785</v>
      </c>
      <c r="V140" s="548">
        <v>0</v>
      </c>
      <c r="W140" s="548" t="s">
        <v>1786</v>
      </c>
      <c r="X140" s="703">
        <v>3</v>
      </c>
      <c r="Y140" s="70">
        <v>1</v>
      </c>
      <c r="Z140" s="70">
        <v>2</v>
      </c>
      <c r="AA140" s="70">
        <v>1</v>
      </c>
      <c r="AB140" s="178">
        <f t="shared" si="5"/>
        <v>0.33333333333333331</v>
      </c>
      <c r="AC140" s="178">
        <f t="shared" si="6"/>
        <v>0.66666666666666663</v>
      </c>
      <c r="AD140" s="178">
        <v>0.33</v>
      </c>
      <c r="AE140" s="70">
        <v>0</v>
      </c>
      <c r="AF140" s="70">
        <v>0</v>
      </c>
      <c r="AG140" s="50"/>
      <c r="AH140" s="50">
        <v>0</v>
      </c>
      <c r="AI140" s="535"/>
      <c r="AJ140" s="704">
        <f t="shared" si="7"/>
        <v>0</v>
      </c>
      <c r="AK140" s="54">
        <f>+AJ140/Y140</f>
        <v>0</v>
      </c>
      <c r="AL140" s="56">
        <v>1</v>
      </c>
      <c r="AM140" s="54">
        <f t="shared" si="8"/>
        <v>0.33333333333333331</v>
      </c>
      <c r="AN140" s="635">
        <v>1</v>
      </c>
      <c r="AO140" s="705">
        <v>0.25</v>
      </c>
      <c r="AP140" s="133"/>
      <c r="AQ140" s="50">
        <v>0.25</v>
      </c>
      <c r="AR140" s="133"/>
      <c r="AS140" s="117">
        <v>0.25</v>
      </c>
      <c r="AT140" s="133"/>
      <c r="AU140" s="706">
        <v>0.25</v>
      </c>
      <c r="AV140" s="133"/>
      <c r="AW140" s="103">
        <f>AO140+AQ140+AS140+AU140</f>
        <v>1</v>
      </c>
      <c r="AX140" s="54">
        <f>AW140/AN140</f>
        <v>1</v>
      </c>
      <c r="AY140" s="88">
        <v>2</v>
      </c>
      <c r="AZ140" s="537">
        <f>AY140/X140</f>
        <v>0.66666666666666663</v>
      </c>
      <c r="BA140" s="50">
        <v>1</v>
      </c>
      <c r="BB140" s="50">
        <v>0</v>
      </c>
      <c r="BC140" s="50"/>
      <c r="BD140" s="50">
        <v>1</v>
      </c>
      <c r="BE140" s="50"/>
      <c r="BF140" s="50"/>
      <c r="BG140" s="50"/>
      <c r="BH140" s="50">
        <v>1</v>
      </c>
      <c r="BI140" s="50"/>
      <c r="BJ140" s="50">
        <f>+BD140</f>
        <v>1</v>
      </c>
      <c r="BK140" s="54">
        <f>+BJ140/BA140</f>
        <v>1</v>
      </c>
      <c r="BL140" s="88">
        <f>BJ140+AY140</f>
        <v>3</v>
      </c>
      <c r="BM140" s="57">
        <f>BL140/X140</f>
        <v>1</v>
      </c>
      <c r="BN140" s="517"/>
      <c r="BO140" s="517"/>
      <c r="BP140" s="517"/>
      <c r="BQ140" s="517"/>
      <c r="BR140" s="517"/>
      <c r="BS140" s="517"/>
      <c r="BT140" s="517"/>
      <c r="BU140" s="517"/>
      <c r="BV140" s="517"/>
      <c r="BW140" s="517"/>
      <c r="BX140" s="517"/>
      <c r="BY140" s="517"/>
      <c r="BZ140" s="517"/>
      <c r="CA140" s="517"/>
      <c r="CB140" s="517"/>
      <c r="CC140" s="517"/>
      <c r="CD140" s="517"/>
      <c r="CE140" s="517"/>
      <c r="CF140" s="517"/>
      <c r="CG140" s="517"/>
      <c r="CH140" s="517"/>
      <c r="CI140" s="517"/>
      <c r="CJ140" s="517"/>
      <c r="CK140" s="517"/>
      <c r="CL140" s="517"/>
      <c r="CM140" s="517"/>
      <c r="CN140" s="517"/>
      <c r="CO140" s="517"/>
      <c r="CP140" s="517"/>
      <c r="CQ140" s="517"/>
      <c r="CR140" s="517"/>
      <c r="CS140" s="517"/>
      <c r="CT140" s="517"/>
      <c r="CU140" s="517"/>
      <c r="CV140" s="517"/>
      <c r="CW140" s="517"/>
      <c r="CX140" s="517"/>
    </row>
    <row r="141" spans="1:102" ht="12" customHeight="1" x14ac:dyDescent="0.2">
      <c r="A141" s="1856"/>
      <c r="B141" s="1860"/>
      <c r="C141" s="508"/>
      <c r="D141" s="508"/>
      <c r="E141" s="510"/>
      <c r="F141" s="510"/>
      <c r="G141" s="510"/>
      <c r="H141" s="510"/>
      <c r="I141" s="510"/>
      <c r="J141" s="510"/>
      <c r="K141" s="510"/>
      <c r="L141" s="510"/>
      <c r="M141" s="510"/>
      <c r="N141" s="510"/>
      <c r="O141" s="510"/>
      <c r="P141" s="510"/>
      <c r="Q141" s="510"/>
      <c r="R141" s="510"/>
      <c r="S141" s="510"/>
      <c r="T141" s="645"/>
      <c r="U141" s="85"/>
      <c r="V141" s="85"/>
      <c r="W141" s="85"/>
      <c r="X141" s="72"/>
      <c r="Y141" s="72"/>
      <c r="Z141" s="72"/>
      <c r="AA141" s="72"/>
      <c r="AB141" s="86">
        <f>AVERAGE(AB135:AB140)</f>
        <v>0.30555555555555552</v>
      </c>
      <c r="AC141" s="86">
        <f>AVERAGE(AC135:AC140)</f>
        <v>0.37278479902159684</v>
      </c>
      <c r="AD141" s="86">
        <f>AVERAGE(AD135:AD140)</f>
        <v>0.22971252181613377</v>
      </c>
      <c r="AE141" s="72"/>
      <c r="AF141" s="72"/>
      <c r="AG141" s="72"/>
      <c r="AH141" s="72"/>
      <c r="AI141" s="552"/>
      <c r="AJ141" s="72"/>
      <c r="AK141" s="73">
        <f>AVERAGE(AK135:AK140)</f>
        <v>0.5566681050554172</v>
      </c>
      <c r="AL141" s="707"/>
      <c r="AM141" s="73">
        <f>AVERAGE(AM135:AM140)</f>
        <v>0.21700929234609054</v>
      </c>
      <c r="AN141" s="72"/>
      <c r="AO141" s="125"/>
      <c r="AP141" s="517"/>
      <c r="AQ141" s="125"/>
      <c r="AR141" s="517"/>
      <c r="AS141" s="669"/>
      <c r="AT141" s="517"/>
      <c r="AU141" s="708"/>
      <c r="AV141" s="517"/>
      <c r="AW141" s="125"/>
      <c r="AX141" s="73">
        <f>AVERAGE(AX135:AX140)</f>
        <v>0.88460742332383913</v>
      </c>
      <c r="AY141" s="707"/>
      <c r="AZ141" s="542">
        <f>AVERAGE(AZ135:AZ140)</f>
        <v>0.48340900580374035</v>
      </c>
      <c r="BA141" s="510"/>
      <c r="BB141" s="510"/>
      <c r="BC141" s="510"/>
      <c r="BD141" s="510"/>
      <c r="BE141" s="510"/>
      <c r="BF141" s="510"/>
      <c r="BG141" s="510"/>
      <c r="BH141" s="510"/>
      <c r="BI141" s="510"/>
      <c r="BJ141" s="510"/>
      <c r="BK141" s="568">
        <v>1</v>
      </c>
      <c r="BL141" s="510"/>
      <c r="BM141" s="568">
        <f>AVERAGE(BM135:BM140)</f>
        <v>0.81626898025952777</v>
      </c>
      <c r="BN141" s="517"/>
      <c r="BO141" s="517"/>
      <c r="BP141" s="517"/>
      <c r="BQ141" s="517"/>
      <c r="BR141" s="517"/>
      <c r="BS141" s="517"/>
      <c r="BT141" s="517"/>
      <c r="BU141" s="517"/>
      <c r="BV141" s="517"/>
      <c r="BW141" s="517"/>
      <c r="BX141" s="517"/>
      <c r="BY141" s="517"/>
      <c r="BZ141" s="517"/>
      <c r="CA141" s="517"/>
      <c r="CB141" s="517"/>
      <c r="CC141" s="517"/>
      <c r="CD141" s="517"/>
      <c r="CE141" s="517"/>
      <c r="CF141" s="517"/>
      <c r="CG141" s="517"/>
      <c r="CH141" s="517"/>
      <c r="CI141" s="517"/>
      <c r="CJ141" s="517"/>
      <c r="CK141" s="517"/>
      <c r="CL141" s="517"/>
      <c r="CM141" s="517"/>
      <c r="CN141" s="517"/>
      <c r="CO141" s="517"/>
      <c r="CP141" s="517"/>
      <c r="CQ141" s="517"/>
      <c r="CR141" s="517"/>
      <c r="CS141" s="517"/>
      <c r="CT141" s="517"/>
      <c r="CU141" s="517"/>
      <c r="CV141" s="517"/>
      <c r="CW141" s="517"/>
      <c r="CX141" s="517"/>
    </row>
    <row r="142" spans="1:102" ht="131.25" customHeight="1" x14ac:dyDescent="0.2">
      <c r="A142" s="1856"/>
      <c r="B142" s="1860"/>
      <c r="C142" s="533" t="s">
        <v>1787</v>
      </c>
      <c r="D142" s="508">
        <v>0</v>
      </c>
      <c r="E142" s="510"/>
      <c r="F142" s="510"/>
      <c r="G142" s="510"/>
      <c r="H142" s="510"/>
      <c r="I142" s="510"/>
      <c r="J142" s="510"/>
      <c r="K142" s="510"/>
      <c r="L142" s="510"/>
      <c r="M142" s="510"/>
      <c r="N142" s="510"/>
      <c r="O142" s="510"/>
      <c r="P142" s="510"/>
      <c r="Q142" s="510"/>
      <c r="R142" s="510"/>
      <c r="S142" s="510"/>
      <c r="T142" s="644" t="s">
        <v>1788</v>
      </c>
      <c r="U142" s="508" t="s">
        <v>1789</v>
      </c>
      <c r="V142" s="693" t="s">
        <v>1790</v>
      </c>
      <c r="W142" s="548" t="s">
        <v>1791</v>
      </c>
      <c r="X142" s="700">
        <v>396000000000</v>
      </c>
      <c r="Y142" s="685">
        <v>99000000000</v>
      </c>
      <c r="Z142" s="694">
        <v>99000000000</v>
      </c>
      <c r="AA142" s="694">
        <v>151637399199.37</v>
      </c>
      <c r="AB142" s="178">
        <f>+Y142/X142</f>
        <v>0.25</v>
      </c>
      <c r="AC142" s="178">
        <f>+Z142/X142</f>
        <v>0.25</v>
      </c>
      <c r="AD142" s="178">
        <f>AA142/X142</f>
        <v>0.38292272525093435</v>
      </c>
      <c r="AE142" s="685" t="s">
        <v>1792</v>
      </c>
      <c r="AF142" s="685">
        <v>37086083903</v>
      </c>
      <c r="AG142" s="50"/>
      <c r="AH142" s="685">
        <v>62165554098</v>
      </c>
      <c r="AI142" s="535"/>
      <c r="AJ142" s="709">
        <v>44377730167</v>
      </c>
      <c r="AK142" s="54">
        <f>+AJ142/Y142</f>
        <v>0.44825990067676769</v>
      </c>
      <c r="AL142" s="687">
        <f>+AJ142</f>
        <v>44377730167</v>
      </c>
      <c r="AM142" s="54">
        <f>+AL142/X142</f>
        <v>0.11206497516919192</v>
      </c>
      <c r="AN142" s="694">
        <v>44377730167</v>
      </c>
      <c r="AO142" s="709"/>
      <c r="AP142" s="517"/>
      <c r="AQ142" s="50">
        <v>0</v>
      </c>
      <c r="AR142" s="517"/>
      <c r="AS142" s="694">
        <v>24237459665.919998</v>
      </c>
      <c r="AT142" s="694"/>
      <c r="AU142" s="694">
        <v>24110011768.34</v>
      </c>
      <c r="AV142" s="517"/>
      <c r="AW142" s="694">
        <f>+AS142+AU142</f>
        <v>48347471434.259995</v>
      </c>
      <c r="AX142" s="54">
        <v>1</v>
      </c>
      <c r="AY142" s="687">
        <f>AW142+AL142</f>
        <v>92725201601.259995</v>
      </c>
      <c r="AZ142" s="537">
        <f>AY142/X142</f>
        <v>0.2341545494981313</v>
      </c>
      <c r="BA142" s="694">
        <v>151637399199.37</v>
      </c>
      <c r="BB142" s="50">
        <v>0</v>
      </c>
      <c r="BC142" s="50"/>
      <c r="BD142" s="50">
        <v>0</v>
      </c>
      <c r="BE142" s="50"/>
      <c r="BF142" s="50">
        <v>0</v>
      </c>
      <c r="BG142" s="50"/>
      <c r="BH142" s="50">
        <v>28900950282</v>
      </c>
      <c r="BI142" s="50"/>
      <c r="BJ142" s="50">
        <f>+BH142</f>
        <v>28900950282</v>
      </c>
      <c r="BK142" s="57">
        <f>BJ142/BA142</f>
        <v>0.19059249521947799</v>
      </c>
      <c r="BL142" s="687">
        <f>BJ142+AY142</f>
        <v>121626151883.25999</v>
      </c>
      <c r="BM142" s="57">
        <f>BL142/X142</f>
        <v>0.30713674717994949</v>
      </c>
      <c r="BN142" s="517"/>
      <c r="BO142" s="517"/>
      <c r="BP142" s="517"/>
      <c r="BQ142" s="517"/>
      <c r="BR142" s="517"/>
      <c r="BS142" s="517"/>
      <c r="BT142" s="517"/>
      <c r="BU142" s="517"/>
      <c r="BV142" s="517"/>
      <c r="BW142" s="517"/>
      <c r="BX142" s="517"/>
      <c r="BY142" s="517"/>
      <c r="BZ142" s="517"/>
      <c r="CA142" s="517"/>
      <c r="CB142" s="517"/>
      <c r="CC142" s="517"/>
      <c r="CD142" s="517"/>
      <c r="CE142" s="517"/>
      <c r="CF142" s="517"/>
      <c r="CG142" s="517"/>
      <c r="CH142" s="517"/>
      <c r="CI142" s="517"/>
      <c r="CJ142" s="517"/>
      <c r="CK142" s="517"/>
      <c r="CL142" s="517"/>
      <c r="CM142" s="517"/>
      <c r="CN142" s="517"/>
      <c r="CO142" s="517"/>
      <c r="CP142" s="517"/>
      <c r="CQ142" s="517"/>
      <c r="CR142" s="517"/>
      <c r="CS142" s="517"/>
      <c r="CT142" s="517"/>
      <c r="CU142" s="517"/>
      <c r="CV142" s="517"/>
      <c r="CW142" s="517"/>
      <c r="CX142" s="517"/>
    </row>
    <row r="143" spans="1:102" ht="12" customHeight="1" x14ac:dyDescent="0.2">
      <c r="A143" s="1856"/>
      <c r="B143" s="1860"/>
      <c r="C143" s="510"/>
      <c r="D143" s="510"/>
      <c r="E143" s="510"/>
      <c r="F143" s="510"/>
      <c r="G143" s="510"/>
      <c r="H143" s="510"/>
      <c r="I143" s="510"/>
      <c r="J143" s="510"/>
      <c r="K143" s="510"/>
      <c r="L143" s="510"/>
      <c r="M143" s="510"/>
      <c r="N143" s="510"/>
      <c r="O143" s="510"/>
      <c r="P143" s="510"/>
      <c r="Q143" s="510"/>
      <c r="R143" s="510"/>
      <c r="S143" s="510"/>
      <c r="T143" s="645"/>
      <c r="U143" s="565"/>
      <c r="V143" s="565"/>
      <c r="W143" s="565"/>
      <c r="X143" s="72"/>
      <c r="Y143" s="72"/>
      <c r="Z143" s="72"/>
      <c r="AA143" s="72"/>
      <c r="AB143" s="86">
        <f>+AB142</f>
        <v>0.25</v>
      </c>
      <c r="AC143" s="86">
        <f>+AC142</f>
        <v>0.25</v>
      </c>
      <c r="AD143" s="86">
        <f>AVERAGE(AD142)</f>
        <v>0.38292272525093435</v>
      </c>
      <c r="AE143" s="72"/>
      <c r="AF143" s="72"/>
      <c r="AG143" s="72"/>
      <c r="AH143" s="72"/>
      <c r="AI143" s="535"/>
      <c r="AJ143" s="72"/>
      <c r="AK143" s="97">
        <f>+AK142</f>
        <v>0.44825990067676769</v>
      </c>
      <c r="AL143" s="72"/>
      <c r="AM143" s="97">
        <f>+AM142</f>
        <v>0.11206497516919192</v>
      </c>
      <c r="AN143" s="72"/>
      <c r="AO143" s="125"/>
      <c r="AP143" s="600"/>
      <c r="AQ143" s="125"/>
      <c r="AR143" s="601"/>
      <c r="AS143" s="125"/>
      <c r="AT143" s="125"/>
      <c r="AU143" s="603"/>
      <c r="AV143" s="125"/>
      <c r="AW143" s="125"/>
      <c r="AX143" s="97">
        <f>+AX142</f>
        <v>1</v>
      </c>
      <c r="AY143" s="125"/>
      <c r="AZ143" s="1186">
        <f>+AZ142</f>
        <v>0.2341545494981313</v>
      </c>
      <c r="BA143" s="531"/>
      <c r="BB143" s="531"/>
      <c r="BC143" s="531"/>
      <c r="BD143" s="531"/>
      <c r="BE143" s="531"/>
      <c r="BF143" s="531"/>
      <c r="BG143" s="531"/>
      <c r="BH143" s="531"/>
      <c r="BI143" s="531"/>
      <c r="BJ143" s="531"/>
      <c r="BK143" s="568">
        <f>+BK142</f>
        <v>0.19059249521947799</v>
      </c>
      <c r="BL143" s="531"/>
      <c r="BM143" s="568">
        <f>+BM142</f>
        <v>0.30713674717994949</v>
      </c>
      <c r="BN143" s="517"/>
      <c r="BO143" s="517"/>
      <c r="BP143" s="517"/>
      <c r="BQ143" s="517"/>
      <c r="BR143" s="517"/>
      <c r="BS143" s="517"/>
      <c r="BT143" s="517"/>
      <c r="BU143" s="517"/>
      <c r="BV143" s="517"/>
      <c r="BW143" s="517"/>
      <c r="BX143" s="517"/>
      <c r="BY143" s="517"/>
      <c r="BZ143" s="517"/>
      <c r="CA143" s="517"/>
      <c r="CB143" s="517"/>
      <c r="CC143" s="517"/>
      <c r="CD143" s="517"/>
      <c r="CE143" s="517"/>
      <c r="CF143" s="517"/>
      <c r="CG143" s="517"/>
      <c r="CH143" s="517"/>
      <c r="CI143" s="517"/>
      <c r="CJ143" s="517"/>
      <c r="CK143" s="517"/>
      <c r="CL143" s="517"/>
      <c r="CM143" s="517"/>
      <c r="CN143" s="517"/>
      <c r="CO143" s="517"/>
      <c r="CP143" s="517"/>
      <c r="CQ143" s="517"/>
      <c r="CR143" s="517"/>
      <c r="CS143" s="517"/>
      <c r="CT143" s="517"/>
      <c r="CU143" s="517"/>
      <c r="CV143" s="517"/>
      <c r="CW143" s="517"/>
      <c r="CX143" s="517"/>
    </row>
    <row r="144" spans="1:102" ht="12" customHeight="1" x14ac:dyDescent="0.2">
      <c r="A144" s="1856"/>
      <c r="B144" s="1861"/>
      <c r="C144" s="710"/>
      <c r="D144" s="710"/>
      <c r="E144" s="710"/>
      <c r="F144" s="710"/>
      <c r="G144" s="710"/>
      <c r="H144" s="710"/>
      <c r="I144" s="710"/>
      <c r="J144" s="710"/>
      <c r="K144" s="710"/>
      <c r="L144" s="710"/>
      <c r="M144" s="710"/>
      <c r="N144" s="710"/>
      <c r="O144" s="710"/>
      <c r="P144" s="710"/>
      <c r="Q144" s="710"/>
      <c r="R144" s="710"/>
      <c r="S144" s="710"/>
      <c r="T144" s="710"/>
      <c r="U144" s="710"/>
      <c r="V144" s="710"/>
      <c r="W144" s="710"/>
      <c r="X144" s="110"/>
      <c r="Y144" s="110"/>
      <c r="Z144" s="110"/>
      <c r="AA144" s="110"/>
      <c r="AB144" s="112">
        <f>+(AB143+AB141)/2</f>
        <v>0.27777777777777779</v>
      </c>
      <c r="AC144" s="112">
        <f>+(AC143+AC141)/2</f>
        <v>0.31139239951079845</v>
      </c>
      <c r="AD144" s="112">
        <f>+(AD143+AD141)/2</f>
        <v>0.30631762353353409</v>
      </c>
      <c r="AE144" s="110"/>
      <c r="AF144" s="110"/>
      <c r="AG144" s="110"/>
      <c r="AH144" s="110"/>
      <c r="AI144" s="535"/>
      <c r="AJ144" s="110"/>
      <c r="AK144" s="112">
        <f>+(AK143+AK141)/2</f>
        <v>0.5024640028660925</v>
      </c>
      <c r="AL144" s="110"/>
      <c r="AM144" s="112">
        <f>+(AM143+AM141)/2</f>
        <v>0.16453713375764123</v>
      </c>
      <c r="AN144" s="110"/>
      <c r="AO144" s="615"/>
      <c r="AP144" s="711"/>
      <c r="AQ144" s="615"/>
      <c r="AR144" s="712"/>
      <c r="AS144" s="615"/>
      <c r="AT144" s="615"/>
      <c r="AU144" s="615"/>
      <c r="AV144" s="615"/>
      <c r="AW144" s="615"/>
      <c r="AX144" s="112">
        <f>+(AX143+AX141)/2</f>
        <v>0.94230371166191951</v>
      </c>
      <c r="AY144" s="615"/>
      <c r="AZ144" s="546">
        <f>+(AZ143+AZ141)/2</f>
        <v>0.35878177765093583</v>
      </c>
      <c r="BA144" s="619"/>
      <c r="BB144" s="619"/>
      <c r="BC144" s="619"/>
      <c r="BD144" s="619"/>
      <c r="BE144" s="619"/>
      <c r="BF144" s="619"/>
      <c r="BG144" s="619"/>
      <c r="BH144" s="619"/>
      <c r="BI144" s="619"/>
      <c r="BJ144" s="619"/>
      <c r="BK144" s="618">
        <f>+(BK143+BK141)/2</f>
        <v>0.59529624760973898</v>
      </c>
      <c r="BL144" s="619"/>
      <c r="BM144" s="618">
        <f>+(BM143+BM141)/2</f>
        <v>0.56170286371973865</v>
      </c>
      <c r="BN144" s="517"/>
      <c r="BO144" s="517"/>
      <c r="BP144" s="517"/>
      <c r="BQ144" s="517"/>
      <c r="BR144" s="517"/>
      <c r="BS144" s="517"/>
      <c r="BT144" s="517"/>
      <c r="BU144" s="517"/>
      <c r="BV144" s="517"/>
      <c r="BW144" s="517"/>
      <c r="BX144" s="517"/>
      <c r="BY144" s="517"/>
      <c r="BZ144" s="517"/>
      <c r="CA144" s="517"/>
      <c r="CB144" s="517"/>
      <c r="CC144" s="517"/>
      <c r="CD144" s="517"/>
      <c r="CE144" s="517"/>
      <c r="CF144" s="517"/>
      <c r="CG144" s="517"/>
      <c r="CH144" s="517"/>
      <c r="CI144" s="517"/>
      <c r="CJ144" s="517"/>
      <c r="CK144" s="517"/>
      <c r="CL144" s="517"/>
      <c r="CM144" s="517"/>
      <c r="CN144" s="517"/>
      <c r="CO144" s="517"/>
      <c r="CP144" s="517"/>
      <c r="CQ144" s="517"/>
      <c r="CR144" s="517"/>
      <c r="CS144" s="517"/>
      <c r="CT144" s="517"/>
      <c r="CU144" s="517"/>
      <c r="CV144" s="517"/>
      <c r="CW144" s="517"/>
      <c r="CX144" s="517"/>
    </row>
    <row r="145" spans="1:102" ht="12" customHeight="1" x14ac:dyDescent="0.2">
      <c r="A145" s="1856"/>
      <c r="B145" s="713"/>
      <c r="C145" s="713"/>
      <c r="D145" s="713"/>
      <c r="E145" s="713"/>
      <c r="F145" s="713"/>
      <c r="G145" s="713"/>
      <c r="H145" s="713"/>
      <c r="I145" s="713"/>
      <c r="J145" s="713"/>
      <c r="K145" s="713"/>
      <c r="L145" s="713"/>
      <c r="M145" s="713"/>
      <c r="N145" s="713"/>
      <c r="O145" s="713"/>
      <c r="P145" s="713"/>
      <c r="Q145" s="713"/>
      <c r="R145" s="713"/>
      <c r="S145" s="713"/>
      <c r="T145" s="713"/>
      <c r="U145" s="713"/>
      <c r="V145" s="713"/>
      <c r="W145" s="713"/>
      <c r="X145" s="184"/>
      <c r="Y145" s="184"/>
      <c r="Z145" s="184"/>
      <c r="AA145" s="184"/>
      <c r="AB145" s="184"/>
      <c r="AC145" s="184"/>
      <c r="AD145" s="184"/>
      <c r="AE145" s="184"/>
      <c r="AF145" s="184"/>
      <c r="AG145" s="184"/>
      <c r="AH145" s="184"/>
      <c r="AI145" s="714"/>
      <c r="AJ145" s="184"/>
      <c r="AK145" s="184"/>
      <c r="AL145" s="184"/>
      <c r="AM145" s="184"/>
      <c r="AN145" s="184"/>
      <c r="AO145" s="715"/>
      <c r="AP145" s="716"/>
      <c r="AQ145" s="715"/>
      <c r="AR145" s="717"/>
      <c r="AS145" s="715"/>
      <c r="AT145" s="715"/>
      <c r="AU145" s="715"/>
      <c r="AV145" s="715"/>
      <c r="AW145" s="715"/>
      <c r="AX145" s="715"/>
      <c r="AY145" s="715"/>
      <c r="AZ145" s="716"/>
      <c r="BA145" s="510"/>
      <c r="BB145" s="510"/>
      <c r="BC145" s="510"/>
      <c r="BD145" s="510"/>
      <c r="BE145" s="510"/>
      <c r="BF145" s="510"/>
      <c r="BG145" s="510"/>
      <c r="BH145" s="510"/>
      <c r="BI145" s="510"/>
      <c r="BJ145" s="510"/>
      <c r="BK145" s="510"/>
      <c r="BL145" s="510"/>
      <c r="BM145" s="510"/>
      <c r="BN145" s="517"/>
      <c r="BO145" s="517"/>
      <c r="BP145" s="517"/>
      <c r="BQ145" s="517"/>
      <c r="BR145" s="517"/>
      <c r="BS145" s="517"/>
      <c r="BT145" s="517"/>
      <c r="BU145" s="517"/>
      <c r="BV145" s="517"/>
      <c r="BW145" s="517"/>
      <c r="BX145" s="517"/>
      <c r="BY145" s="517"/>
      <c r="BZ145" s="517"/>
      <c r="CA145" s="517"/>
      <c r="CB145" s="517"/>
      <c r="CC145" s="517"/>
      <c r="CD145" s="517"/>
      <c r="CE145" s="517"/>
      <c r="CF145" s="517"/>
      <c r="CG145" s="517"/>
      <c r="CH145" s="517"/>
      <c r="CI145" s="517"/>
      <c r="CJ145" s="517"/>
      <c r="CK145" s="517"/>
      <c r="CL145" s="517"/>
      <c r="CM145" s="517"/>
      <c r="CN145" s="517"/>
      <c r="CO145" s="517"/>
      <c r="CP145" s="517"/>
      <c r="CQ145" s="517"/>
      <c r="CR145" s="517"/>
      <c r="CS145" s="517"/>
      <c r="CT145" s="517"/>
      <c r="CU145" s="517"/>
      <c r="CV145" s="517"/>
      <c r="CW145" s="517"/>
      <c r="CX145" s="517"/>
    </row>
    <row r="146" spans="1:102" ht="12" customHeight="1" x14ac:dyDescent="0.2">
      <c r="A146" s="517"/>
      <c r="B146" s="517"/>
      <c r="C146" s="517"/>
      <c r="D146" s="517"/>
      <c r="E146" s="517"/>
      <c r="F146" s="517"/>
      <c r="G146" s="517"/>
      <c r="H146" s="517"/>
      <c r="I146" s="517"/>
      <c r="J146" s="517"/>
      <c r="K146" s="517"/>
      <c r="L146" s="517"/>
      <c r="M146" s="517"/>
      <c r="N146" s="517"/>
      <c r="O146" s="517"/>
      <c r="P146" s="517"/>
      <c r="Q146" s="517"/>
      <c r="R146" s="517"/>
      <c r="S146" s="517"/>
      <c r="T146" s="517"/>
      <c r="U146" s="517"/>
      <c r="V146" s="517"/>
      <c r="W146" s="517"/>
      <c r="X146" s="127"/>
      <c r="Y146" s="127"/>
      <c r="Z146" s="127"/>
      <c r="AA146" s="127"/>
      <c r="AB146" s="127"/>
      <c r="AC146" s="127"/>
      <c r="AD146" s="127"/>
      <c r="AE146" s="127"/>
      <c r="AF146" s="127"/>
      <c r="AG146" s="127"/>
      <c r="AH146" s="127"/>
      <c r="AI146" s="127"/>
      <c r="AJ146" s="127"/>
      <c r="AK146" s="127"/>
      <c r="AL146" s="127"/>
      <c r="AM146" s="127"/>
      <c r="AN146" s="517"/>
      <c r="AO146" s="517"/>
      <c r="AP146" s="517"/>
      <c r="AQ146" s="127"/>
      <c r="AR146" s="517"/>
      <c r="AS146" s="517"/>
      <c r="AT146" s="517"/>
      <c r="AU146" s="592"/>
      <c r="AV146" s="517"/>
      <c r="AW146" s="517"/>
      <c r="AX146" s="517"/>
      <c r="AY146" s="517"/>
      <c r="AZ146" s="517"/>
      <c r="BA146" s="517"/>
      <c r="BB146" s="517"/>
      <c r="BC146" s="517"/>
      <c r="BD146" s="517"/>
      <c r="BE146" s="517"/>
      <c r="BF146" s="517"/>
      <c r="BG146" s="517"/>
      <c r="BH146" s="517"/>
      <c r="BI146" s="517"/>
      <c r="BJ146" s="517"/>
      <c r="BK146" s="517"/>
      <c r="BL146" s="517"/>
      <c r="BM146" s="517"/>
      <c r="BN146" s="517"/>
      <c r="BO146" s="517"/>
      <c r="BP146" s="517"/>
      <c r="BQ146" s="517"/>
      <c r="BR146" s="517"/>
      <c r="BS146" s="517"/>
      <c r="BT146" s="517"/>
      <c r="BU146" s="517"/>
      <c r="BV146" s="517"/>
      <c r="BW146" s="517"/>
      <c r="BX146" s="517"/>
      <c r="BY146" s="517"/>
      <c r="BZ146" s="517"/>
      <c r="CA146" s="517"/>
      <c r="CB146" s="517"/>
      <c r="CC146" s="517"/>
      <c r="CD146" s="517"/>
      <c r="CE146" s="517"/>
      <c r="CF146" s="517"/>
      <c r="CG146" s="517"/>
      <c r="CH146" s="517"/>
      <c r="CI146" s="517"/>
      <c r="CJ146" s="517"/>
      <c r="CK146" s="517"/>
      <c r="CL146" s="517"/>
      <c r="CM146" s="517"/>
      <c r="CN146" s="517"/>
      <c r="CO146" s="517"/>
      <c r="CP146" s="517"/>
      <c r="CQ146" s="517"/>
      <c r="CR146" s="517"/>
      <c r="CS146" s="517"/>
      <c r="CT146" s="517"/>
      <c r="CU146" s="517"/>
      <c r="CV146" s="517"/>
      <c r="CW146" s="517"/>
      <c r="CX146" s="517"/>
    </row>
    <row r="147" spans="1:102" ht="12" customHeight="1" x14ac:dyDescent="0.2">
      <c r="A147" s="517"/>
      <c r="B147" s="517"/>
      <c r="C147" s="517"/>
      <c r="D147" s="517"/>
      <c r="E147" s="517"/>
      <c r="F147" s="517"/>
      <c r="G147" s="517"/>
      <c r="H147" s="517"/>
      <c r="I147" s="517"/>
      <c r="J147" s="517"/>
      <c r="K147" s="517"/>
      <c r="L147" s="517"/>
      <c r="M147" s="517"/>
      <c r="N147" s="517"/>
      <c r="O147" s="517"/>
      <c r="P147" s="517"/>
      <c r="Q147" s="517"/>
      <c r="R147" s="517"/>
      <c r="S147" s="517"/>
      <c r="T147" s="517"/>
      <c r="U147" s="517"/>
      <c r="V147" s="517"/>
      <c r="W147" s="517"/>
      <c r="X147" s="127"/>
      <c r="Y147" s="127"/>
      <c r="Z147" s="127"/>
      <c r="AA147" s="127"/>
      <c r="AB147" s="127"/>
      <c r="AC147" s="127"/>
      <c r="AD147" s="127"/>
      <c r="AE147" s="127"/>
      <c r="AF147" s="127"/>
      <c r="AG147" s="127"/>
      <c r="AH147" s="127"/>
      <c r="AI147" s="127"/>
      <c r="AJ147" s="127"/>
      <c r="AK147" s="127"/>
      <c r="AL147" s="127"/>
      <c r="AM147" s="127"/>
      <c r="AN147" s="517"/>
      <c r="AO147" s="517"/>
      <c r="AP147" s="517"/>
      <c r="AQ147" s="127"/>
      <c r="AR147" s="517"/>
      <c r="AS147" s="517"/>
      <c r="AT147" s="517"/>
      <c r="AU147" s="592"/>
      <c r="AV147" s="517"/>
      <c r="AW147" s="517"/>
      <c r="AX147" s="517"/>
      <c r="AY147" s="517"/>
      <c r="AZ147" s="517"/>
      <c r="BA147" s="517"/>
      <c r="BB147" s="517"/>
      <c r="BC147" s="517"/>
      <c r="BD147" s="517"/>
      <c r="BE147" s="517"/>
      <c r="BF147" s="517"/>
      <c r="BG147" s="517"/>
      <c r="BH147" s="517"/>
      <c r="BI147" s="517"/>
      <c r="BJ147" s="517"/>
      <c r="BK147" s="517"/>
      <c r="BL147" s="517"/>
      <c r="BM147" s="517"/>
      <c r="BN147" s="517"/>
      <c r="BO147" s="517"/>
      <c r="BP147" s="517"/>
      <c r="BQ147" s="517"/>
      <c r="BR147" s="517"/>
      <c r="BS147" s="517"/>
      <c r="BT147" s="517"/>
      <c r="BU147" s="517"/>
      <c r="BV147" s="517"/>
      <c r="BW147" s="517"/>
      <c r="BX147" s="517"/>
      <c r="BY147" s="517"/>
      <c r="BZ147" s="517"/>
      <c r="CA147" s="517"/>
      <c r="CB147" s="517"/>
      <c r="CC147" s="517"/>
      <c r="CD147" s="517"/>
      <c r="CE147" s="517"/>
      <c r="CF147" s="517"/>
      <c r="CG147" s="517"/>
      <c r="CH147" s="517"/>
      <c r="CI147" s="517"/>
      <c r="CJ147" s="517"/>
      <c r="CK147" s="517"/>
      <c r="CL147" s="517"/>
      <c r="CM147" s="517"/>
      <c r="CN147" s="517"/>
      <c r="CO147" s="517"/>
      <c r="CP147" s="517"/>
      <c r="CQ147" s="517"/>
      <c r="CR147" s="517"/>
      <c r="CS147" s="517"/>
      <c r="CT147" s="517"/>
      <c r="CU147" s="517"/>
      <c r="CV147" s="517"/>
      <c r="CW147" s="517"/>
      <c r="CX147" s="517"/>
    </row>
    <row r="148" spans="1:102" ht="12" customHeight="1" x14ac:dyDescent="0.2">
      <c r="A148" s="517"/>
      <c r="B148" s="517"/>
      <c r="C148" s="517"/>
      <c r="D148" s="517"/>
      <c r="E148" s="517"/>
      <c r="F148" s="517"/>
      <c r="G148" s="517"/>
      <c r="H148" s="517"/>
      <c r="I148" s="517"/>
      <c r="J148" s="517"/>
      <c r="K148" s="517"/>
      <c r="L148" s="517"/>
      <c r="M148" s="517"/>
      <c r="N148" s="517"/>
      <c r="O148" s="517"/>
      <c r="P148" s="517"/>
      <c r="Q148" s="517"/>
      <c r="R148" s="517"/>
      <c r="S148" s="517"/>
      <c r="T148" s="517"/>
      <c r="U148" s="517"/>
      <c r="V148" s="517"/>
      <c r="W148" s="517"/>
      <c r="X148" s="127"/>
      <c r="Y148" s="127"/>
      <c r="Z148" s="127"/>
      <c r="AA148" s="127"/>
      <c r="AB148" s="127"/>
      <c r="AC148" s="127"/>
      <c r="AD148" s="127"/>
      <c r="AE148" s="127"/>
      <c r="AF148" s="127"/>
      <c r="AG148" s="127"/>
      <c r="AH148" s="127"/>
      <c r="AI148" s="127"/>
      <c r="AJ148" s="127"/>
      <c r="AK148" s="127"/>
      <c r="AL148" s="127"/>
      <c r="AM148" s="127"/>
      <c r="AN148" s="517"/>
      <c r="AO148" s="517"/>
      <c r="AP148" s="517"/>
      <c r="AQ148" s="127"/>
      <c r="AR148" s="517"/>
      <c r="AS148" s="517"/>
      <c r="AT148" s="517"/>
      <c r="AU148" s="592"/>
      <c r="AV148" s="517"/>
      <c r="AW148" s="517"/>
      <c r="AX148" s="517"/>
      <c r="AY148" s="517"/>
      <c r="AZ148" s="517"/>
      <c r="BA148" s="517"/>
      <c r="BB148" s="517"/>
      <c r="BC148" s="517"/>
      <c r="BD148" s="517"/>
      <c r="BE148" s="517"/>
      <c r="BF148" s="517"/>
      <c r="BG148" s="517"/>
      <c r="BH148" s="517"/>
      <c r="BI148" s="517"/>
      <c r="BJ148" s="517"/>
      <c r="BK148" s="517"/>
      <c r="BL148" s="517"/>
      <c r="BM148" s="517"/>
      <c r="BN148" s="517"/>
      <c r="BO148" s="517"/>
      <c r="BP148" s="517"/>
      <c r="BQ148" s="517"/>
      <c r="BR148" s="517"/>
      <c r="BS148" s="517"/>
      <c r="BT148" s="517"/>
      <c r="BU148" s="517"/>
      <c r="BV148" s="517"/>
      <c r="BW148" s="517"/>
      <c r="BX148" s="517"/>
      <c r="BY148" s="517"/>
      <c r="BZ148" s="517"/>
      <c r="CA148" s="517"/>
      <c r="CB148" s="517"/>
      <c r="CC148" s="517"/>
      <c r="CD148" s="517"/>
      <c r="CE148" s="517"/>
      <c r="CF148" s="517"/>
      <c r="CG148" s="517"/>
      <c r="CH148" s="517"/>
      <c r="CI148" s="517"/>
      <c r="CJ148" s="517"/>
      <c r="CK148" s="517"/>
      <c r="CL148" s="517"/>
      <c r="CM148" s="517"/>
      <c r="CN148" s="517"/>
      <c r="CO148" s="517"/>
      <c r="CP148" s="517"/>
      <c r="CQ148" s="517"/>
      <c r="CR148" s="517"/>
      <c r="CS148" s="517"/>
      <c r="CT148" s="517"/>
      <c r="CU148" s="517"/>
      <c r="CV148" s="517"/>
      <c r="CW148" s="517"/>
      <c r="CX148" s="517"/>
    </row>
    <row r="149" spans="1:102" ht="12" customHeight="1" x14ac:dyDescent="0.2">
      <c r="A149" s="517"/>
      <c r="B149" s="517"/>
      <c r="C149" s="517"/>
      <c r="D149" s="517"/>
      <c r="E149" s="517"/>
      <c r="F149" s="517"/>
      <c r="G149" s="517"/>
      <c r="H149" s="517"/>
      <c r="I149" s="517"/>
      <c r="J149" s="517"/>
      <c r="K149" s="517"/>
      <c r="L149" s="517"/>
      <c r="M149" s="517"/>
      <c r="N149" s="517"/>
      <c r="O149" s="517"/>
      <c r="P149" s="517"/>
      <c r="Q149" s="517"/>
      <c r="R149" s="517"/>
      <c r="S149" s="517"/>
      <c r="T149" s="517"/>
      <c r="U149" s="517"/>
      <c r="V149" s="517"/>
      <c r="W149" s="517"/>
      <c r="X149" s="127"/>
      <c r="Y149" s="127"/>
      <c r="Z149" s="127"/>
      <c r="AA149" s="127"/>
      <c r="AB149" s="127"/>
      <c r="AC149" s="127"/>
      <c r="AD149" s="127"/>
      <c r="AE149" s="127"/>
      <c r="AF149" s="127"/>
      <c r="AG149" s="127"/>
      <c r="AH149" s="127"/>
      <c r="AI149" s="127"/>
      <c r="AJ149" s="127"/>
      <c r="AK149" s="127"/>
      <c r="AL149" s="127"/>
      <c r="AM149" s="127"/>
      <c r="AN149" s="517"/>
      <c r="AO149" s="517"/>
      <c r="AP149" s="517"/>
      <c r="AQ149" s="127"/>
      <c r="AR149" s="517"/>
      <c r="AS149" s="517"/>
      <c r="AT149" s="517"/>
      <c r="AU149" s="592"/>
      <c r="AV149" s="517"/>
      <c r="AW149" s="517"/>
      <c r="AX149" s="517"/>
      <c r="AY149" s="517"/>
      <c r="AZ149" s="517"/>
      <c r="BA149" s="517"/>
      <c r="BB149" s="517"/>
      <c r="BC149" s="517"/>
      <c r="BD149" s="517"/>
      <c r="BE149" s="517"/>
      <c r="BF149" s="517"/>
      <c r="BG149" s="517"/>
      <c r="BH149" s="517"/>
      <c r="BI149" s="517"/>
      <c r="BJ149" s="517"/>
      <c r="BK149" s="517"/>
      <c r="BL149" s="517"/>
      <c r="BM149" s="517"/>
      <c r="BN149" s="517"/>
      <c r="BO149" s="517"/>
      <c r="BP149" s="517"/>
      <c r="BQ149" s="517"/>
      <c r="BR149" s="517"/>
      <c r="BS149" s="517"/>
      <c r="BT149" s="517"/>
      <c r="BU149" s="517"/>
      <c r="BV149" s="517"/>
      <c r="BW149" s="517"/>
      <c r="BX149" s="517"/>
      <c r="BY149" s="517"/>
      <c r="BZ149" s="517"/>
      <c r="CA149" s="517"/>
      <c r="CB149" s="517"/>
      <c r="CC149" s="517"/>
      <c r="CD149" s="517"/>
      <c r="CE149" s="517"/>
      <c r="CF149" s="517"/>
      <c r="CG149" s="517"/>
      <c r="CH149" s="517"/>
      <c r="CI149" s="517"/>
      <c r="CJ149" s="517"/>
      <c r="CK149" s="517"/>
      <c r="CL149" s="517"/>
      <c r="CM149" s="517"/>
      <c r="CN149" s="517"/>
      <c r="CO149" s="517"/>
      <c r="CP149" s="517"/>
      <c r="CQ149" s="517"/>
      <c r="CR149" s="517"/>
      <c r="CS149" s="517"/>
      <c r="CT149" s="517"/>
      <c r="CU149" s="517"/>
      <c r="CV149" s="517"/>
      <c r="CW149" s="517"/>
      <c r="CX149" s="517"/>
    </row>
    <row r="150" spans="1:102" ht="12" customHeight="1" x14ac:dyDescent="0.2">
      <c r="A150" s="517"/>
      <c r="B150" s="517"/>
      <c r="C150" s="517"/>
      <c r="D150" s="517"/>
      <c r="E150" s="517"/>
      <c r="F150" s="517"/>
      <c r="G150" s="517"/>
      <c r="H150" s="517"/>
      <c r="I150" s="517"/>
      <c r="J150" s="517"/>
      <c r="K150" s="517"/>
      <c r="L150" s="517"/>
      <c r="M150" s="517"/>
      <c r="N150" s="517"/>
      <c r="O150" s="517"/>
      <c r="P150" s="517"/>
      <c r="Q150" s="517"/>
      <c r="R150" s="517"/>
      <c r="S150" s="517"/>
      <c r="T150" s="517"/>
      <c r="U150" s="517"/>
      <c r="V150" s="517"/>
      <c r="W150" s="517"/>
      <c r="X150" s="127"/>
      <c r="Y150" s="127"/>
      <c r="Z150" s="127"/>
      <c r="AA150" s="127"/>
      <c r="AB150" s="127"/>
      <c r="AC150" s="127"/>
      <c r="AD150" s="127"/>
      <c r="AE150" s="127"/>
      <c r="AF150" s="127"/>
      <c r="AG150" s="127"/>
      <c r="AH150" s="127"/>
      <c r="AI150" s="127"/>
      <c r="AJ150" s="127"/>
      <c r="AK150" s="127"/>
      <c r="AL150" s="127"/>
      <c r="AM150" s="127"/>
      <c r="AN150" s="517"/>
      <c r="AO150" s="517"/>
      <c r="AP150" s="517"/>
      <c r="AQ150" s="127"/>
      <c r="AR150" s="517"/>
      <c r="AS150" s="517"/>
      <c r="AT150" s="517"/>
      <c r="AU150" s="592"/>
      <c r="AV150" s="517"/>
      <c r="AW150" s="517"/>
      <c r="AX150" s="517"/>
      <c r="AY150" s="517"/>
      <c r="AZ150" s="517"/>
      <c r="BA150" s="517"/>
      <c r="BB150" s="517"/>
      <c r="BC150" s="517"/>
      <c r="BD150" s="517"/>
      <c r="BE150" s="517"/>
      <c r="BF150" s="517"/>
      <c r="BG150" s="517"/>
      <c r="BH150" s="517"/>
      <c r="BI150" s="517"/>
      <c r="BJ150" s="517"/>
      <c r="BK150" s="517"/>
      <c r="BL150" s="517"/>
      <c r="BM150" s="517"/>
      <c r="BN150" s="517"/>
      <c r="BO150" s="517"/>
      <c r="BP150" s="517"/>
      <c r="BQ150" s="517"/>
      <c r="BR150" s="517"/>
      <c r="BS150" s="517"/>
      <c r="BT150" s="517"/>
      <c r="BU150" s="517"/>
      <c r="BV150" s="517"/>
      <c r="BW150" s="517"/>
      <c r="BX150" s="517"/>
      <c r="BY150" s="517"/>
      <c r="BZ150" s="517"/>
      <c r="CA150" s="517"/>
      <c r="CB150" s="517"/>
      <c r="CC150" s="517"/>
      <c r="CD150" s="517"/>
      <c r="CE150" s="517"/>
      <c r="CF150" s="517"/>
      <c r="CG150" s="517"/>
      <c r="CH150" s="517"/>
      <c r="CI150" s="517"/>
      <c r="CJ150" s="517"/>
      <c r="CK150" s="517"/>
      <c r="CL150" s="517"/>
      <c r="CM150" s="517"/>
      <c r="CN150" s="517"/>
      <c r="CO150" s="517"/>
      <c r="CP150" s="517"/>
      <c r="CQ150" s="517"/>
      <c r="CR150" s="517"/>
      <c r="CS150" s="517"/>
      <c r="CT150" s="517"/>
      <c r="CU150" s="517"/>
      <c r="CV150" s="517"/>
      <c r="CW150" s="517"/>
      <c r="CX150" s="517"/>
    </row>
    <row r="151" spans="1:102" ht="12" customHeight="1" x14ac:dyDescent="0.2">
      <c r="A151" s="517"/>
      <c r="B151" s="517"/>
      <c r="C151" s="517"/>
      <c r="D151" s="517"/>
      <c r="E151" s="517"/>
      <c r="F151" s="517"/>
      <c r="G151" s="517"/>
      <c r="H151" s="517"/>
      <c r="I151" s="517"/>
      <c r="J151" s="517"/>
      <c r="K151" s="517"/>
      <c r="L151" s="517"/>
      <c r="M151" s="517"/>
      <c r="N151" s="517"/>
      <c r="O151" s="517"/>
      <c r="P151" s="517"/>
      <c r="Q151" s="517"/>
      <c r="R151" s="517"/>
      <c r="S151" s="517"/>
      <c r="T151" s="517"/>
      <c r="U151" s="517"/>
      <c r="V151" s="517"/>
      <c r="W151" s="517"/>
      <c r="X151" s="127"/>
      <c r="Y151" s="127"/>
      <c r="Z151" s="127"/>
      <c r="AA151" s="127"/>
      <c r="AB151" s="127"/>
      <c r="AC151" s="127"/>
      <c r="AD151" s="127"/>
      <c r="AE151" s="127"/>
      <c r="AF151" s="127"/>
      <c r="AG151" s="127"/>
      <c r="AH151" s="127"/>
      <c r="AI151" s="127"/>
      <c r="AJ151" s="127"/>
      <c r="AK151" s="127"/>
      <c r="AL151" s="127"/>
      <c r="AM151" s="127"/>
      <c r="AN151" s="517"/>
      <c r="AO151" s="517"/>
      <c r="AP151" s="517"/>
      <c r="AQ151" s="127"/>
      <c r="AR151" s="517"/>
      <c r="AS151" s="517"/>
      <c r="AT151" s="517"/>
      <c r="AU151" s="592"/>
      <c r="AV151" s="517"/>
      <c r="AW151" s="517"/>
      <c r="AX151" s="517"/>
      <c r="AY151" s="517"/>
      <c r="AZ151" s="517"/>
      <c r="BA151" s="517"/>
      <c r="BB151" s="517"/>
      <c r="BC151" s="517"/>
      <c r="BD151" s="517"/>
      <c r="BE151" s="517"/>
      <c r="BF151" s="517"/>
      <c r="BG151" s="517"/>
      <c r="BH151" s="517"/>
      <c r="BI151" s="517"/>
      <c r="BJ151" s="517"/>
      <c r="BK151" s="517"/>
      <c r="BL151" s="517"/>
      <c r="BM151" s="517"/>
      <c r="BN151" s="517"/>
      <c r="BO151" s="517"/>
      <c r="BP151" s="517"/>
      <c r="BQ151" s="517"/>
      <c r="BR151" s="517"/>
      <c r="BS151" s="517"/>
      <c r="BT151" s="517"/>
      <c r="BU151" s="517"/>
      <c r="BV151" s="517"/>
      <c r="BW151" s="517"/>
      <c r="BX151" s="517"/>
      <c r="BY151" s="517"/>
      <c r="BZ151" s="517"/>
      <c r="CA151" s="517"/>
      <c r="CB151" s="517"/>
      <c r="CC151" s="517"/>
      <c r="CD151" s="517"/>
      <c r="CE151" s="517"/>
      <c r="CF151" s="517"/>
      <c r="CG151" s="517"/>
      <c r="CH151" s="517"/>
      <c r="CI151" s="517"/>
      <c r="CJ151" s="517"/>
      <c r="CK151" s="517"/>
      <c r="CL151" s="517"/>
      <c r="CM151" s="517"/>
      <c r="CN151" s="517"/>
      <c r="CO151" s="517"/>
      <c r="CP151" s="517"/>
      <c r="CQ151" s="517"/>
      <c r="CR151" s="517"/>
      <c r="CS151" s="517"/>
      <c r="CT151" s="517"/>
      <c r="CU151" s="517"/>
      <c r="CV151" s="517"/>
      <c r="CW151" s="517"/>
      <c r="CX151" s="517"/>
    </row>
    <row r="152" spans="1:102" ht="12" customHeight="1" x14ac:dyDescent="0.2">
      <c r="A152" s="517"/>
      <c r="B152" s="517"/>
      <c r="C152" s="517"/>
      <c r="D152" s="517"/>
      <c r="E152" s="517"/>
      <c r="F152" s="517"/>
      <c r="G152" s="517"/>
      <c r="H152" s="517"/>
      <c r="I152" s="517"/>
      <c r="J152" s="517"/>
      <c r="K152" s="517"/>
      <c r="L152" s="517"/>
      <c r="M152" s="517"/>
      <c r="N152" s="517"/>
      <c r="O152" s="517"/>
      <c r="P152" s="517"/>
      <c r="Q152" s="517"/>
      <c r="R152" s="517"/>
      <c r="S152" s="517"/>
      <c r="T152" s="517"/>
      <c r="U152" s="517"/>
      <c r="V152" s="517"/>
      <c r="W152" s="517"/>
      <c r="X152" s="127"/>
      <c r="Y152" s="127"/>
      <c r="Z152" s="127"/>
      <c r="AA152" s="127"/>
      <c r="AB152" s="127"/>
      <c r="AC152" s="127"/>
      <c r="AD152" s="127"/>
      <c r="AE152" s="127"/>
      <c r="AF152" s="127"/>
      <c r="AG152" s="127"/>
      <c r="AH152" s="127"/>
      <c r="AI152" s="127"/>
      <c r="AJ152" s="127"/>
      <c r="AK152" s="127"/>
      <c r="AL152" s="127"/>
      <c r="AM152" s="127"/>
      <c r="AN152" s="517"/>
      <c r="AO152" s="517"/>
      <c r="AP152" s="517"/>
      <c r="AQ152" s="127"/>
      <c r="AR152" s="517"/>
      <c r="AS152" s="517"/>
      <c r="AT152" s="517"/>
      <c r="AU152" s="592"/>
      <c r="AV152" s="517"/>
      <c r="AW152" s="517"/>
      <c r="AX152" s="517"/>
      <c r="AY152" s="517"/>
      <c r="AZ152" s="517"/>
      <c r="BA152" s="517"/>
      <c r="BB152" s="517"/>
      <c r="BC152" s="517"/>
      <c r="BD152" s="517"/>
      <c r="BE152" s="517"/>
      <c r="BF152" s="517"/>
      <c r="BG152" s="517"/>
      <c r="BH152" s="517"/>
      <c r="BI152" s="517"/>
      <c r="BJ152" s="517"/>
      <c r="BK152" s="517"/>
      <c r="BL152" s="517"/>
      <c r="BM152" s="517"/>
      <c r="BN152" s="517"/>
      <c r="BO152" s="517"/>
      <c r="BP152" s="517"/>
      <c r="BQ152" s="517"/>
      <c r="BR152" s="517"/>
      <c r="BS152" s="517"/>
      <c r="BT152" s="517"/>
      <c r="BU152" s="517"/>
      <c r="BV152" s="517"/>
      <c r="BW152" s="517"/>
      <c r="BX152" s="517"/>
      <c r="BY152" s="517"/>
      <c r="BZ152" s="517"/>
      <c r="CA152" s="517"/>
      <c r="CB152" s="517"/>
      <c r="CC152" s="517"/>
      <c r="CD152" s="517"/>
      <c r="CE152" s="517"/>
      <c r="CF152" s="517"/>
      <c r="CG152" s="517"/>
      <c r="CH152" s="517"/>
      <c r="CI152" s="517"/>
      <c r="CJ152" s="517"/>
      <c r="CK152" s="517"/>
      <c r="CL152" s="517"/>
      <c r="CM152" s="517"/>
      <c r="CN152" s="517"/>
      <c r="CO152" s="517"/>
      <c r="CP152" s="517"/>
      <c r="CQ152" s="517"/>
      <c r="CR152" s="517"/>
      <c r="CS152" s="517"/>
      <c r="CT152" s="517"/>
      <c r="CU152" s="517"/>
      <c r="CV152" s="517"/>
      <c r="CW152" s="517"/>
      <c r="CX152" s="517"/>
    </row>
    <row r="153" spans="1:102" ht="12" customHeight="1" x14ac:dyDescent="0.2">
      <c r="A153" s="517"/>
      <c r="B153" s="517"/>
      <c r="C153" s="517"/>
      <c r="D153" s="517"/>
      <c r="E153" s="517"/>
      <c r="F153" s="517"/>
      <c r="G153" s="517"/>
      <c r="H153" s="517"/>
      <c r="I153" s="517"/>
      <c r="J153" s="517"/>
      <c r="K153" s="517"/>
      <c r="L153" s="517"/>
      <c r="M153" s="517"/>
      <c r="N153" s="517"/>
      <c r="O153" s="517"/>
      <c r="P153" s="517"/>
      <c r="Q153" s="517"/>
      <c r="R153" s="517"/>
      <c r="S153" s="517"/>
      <c r="T153" s="517"/>
      <c r="U153" s="517"/>
      <c r="V153" s="517"/>
      <c r="W153" s="517"/>
      <c r="X153" s="127"/>
      <c r="Y153" s="127"/>
      <c r="Z153" s="127"/>
      <c r="AA153" s="127"/>
      <c r="AB153" s="127"/>
      <c r="AC153" s="127"/>
      <c r="AD153" s="127"/>
      <c r="AE153" s="127"/>
      <c r="AF153" s="127"/>
      <c r="AG153" s="127"/>
      <c r="AH153" s="127"/>
      <c r="AI153" s="127"/>
      <c r="AJ153" s="127"/>
      <c r="AK153" s="127"/>
      <c r="AL153" s="127"/>
      <c r="AM153" s="127"/>
      <c r="AN153" s="517"/>
      <c r="AO153" s="517"/>
      <c r="AP153" s="517"/>
      <c r="AQ153" s="127"/>
      <c r="AR153" s="517"/>
      <c r="AS153" s="517"/>
      <c r="AT153" s="517"/>
      <c r="AU153" s="592"/>
      <c r="AV153" s="517"/>
      <c r="AW153" s="517"/>
      <c r="AX153" s="517"/>
      <c r="AY153" s="517"/>
      <c r="AZ153" s="517"/>
      <c r="BA153" s="517"/>
      <c r="BB153" s="517"/>
      <c r="BC153" s="517"/>
      <c r="BD153" s="517"/>
      <c r="BE153" s="517"/>
      <c r="BF153" s="517"/>
      <c r="BG153" s="517"/>
      <c r="BH153" s="517"/>
      <c r="BI153" s="517"/>
      <c r="BJ153" s="517"/>
      <c r="BK153" s="517"/>
      <c r="BL153" s="517"/>
      <c r="BM153" s="517"/>
      <c r="BN153" s="517"/>
      <c r="BO153" s="517"/>
      <c r="BP153" s="517"/>
      <c r="BQ153" s="517"/>
      <c r="BR153" s="517"/>
      <c r="BS153" s="517"/>
      <c r="BT153" s="517"/>
      <c r="BU153" s="517"/>
      <c r="BV153" s="517"/>
      <c r="BW153" s="517"/>
      <c r="BX153" s="517"/>
      <c r="BY153" s="517"/>
      <c r="BZ153" s="517"/>
      <c r="CA153" s="517"/>
      <c r="CB153" s="517"/>
      <c r="CC153" s="517"/>
      <c r="CD153" s="517"/>
      <c r="CE153" s="517"/>
      <c r="CF153" s="517"/>
      <c r="CG153" s="517"/>
      <c r="CH153" s="517"/>
      <c r="CI153" s="517"/>
      <c r="CJ153" s="517"/>
      <c r="CK153" s="517"/>
      <c r="CL153" s="517"/>
      <c r="CM153" s="517"/>
      <c r="CN153" s="517"/>
      <c r="CO153" s="517"/>
      <c r="CP153" s="517"/>
      <c r="CQ153" s="517"/>
      <c r="CR153" s="517"/>
      <c r="CS153" s="517"/>
      <c r="CT153" s="517"/>
      <c r="CU153" s="517"/>
      <c r="CV153" s="517"/>
      <c r="CW153" s="517"/>
      <c r="CX153" s="517"/>
    </row>
    <row r="154" spans="1:102" ht="12" customHeight="1" x14ac:dyDescent="0.2">
      <c r="A154" s="517"/>
      <c r="B154" s="517"/>
      <c r="C154" s="517"/>
      <c r="D154" s="517"/>
      <c r="E154" s="517"/>
      <c r="F154" s="517"/>
      <c r="G154" s="517"/>
      <c r="H154" s="517"/>
      <c r="I154" s="517"/>
      <c r="J154" s="517"/>
      <c r="K154" s="517"/>
      <c r="L154" s="517"/>
      <c r="M154" s="517"/>
      <c r="N154" s="517"/>
      <c r="O154" s="517"/>
      <c r="P154" s="517"/>
      <c r="Q154" s="517"/>
      <c r="R154" s="517"/>
      <c r="S154" s="517"/>
      <c r="T154" s="517"/>
      <c r="U154" s="517"/>
      <c r="V154" s="517"/>
      <c r="W154" s="517"/>
      <c r="X154" s="127"/>
      <c r="Y154" s="127"/>
      <c r="Z154" s="127"/>
      <c r="AA154" s="127"/>
      <c r="AB154" s="127"/>
      <c r="AC154" s="127"/>
      <c r="AD154" s="127"/>
      <c r="AE154" s="127"/>
      <c r="AF154" s="127"/>
      <c r="AG154" s="127"/>
      <c r="AH154" s="127"/>
      <c r="AI154" s="127"/>
      <c r="AJ154" s="127"/>
      <c r="AK154" s="127"/>
      <c r="AL154" s="127"/>
      <c r="AM154" s="127"/>
      <c r="AN154" s="517"/>
      <c r="AO154" s="517"/>
      <c r="AP154" s="517"/>
      <c r="AQ154" s="127"/>
      <c r="AR154" s="517"/>
      <c r="AS154" s="517"/>
      <c r="AT154" s="517"/>
      <c r="AU154" s="592"/>
      <c r="AV154" s="517"/>
      <c r="AW154" s="517"/>
      <c r="AX154" s="517"/>
      <c r="AY154" s="517"/>
      <c r="AZ154" s="517"/>
      <c r="BA154" s="517"/>
      <c r="BB154" s="517"/>
      <c r="BC154" s="517"/>
      <c r="BD154" s="517"/>
      <c r="BE154" s="517"/>
      <c r="BF154" s="517"/>
      <c r="BG154" s="517"/>
      <c r="BH154" s="517"/>
      <c r="BI154" s="517"/>
      <c r="BJ154" s="517"/>
      <c r="BK154" s="517"/>
      <c r="BL154" s="517"/>
      <c r="BM154" s="517"/>
      <c r="BN154" s="517"/>
      <c r="BO154" s="517"/>
      <c r="BP154" s="517"/>
      <c r="BQ154" s="517"/>
      <c r="BR154" s="517"/>
      <c r="BS154" s="517"/>
      <c r="BT154" s="517"/>
      <c r="BU154" s="517"/>
      <c r="BV154" s="517"/>
      <c r="BW154" s="517"/>
      <c r="BX154" s="517"/>
      <c r="BY154" s="517"/>
      <c r="BZ154" s="517"/>
      <c r="CA154" s="517"/>
      <c r="CB154" s="517"/>
      <c r="CC154" s="517"/>
      <c r="CD154" s="517"/>
      <c r="CE154" s="517"/>
      <c r="CF154" s="517"/>
      <c r="CG154" s="517"/>
      <c r="CH154" s="517"/>
      <c r="CI154" s="517"/>
      <c r="CJ154" s="517"/>
      <c r="CK154" s="517"/>
      <c r="CL154" s="517"/>
      <c r="CM154" s="517"/>
      <c r="CN154" s="517"/>
      <c r="CO154" s="517"/>
      <c r="CP154" s="517"/>
      <c r="CQ154" s="517"/>
      <c r="CR154" s="517"/>
      <c r="CS154" s="517"/>
      <c r="CT154" s="517"/>
      <c r="CU154" s="517"/>
      <c r="CV154" s="517"/>
      <c r="CW154" s="517"/>
      <c r="CX154" s="517"/>
    </row>
    <row r="155" spans="1:102" ht="12" customHeight="1" x14ac:dyDescent="0.2">
      <c r="A155" s="517"/>
      <c r="B155" s="517"/>
      <c r="C155" s="517"/>
      <c r="D155" s="517"/>
      <c r="E155" s="517"/>
      <c r="F155" s="517"/>
      <c r="G155" s="517"/>
      <c r="H155" s="517"/>
      <c r="I155" s="517"/>
      <c r="J155" s="517"/>
      <c r="K155" s="517"/>
      <c r="L155" s="517"/>
      <c r="M155" s="517"/>
      <c r="N155" s="517"/>
      <c r="O155" s="517"/>
      <c r="P155" s="517"/>
      <c r="Q155" s="517"/>
      <c r="R155" s="517"/>
      <c r="S155" s="517"/>
      <c r="T155" s="517"/>
      <c r="U155" s="517"/>
      <c r="V155" s="517"/>
      <c r="W155" s="517"/>
      <c r="X155" s="127"/>
      <c r="Y155" s="127"/>
      <c r="Z155" s="127"/>
      <c r="AA155" s="127"/>
      <c r="AB155" s="127"/>
      <c r="AC155" s="127"/>
      <c r="AD155" s="127"/>
      <c r="AE155" s="127"/>
      <c r="AF155" s="127"/>
      <c r="AG155" s="127"/>
      <c r="AH155" s="127"/>
      <c r="AI155" s="127"/>
      <c r="AJ155" s="127"/>
      <c r="AK155" s="127"/>
      <c r="AL155" s="127"/>
      <c r="AM155" s="127"/>
      <c r="AN155" s="517"/>
      <c r="AO155" s="517"/>
      <c r="AP155" s="517"/>
      <c r="AQ155" s="127"/>
      <c r="AR155" s="517"/>
      <c r="AS155" s="517"/>
      <c r="AT155" s="517"/>
      <c r="AU155" s="592"/>
      <c r="AV155" s="517"/>
      <c r="AW155" s="517"/>
      <c r="AX155" s="517"/>
      <c r="AY155" s="517"/>
      <c r="AZ155" s="517"/>
      <c r="BA155" s="517"/>
      <c r="BB155" s="517"/>
      <c r="BC155" s="517"/>
      <c r="BD155" s="517"/>
      <c r="BE155" s="517"/>
      <c r="BF155" s="517"/>
      <c r="BG155" s="517"/>
      <c r="BH155" s="517"/>
      <c r="BI155" s="517"/>
      <c r="BJ155" s="517"/>
      <c r="BK155" s="517"/>
      <c r="BL155" s="517"/>
      <c r="BM155" s="517"/>
      <c r="BN155" s="517"/>
      <c r="BO155" s="517"/>
      <c r="BP155" s="517"/>
      <c r="BQ155" s="517"/>
      <c r="BR155" s="517"/>
      <c r="BS155" s="517"/>
      <c r="BT155" s="517"/>
      <c r="BU155" s="517"/>
      <c r="BV155" s="517"/>
      <c r="BW155" s="517"/>
      <c r="BX155" s="517"/>
      <c r="BY155" s="517"/>
      <c r="BZ155" s="517"/>
      <c r="CA155" s="517"/>
      <c r="CB155" s="517"/>
      <c r="CC155" s="517"/>
      <c r="CD155" s="517"/>
      <c r="CE155" s="517"/>
      <c r="CF155" s="517"/>
      <c r="CG155" s="517"/>
      <c r="CH155" s="517"/>
      <c r="CI155" s="517"/>
      <c r="CJ155" s="517"/>
      <c r="CK155" s="517"/>
      <c r="CL155" s="517"/>
      <c r="CM155" s="517"/>
      <c r="CN155" s="517"/>
      <c r="CO155" s="517"/>
      <c r="CP155" s="517"/>
      <c r="CQ155" s="517"/>
      <c r="CR155" s="517"/>
      <c r="CS155" s="517"/>
      <c r="CT155" s="517"/>
      <c r="CU155" s="517"/>
      <c r="CV155" s="517"/>
      <c r="CW155" s="517"/>
      <c r="CX155" s="517"/>
    </row>
    <row r="156" spans="1:102" ht="12" customHeight="1" x14ac:dyDescent="0.2">
      <c r="A156" s="517"/>
      <c r="B156" s="517"/>
      <c r="C156" s="517"/>
      <c r="D156" s="517"/>
      <c r="E156" s="517"/>
      <c r="F156" s="517"/>
      <c r="G156" s="517"/>
      <c r="H156" s="517"/>
      <c r="I156" s="517"/>
      <c r="J156" s="517"/>
      <c r="K156" s="517"/>
      <c r="L156" s="517"/>
      <c r="M156" s="517"/>
      <c r="N156" s="517"/>
      <c r="O156" s="517"/>
      <c r="P156" s="517"/>
      <c r="Q156" s="517"/>
      <c r="R156" s="517"/>
      <c r="S156" s="517"/>
      <c r="T156" s="517"/>
      <c r="U156" s="517"/>
      <c r="V156" s="517"/>
      <c r="W156" s="517"/>
      <c r="X156" s="127"/>
      <c r="Y156" s="127"/>
      <c r="Z156" s="127"/>
      <c r="AA156" s="127"/>
      <c r="AB156" s="127"/>
      <c r="AC156" s="127"/>
      <c r="AD156" s="127"/>
      <c r="AE156" s="127"/>
      <c r="AF156" s="127"/>
      <c r="AG156" s="127"/>
      <c r="AH156" s="127"/>
      <c r="AI156" s="127"/>
      <c r="AJ156" s="127"/>
      <c r="AK156" s="127"/>
      <c r="AL156" s="127"/>
      <c r="AM156" s="127"/>
      <c r="AN156" s="517"/>
      <c r="AO156" s="517"/>
      <c r="AP156" s="517"/>
      <c r="AQ156" s="127"/>
      <c r="AR156" s="517"/>
      <c r="AS156" s="517"/>
      <c r="AT156" s="517"/>
      <c r="AU156" s="592"/>
      <c r="AV156" s="517"/>
      <c r="AW156" s="517"/>
      <c r="AX156" s="517"/>
      <c r="AY156" s="517"/>
      <c r="AZ156" s="517"/>
      <c r="BA156" s="517"/>
      <c r="BB156" s="517"/>
      <c r="BC156" s="517"/>
      <c r="BD156" s="517"/>
      <c r="BE156" s="517"/>
      <c r="BF156" s="517"/>
      <c r="BG156" s="517"/>
      <c r="BH156" s="517"/>
      <c r="BI156" s="517"/>
      <c r="BJ156" s="517"/>
      <c r="BK156" s="517"/>
      <c r="BL156" s="517"/>
      <c r="BM156" s="517"/>
      <c r="BN156" s="517"/>
      <c r="BO156" s="517"/>
      <c r="BP156" s="517"/>
      <c r="BQ156" s="517"/>
      <c r="BR156" s="517"/>
      <c r="BS156" s="517"/>
      <c r="BT156" s="517"/>
      <c r="BU156" s="517"/>
      <c r="BV156" s="517"/>
      <c r="BW156" s="517"/>
      <c r="BX156" s="517"/>
      <c r="BY156" s="517"/>
      <c r="BZ156" s="517"/>
      <c r="CA156" s="517"/>
      <c r="CB156" s="517"/>
      <c r="CC156" s="517"/>
      <c r="CD156" s="517"/>
      <c r="CE156" s="517"/>
      <c r="CF156" s="517"/>
      <c r="CG156" s="517"/>
      <c r="CH156" s="517"/>
      <c r="CI156" s="517"/>
      <c r="CJ156" s="517"/>
      <c r="CK156" s="517"/>
      <c r="CL156" s="517"/>
      <c r="CM156" s="517"/>
      <c r="CN156" s="517"/>
      <c r="CO156" s="517"/>
      <c r="CP156" s="517"/>
      <c r="CQ156" s="517"/>
      <c r="CR156" s="517"/>
      <c r="CS156" s="517"/>
      <c r="CT156" s="517"/>
      <c r="CU156" s="517"/>
      <c r="CV156" s="517"/>
      <c r="CW156" s="517"/>
      <c r="CX156" s="517"/>
    </row>
    <row r="157" spans="1:102" ht="12" customHeight="1" x14ac:dyDescent="0.2">
      <c r="A157" s="517"/>
      <c r="B157" s="517"/>
      <c r="C157" s="517"/>
      <c r="D157" s="517"/>
      <c r="E157" s="517"/>
      <c r="F157" s="517"/>
      <c r="G157" s="517"/>
      <c r="H157" s="517"/>
      <c r="I157" s="517"/>
      <c r="J157" s="517"/>
      <c r="K157" s="517"/>
      <c r="L157" s="517"/>
      <c r="M157" s="517"/>
      <c r="N157" s="517"/>
      <c r="O157" s="517"/>
      <c r="P157" s="517"/>
      <c r="Q157" s="517"/>
      <c r="R157" s="517"/>
      <c r="S157" s="517"/>
      <c r="T157" s="517"/>
      <c r="U157" s="517"/>
      <c r="V157" s="517"/>
      <c r="W157" s="517"/>
      <c r="X157" s="127"/>
      <c r="Y157" s="127"/>
      <c r="Z157" s="127"/>
      <c r="AA157" s="127"/>
      <c r="AB157" s="127"/>
      <c r="AC157" s="127"/>
      <c r="AD157" s="127"/>
      <c r="AE157" s="127"/>
      <c r="AF157" s="127"/>
      <c r="AG157" s="127"/>
      <c r="AH157" s="127"/>
      <c r="AI157" s="127"/>
      <c r="AJ157" s="127"/>
      <c r="AK157" s="127"/>
      <c r="AL157" s="127"/>
      <c r="AM157" s="127"/>
      <c r="AN157" s="517"/>
      <c r="AO157" s="517"/>
      <c r="AP157" s="517"/>
      <c r="AQ157" s="127"/>
      <c r="AR157" s="517"/>
      <c r="AS157" s="517"/>
      <c r="AT157" s="517"/>
      <c r="AU157" s="592"/>
      <c r="AV157" s="517"/>
      <c r="AW157" s="517"/>
      <c r="AX157" s="517"/>
      <c r="AY157" s="517"/>
      <c r="AZ157" s="517"/>
      <c r="BA157" s="517"/>
      <c r="BB157" s="517"/>
      <c r="BC157" s="517"/>
      <c r="BD157" s="517"/>
      <c r="BE157" s="517"/>
      <c r="BF157" s="517"/>
      <c r="BG157" s="517"/>
      <c r="BH157" s="517"/>
      <c r="BI157" s="517"/>
      <c r="BJ157" s="517"/>
      <c r="BK157" s="517"/>
      <c r="BL157" s="517"/>
      <c r="BM157" s="517"/>
      <c r="BN157" s="517"/>
      <c r="BO157" s="517"/>
      <c r="BP157" s="517"/>
      <c r="BQ157" s="517"/>
      <c r="BR157" s="517"/>
      <c r="BS157" s="517"/>
      <c r="BT157" s="517"/>
      <c r="BU157" s="517"/>
      <c r="BV157" s="517"/>
      <c r="BW157" s="517"/>
      <c r="BX157" s="517"/>
      <c r="BY157" s="517"/>
      <c r="BZ157" s="517"/>
      <c r="CA157" s="517"/>
      <c r="CB157" s="517"/>
      <c r="CC157" s="517"/>
      <c r="CD157" s="517"/>
      <c r="CE157" s="517"/>
      <c r="CF157" s="517"/>
      <c r="CG157" s="517"/>
      <c r="CH157" s="517"/>
      <c r="CI157" s="517"/>
      <c r="CJ157" s="517"/>
      <c r="CK157" s="517"/>
      <c r="CL157" s="517"/>
      <c r="CM157" s="517"/>
      <c r="CN157" s="517"/>
      <c r="CO157" s="517"/>
      <c r="CP157" s="517"/>
      <c r="CQ157" s="517"/>
      <c r="CR157" s="517"/>
      <c r="CS157" s="517"/>
      <c r="CT157" s="517"/>
      <c r="CU157" s="517"/>
      <c r="CV157" s="517"/>
      <c r="CW157" s="517"/>
      <c r="CX157" s="517"/>
    </row>
    <row r="158" spans="1:102" ht="12" customHeight="1" x14ac:dyDescent="0.2">
      <c r="A158" s="517"/>
      <c r="B158" s="517"/>
      <c r="C158" s="517"/>
      <c r="D158" s="517"/>
      <c r="E158" s="517"/>
      <c r="F158" s="517"/>
      <c r="G158" s="517"/>
      <c r="H158" s="517"/>
      <c r="I158" s="517"/>
      <c r="J158" s="517"/>
      <c r="K158" s="517"/>
      <c r="L158" s="517"/>
      <c r="M158" s="517"/>
      <c r="N158" s="517"/>
      <c r="O158" s="517"/>
      <c r="P158" s="517"/>
      <c r="Q158" s="517"/>
      <c r="R158" s="517"/>
      <c r="S158" s="517"/>
      <c r="T158" s="517"/>
      <c r="U158" s="517"/>
      <c r="V158" s="517"/>
      <c r="W158" s="517"/>
      <c r="X158" s="127"/>
      <c r="Y158" s="127"/>
      <c r="Z158" s="127"/>
      <c r="AA158" s="127"/>
      <c r="AB158" s="127"/>
      <c r="AC158" s="127"/>
      <c r="AD158" s="127"/>
      <c r="AE158" s="127"/>
      <c r="AF158" s="127"/>
      <c r="AG158" s="127"/>
      <c r="AH158" s="127"/>
      <c r="AI158" s="127"/>
      <c r="AJ158" s="127"/>
      <c r="AK158" s="127"/>
      <c r="AL158" s="127"/>
      <c r="AM158" s="127"/>
      <c r="AN158" s="517"/>
      <c r="AO158" s="517"/>
      <c r="AP158" s="517"/>
      <c r="AQ158" s="127"/>
      <c r="AR158" s="517"/>
      <c r="AS158" s="517"/>
      <c r="AT158" s="517"/>
      <c r="AU158" s="592"/>
      <c r="AV158" s="517"/>
      <c r="AW158" s="517"/>
      <c r="AX158" s="517"/>
      <c r="AY158" s="517"/>
      <c r="AZ158" s="517"/>
      <c r="BA158" s="517"/>
      <c r="BB158" s="517"/>
      <c r="BC158" s="517"/>
      <c r="BD158" s="517"/>
      <c r="BE158" s="517"/>
      <c r="BF158" s="517"/>
      <c r="BG158" s="517"/>
      <c r="BH158" s="517"/>
      <c r="BI158" s="517"/>
      <c r="BJ158" s="517"/>
      <c r="BK158" s="517"/>
      <c r="BL158" s="517"/>
      <c r="BM158" s="517"/>
      <c r="BN158" s="517"/>
      <c r="BO158" s="517"/>
      <c r="BP158" s="517"/>
      <c r="BQ158" s="517"/>
      <c r="BR158" s="517"/>
      <c r="BS158" s="517"/>
      <c r="BT158" s="517"/>
      <c r="BU158" s="517"/>
      <c r="BV158" s="517"/>
      <c r="BW158" s="517"/>
      <c r="BX158" s="517"/>
      <c r="BY158" s="517"/>
      <c r="BZ158" s="517"/>
      <c r="CA158" s="517"/>
      <c r="CB158" s="517"/>
      <c r="CC158" s="517"/>
      <c r="CD158" s="517"/>
      <c r="CE158" s="517"/>
      <c r="CF158" s="517"/>
      <c r="CG158" s="517"/>
      <c r="CH158" s="517"/>
      <c r="CI158" s="517"/>
      <c r="CJ158" s="517"/>
      <c r="CK158" s="517"/>
      <c r="CL158" s="517"/>
      <c r="CM158" s="517"/>
      <c r="CN158" s="517"/>
      <c r="CO158" s="517"/>
      <c r="CP158" s="517"/>
      <c r="CQ158" s="517"/>
      <c r="CR158" s="517"/>
      <c r="CS158" s="517"/>
      <c r="CT158" s="517"/>
      <c r="CU158" s="517"/>
      <c r="CV158" s="517"/>
      <c r="CW158" s="517"/>
      <c r="CX158" s="517"/>
    </row>
    <row r="159" spans="1:102" ht="12" customHeight="1" x14ac:dyDescent="0.2">
      <c r="A159" s="517"/>
      <c r="B159" s="517"/>
      <c r="C159" s="517"/>
      <c r="D159" s="517"/>
      <c r="E159" s="517"/>
      <c r="F159" s="517"/>
      <c r="G159" s="517"/>
      <c r="H159" s="517"/>
      <c r="I159" s="517"/>
      <c r="J159" s="517"/>
      <c r="K159" s="517"/>
      <c r="L159" s="517"/>
      <c r="M159" s="517"/>
      <c r="N159" s="517"/>
      <c r="O159" s="517"/>
      <c r="P159" s="517"/>
      <c r="Q159" s="517"/>
      <c r="R159" s="517"/>
      <c r="S159" s="517"/>
      <c r="T159" s="517"/>
      <c r="U159" s="517"/>
      <c r="V159" s="517"/>
      <c r="W159" s="517"/>
      <c r="X159" s="127"/>
      <c r="Y159" s="127"/>
      <c r="Z159" s="127"/>
      <c r="AA159" s="127"/>
      <c r="AB159" s="127"/>
      <c r="AC159" s="127"/>
      <c r="AD159" s="127"/>
      <c r="AE159" s="127"/>
      <c r="AF159" s="127"/>
      <c r="AG159" s="127"/>
      <c r="AH159" s="127"/>
      <c r="AI159" s="127"/>
      <c r="AJ159" s="127"/>
      <c r="AK159" s="127"/>
      <c r="AL159" s="127"/>
      <c r="AM159" s="127"/>
      <c r="AN159" s="517"/>
      <c r="AO159" s="517"/>
      <c r="AP159" s="517"/>
      <c r="AQ159" s="127"/>
      <c r="AR159" s="517"/>
      <c r="AS159" s="517"/>
      <c r="AT159" s="517"/>
      <c r="AU159" s="592"/>
      <c r="AV159" s="517"/>
      <c r="AW159" s="517"/>
      <c r="AX159" s="517"/>
      <c r="AY159" s="517"/>
      <c r="AZ159" s="517"/>
      <c r="BA159" s="517"/>
      <c r="BB159" s="517"/>
      <c r="BC159" s="517"/>
      <c r="BD159" s="517"/>
      <c r="BE159" s="517"/>
      <c r="BF159" s="517"/>
      <c r="BG159" s="517"/>
      <c r="BH159" s="517"/>
      <c r="BI159" s="517"/>
      <c r="BJ159" s="517"/>
      <c r="BK159" s="517"/>
      <c r="BL159" s="517"/>
      <c r="BM159" s="517"/>
      <c r="BN159" s="517"/>
      <c r="BO159" s="517"/>
      <c r="BP159" s="517"/>
      <c r="BQ159" s="517"/>
      <c r="BR159" s="517"/>
      <c r="BS159" s="517"/>
      <c r="BT159" s="517"/>
      <c r="BU159" s="517"/>
      <c r="BV159" s="517"/>
      <c r="BW159" s="517"/>
      <c r="BX159" s="517"/>
      <c r="BY159" s="517"/>
      <c r="BZ159" s="517"/>
      <c r="CA159" s="517"/>
      <c r="CB159" s="517"/>
      <c r="CC159" s="517"/>
      <c r="CD159" s="517"/>
      <c r="CE159" s="517"/>
      <c r="CF159" s="517"/>
      <c r="CG159" s="517"/>
      <c r="CH159" s="517"/>
      <c r="CI159" s="517"/>
      <c r="CJ159" s="517"/>
      <c r="CK159" s="517"/>
      <c r="CL159" s="517"/>
      <c r="CM159" s="517"/>
      <c r="CN159" s="517"/>
      <c r="CO159" s="517"/>
      <c r="CP159" s="517"/>
      <c r="CQ159" s="517"/>
      <c r="CR159" s="517"/>
      <c r="CS159" s="517"/>
      <c r="CT159" s="517"/>
      <c r="CU159" s="517"/>
      <c r="CV159" s="517"/>
      <c r="CW159" s="517"/>
      <c r="CX159" s="517"/>
    </row>
    <row r="160" spans="1:102" ht="12" customHeight="1" x14ac:dyDescent="0.2">
      <c r="A160" s="517"/>
      <c r="B160" s="517"/>
      <c r="C160" s="517"/>
      <c r="D160" s="517"/>
      <c r="E160" s="517"/>
      <c r="F160" s="517"/>
      <c r="G160" s="517"/>
      <c r="H160" s="517"/>
      <c r="I160" s="517"/>
      <c r="J160" s="517"/>
      <c r="K160" s="517"/>
      <c r="L160" s="517"/>
      <c r="M160" s="517"/>
      <c r="N160" s="517"/>
      <c r="O160" s="517"/>
      <c r="P160" s="517"/>
      <c r="Q160" s="517"/>
      <c r="R160" s="517"/>
      <c r="S160" s="517"/>
      <c r="T160" s="517"/>
      <c r="U160" s="517"/>
      <c r="V160" s="517"/>
      <c r="W160" s="517"/>
      <c r="X160" s="127"/>
      <c r="Y160" s="127"/>
      <c r="Z160" s="127"/>
      <c r="AA160" s="127"/>
      <c r="AB160" s="127"/>
      <c r="AC160" s="127"/>
      <c r="AD160" s="127"/>
      <c r="AE160" s="127"/>
      <c r="AF160" s="127"/>
      <c r="AG160" s="127"/>
      <c r="AH160" s="127"/>
      <c r="AI160" s="127"/>
      <c r="AJ160" s="127"/>
      <c r="AK160" s="127"/>
      <c r="AL160" s="127"/>
      <c r="AM160" s="127"/>
      <c r="AN160" s="517"/>
      <c r="AO160" s="517"/>
      <c r="AP160" s="517"/>
      <c r="AQ160" s="127"/>
      <c r="AR160" s="517"/>
      <c r="AS160" s="517"/>
      <c r="AT160" s="517"/>
      <c r="AU160" s="592"/>
      <c r="AV160" s="517"/>
      <c r="AW160" s="517"/>
      <c r="AX160" s="517"/>
      <c r="AY160" s="517"/>
      <c r="AZ160" s="517"/>
      <c r="BA160" s="517"/>
      <c r="BB160" s="517"/>
      <c r="BC160" s="517"/>
      <c r="BD160" s="517"/>
      <c r="BE160" s="517"/>
      <c r="BF160" s="517"/>
      <c r="BG160" s="517"/>
      <c r="BH160" s="517"/>
      <c r="BI160" s="517"/>
      <c r="BJ160" s="517"/>
      <c r="BK160" s="517"/>
      <c r="BL160" s="517"/>
      <c r="BM160" s="517"/>
      <c r="BN160" s="517"/>
      <c r="BO160" s="517"/>
      <c r="BP160" s="517"/>
      <c r="BQ160" s="517"/>
      <c r="BR160" s="517"/>
      <c r="BS160" s="517"/>
      <c r="BT160" s="517"/>
      <c r="BU160" s="517"/>
      <c r="BV160" s="517"/>
      <c r="BW160" s="517"/>
      <c r="BX160" s="517"/>
      <c r="BY160" s="517"/>
      <c r="BZ160" s="517"/>
      <c r="CA160" s="517"/>
      <c r="CB160" s="517"/>
      <c r="CC160" s="517"/>
      <c r="CD160" s="517"/>
      <c r="CE160" s="517"/>
      <c r="CF160" s="517"/>
      <c r="CG160" s="517"/>
      <c r="CH160" s="517"/>
      <c r="CI160" s="517"/>
      <c r="CJ160" s="517"/>
      <c r="CK160" s="517"/>
      <c r="CL160" s="517"/>
      <c r="CM160" s="517"/>
      <c r="CN160" s="517"/>
      <c r="CO160" s="517"/>
      <c r="CP160" s="517"/>
      <c r="CQ160" s="517"/>
      <c r="CR160" s="517"/>
      <c r="CS160" s="517"/>
      <c r="CT160" s="517"/>
      <c r="CU160" s="517"/>
      <c r="CV160" s="517"/>
      <c r="CW160" s="517"/>
      <c r="CX160" s="517"/>
    </row>
    <row r="161" spans="1:102" ht="12" customHeight="1" x14ac:dyDescent="0.2">
      <c r="A161" s="517"/>
      <c r="B161" s="517"/>
      <c r="C161" s="517"/>
      <c r="D161" s="517"/>
      <c r="E161" s="517"/>
      <c r="F161" s="517"/>
      <c r="G161" s="517"/>
      <c r="H161" s="517"/>
      <c r="I161" s="517"/>
      <c r="J161" s="517"/>
      <c r="K161" s="517"/>
      <c r="L161" s="517"/>
      <c r="M161" s="517"/>
      <c r="N161" s="517"/>
      <c r="O161" s="517"/>
      <c r="P161" s="517"/>
      <c r="Q161" s="517"/>
      <c r="R161" s="517"/>
      <c r="S161" s="517"/>
      <c r="T161" s="517"/>
      <c r="U161" s="517"/>
      <c r="V161" s="517"/>
      <c r="W161" s="517"/>
      <c r="X161" s="127"/>
      <c r="Y161" s="127"/>
      <c r="Z161" s="127"/>
      <c r="AA161" s="127"/>
      <c r="AB161" s="127"/>
      <c r="AC161" s="127"/>
      <c r="AD161" s="127"/>
      <c r="AE161" s="127"/>
      <c r="AF161" s="127"/>
      <c r="AG161" s="127"/>
      <c r="AH161" s="127"/>
      <c r="AI161" s="127"/>
      <c r="AJ161" s="127"/>
      <c r="AK161" s="127"/>
      <c r="AL161" s="127"/>
      <c r="AM161" s="127"/>
      <c r="AN161" s="517"/>
      <c r="AO161" s="517"/>
      <c r="AP161" s="517"/>
      <c r="AQ161" s="127"/>
      <c r="AR161" s="517"/>
      <c r="AS161" s="517"/>
      <c r="AT161" s="517"/>
      <c r="AU161" s="592"/>
      <c r="AV161" s="517"/>
      <c r="AW161" s="517"/>
      <c r="AX161" s="517"/>
      <c r="AY161" s="517"/>
      <c r="AZ161" s="517"/>
      <c r="BA161" s="517"/>
      <c r="BB161" s="517"/>
      <c r="BC161" s="517"/>
      <c r="BD161" s="517"/>
      <c r="BE161" s="517"/>
      <c r="BF161" s="517"/>
      <c r="BG161" s="517"/>
      <c r="BH161" s="517"/>
      <c r="BI161" s="517"/>
      <c r="BJ161" s="517"/>
      <c r="BK161" s="517"/>
      <c r="BL161" s="517"/>
      <c r="BM161" s="517"/>
      <c r="BN161" s="517"/>
      <c r="BO161" s="517"/>
      <c r="BP161" s="517"/>
      <c r="BQ161" s="517"/>
      <c r="BR161" s="517"/>
      <c r="BS161" s="517"/>
      <c r="BT161" s="517"/>
      <c r="BU161" s="517"/>
      <c r="BV161" s="517"/>
      <c r="BW161" s="517"/>
      <c r="BX161" s="517"/>
      <c r="BY161" s="517"/>
      <c r="BZ161" s="517"/>
      <c r="CA161" s="517"/>
      <c r="CB161" s="517"/>
      <c r="CC161" s="517"/>
      <c r="CD161" s="517"/>
      <c r="CE161" s="517"/>
      <c r="CF161" s="517"/>
      <c r="CG161" s="517"/>
      <c r="CH161" s="517"/>
      <c r="CI161" s="517"/>
      <c r="CJ161" s="517"/>
      <c r="CK161" s="517"/>
      <c r="CL161" s="517"/>
      <c r="CM161" s="517"/>
      <c r="CN161" s="517"/>
      <c r="CO161" s="517"/>
      <c r="CP161" s="517"/>
      <c r="CQ161" s="517"/>
      <c r="CR161" s="517"/>
      <c r="CS161" s="517"/>
      <c r="CT161" s="517"/>
      <c r="CU161" s="517"/>
      <c r="CV161" s="517"/>
      <c r="CW161" s="517"/>
      <c r="CX161" s="517"/>
    </row>
    <row r="162" spans="1:102" ht="12" customHeight="1" x14ac:dyDescent="0.2">
      <c r="A162" s="517"/>
      <c r="B162" s="517"/>
      <c r="C162" s="517"/>
      <c r="D162" s="517"/>
      <c r="E162" s="517"/>
      <c r="F162" s="517"/>
      <c r="G162" s="517"/>
      <c r="H162" s="517"/>
      <c r="I162" s="517"/>
      <c r="J162" s="517"/>
      <c r="K162" s="517"/>
      <c r="L162" s="517"/>
      <c r="M162" s="517"/>
      <c r="N162" s="517"/>
      <c r="O162" s="517"/>
      <c r="P162" s="517"/>
      <c r="Q162" s="517"/>
      <c r="R162" s="517"/>
      <c r="S162" s="517"/>
      <c r="T162" s="517"/>
      <c r="U162" s="517"/>
      <c r="V162" s="517"/>
      <c r="W162" s="517"/>
      <c r="X162" s="127"/>
      <c r="Y162" s="127"/>
      <c r="Z162" s="127"/>
      <c r="AA162" s="127"/>
      <c r="AB162" s="127"/>
      <c r="AC162" s="127"/>
      <c r="AD162" s="127"/>
      <c r="AE162" s="127"/>
      <c r="AF162" s="127"/>
      <c r="AG162" s="127"/>
      <c r="AH162" s="127"/>
      <c r="AI162" s="127"/>
      <c r="AJ162" s="127"/>
      <c r="AK162" s="127"/>
      <c r="AL162" s="127"/>
      <c r="AM162" s="127"/>
      <c r="AN162" s="517"/>
      <c r="AO162" s="517"/>
      <c r="AP162" s="517"/>
      <c r="AQ162" s="127"/>
      <c r="AR162" s="517"/>
      <c r="AS162" s="517"/>
      <c r="AT162" s="517"/>
      <c r="AU162" s="592"/>
      <c r="AV162" s="517"/>
      <c r="AW162" s="517"/>
      <c r="AX162" s="517"/>
      <c r="AY162" s="517"/>
      <c r="AZ162" s="517"/>
      <c r="BA162" s="517"/>
      <c r="BB162" s="517"/>
      <c r="BC162" s="517"/>
      <c r="BD162" s="517"/>
      <c r="BE162" s="517"/>
      <c r="BF162" s="517"/>
      <c r="BG162" s="517"/>
      <c r="BH162" s="517"/>
      <c r="BI162" s="517"/>
      <c r="BJ162" s="517"/>
      <c r="BK162" s="517"/>
      <c r="BL162" s="517"/>
      <c r="BM162" s="517"/>
      <c r="BN162" s="517"/>
      <c r="BO162" s="517"/>
      <c r="BP162" s="517"/>
      <c r="BQ162" s="517"/>
      <c r="BR162" s="517"/>
      <c r="BS162" s="517"/>
      <c r="BT162" s="517"/>
      <c r="BU162" s="517"/>
      <c r="BV162" s="517"/>
      <c r="BW162" s="517"/>
      <c r="BX162" s="517"/>
      <c r="BY162" s="517"/>
      <c r="BZ162" s="517"/>
      <c r="CA162" s="517"/>
      <c r="CB162" s="517"/>
      <c r="CC162" s="517"/>
      <c r="CD162" s="517"/>
      <c r="CE162" s="517"/>
      <c r="CF162" s="517"/>
      <c r="CG162" s="517"/>
      <c r="CH162" s="517"/>
      <c r="CI162" s="517"/>
      <c r="CJ162" s="517"/>
      <c r="CK162" s="517"/>
      <c r="CL162" s="517"/>
      <c r="CM162" s="517"/>
      <c r="CN162" s="517"/>
      <c r="CO162" s="517"/>
      <c r="CP162" s="517"/>
      <c r="CQ162" s="517"/>
      <c r="CR162" s="517"/>
      <c r="CS162" s="517"/>
      <c r="CT162" s="517"/>
      <c r="CU162" s="517"/>
      <c r="CV162" s="517"/>
      <c r="CW162" s="517"/>
      <c r="CX162" s="517"/>
    </row>
    <row r="163" spans="1:102" ht="12" customHeight="1" x14ac:dyDescent="0.2">
      <c r="A163" s="517"/>
      <c r="B163" s="517"/>
      <c r="C163" s="517"/>
      <c r="D163" s="517"/>
      <c r="E163" s="517"/>
      <c r="F163" s="517"/>
      <c r="G163" s="517"/>
      <c r="H163" s="517"/>
      <c r="I163" s="517"/>
      <c r="J163" s="517"/>
      <c r="K163" s="517"/>
      <c r="L163" s="517"/>
      <c r="M163" s="517"/>
      <c r="N163" s="517"/>
      <c r="O163" s="517"/>
      <c r="P163" s="517"/>
      <c r="Q163" s="517"/>
      <c r="R163" s="517"/>
      <c r="S163" s="517"/>
      <c r="T163" s="517"/>
      <c r="U163" s="517"/>
      <c r="V163" s="517"/>
      <c r="W163" s="517"/>
      <c r="X163" s="127"/>
      <c r="Y163" s="127"/>
      <c r="Z163" s="127"/>
      <c r="AA163" s="127"/>
      <c r="AB163" s="127"/>
      <c r="AC163" s="127"/>
      <c r="AD163" s="127"/>
      <c r="AE163" s="127"/>
      <c r="AF163" s="127"/>
      <c r="AG163" s="127"/>
      <c r="AH163" s="127"/>
      <c r="AI163" s="127"/>
      <c r="AJ163" s="127"/>
      <c r="AK163" s="127"/>
      <c r="AL163" s="127"/>
      <c r="AM163" s="127"/>
      <c r="AN163" s="517"/>
      <c r="AO163" s="517"/>
      <c r="AP163" s="517"/>
      <c r="AQ163" s="127"/>
      <c r="AR163" s="517"/>
      <c r="AS163" s="517"/>
      <c r="AT163" s="517"/>
      <c r="AU163" s="592"/>
      <c r="AV163" s="517"/>
      <c r="AW163" s="517"/>
      <c r="AX163" s="517"/>
      <c r="AY163" s="517"/>
      <c r="AZ163" s="517"/>
      <c r="BA163" s="517"/>
      <c r="BB163" s="517"/>
      <c r="BC163" s="517"/>
      <c r="BD163" s="517"/>
      <c r="BE163" s="517"/>
      <c r="BF163" s="517"/>
      <c r="BG163" s="517"/>
      <c r="BH163" s="517"/>
      <c r="BI163" s="517"/>
      <c r="BJ163" s="517"/>
      <c r="BK163" s="517"/>
      <c r="BL163" s="517"/>
      <c r="BM163" s="517"/>
      <c r="BN163" s="517"/>
      <c r="BO163" s="517"/>
      <c r="BP163" s="517"/>
      <c r="BQ163" s="517"/>
      <c r="BR163" s="517"/>
      <c r="BS163" s="517"/>
      <c r="BT163" s="517"/>
      <c r="BU163" s="517"/>
      <c r="BV163" s="517"/>
      <c r="BW163" s="517"/>
      <c r="BX163" s="517"/>
      <c r="BY163" s="517"/>
      <c r="BZ163" s="517"/>
      <c r="CA163" s="517"/>
      <c r="CB163" s="517"/>
      <c r="CC163" s="517"/>
      <c r="CD163" s="517"/>
      <c r="CE163" s="517"/>
      <c r="CF163" s="517"/>
      <c r="CG163" s="517"/>
      <c r="CH163" s="517"/>
      <c r="CI163" s="517"/>
      <c r="CJ163" s="517"/>
      <c r="CK163" s="517"/>
      <c r="CL163" s="517"/>
      <c r="CM163" s="517"/>
      <c r="CN163" s="517"/>
      <c r="CO163" s="517"/>
      <c r="CP163" s="517"/>
      <c r="CQ163" s="517"/>
      <c r="CR163" s="517"/>
      <c r="CS163" s="517"/>
      <c r="CT163" s="517"/>
      <c r="CU163" s="517"/>
      <c r="CV163" s="517"/>
      <c r="CW163" s="517"/>
      <c r="CX163" s="517"/>
    </row>
    <row r="164" spans="1:102" ht="12" customHeight="1" x14ac:dyDescent="0.2">
      <c r="A164" s="517"/>
      <c r="B164" s="517"/>
      <c r="C164" s="517"/>
      <c r="D164" s="517"/>
      <c r="E164" s="517"/>
      <c r="F164" s="517"/>
      <c r="G164" s="517"/>
      <c r="H164" s="517"/>
      <c r="I164" s="517"/>
      <c r="J164" s="517"/>
      <c r="K164" s="517"/>
      <c r="L164" s="517"/>
      <c r="M164" s="517"/>
      <c r="N164" s="517"/>
      <c r="O164" s="517"/>
      <c r="P164" s="517"/>
      <c r="Q164" s="517"/>
      <c r="R164" s="517"/>
      <c r="S164" s="517"/>
      <c r="T164" s="517"/>
      <c r="U164" s="517"/>
      <c r="V164" s="517"/>
      <c r="W164" s="517"/>
      <c r="X164" s="127"/>
      <c r="Y164" s="127"/>
      <c r="Z164" s="127"/>
      <c r="AA164" s="127"/>
      <c r="AB164" s="127"/>
      <c r="AC164" s="127"/>
      <c r="AD164" s="127"/>
      <c r="AE164" s="127"/>
      <c r="AF164" s="127"/>
      <c r="AG164" s="127"/>
      <c r="AH164" s="127"/>
      <c r="AI164" s="127"/>
      <c r="AJ164" s="127"/>
      <c r="AK164" s="127"/>
      <c r="AL164" s="127"/>
      <c r="AM164" s="127"/>
      <c r="AN164" s="517"/>
      <c r="AO164" s="517"/>
      <c r="AP164" s="517"/>
      <c r="AQ164" s="127"/>
      <c r="AR164" s="517"/>
      <c r="AS164" s="517"/>
      <c r="AT164" s="517"/>
      <c r="AU164" s="592"/>
      <c r="AV164" s="517"/>
      <c r="AW164" s="517"/>
      <c r="AX164" s="517"/>
      <c r="AY164" s="517"/>
      <c r="AZ164" s="517"/>
      <c r="BA164" s="517"/>
      <c r="BB164" s="517"/>
      <c r="BC164" s="517"/>
      <c r="BD164" s="517"/>
      <c r="BE164" s="517"/>
      <c r="BF164" s="517"/>
      <c r="BG164" s="517"/>
      <c r="BH164" s="517"/>
      <c r="BI164" s="517"/>
      <c r="BJ164" s="517"/>
      <c r="BK164" s="517"/>
      <c r="BL164" s="517"/>
      <c r="BM164" s="517"/>
      <c r="BN164" s="517"/>
      <c r="BO164" s="517"/>
      <c r="BP164" s="517"/>
      <c r="BQ164" s="517"/>
      <c r="BR164" s="517"/>
      <c r="BS164" s="517"/>
      <c r="BT164" s="517"/>
      <c r="BU164" s="517"/>
      <c r="BV164" s="517"/>
      <c r="BW164" s="517"/>
      <c r="BX164" s="517"/>
      <c r="BY164" s="517"/>
      <c r="BZ164" s="517"/>
      <c r="CA164" s="517"/>
      <c r="CB164" s="517"/>
      <c r="CC164" s="517"/>
      <c r="CD164" s="517"/>
      <c r="CE164" s="517"/>
      <c r="CF164" s="517"/>
      <c r="CG164" s="517"/>
      <c r="CH164" s="517"/>
      <c r="CI164" s="517"/>
      <c r="CJ164" s="517"/>
      <c r="CK164" s="517"/>
      <c r="CL164" s="517"/>
      <c r="CM164" s="517"/>
      <c r="CN164" s="517"/>
      <c r="CO164" s="517"/>
      <c r="CP164" s="517"/>
      <c r="CQ164" s="517"/>
      <c r="CR164" s="517"/>
      <c r="CS164" s="517"/>
      <c r="CT164" s="517"/>
      <c r="CU164" s="517"/>
      <c r="CV164" s="517"/>
      <c r="CW164" s="517"/>
      <c r="CX164" s="517"/>
    </row>
    <row r="165" spans="1:102" ht="12" customHeight="1" x14ac:dyDescent="0.2">
      <c r="A165" s="517"/>
      <c r="B165" s="517"/>
      <c r="C165" s="517"/>
      <c r="D165" s="517"/>
      <c r="E165" s="517"/>
      <c r="F165" s="517"/>
      <c r="G165" s="517"/>
      <c r="H165" s="517"/>
      <c r="I165" s="517"/>
      <c r="J165" s="517"/>
      <c r="K165" s="517"/>
      <c r="L165" s="517"/>
      <c r="M165" s="517"/>
      <c r="N165" s="517"/>
      <c r="O165" s="517"/>
      <c r="P165" s="517"/>
      <c r="Q165" s="517"/>
      <c r="R165" s="517"/>
      <c r="S165" s="517"/>
      <c r="T165" s="517"/>
      <c r="U165" s="517"/>
      <c r="V165" s="517"/>
      <c r="W165" s="517"/>
      <c r="X165" s="127"/>
      <c r="Y165" s="127"/>
      <c r="Z165" s="127"/>
      <c r="AA165" s="127"/>
      <c r="AB165" s="127"/>
      <c r="AC165" s="127"/>
      <c r="AD165" s="127"/>
      <c r="AE165" s="127"/>
      <c r="AF165" s="127"/>
      <c r="AG165" s="127"/>
      <c r="AH165" s="127"/>
      <c r="AI165" s="127"/>
      <c r="AJ165" s="127"/>
      <c r="AK165" s="127"/>
      <c r="AL165" s="127"/>
      <c r="AM165" s="127"/>
      <c r="AN165" s="517"/>
      <c r="AO165" s="517"/>
      <c r="AP165" s="517"/>
      <c r="AQ165" s="127"/>
      <c r="AR165" s="517"/>
      <c r="AS165" s="517"/>
      <c r="AT165" s="517"/>
      <c r="AU165" s="592"/>
      <c r="AV165" s="517"/>
      <c r="AW165" s="517"/>
      <c r="AX165" s="517"/>
      <c r="AY165" s="517"/>
      <c r="AZ165" s="517"/>
      <c r="BA165" s="517"/>
      <c r="BB165" s="517"/>
      <c r="BC165" s="517"/>
      <c r="BD165" s="517"/>
      <c r="BE165" s="517"/>
      <c r="BF165" s="517"/>
      <c r="BG165" s="517"/>
      <c r="BH165" s="517"/>
      <c r="BI165" s="517"/>
      <c r="BJ165" s="517"/>
      <c r="BK165" s="517"/>
      <c r="BL165" s="517"/>
      <c r="BM165" s="517"/>
      <c r="BN165" s="517"/>
      <c r="BO165" s="517"/>
      <c r="BP165" s="517"/>
      <c r="BQ165" s="517"/>
      <c r="BR165" s="517"/>
      <c r="BS165" s="517"/>
      <c r="BT165" s="517"/>
      <c r="BU165" s="517"/>
      <c r="BV165" s="517"/>
      <c r="BW165" s="517"/>
      <c r="BX165" s="517"/>
      <c r="BY165" s="517"/>
      <c r="BZ165" s="517"/>
      <c r="CA165" s="517"/>
      <c r="CB165" s="517"/>
      <c r="CC165" s="517"/>
      <c r="CD165" s="517"/>
      <c r="CE165" s="517"/>
      <c r="CF165" s="517"/>
      <c r="CG165" s="517"/>
      <c r="CH165" s="517"/>
      <c r="CI165" s="517"/>
      <c r="CJ165" s="517"/>
      <c r="CK165" s="517"/>
      <c r="CL165" s="517"/>
      <c r="CM165" s="517"/>
      <c r="CN165" s="517"/>
      <c r="CO165" s="517"/>
      <c r="CP165" s="517"/>
      <c r="CQ165" s="517"/>
      <c r="CR165" s="517"/>
      <c r="CS165" s="517"/>
      <c r="CT165" s="517"/>
      <c r="CU165" s="517"/>
      <c r="CV165" s="517"/>
      <c r="CW165" s="517"/>
      <c r="CX165" s="517"/>
    </row>
    <row r="166" spans="1:102" ht="12" customHeight="1" x14ac:dyDescent="0.2">
      <c r="A166" s="517"/>
      <c r="B166" s="517"/>
      <c r="C166" s="517"/>
      <c r="D166" s="517"/>
      <c r="E166" s="517"/>
      <c r="F166" s="517"/>
      <c r="G166" s="517"/>
      <c r="H166" s="517"/>
      <c r="I166" s="517"/>
      <c r="J166" s="517"/>
      <c r="K166" s="517"/>
      <c r="L166" s="517"/>
      <c r="M166" s="517"/>
      <c r="N166" s="517"/>
      <c r="O166" s="517"/>
      <c r="P166" s="517"/>
      <c r="Q166" s="517"/>
      <c r="R166" s="517"/>
      <c r="S166" s="517"/>
      <c r="T166" s="517"/>
      <c r="U166" s="517"/>
      <c r="V166" s="517"/>
      <c r="W166" s="517"/>
      <c r="X166" s="127"/>
      <c r="Y166" s="127"/>
      <c r="Z166" s="127"/>
      <c r="AA166" s="127"/>
      <c r="AB166" s="127"/>
      <c r="AC166" s="127"/>
      <c r="AD166" s="127"/>
      <c r="AE166" s="127"/>
      <c r="AF166" s="127"/>
      <c r="AG166" s="127"/>
      <c r="AH166" s="127"/>
      <c r="AI166" s="127"/>
      <c r="AJ166" s="127"/>
      <c r="AK166" s="127"/>
      <c r="AL166" s="127"/>
      <c r="AM166" s="127"/>
      <c r="AN166" s="517"/>
      <c r="AO166" s="517"/>
      <c r="AP166" s="517"/>
      <c r="AQ166" s="127"/>
      <c r="AR166" s="517"/>
      <c r="AS166" s="517"/>
      <c r="AT166" s="517"/>
      <c r="AU166" s="592"/>
      <c r="AV166" s="517"/>
      <c r="AW166" s="517"/>
      <c r="AX166" s="517"/>
      <c r="AY166" s="517"/>
      <c r="AZ166" s="517"/>
      <c r="BA166" s="517"/>
      <c r="BB166" s="517"/>
      <c r="BC166" s="517"/>
      <c r="BD166" s="517"/>
      <c r="BE166" s="517"/>
      <c r="BF166" s="517"/>
      <c r="BG166" s="517"/>
      <c r="BH166" s="517"/>
      <c r="BI166" s="517"/>
      <c r="BJ166" s="517"/>
      <c r="BK166" s="517"/>
      <c r="BL166" s="517"/>
      <c r="BM166" s="517"/>
      <c r="BN166" s="517"/>
      <c r="BO166" s="517"/>
      <c r="BP166" s="517"/>
      <c r="BQ166" s="517"/>
      <c r="BR166" s="517"/>
      <c r="BS166" s="517"/>
      <c r="BT166" s="517"/>
      <c r="BU166" s="517"/>
      <c r="BV166" s="517"/>
      <c r="BW166" s="517"/>
      <c r="BX166" s="517"/>
      <c r="BY166" s="517"/>
      <c r="BZ166" s="517"/>
      <c r="CA166" s="517"/>
      <c r="CB166" s="517"/>
      <c r="CC166" s="517"/>
      <c r="CD166" s="517"/>
      <c r="CE166" s="517"/>
      <c r="CF166" s="517"/>
      <c r="CG166" s="517"/>
      <c r="CH166" s="517"/>
      <c r="CI166" s="517"/>
      <c r="CJ166" s="517"/>
      <c r="CK166" s="517"/>
      <c r="CL166" s="517"/>
      <c r="CM166" s="517"/>
      <c r="CN166" s="517"/>
      <c r="CO166" s="517"/>
      <c r="CP166" s="517"/>
      <c r="CQ166" s="517"/>
      <c r="CR166" s="517"/>
      <c r="CS166" s="517"/>
      <c r="CT166" s="517"/>
      <c r="CU166" s="517"/>
      <c r="CV166" s="517"/>
      <c r="CW166" s="517"/>
      <c r="CX166" s="517"/>
    </row>
    <row r="167" spans="1:102" ht="12" customHeight="1" x14ac:dyDescent="0.2">
      <c r="A167" s="517"/>
      <c r="B167" s="517"/>
      <c r="C167" s="517"/>
      <c r="D167" s="517"/>
      <c r="E167" s="517"/>
      <c r="F167" s="517"/>
      <c r="G167" s="517"/>
      <c r="H167" s="517"/>
      <c r="I167" s="517"/>
      <c r="J167" s="517"/>
      <c r="K167" s="517"/>
      <c r="L167" s="517"/>
      <c r="M167" s="517"/>
      <c r="N167" s="517"/>
      <c r="O167" s="517"/>
      <c r="P167" s="517"/>
      <c r="Q167" s="517"/>
      <c r="R167" s="517"/>
      <c r="S167" s="517"/>
      <c r="T167" s="517"/>
      <c r="U167" s="517"/>
      <c r="V167" s="517"/>
      <c r="W167" s="517"/>
      <c r="X167" s="127"/>
      <c r="Y167" s="127"/>
      <c r="Z167" s="127"/>
      <c r="AA167" s="127"/>
      <c r="AB167" s="127"/>
      <c r="AC167" s="127"/>
      <c r="AD167" s="127"/>
      <c r="AE167" s="127"/>
      <c r="AF167" s="127"/>
      <c r="AG167" s="127"/>
      <c r="AH167" s="127"/>
      <c r="AI167" s="127"/>
      <c r="AJ167" s="127"/>
      <c r="AK167" s="127"/>
      <c r="AL167" s="127"/>
      <c r="AM167" s="127"/>
      <c r="AN167" s="517"/>
      <c r="AO167" s="517"/>
      <c r="AP167" s="517"/>
      <c r="AQ167" s="127"/>
      <c r="AR167" s="517"/>
      <c r="AS167" s="517"/>
      <c r="AT167" s="517"/>
      <c r="AU167" s="592"/>
      <c r="AV167" s="517"/>
      <c r="AW167" s="517"/>
      <c r="AX167" s="517"/>
      <c r="AY167" s="517"/>
      <c r="AZ167" s="517"/>
      <c r="BA167" s="517"/>
      <c r="BB167" s="517"/>
      <c r="BC167" s="517"/>
      <c r="BD167" s="517"/>
      <c r="BE167" s="517"/>
      <c r="BF167" s="517"/>
      <c r="BG167" s="517"/>
      <c r="BH167" s="517"/>
      <c r="BI167" s="517"/>
      <c r="BJ167" s="517"/>
      <c r="BK167" s="517"/>
      <c r="BL167" s="517"/>
      <c r="BM167" s="517"/>
      <c r="BN167" s="517"/>
      <c r="BO167" s="517"/>
      <c r="BP167" s="517"/>
      <c r="BQ167" s="517"/>
      <c r="BR167" s="517"/>
      <c r="BS167" s="517"/>
      <c r="BT167" s="517"/>
      <c r="BU167" s="517"/>
      <c r="BV167" s="517"/>
      <c r="BW167" s="517"/>
      <c r="BX167" s="517"/>
      <c r="BY167" s="517"/>
      <c r="BZ167" s="517"/>
      <c r="CA167" s="517"/>
      <c r="CB167" s="517"/>
      <c r="CC167" s="517"/>
      <c r="CD167" s="517"/>
      <c r="CE167" s="517"/>
      <c r="CF167" s="517"/>
      <c r="CG167" s="517"/>
      <c r="CH167" s="517"/>
      <c r="CI167" s="517"/>
      <c r="CJ167" s="517"/>
      <c r="CK167" s="517"/>
      <c r="CL167" s="517"/>
      <c r="CM167" s="517"/>
      <c r="CN167" s="517"/>
      <c r="CO167" s="517"/>
      <c r="CP167" s="517"/>
      <c r="CQ167" s="517"/>
      <c r="CR167" s="517"/>
      <c r="CS167" s="517"/>
      <c r="CT167" s="517"/>
      <c r="CU167" s="517"/>
      <c r="CV167" s="517"/>
      <c r="CW167" s="517"/>
      <c r="CX167" s="517"/>
    </row>
    <row r="168" spans="1:102" ht="12" customHeight="1" x14ac:dyDescent="0.2">
      <c r="A168" s="517"/>
      <c r="B168" s="517"/>
      <c r="C168" s="517"/>
      <c r="D168" s="517"/>
      <c r="E168" s="517"/>
      <c r="F168" s="517"/>
      <c r="G168" s="517"/>
      <c r="H168" s="517"/>
      <c r="I168" s="517"/>
      <c r="J168" s="517"/>
      <c r="K168" s="517"/>
      <c r="L168" s="517"/>
      <c r="M168" s="517"/>
      <c r="N168" s="517"/>
      <c r="O168" s="517"/>
      <c r="P168" s="517"/>
      <c r="Q168" s="517"/>
      <c r="R168" s="517"/>
      <c r="S168" s="517"/>
      <c r="T168" s="517"/>
      <c r="U168" s="517"/>
      <c r="V168" s="517"/>
      <c r="W168" s="517"/>
      <c r="X168" s="127"/>
      <c r="Y168" s="127"/>
      <c r="Z168" s="127"/>
      <c r="AA168" s="127"/>
      <c r="AB168" s="127"/>
      <c r="AC168" s="127"/>
      <c r="AD168" s="127"/>
      <c r="AE168" s="127"/>
      <c r="AF168" s="127"/>
      <c r="AG168" s="127"/>
      <c r="AH168" s="127"/>
      <c r="AI168" s="127"/>
      <c r="AJ168" s="127"/>
      <c r="AK168" s="127"/>
      <c r="AL168" s="127"/>
      <c r="AM168" s="127"/>
      <c r="AN168" s="517"/>
      <c r="AO168" s="517"/>
      <c r="AP168" s="517"/>
      <c r="AQ168" s="127"/>
      <c r="AR168" s="517"/>
      <c r="AS168" s="517"/>
      <c r="AT168" s="517"/>
      <c r="AU168" s="592"/>
      <c r="AV168" s="517"/>
      <c r="AW168" s="517"/>
      <c r="AX168" s="517"/>
      <c r="AY168" s="517"/>
      <c r="AZ168" s="517"/>
      <c r="BA168" s="517"/>
      <c r="BB168" s="517"/>
      <c r="BC168" s="517"/>
      <c r="BD168" s="517"/>
      <c r="BE168" s="517"/>
      <c r="BF168" s="517"/>
      <c r="BG168" s="517"/>
      <c r="BH168" s="517"/>
      <c r="BI168" s="517"/>
      <c r="BJ168" s="517"/>
      <c r="BK168" s="517"/>
      <c r="BL168" s="517"/>
      <c r="BM168" s="517"/>
      <c r="BN168" s="517"/>
      <c r="BO168" s="517"/>
      <c r="BP168" s="517"/>
      <c r="BQ168" s="517"/>
      <c r="BR168" s="517"/>
      <c r="BS168" s="517"/>
      <c r="BT168" s="517"/>
      <c r="BU168" s="517"/>
      <c r="BV168" s="517"/>
      <c r="BW168" s="517"/>
      <c r="BX168" s="517"/>
      <c r="BY168" s="517"/>
      <c r="BZ168" s="517"/>
      <c r="CA168" s="517"/>
      <c r="CB168" s="517"/>
      <c r="CC168" s="517"/>
      <c r="CD168" s="517"/>
      <c r="CE168" s="517"/>
      <c r="CF168" s="517"/>
      <c r="CG168" s="517"/>
      <c r="CH168" s="517"/>
      <c r="CI168" s="517"/>
      <c r="CJ168" s="517"/>
      <c r="CK168" s="517"/>
      <c r="CL168" s="517"/>
      <c r="CM168" s="517"/>
      <c r="CN168" s="517"/>
      <c r="CO168" s="517"/>
      <c r="CP168" s="517"/>
      <c r="CQ168" s="517"/>
      <c r="CR168" s="517"/>
      <c r="CS168" s="517"/>
      <c r="CT168" s="517"/>
      <c r="CU168" s="517"/>
      <c r="CV168" s="517"/>
      <c r="CW168" s="517"/>
      <c r="CX168" s="517"/>
    </row>
    <row r="169" spans="1:102" ht="12" customHeight="1" x14ac:dyDescent="0.2">
      <c r="A169" s="517"/>
      <c r="B169" s="517"/>
      <c r="C169" s="517"/>
      <c r="D169" s="517"/>
      <c r="E169" s="517"/>
      <c r="F169" s="517"/>
      <c r="G169" s="517"/>
      <c r="H169" s="517"/>
      <c r="I169" s="517"/>
      <c r="J169" s="517"/>
      <c r="K169" s="517"/>
      <c r="L169" s="517"/>
      <c r="M169" s="517"/>
      <c r="N169" s="517"/>
      <c r="O169" s="517"/>
      <c r="P169" s="517"/>
      <c r="Q169" s="517"/>
      <c r="R169" s="517"/>
      <c r="S169" s="517"/>
      <c r="T169" s="517"/>
      <c r="U169" s="517"/>
      <c r="V169" s="517"/>
      <c r="W169" s="517"/>
      <c r="X169" s="127"/>
      <c r="Y169" s="127"/>
      <c r="Z169" s="127"/>
      <c r="AA169" s="127"/>
      <c r="AB169" s="127"/>
      <c r="AC169" s="127"/>
      <c r="AD169" s="127"/>
      <c r="AE169" s="127"/>
      <c r="AF169" s="127"/>
      <c r="AG169" s="127"/>
      <c r="AH169" s="127"/>
      <c r="AI169" s="127"/>
      <c r="AJ169" s="127"/>
      <c r="AK169" s="127"/>
      <c r="AL169" s="127"/>
      <c r="AM169" s="127"/>
      <c r="AN169" s="517"/>
      <c r="AO169" s="517"/>
      <c r="AP169" s="517"/>
      <c r="AQ169" s="127"/>
      <c r="AR169" s="517"/>
      <c r="AS169" s="517"/>
      <c r="AT169" s="517"/>
      <c r="AU169" s="592"/>
      <c r="AV169" s="517"/>
      <c r="AW169" s="517"/>
      <c r="AX169" s="517"/>
      <c r="AY169" s="517"/>
      <c r="AZ169" s="517"/>
      <c r="BA169" s="517"/>
      <c r="BB169" s="517"/>
      <c r="BC169" s="517"/>
      <c r="BD169" s="517"/>
      <c r="BE169" s="517"/>
      <c r="BF169" s="517"/>
      <c r="BG169" s="517"/>
      <c r="BH169" s="517"/>
      <c r="BI169" s="517"/>
      <c r="BJ169" s="517"/>
      <c r="BK169" s="517"/>
      <c r="BL169" s="517"/>
      <c r="BM169" s="517"/>
      <c r="BN169" s="517"/>
      <c r="BO169" s="517"/>
      <c r="BP169" s="517"/>
      <c r="BQ169" s="517"/>
      <c r="BR169" s="517"/>
      <c r="BS169" s="517"/>
      <c r="BT169" s="517"/>
      <c r="BU169" s="517"/>
      <c r="BV169" s="517"/>
      <c r="BW169" s="517"/>
      <c r="BX169" s="517"/>
      <c r="BY169" s="517"/>
      <c r="BZ169" s="517"/>
      <c r="CA169" s="517"/>
      <c r="CB169" s="517"/>
      <c r="CC169" s="517"/>
      <c r="CD169" s="517"/>
      <c r="CE169" s="517"/>
      <c r="CF169" s="517"/>
      <c r="CG169" s="517"/>
      <c r="CH169" s="517"/>
      <c r="CI169" s="517"/>
      <c r="CJ169" s="517"/>
      <c r="CK169" s="517"/>
      <c r="CL169" s="517"/>
      <c r="CM169" s="517"/>
      <c r="CN169" s="517"/>
      <c r="CO169" s="517"/>
      <c r="CP169" s="517"/>
      <c r="CQ169" s="517"/>
      <c r="CR169" s="517"/>
      <c r="CS169" s="517"/>
      <c r="CT169" s="517"/>
      <c r="CU169" s="517"/>
      <c r="CV169" s="517"/>
      <c r="CW169" s="517"/>
      <c r="CX169" s="517"/>
    </row>
    <row r="170" spans="1:102" ht="12" customHeight="1" x14ac:dyDescent="0.2">
      <c r="A170" s="517"/>
      <c r="B170" s="517"/>
      <c r="C170" s="517"/>
      <c r="D170" s="517"/>
      <c r="E170" s="517"/>
      <c r="F170" s="517"/>
      <c r="G170" s="517"/>
      <c r="H170" s="517"/>
      <c r="I170" s="517"/>
      <c r="J170" s="517"/>
      <c r="K170" s="517"/>
      <c r="L170" s="517"/>
      <c r="M170" s="517"/>
      <c r="N170" s="517"/>
      <c r="O170" s="517"/>
      <c r="P170" s="517"/>
      <c r="Q170" s="517"/>
      <c r="R170" s="517"/>
      <c r="S170" s="517"/>
      <c r="T170" s="517"/>
      <c r="U170" s="517"/>
      <c r="V170" s="517"/>
      <c r="W170" s="517"/>
      <c r="X170" s="127"/>
      <c r="Y170" s="127"/>
      <c r="Z170" s="127"/>
      <c r="AA170" s="127"/>
      <c r="AB170" s="127"/>
      <c r="AC170" s="127"/>
      <c r="AD170" s="127"/>
      <c r="AE170" s="127"/>
      <c r="AF170" s="127"/>
      <c r="AG170" s="127"/>
      <c r="AH170" s="127"/>
      <c r="AI170" s="127"/>
      <c r="AJ170" s="127"/>
      <c r="AK170" s="127"/>
      <c r="AL170" s="127"/>
      <c r="AM170" s="127"/>
      <c r="AN170" s="517"/>
      <c r="AO170" s="517"/>
      <c r="AP170" s="517"/>
      <c r="AQ170" s="127"/>
      <c r="AR170" s="517"/>
      <c r="AS170" s="517"/>
      <c r="AT170" s="517"/>
      <c r="AU170" s="592"/>
      <c r="AV170" s="517"/>
      <c r="AW170" s="517"/>
      <c r="AX170" s="517"/>
      <c r="AY170" s="517"/>
      <c r="AZ170" s="517"/>
      <c r="BA170" s="517"/>
      <c r="BB170" s="517"/>
      <c r="BC170" s="517"/>
      <c r="BD170" s="517"/>
      <c r="BE170" s="517"/>
      <c r="BF170" s="517"/>
      <c r="BG170" s="517"/>
      <c r="BH170" s="517"/>
      <c r="BI170" s="517"/>
      <c r="BJ170" s="517"/>
      <c r="BK170" s="517"/>
      <c r="BL170" s="517"/>
      <c r="BM170" s="517"/>
      <c r="BN170" s="517"/>
      <c r="BO170" s="517"/>
      <c r="BP170" s="517"/>
      <c r="BQ170" s="517"/>
      <c r="BR170" s="517"/>
      <c r="BS170" s="517"/>
      <c r="BT170" s="517"/>
      <c r="BU170" s="517"/>
      <c r="BV170" s="517"/>
      <c r="BW170" s="517"/>
      <c r="BX170" s="517"/>
      <c r="BY170" s="517"/>
      <c r="BZ170" s="517"/>
      <c r="CA170" s="517"/>
      <c r="CB170" s="517"/>
      <c r="CC170" s="517"/>
      <c r="CD170" s="517"/>
      <c r="CE170" s="517"/>
      <c r="CF170" s="517"/>
      <c r="CG170" s="517"/>
      <c r="CH170" s="517"/>
      <c r="CI170" s="517"/>
      <c r="CJ170" s="517"/>
      <c r="CK170" s="517"/>
      <c r="CL170" s="517"/>
      <c r="CM170" s="517"/>
      <c r="CN170" s="517"/>
      <c r="CO170" s="517"/>
      <c r="CP170" s="517"/>
      <c r="CQ170" s="517"/>
      <c r="CR170" s="517"/>
      <c r="CS170" s="517"/>
      <c r="CT170" s="517"/>
      <c r="CU170" s="517"/>
      <c r="CV170" s="517"/>
      <c r="CW170" s="517"/>
      <c r="CX170" s="517"/>
    </row>
    <row r="171" spans="1:102" ht="12" customHeight="1" x14ac:dyDescent="0.2">
      <c r="A171" s="517"/>
      <c r="B171" s="517"/>
      <c r="C171" s="517"/>
      <c r="D171" s="517"/>
      <c r="E171" s="517"/>
      <c r="F171" s="517"/>
      <c r="G171" s="517"/>
      <c r="H171" s="517"/>
      <c r="I171" s="517"/>
      <c r="J171" s="517"/>
      <c r="K171" s="517"/>
      <c r="L171" s="517"/>
      <c r="M171" s="517"/>
      <c r="N171" s="517"/>
      <c r="O171" s="517"/>
      <c r="P171" s="517"/>
      <c r="Q171" s="517"/>
      <c r="R171" s="517"/>
      <c r="S171" s="517"/>
      <c r="T171" s="517"/>
      <c r="U171" s="517"/>
      <c r="V171" s="517"/>
      <c r="W171" s="517"/>
      <c r="X171" s="127"/>
      <c r="Y171" s="127"/>
      <c r="Z171" s="127"/>
      <c r="AA171" s="127"/>
      <c r="AB171" s="127"/>
      <c r="AC171" s="127"/>
      <c r="AD171" s="127"/>
      <c r="AE171" s="127"/>
      <c r="AF171" s="127"/>
      <c r="AG171" s="127"/>
      <c r="AH171" s="127"/>
      <c r="AI171" s="127"/>
      <c r="AJ171" s="127"/>
      <c r="AK171" s="127"/>
      <c r="AL171" s="127"/>
      <c r="AM171" s="127"/>
      <c r="AN171" s="517"/>
      <c r="AO171" s="517"/>
      <c r="AP171" s="517"/>
      <c r="AQ171" s="127"/>
      <c r="AR171" s="517"/>
      <c r="AS171" s="517"/>
      <c r="AT171" s="517"/>
      <c r="AU171" s="592"/>
      <c r="AV171" s="517"/>
      <c r="AW171" s="517"/>
      <c r="AX171" s="517"/>
      <c r="AY171" s="517"/>
      <c r="AZ171" s="517"/>
      <c r="BA171" s="517"/>
      <c r="BB171" s="517"/>
      <c r="BC171" s="517"/>
      <c r="BD171" s="517"/>
      <c r="BE171" s="517"/>
      <c r="BF171" s="517"/>
      <c r="BG171" s="517"/>
      <c r="BH171" s="517"/>
      <c r="BI171" s="517"/>
      <c r="BJ171" s="517"/>
      <c r="BK171" s="517"/>
      <c r="BL171" s="517"/>
      <c r="BM171" s="517"/>
      <c r="BN171" s="517"/>
      <c r="BO171" s="517"/>
      <c r="BP171" s="517"/>
      <c r="BQ171" s="517"/>
      <c r="BR171" s="517"/>
      <c r="BS171" s="517"/>
      <c r="BT171" s="517"/>
      <c r="BU171" s="517"/>
      <c r="BV171" s="517"/>
      <c r="BW171" s="517"/>
      <c r="BX171" s="517"/>
      <c r="BY171" s="517"/>
      <c r="BZ171" s="517"/>
      <c r="CA171" s="517"/>
      <c r="CB171" s="517"/>
      <c r="CC171" s="517"/>
      <c r="CD171" s="517"/>
      <c r="CE171" s="517"/>
      <c r="CF171" s="517"/>
      <c r="CG171" s="517"/>
      <c r="CH171" s="517"/>
      <c r="CI171" s="517"/>
      <c r="CJ171" s="517"/>
      <c r="CK171" s="517"/>
      <c r="CL171" s="517"/>
      <c r="CM171" s="517"/>
      <c r="CN171" s="517"/>
      <c r="CO171" s="517"/>
      <c r="CP171" s="517"/>
      <c r="CQ171" s="517"/>
      <c r="CR171" s="517"/>
      <c r="CS171" s="517"/>
      <c r="CT171" s="517"/>
      <c r="CU171" s="517"/>
      <c r="CV171" s="517"/>
      <c r="CW171" s="517"/>
      <c r="CX171" s="517"/>
    </row>
    <row r="172" spans="1:102" ht="12" customHeight="1" x14ac:dyDescent="0.2">
      <c r="A172" s="517"/>
      <c r="B172" s="517"/>
      <c r="C172" s="517"/>
      <c r="D172" s="517"/>
      <c r="E172" s="517"/>
      <c r="F172" s="517"/>
      <c r="G172" s="517"/>
      <c r="H172" s="517"/>
      <c r="I172" s="517"/>
      <c r="J172" s="517"/>
      <c r="K172" s="517"/>
      <c r="L172" s="517"/>
      <c r="M172" s="517"/>
      <c r="N172" s="517"/>
      <c r="O172" s="517"/>
      <c r="P172" s="517"/>
      <c r="Q172" s="517"/>
      <c r="R172" s="517"/>
      <c r="S172" s="517"/>
      <c r="T172" s="517"/>
      <c r="U172" s="517"/>
      <c r="V172" s="517"/>
      <c r="W172" s="517"/>
      <c r="X172" s="127"/>
      <c r="Y172" s="127"/>
      <c r="Z172" s="127"/>
      <c r="AA172" s="127"/>
      <c r="AB172" s="127"/>
      <c r="AC172" s="127"/>
      <c r="AD172" s="127"/>
      <c r="AE172" s="127"/>
      <c r="AF172" s="127"/>
      <c r="AG172" s="127"/>
      <c r="AH172" s="127"/>
      <c r="AI172" s="127"/>
      <c r="AJ172" s="127"/>
      <c r="AK172" s="127"/>
      <c r="AL172" s="127"/>
      <c r="AM172" s="127"/>
      <c r="AN172" s="517"/>
      <c r="AO172" s="517"/>
      <c r="AP172" s="517"/>
      <c r="AQ172" s="127"/>
      <c r="AR172" s="517"/>
      <c r="AS172" s="517"/>
      <c r="AT172" s="517"/>
      <c r="AU172" s="592"/>
      <c r="AV172" s="517"/>
      <c r="AW172" s="517"/>
      <c r="AX172" s="517"/>
      <c r="AY172" s="517"/>
      <c r="AZ172" s="517"/>
      <c r="BA172" s="517"/>
      <c r="BB172" s="517"/>
      <c r="BC172" s="517"/>
      <c r="BD172" s="517"/>
      <c r="BE172" s="517"/>
      <c r="BF172" s="517"/>
      <c r="BG172" s="517"/>
      <c r="BH172" s="517"/>
      <c r="BI172" s="517"/>
      <c r="BJ172" s="517"/>
      <c r="BK172" s="517"/>
      <c r="BL172" s="517"/>
      <c r="BM172" s="517"/>
      <c r="BN172" s="517"/>
      <c r="BO172" s="517"/>
      <c r="BP172" s="517"/>
      <c r="BQ172" s="517"/>
      <c r="BR172" s="517"/>
      <c r="BS172" s="517"/>
      <c r="BT172" s="517"/>
      <c r="BU172" s="517"/>
      <c r="BV172" s="517"/>
      <c r="BW172" s="517"/>
      <c r="BX172" s="517"/>
      <c r="BY172" s="517"/>
      <c r="BZ172" s="517"/>
      <c r="CA172" s="517"/>
      <c r="CB172" s="517"/>
      <c r="CC172" s="517"/>
      <c r="CD172" s="517"/>
      <c r="CE172" s="517"/>
      <c r="CF172" s="517"/>
      <c r="CG172" s="517"/>
      <c r="CH172" s="517"/>
      <c r="CI172" s="517"/>
      <c r="CJ172" s="517"/>
      <c r="CK172" s="517"/>
      <c r="CL172" s="517"/>
      <c r="CM172" s="517"/>
      <c r="CN172" s="517"/>
      <c r="CO172" s="517"/>
      <c r="CP172" s="517"/>
      <c r="CQ172" s="517"/>
      <c r="CR172" s="517"/>
      <c r="CS172" s="517"/>
      <c r="CT172" s="517"/>
      <c r="CU172" s="517"/>
      <c r="CV172" s="517"/>
      <c r="CW172" s="517"/>
      <c r="CX172" s="517"/>
    </row>
    <row r="173" spans="1:102" ht="12" customHeight="1" x14ac:dyDescent="0.2">
      <c r="A173" s="517"/>
      <c r="B173" s="517"/>
      <c r="C173" s="517"/>
      <c r="D173" s="517"/>
      <c r="E173" s="517"/>
      <c r="F173" s="517"/>
      <c r="G173" s="517"/>
      <c r="H173" s="517"/>
      <c r="I173" s="517"/>
      <c r="J173" s="517"/>
      <c r="K173" s="517"/>
      <c r="L173" s="517"/>
      <c r="M173" s="517"/>
      <c r="N173" s="517"/>
      <c r="O173" s="517"/>
      <c r="P173" s="517"/>
      <c r="Q173" s="517"/>
      <c r="R173" s="517"/>
      <c r="S173" s="517"/>
      <c r="T173" s="517"/>
      <c r="U173" s="517"/>
      <c r="V173" s="517"/>
      <c r="W173" s="517"/>
      <c r="X173" s="127"/>
      <c r="Y173" s="127"/>
      <c r="Z173" s="127"/>
      <c r="AA173" s="127"/>
      <c r="AB173" s="127"/>
      <c r="AC173" s="127"/>
      <c r="AD173" s="127"/>
      <c r="AE173" s="127"/>
      <c r="AF173" s="127"/>
      <c r="AG173" s="127"/>
      <c r="AH173" s="127"/>
      <c r="AI173" s="127"/>
      <c r="AJ173" s="127"/>
      <c r="AK173" s="127"/>
      <c r="AL173" s="127"/>
      <c r="AM173" s="127"/>
      <c r="AN173" s="517"/>
      <c r="AO173" s="517"/>
      <c r="AP173" s="517"/>
      <c r="AQ173" s="127"/>
      <c r="AR173" s="517"/>
      <c r="AS173" s="517"/>
      <c r="AT173" s="517"/>
      <c r="AU173" s="592"/>
      <c r="AV173" s="517"/>
      <c r="AW173" s="517"/>
      <c r="AX173" s="517"/>
      <c r="AY173" s="517"/>
      <c r="AZ173" s="517"/>
      <c r="BA173" s="517"/>
      <c r="BB173" s="517"/>
      <c r="BC173" s="517"/>
      <c r="BD173" s="517"/>
      <c r="BE173" s="517"/>
      <c r="BF173" s="517"/>
      <c r="BG173" s="517"/>
      <c r="BH173" s="517"/>
      <c r="BI173" s="517"/>
      <c r="BJ173" s="517"/>
      <c r="BK173" s="517"/>
      <c r="BL173" s="517"/>
      <c r="BM173" s="517"/>
      <c r="BN173" s="517"/>
      <c r="BO173" s="517"/>
      <c r="BP173" s="517"/>
      <c r="BQ173" s="517"/>
      <c r="BR173" s="517"/>
      <c r="BS173" s="517"/>
      <c r="BT173" s="517"/>
      <c r="BU173" s="517"/>
      <c r="BV173" s="517"/>
      <c r="BW173" s="517"/>
      <c r="BX173" s="517"/>
      <c r="BY173" s="517"/>
      <c r="BZ173" s="517"/>
      <c r="CA173" s="517"/>
      <c r="CB173" s="517"/>
      <c r="CC173" s="517"/>
      <c r="CD173" s="517"/>
      <c r="CE173" s="517"/>
      <c r="CF173" s="517"/>
      <c r="CG173" s="517"/>
      <c r="CH173" s="517"/>
      <c r="CI173" s="517"/>
      <c r="CJ173" s="517"/>
      <c r="CK173" s="517"/>
      <c r="CL173" s="517"/>
      <c r="CM173" s="517"/>
      <c r="CN173" s="517"/>
      <c r="CO173" s="517"/>
      <c r="CP173" s="517"/>
      <c r="CQ173" s="517"/>
      <c r="CR173" s="517"/>
      <c r="CS173" s="517"/>
      <c r="CT173" s="517"/>
      <c r="CU173" s="517"/>
      <c r="CV173" s="517"/>
      <c r="CW173" s="517"/>
      <c r="CX173" s="517"/>
    </row>
    <row r="174" spans="1:102" ht="12" customHeight="1" x14ac:dyDescent="0.2">
      <c r="A174" s="517"/>
      <c r="B174" s="517"/>
      <c r="C174" s="517"/>
      <c r="D174" s="517"/>
      <c r="E174" s="517"/>
      <c r="F174" s="517"/>
      <c r="G174" s="517"/>
      <c r="H174" s="517"/>
      <c r="I174" s="517"/>
      <c r="J174" s="517"/>
      <c r="K174" s="517"/>
      <c r="L174" s="517"/>
      <c r="M174" s="517"/>
      <c r="N174" s="517"/>
      <c r="O174" s="517"/>
      <c r="P174" s="517"/>
      <c r="Q174" s="517"/>
      <c r="R174" s="517"/>
      <c r="S174" s="517"/>
      <c r="T174" s="517"/>
      <c r="U174" s="517"/>
      <c r="V174" s="517"/>
      <c r="W174" s="517"/>
      <c r="X174" s="127"/>
      <c r="Y174" s="127"/>
      <c r="Z174" s="127"/>
      <c r="AA174" s="127"/>
      <c r="AB174" s="127"/>
      <c r="AC174" s="127"/>
      <c r="AD174" s="127"/>
      <c r="AE174" s="127"/>
      <c r="AF174" s="127"/>
      <c r="AG174" s="127"/>
      <c r="AH174" s="127"/>
      <c r="AI174" s="127"/>
      <c r="AJ174" s="127"/>
      <c r="AK174" s="127"/>
      <c r="AL174" s="127"/>
      <c r="AM174" s="127"/>
      <c r="AN174" s="517"/>
      <c r="AO174" s="517"/>
      <c r="AP174" s="517"/>
      <c r="AQ174" s="127"/>
      <c r="AR174" s="517"/>
      <c r="AS174" s="517"/>
      <c r="AT174" s="517"/>
      <c r="AU174" s="592"/>
      <c r="AV174" s="517"/>
      <c r="AW174" s="517"/>
      <c r="AX174" s="517"/>
      <c r="AY174" s="517"/>
      <c r="AZ174" s="517"/>
      <c r="BA174" s="517"/>
      <c r="BB174" s="517"/>
      <c r="BC174" s="517"/>
      <c r="BD174" s="517"/>
      <c r="BE174" s="517"/>
      <c r="BF174" s="517"/>
      <c r="BG174" s="517"/>
      <c r="BH174" s="517"/>
      <c r="BI174" s="517"/>
      <c r="BJ174" s="517"/>
      <c r="BK174" s="517"/>
      <c r="BL174" s="517"/>
      <c r="BM174" s="517"/>
      <c r="BN174" s="517"/>
      <c r="BO174" s="517"/>
      <c r="BP174" s="517"/>
      <c r="BQ174" s="517"/>
      <c r="BR174" s="517"/>
      <c r="BS174" s="517"/>
      <c r="BT174" s="517"/>
      <c r="BU174" s="517"/>
      <c r="BV174" s="517"/>
      <c r="BW174" s="517"/>
      <c r="BX174" s="517"/>
      <c r="BY174" s="517"/>
      <c r="BZ174" s="517"/>
      <c r="CA174" s="517"/>
      <c r="CB174" s="517"/>
      <c r="CC174" s="517"/>
      <c r="CD174" s="517"/>
      <c r="CE174" s="517"/>
      <c r="CF174" s="517"/>
      <c r="CG174" s="517"/>
      <c r="CH174" s="517"/>
      <c r="CI174" s="517"/>
      <c r="CJ174" s="517"/>
      <c r="CK174" s="517"/>
      <c r="CL174" s="517"/>
      <c r="CM174" s="517"/>
      <c r="CN174" s="517"/>
      <c r="CO174" s="517"/>
      <c r="CP174" s="517"/>
      <c r="CQ174" s="517"/>
      <c r="CR174" s="517"/>
      <c r="CS174" s="517"/>
      <c r="CT174" s="517"/>
      <c r="CU174" s="517"/>
      <c r="CV174" s="517"/>
      <c r="CW174" s="517"/>
      <c r="CX174" s="517"/>
    </row>
    <row r="175" spans="1:102" ht="12" customHeight="1" x14ac:dyDescent="0.2">
      <c r="A175" s="517"/>
      <c r="B175" s="517"/>
      <c r="C175" s="517"/>
      <c r="D175" s="517"/>
      <c r="E175" s="517"/>
      <c r="F175" s="517"/>
      <c r="G175" s="517"/>
      <c r="H175" s="517"/>
      <c r="I175" s="517"/>
      <c r="J175" s="517"/>
      <c r="K175" s="517"/>
      <c r="L175" s="517"/>
      <c r="M175" s="517"/>
      <c r="N175" s="517"/>
      <c r="O175" s="517"/>
      <c r="P175" s="517"/>
      <c r="Q175" s="517"/>
      <c r="R175" s="517"/>
      <c r="S175" s="517"/>
      <c r="T175" s="517"/>
      <c r="U175" s="517"/>
      <c r="V175" s="517"/>
      <c r="W175" s="517"/>
      <c r="X175" s="127"/>
      <c r="Y175" s="127"/>
      <c r="Z175" s="127"/>
      <c r="AA175" s="127"/>
      <c r="AB175" s="127"/>
      <c r="AC175" s="127"/>
      <c r="AD175" s="127"/>
      <c r="AE175" s="127"/>
      <c r="AF175" s="127"/>
      <c r="AG175" s="127"/>
      <c r="AH175" s="127"/>
      <c r="AI175" s="127"/>
      <c r="AJ175" s="127"/>
      <c r="AK175" s="127"/>
      <c r="AL175" s="127"/>
      <c r="AM175" s="127"/>
      <c r="AN175" s="517"/>
      <c r="AO175" s="517"/>
      <c r="AP175" s="517"/>
      <c r="AQ175" s="127"/>
      <c r="AR175" s="517"/>
      <c r="AS175" s="517"/>
      <c r="AT175" s="517"/>
      <c r="AU175" s="592"/>
      <c r="AV175" s="517"/>
      <c r="AW175" s="517"/>
      <c r="AX175" s="517"/>
      <c r="AY175" s="517"/>
      <c r="AZ175" s="517"/>
      <c r="BA175" s="517"/>
      <c r="BB175" s="517"/>
      <c r="BC175" s="517"/>
      <c r="BD175" s="517"/>
      <c r="BE175" s="517"/>
      <c r="BF175" s="517"/>
      <c r="BG175" s="517"/>
      <c r="BH175" s="517"/>
      <c r="BI175" s="517"/>
      <c r="BJ175" s="517"/>
      <c r="BK175" s="517"/>
      <c r="BL175" s="517"/>
      <c r="BM175" s="517"/>
      <c r="BN175" s="517"/>
      <c r="BO175" s="517"/>
      <c r="BP175" s="517"/>
      <c r="BQ175" s="517"/>
      <c r="BR175" s="517"/>
      <c r="BS175" s="517"/>
      <c r="BT175" s="517"/>
      <c r="BU175" s="517"/>
      <c r="BV175" s="517"/>
      <c r="BW175" s="517"/>
      <c r="BX175" s="517"/>
      <c r="BY175" s="517"/>
      <c r="BZ175" s="517"/>
      <c r="CA175" s="517"/>
      <c r="CB175" s="517"/>
      <c r="CC175" s="517"/>
      <c r="CD175" s="517"/>
      <c r="CE175" s="517"/>
      <c r="CF175" s="517"/>
      <c r="CG175" s="517"/>
      <c r="CH175" s="517"/>
      <c r="CI175" s="517"/>
      <c r="CJ175" s="517"/>
      <c r="CK175" s="517"/>
      <c r="CL175" s="517"/>
      <c r="CM175" s="517"/>
      <c r="CN175" s="517"/>
      <c r="CO175" s="517"/>
      <c r="CP175" s="517"/>
      <c r="CQ175" s="517"/>
      <c r="CR175" s="517"/>
      <c r="CS175" s="517"/>
      <c r="CT175" s="517"/>
      <c r="CU175" s="517"/>
      <c r="CV175" s="517"/>
      <c r="CW175" s="517"/>
      <c r="CX175" s="517"/>
    </row>
    <row r="176" spans="1:102" ht="12" customHeight="1" x14ac:dyDescent="0.2">
      <c r="A176" s="517"/>
      <c r="B176" s="517"/>
      <c r="C176" s="517"/>
      <c r="D176" s="517"/>
      <c r="E176" s="517"/>
      <c r="F176" s="517"/>
      <c r="G176" s="517"/>
      <c r="H176" s="517"/>
      <c r="I176" s="517"/>
      <c r="J176" s="517"/>
      <c r="K176" s="517"/>
      <c r="L176" s="517"/>
      <c r="M176" s="517"/>
      <c r="N176" s="517"/>
      <c r="O176" s="517"/>
      <c r="P176" s="517"/>
      <c r="Q176" s="517"/>
      <c r="R176" s="517"/>
      <c r="S176" s="517"/>
      <c r="T176" s="517"/>
      <c r="U176" s="517"/>
      <c r="V176" s="517"/>
      <c r="W176" s="517"/>
      <c r="X176" s="127"/>
      <c r="Y176" s="127"/>
      <c r="Z176" s="127"/>
      <c r="AA176" s="127"/>
      <c r="AB176" s="127"/>
      <c r="AC176" s="127"/>
      <c r="AD176" s="127"/>
      <c r="AE176" s="127"/>
      <c r="AF176" s="127"/>
      <c r="AG176" s="127"/>
      <c r="AH176" s="127"/>
      <c r="AI176" s="127"/>
      <c r="AJ176" s="127"/>
      <c r="AK176" s="127"/>
      <c r="AL176" s="127"/>
      <c r="AM176" s="127"/>
      <c r="AN176" s="517"/>
      <c r="AO176" s="517"/>
      <c r="AP176" s="517"/>
      <c r="AQ176" s="127"/>
      <c r="AR176" s="517"/>
      <c r="AS176" s="517"/>
      <c r="AT176" s="517"/>
      <c r="AU176" s="592"/>
      <c r="AV176" s="517"/>
      <c r="AW176" s="517"/>
      <c r="AX176" s="517"/>
      <c r="AY176" s="517"/>
      <c r="AZ176" s="517"/>
      <c r="BA176" s="517"/>
      <c r="BB176" s="517"/>
      <c r="BC176" s="517"/>
      <c r="BD176" s="517"/>
      <c r="BE176" s="517"/>
      <c r="BF176" s="517"/>
      <c r="BG176" s="517"/>
      <c r="BH176" s="517"/>
      <c r="BI176" s="517"/>
      <c r="BJ176" s="517"/>
      <c r="BK176" s="517"/>
      <c r="BL176" s="517"/>
      <c r="BM176" s="517"/>
      <c r="BN176" s="517"/>
      <c r="BO176" s="517"/>
      <c r="BP176" s="517"/>
      <c r="BQ176" s="517"/>
      <c r="BR176" s="517"/>
      <c r="BS176" s="517"/>
      <c r="BT176" s="517"/>
      <c r="BU176" s="517"/>
      <c r="BV176" s="517"/>
      <c r="BW176" s="517"/>
      <c r="BX176" s="517"/>
      <c r="BY176" s="517"/>
      <c r="BZ176" s="517"/>
      <c r="CA176" s="517"/>
      <c r="CB176" s="517"/>
      <c r="CC176" s="517"/>
      <c r="CD176" s="517"/>
      <c r="CE176" s="517"/>
      <c r="CF176" s="517"/>
      <c r="CG176" s="517"/>
      <c r="CH176" s="517"/>
      <c r="CI176" s="517"/>
      <c r="CJ176" s="517"/>
      <c r="CK176" s="517"/>
      <c r="CL176" s="517"/>
      <c r="CM176" s="517"/>
      <c r="CN176" s="517"/>
      <c r="CO176" s="517"/>
      <c r="CP176" s="517"/>
      <c r="CQ176" s="517"/>
      <c r="CR176" s="517"/>
      <c r="CS176" s="517"/>
      <c r="CT176" s="517"/>
      <c r="CU176" s="517"/>
      <c r="CV176" s="517"/>
      <c r="CW176" s="517"/>
      <c r="CX176" s="517"/>
    </row>
    <row r="177" spans="1:102" ht="12" customHeight="1" x14ac:dyDescent="0.2">
      <c r="A177" s="517"/>
      <c r="B177" s="517"/>
      <c r="C177" s="517"/>
      <c r="D177" s="517"/>
      <c r="E177" s="517"/>
      <c r="F177" s="517"/>
      <c r="G177" s="517"/>
      <c r="H177" s="517"/>
      <c r="I177" s="517"/>
      <c r="J177" s="517"/>
      <c r="K177" s="517"/>
      <c r="L177" s="517"/>
      <c r="M177" s="517"/>
      <c r="N177" s="517"/>
      <c r="O177" s="517"/>
      <c r="P177" s="517"/>
      <c r="Q177" s="517"/>
      <c r="R177" s="517"/>
      <c r="S177" s="517"/>
      <c r="T177" s="517"/>
      <c r="U177" s="517"/>
      <c r="V177" s="517"/>
      <c r="W177" s="517"/>
      <c r="X177" s="127"/>
      <c r="Y177" s="127"/>
      <c r="Z177" s="127"/>
      <c r="AA177" s="127"/>
      <c r="AB177" s="127"/>
      <c r="AC177" s="127"/>
      <c r="AD177" s="127"/>
      <c r="AE177" s="127"/>
      <c r="AF177" s="127"/>
      <c r="AG177" s="127"/>
      <c r="AH177" s="127"/>
      <c r="AI177" s="127"/>
      <c r="AJ177" s="127"/>
      <c r="AK177" s="127"/>
      <c r="AL177" s="127"/>
      <c r="AM177" s="127"/>
      <c r="AN177" s="517"/>
      <c r="AO177" s="517"/>
      <c r="AP177" s="517"/>
      <c r="AQ177" s="127"/>
      <c r="AR177" s="517"/>
      <c r="AS177" s="517"/>
      <c r="AT177" s="517"/>
      <c r="AU177" s="592"/>
      <c r="AV177" s="517"/>
      <c r="AW177" s="517"/>
      <c r="AX177" s="517"/>
      <c r="AY177" s="517"/>
      <c r="AZ177" s="517"/>
      <c r="BA177" s="517"/>
      <c r="BB177" s="517"/>
      <c r="BC177" s="517"/>
      <c r="BD177" s="517"/>
      <c r="BE177" s="517"/>
      <c r="BF177" s="517"/>
      <c r="BG177" s="517"/>
      <c r="BH177" s="517"/>
      <c r="BI177" s="517"/>
      <c r="BJ177" s="517"/>
      <c r="BK177" s="517"/>
      <c r="BL177" s="517"/>
      <c r="BM177" s="517"/>
      <c r="BN177" s="517"/>
      <c r="BO177" s="517"/>
      <c r="BP177" s="517"/>
      <c r="BQ177" s="517"/>
      <c r="BR177" s="517"/>
      <c r="BS177" s="517"/>
      <c r="BT177" s="517"/>
      <c r="BU177" s="517"/>
      <c r="BV177" s="517"/>
      <c r="BW177" s="517"/>
      <c r="BX177" s="517"/>
      <c r="BY177" s="517"/>
      <c r="BZ177" s="517"/>
      <c r="CA177" s="517"/>
      <c r="CB177" s="517"/>
      <c r="CC177" s="517"/>
      <c r="CD177" s="517"/>
      <c r="CE177" s="517"/>
      <c r="CF177" s="517"/>
      <c r="CG177" s="517"/>
      <c r="CH177" s="517"/>
      <c r="CI177" s="517"/>
      <c r="CJ177" s="517"/>
      <c r="CK177" s="517"/>
      <c r="CL177" s="517"/>
      <c r="CM177" s="517"/>
      <c r="CN177" s="517"/>
      <c r="CO177" s="517"/>
      <c r="CP177" s="517"/>
      <c r="CQ177" s="517"/>
      <c r="CR177" s="517"/>
      <c r="CS177" s="517"/>
      <c r="CT177" s="517"/>
      <c r="CU177" s="517"/>
      <c r="CV177" s="517"/>
      <c r="CW177" s="517"/>
      <c r="CX177" s="517"/>
    </row>
    <row r="178" spans="1:102" ht="12" customHeight="1" x14ac:dyDescent="0.2">
      <c r="A178" s="517"/>
      <c r="B178" s="517"/>
      <c r="C178" s="517"/>
      <c r="D178" s="517"/>
      <c r="E178" s="517"/>
      <c r="F178" s="517"/>
      <c r="G178" s="517"/>
      <c r="H178" s="517"/>
      <c r="I178" s="517"/>
      <c r="J178" s="517"/>
      <c r="K178" s="517"/>
      <c r="L178" s="517"/>
      <c r="M178" s="517"/>
      <c r="N178" s="517"/>
      <c r="O178" s="517"/>
      <c r="P178" s="517"/>
      <c r="Q178" s="517"/>
      <c r="R178" s="517"/>
      <c r="S178" s="517"/>
      <c r="T178" s="517"/>
      <c r="U178" s="517"/>
      <c r="V178" s="517"/>
      <c r="W178" s="517"/>
      <c r="X178" s="127"/>
      <c r="Y178" s="127"/>
      <c r="Z178" s="127"/>
      <c r="AA178" s="127"/>
      <c r="AB178" s="127"/>
      <c r="AC178" s="127"/>
      <c r="AD178" s="127"/>
      <c r="AE178" s="127"/>
      <c r="AF178" s="127"/>
      <c r="AG178" s="127"/>
      <c r="AH178" s="127"/>
      <c r="AI178" s="127"/>
      <c r="AJ178" s="127"/>
      <c r="AK178" s="127"/>
      <c r="AL178" s="127"/>
      <c r="AM178" s="127"/>
      <c r="AN178" s="517"/>
      <c r="AO178" s="517"/>
      <c r="AP178" s="517"/>
      <c r="AQ178" s="127"/>
      <c r="AR178" s="517"/>
      <c r="AS178" s="517"/>
      <c r="AT178" s="517"/>
      <c r="AU178" s="592"/>
      <c r="AV178" s="517"/>
      <c r="AW178" s="517"/>
      <c r="AX178" s="517"/>
      <c r="AY178" s="517"/>
      <c r="AZ178" s="517"/>
      <c r="BA178" s="517"/>
      <c r="BB178" s="517"/>
      <c r="BC178" s="517"/>
      <c r="BD178" s="517"/>
      <c r="BE178" s="517"/>
      <c r="BF178" s="517"/>
      <c r="BG178" s="517"/>
      <c r="BH178" s="517"/>
      <c r="BI178" s="517"/>
      <c r="BJ178" s="517"/>
      <c r="BK178" s="517"/>
      <c r="BL178" s="517"/>
      <c r="BM178" s="517"/>
      <c r="BN178" s="517"/>
      <c r="BO178" s="517"/>
      <c r="BP178" s="517"/>
      <c r="BQ178" s="517"/>
      <c r="BR178" s="517"/>
      <c r="BS178" s="517"/>
      <c r="BT178" s="517"/>
      <c r="BU178" s="517"/>
      <c r="BV178" s="517"/>
      <c r="BW178" s="517"/>
      <c r="BX178" s="517"/>
      <c r="BY178" s="517"/>
      <c r="BZ178" s="517"/>
      <c r="CA178" s="517"/>
      <c r="CB178" s="517"/>
      <c r="CC178" s="517"/>
      <c r="CD178" s="517"/>
      <c r="CE178" s="517"/>
      <c r="CF178" s="517"/>
      <c r="CG178" s="517"/>
      <c r="CH178" s="517"/>
      <c r="CI178" s="517"/>
      <c r="CJ178" s="517"/>
      <c r="CK178" s="517"/>
      <c r="CL178" s="517"/>
      <c r="CM178" s="517"/>
      <c r="CN178" s="517"/>
      <c r="CO178" s="517"/>
      <c r="CP178" s="517"/>
      <c r="CQ178" s="517"/>
      <c r="CR178" s="517"/>
      <c r="CS178" s="517"/>
      <c r="CT178" s="517"/>
      <c r="CU178" s="517"/>
      <c r="CV178" s="517"/>
      <c r="CW178" s="517"/>
      <c r="CX178" s="517"/>
    </row>
    <row r="179" spans="1:102" ht="12" customHeight="1" x14ac:dyDescent="0.2">
      <c r="A179" s="517"/>
      <c r="B179" s="517"/>
      <c r="C179" s="517"/>
      <c r="D179" s="517"/>
      <c r="E179" s="517"/>
      <c r="F179" s="517"/>
      <c r="G179" s="517"/>
      <c r="H179" s="517"/>
      <c r="I179" s="517"/>
      <c r="J179" s="517"/>
      <c r="K179" s="517"/>
      <c r="L179" s="517"/>
      <c r="M179" s="517"/>
      <c r="N179" s="517"/>
      <c r="O179" s="517"/>
      <c r="P179" s="517"/>
      <c r="Q179" s="517"/>
      <c r="R179" s="517"/>
      <c r="S179" s="517"/>
      <c r="T179" s="517"/>
      <c r="U179" s="517"/>
      <c r="V179" s="517"/>
      <c r="W179" s="517"/>
      <c r="X179" s="127"/>
      <c r="Y179" s="127"/>
      <c r="Z179" s="127"/>
      <c r="AA179" s="127"/>
      <c r="AB179" s="127"/>
      <c r="AC179" s="127"/>
      <c r="AD179" s="127"/>
      <c r="AE179" s="127"/>
      <c r="AF179" s="127"/>
      <c r="AG179" s="127"/>
      <c r="AH179" s="127"/>
      <c r="AI179" s="127"/>
      <c r="AJ179" s="127"/>
      <c r="AK179" s="127"/>
      <c r="AL179" s="127"/>
      <c r="AM179" s="127"/>
      <c r="AN179" s="517"/>
      <c r="AO179" s="517"/>
      <c r="AP179" s="517"/>
      <c r="AQ179" s="127"/>
      <c r="AR179" s="517"/>
      <c r="AS179" s="517"/>
      <c r="AT179" s="517"/>
      <c r="AU179" s="592"/>
      <c r="AV179" s="517"/>
      <c r="AW179" s="517"/>
      <c r="AX179" s="517"/>
      <c r="AY179" s="517"/>
      <c r="AZ179" s="517"/>
      <c r="BA179" s="517"/>
      <c r="BB179" s="517"/>
      <c r="BC179" s="517"/>
      <c r="BD179" s="517"/>
      <c r="BE179" s="517"/>
      <c r="BF179" s="517"/>
      <c r="BG179" s="517"/>
      <c r="BH179" s="517"/>
      <c r="BI179" s="517"/>
      <c r="BJ179" s="517"/>
      <c r="BK179" s="517"/>
      <c r="BL179" s="517"/>
      <c r="BM179" s="517"/>
      <c r="BN179" s="517"/>
      <c r="BO179" s="517"/>
      <c r="BP179" s="517"/>
      <c r="BQ179" s="517"/>
      <c r="BR179" s="517"/>
      <c r="BS179" s="517"/>
      <c r="BT179" s="517"/>
      <c r="BU179" s="517"/>
      <c r="BV179" s="517"/>
      <c r="BW179" s="517"/>
      <c r="BX179" s="517"/>
      <c r="BY179" s="517"/>
      <c r="BZ179" s="517"/>
      <c r="CA179" s="517"/>
      <c r="CB179" s="517"/>
      <c r="CC179" s="517"/>
      <c r="CD179" s="517"/>
      <c r="CE179" s="517"/>
      <c r="CF179" s="517"/>
      <c r="CG179" s="517"/>
      <c r="CH179" s="517"/>
      <c r="CI179" s="517"/>
      <c r="CJ179" s="517"/>
      <c r="CK179" s="517"/>
      <c r="CL179" s="517"/>
      <c r="CM179" s="517"/>
      <c r="CN179" s="517"/>
      <c r="CO179" s="517"/>
      <c r="CP179" s="517"/>
      <c r="CQ179" s="517"/>
      <c r="CR179" s="517"/>
      <c r="CS179" s="517"/>
      <c r="CT179" s="517"/>
      <c r="CU179" s="517"/>
      <c r="CV179" s="517"/>
      <c r="CW179" s="517"/>
      <c r="CX179" s="517"/>
    </row>
    <row r="180" spans="1:102" ht="12" customHeight="1" x14ac:dyDescent="0.2">
      <c r="A180" s="517"/>
      <c r="B180" s="517"/>
      <c r="C180" s="517"/>
      <c r="D180" s="517"/>
      <c r="E180" s="517"/>
      <c r="F180" s="517"/>
      <c r="G180" s="517"/>
      <c r="H180" s="517"/>
      <c r="I180" s="517"/>
      <c r="J180" s="517"/>
      <c r="K180" s="517"/>
      <c r="L180" s="517"/>
      <c r="M180" s="517"/>
      <c r="N180" s="517"/>
      <c r="O180" s="517"/>
      <c r="P180" s="517"/>
      <c r="Q180" s="517"/>
      <c r="R180" s="517"/>
      <c r="S180" s="517"/>
      <c r="T180" s="517"/>
      <c r="U180" s="517"/>
      <c r="V180" s="517"/>
      <c r="W180" s="517"/>
      <c r="X180" s="127"/>
      <c r="Y180" s="127"/>
      <c r="Z180" s="127"/>
      <c r="AA180" s="127"/>
      <c r="AB180" s="127"/>
      <c r="AC180" s="127"/>
      <c r="AD180" s="127"/>
      <c r="AE180" s="127"/>
      <c r="AF180" s="127"/>
      <c r="AG180" s="127"/>
      <c r="AH180" s="127"/>
      <c r="AI180" s="127"/>
      <c r="AJ180" s="127"/>
      <c r="AK180" s="127"/>
      <c r="AL180" s="127"/>
      <c r="AM180" s="127"/>
      <c r="AN180" s="517"/>
      <c r="AO180" s="517"/>
      <c r="AP180" s="517"/>
      <c r="AQ180" s="127"/>
      <c r="AR180" s="517"/>
      <c r="AS180" s="517"/>
      <c r="AT180" s="517"/>
      <c r="AU180" s="592"/>
      <c r="AV180" s="517"/>
      <c r="AW180" s="517"/>
      <c r="AX180" s="517"/>
      <c r="AY180" s="517"/>
      <c r="AZ180" s="517"/>
      <c r="BA180" s="517"/>
      <c r="BB180" s="517"/>
      <c r="BC180" s="517"/>
      <c r="BD180" s="517"/>
      <c r="BE180" s="517"/>
      <c r="BF180" s="517"/>
      <c r="BG180" s="517"/>
      <c r="BH180" s="517"/>
      <c r="BI180" s="517"/>
      <c r="BJ180" s="517"/>
      <c r="BK180" s="517"/>
      <c r="BL180" s="517"/>
      <c r="BM180" s="517"/>
      <c r="BN180" s="517"/>
      <c r="BO180" s="517"/>
      <c r="BP180" s="517"/>
      <c r="BQ180" s="517"/>
      <c r="BR180" s="517"/>
      <c r="BS180" s="517"/>
      <c r="BT180" s="517"/>
      <c r="BU180" s="517"/>
      <c r="BV180" s="517"/>
      <c r="BW180" s="517"/>
      <c r="BX180" s="517"/>
      <c r="BY180" s="517"/>
      <c r="BZ180" s="517"/>
      <c r="CA180" s="517"/>
      <c r="CB180" s="517"/>
      <c r="CC180" s="517"/>
      <c r="CD180" s="517"/>
      <c r="CE180" s="517"/>
      <c r="CF180" s="517"/>
      <c r="CG180" s="517"/>
      <c r="CH180" s="517"/>
      <c r="CI180" s="517"/>
      <c r="CJ180" s="517"/>
      <c r="CK180" s="517"/>
      <c r="CL180" s="517"/>
      <c r="CM180" s="517"/>
      <c r="CN180" s="517"/>
      <c r="CO180" s="517"/>
      <c r="CP180" s="517"/>
      <c r="CQ180" s="517"/>
      <c r="CR180" s="517"/>
      <c r="CS180" s="517"/>
      <c r="CT180" s="517"/>
      <c r="CU180" s="517"/>
      <c r="CV180" s="517"/>
      <c r="CW180" s="517"/>
      <c r="CX180" s="517"/>
    </row>
    <row r="181" spans="1:102" ht="12" customHeight="1" x14ac:dyDescent="0.2">
      <c r="A181" s="517"/>
      <c r="B181" s="517"/>
      <c r="C181" s="517"/>
      <c r="D181" s="517"/>
      <c r="E181" s="517"/>
      <c r="F181" s="517"/>
      <c r="G181" s="517"/>
      <c r="H181" s="517"/>
      <c r="I181" s="517"/>
      <c r="J181" s="517"/>
      <c r="K181" s="517"/>
      <c r="L181" s="517"/>
      <c r="M181" s="517"/>
      <c r="N181" s="517"/>
      <c r="O181" s="517"/>
      <c r="P181" s="517"/>
      <c r="Q181" s="517"/>
      <c r="R181" s="517"/>
      <c r="S181" s="517"/>
      <c r="T181" s="517"/>
      <c r="U181" s="517"/>
      <c r="V181" s="517"/>
      <c r="W181" s="517"/>
      <c r="X181" s="127"/>
      <c r="Y181" s="127"/>
      <c r="Z181" s="127"/>
      <c r="AA181" s="127"/>
      <c r="AB181" s="127"/>
      <c r="AC181" s="127"/>
      <c r="AD181" s="127"/>
      <c r="AE181" s="127"/>
      <c r="AF181" s="127"/>
      <c r="AG181" s="127"/>
      <c r="AH181" s="127"/>
      <c r="AI181" s="127"/>
      <c r="AJ181" s="127"/>
      <c r="AK181" s="127"/>
      <c r="AL181" s="127"/>
      <c r="AM181" s="127"/>
      <c r="AN181" s="517"/>
      <c r="AO181" s="517"/>
      <c r="AP181" s="517"/>
      <c r="AQ181" s="127"/>
      <c r="AR181" s="517"/>
      <c r="AS181" s="517"/>
      <c r="AT181" s="517"/>
      <c r="AU181" s="592"/>
      <c r="AV181" s="517"/>
      <c r="AW181" s="517"/>
      <c r="AX181" s="517"/>
      <c r="AY181" s="517"/>
      <c r="AZ181" s="517"/>
      <c r="BA181" s="517"/>
      <c r="BB181" s="517"/>
      <c r="BC181" s="517"/>
      <c r="BD181" s="517"/>
      <c r="BE181" s="517"/>
      <c r="BF181" s="517"/>
      <c r="BG181" s="517"/>
      <c r="BH181" s="517"/>
      <c r="BI181" s="517"/>
      <c r="BJ181" s="517"/>
      <c r="BK181" s="517"/>
      <c r="BL181" s="517"/>
      <c r="BM181" s="517"/>
      <c r="BN181" s="517"/>
      <c r="BO181" s="517"/>
      <c r="BP181" s="517"/>
      <c r="BQ181" s="517"/>
      <c r="BR181" s="517"/>
      <c r="BS181" s="517"/>
      <c r="BT181" s="517"/>
      <c r="BU181" s="517"/>
      <c r="BV181" s="517"/>
      <c r="BW181" s="517"/>
      <c r="BX181" s="517"/>
      <c r="BY181" s="517"/>
      <c r="BZ181" s="517"/>
      <c r="CA181" s="517"/>
      <c r="CB181" s="517"/>
      <c r="CC181" s="517"/>
      <c r="CD181" s="517"/>
      <c r="CE181" s="517"/>
      <c r="CF181" s="517"/>
      <c r="CG181" s="517"/>
      <c r="CH181" s="517"/>
      <c r="CI181" s="517"/>
      <c r="CJ181" s="517"/>
      <c r="CK181" s="517"/>
      <c r="CL181" s="517"/>
      <c r="CM181" s="517"/>
      <c r="CN181" s="517"/>
      <c r="CO181" s="517"/>
      <c r="CP181" s="517"/>
      <c r="CQ181" s="517"/>
      <c r="CR181" s="517"/>
      <c r="CS181" s="517"/>
      <c r="CT181" s="517"/>
      <c r="CU181" s="517"/>
      <c r="CV181" s="517"/>
      <c r="CW181" s="517"/>
      <c r="CX181" s="517"/>
    </row>
    <row r="182" spans="1:102" ht="12" customHeight="1" x14ac:dyDescent="0.2">
      <c r="A182" s="517"/>
      <c r="B182" s="517"/>
      <c r="C182" s="517"/>
      <c r="D182" s="517"/>
      <c r="E182" s="517"/>
      <c r="F182" s="517"/>
      <c r="G182" s="517"/>
      <c r="H182" s="517"/>
      <c r="I182" s="517"/>
      <c r="J182" s="517"/>
      <c r="K182" s="517"/>
      <c r="L182" s="517"/>
      <c r="M182" s="517"/>
      <c r="N182" s="517"/>
      <c r="O182" s="517"/>
      <c r="P182" s="517"/>
      <c r="Q182" s="517"/>
      <c r="R182" s="517"/>
      <c r="S182" s="517"/>
      <c r="T182" s="517"/>
      <c r="U182" s="517"/>
      <c r="V182" s="517"/>
      <c r="W182" s="517"/>
      <c r="X182" s="127"/>
      <c r="Y182" s="127"/>
      <c r="Z182" s="127"/>
      <c r="AA182" s="127"/>
      <c r="AB182" s="127"/>
      <c r="AC182" s="127"/>
      <c r="AD182" s="127"/>
      <c r="AE182" s="127"/>
      <c r="AF182" s="127"/>
      <c r="AG182" s="127"/>
      <c r="AH182" s="127"/>
      <c r="AI182" s="127"/>
      <c r="AJ182" s="127"/>
      <c r="AK182" s="127"/>
      <c r="AL182" s="127"/>
      <c r="AM182" s="127"/>
      <c r="AN182" s="517"/>
      <c r="AO182" s="517"/>
      <c r="AP182" s="517"/>
      <c r="AQ182" s="127"/>
      <c r="AR182" s="517"/>
      <c r="AS182" s="517"/>
      <c r="AT182" s="517"/>
      <c r="AU182" s="592"/>
      <c r="AV182" s="517"/>
      <c r="AW182" s="517"/>
      <c r="AX182" s="517"/>
      <c r="AY182" s="517"/>
      <c r="AZ182" s="517"/>
      <c r="BA182" s="517"/>
      <c r="BB182" s="517"/>
      <c r="BC182" s="517"/>
      <c r="BD182" s="517"/>
      <c r="BE182" s="517"/>
      <c r="BF182" s="517"/>
      <c r="BG182" s="517"/>
      <c r="BH182" s="517"/>
      <c r="BI182" s="517"/>
      <c r="BJ182" s="517"/>
      <c r="BK182" s="517"/>
      <c r="BL182" s="517"/>
      <c r="BM182" s="517"/>
      <c r="BN182" s="517"/>
      <c r="BO182" s="517"/>
      <c r="BP182" s="517"/>
      <c r="BQ182" s="517"/>
      <c r="BR182" s="517"/>
      <c r="BS182" s="517"/>
      <c r="BT182" s="517"/>
      <c r="BU182" s="517"/>
      <c r="BV182" s="517"/>
      <c r="BW182" s="517"/>
      <c r="BX182" s="517"/>
      <c r="BY182" s="517"/>
      <c r="BZ182" s="517"/>
      <c r="CA182" s="517"/>
      <c r="CB182" s="517"/>
      <c r="CC182" s="517"/>
      <c r="CD182" s="517"/>
      <c r="CE182" s="517"/>
      <c r="CF182" s="517"/>
      <c r="CG182" s="517"/>
      <c r="CH182" s="517"/>
      <c r="CI182" s="517"/>
      <c r="CJ182" s="517"/>
      <c r="CK182" s="517"/>
      <c r="CL182" s="517"/>
      <c r="CM182" s="517"/>
      <c r="CN182" s="517"/>
      <c r="CO182" s="517"/>
      <c r="CP182" s="517"/>
      <c r="CQ182" s="517"/>
      <c r="CR182" s="517"/>
      <c r="CS182" s="517"/>
      <c r="CT182" s="517"/>
      <c r="CU182" s="517"/>
      <c r="CV182" s="517"/>
      <c r="CW182" s="517"/>
      <c r="CX182" s="517"/>
    </row>
    <row r="183" spans="1:102" ht="12" customHeight="1" x14ac:dyDescent="0.2">
      <c r="A183" s="517"/>
      <c r="B183" s="517"/>
      <c r="C183" s="517"/>
      <c r="D183" s="517"/>
      <c r="E183" s="517"/>
      <c r="F183" s="517"/>
      <c r="G183" s="517"/>
      <c r="H183" s="517"/>
      <c r="I183" s="517"/>
      <c r="J183" s="517"/>
      <c r="K183" s="517"/>
      <c r="L183" s="517"/>
      <c r="M183" s="517"/>
      <c r="N183" s="517"/>
      <c r="O183" s="517"/>
      <c r="P183" s="517"/>
      <c r="Q183" s="517"/>
      <c r="R183" s="517"/>
      <c r="S183" s="517"/>
      <c r="T183" s="517"/>
      <c r="U183" s="517"/>
      <c r="V183" s="517"/>
      <c r="W183" s="517"/>
      <c r="X183" s="127"/>
      <c r="Y183" s="127"/>
      <c r="Z183" s="127"/>
      <c r="AA183" s="127"/>
      <c r="AB183" s="127"/>
      <c r="AC183" s="127"/>
      <c r="AD183" s="127"/>
      <c r="AE183" s="127"/>
      <c r="AF183" s="127"/>
      <c r="AG183" s="127"/>
      <c r="AH183" s="127"/>
      <c r="AI183" s="127"/>
      <c r="AJ183" s="127"/>
      <c r="AK183" s="127"/>
      <c r="AL183" s="127"/>
      <c r="AM183" s="127"/>
      <c r="AN183" s="517"/>
      <c r="AO183" s="517"/>
      <c r="AP183" s="517"/>
      <c r="AQ183" s="127"/>
      <c r="AR183" s="517"/>
      <c r="AS183" s="517"/>
      <c r="AT183" s="517"/>
      <c r="AU183" s="592"/>
      <c r="AV183" s="517"/>
      <c r="AW183" s="517"/>
      <c r="AX183" s="517"/>
      <c r="AY183" s="517"/>
      <c r="AZ183" s="517"/>
      <c r="BA183" s="517"/>
      <c r="BB183" s="517"/>
      <c r="BC183" s="517"/>
      <c r="BD183" s="517"/>
      <c r="BE183" s="517"/>
      <c r="BF183" s="517"/>
      <c r="BG183" s="517"/>
      <c r="BH183" s="517"/>
      <c r="BI183" s="517"/>
      <c r="BJ183" s="517"/>
      <c r="BK183" s="517"/>
      <c r="BL183" s="517"/>
      <c r="BM183" s="517"/>
      <c r="BN183" s="517"/>
      <c r="BO183" s="517"/>
      <c r="BP183" s="517"/>
      <c r="BQ183" s="517"/>
      <c r="BR183" s="517"/>
      <c r="BS183" s="517"/>
      <c r="BT183" s="517"/>
      <c r="BU183" s="517"/>
      <c r="BV183" s="517"/>
      <c r="BW183" s="517"/>
      <c r="BX183" s="517"/>
      <c r="BY183" s="517"/>
      <c r="BZ183" s="517"/>
      <c r="CA183" s="517"/>
      <c r="CB183" s="517"/>
      <c r="CC183" s="517"/>
      <c r="CD183" s="517"/>
      <c r="CE183" s="517"/>
      <c r="CF183" s="517"/>
      <c r="CG183" s="517"/>
      <c r="CH183" s="517"/>
      <c r="CI183" s="517"/>
      <c r="CJ183" s="517"/>
      <c r="CK183" s="517"/>
      <c r="CL183" s="517"/>
      <c r="CM183" s="517"/>
      <c r="CN183" s="517"/>
      <c r="CO183" s="517"/>
      <c r="CP183" s="517"/>
      <c r="CQ183" s="517"/>
      <c r="CR183" s="517"/>
      <c r="CS183" s="517"/>
      <c r="CT183" s="517"/>
      <c r="CU183" s="517"/>
      <c r="CV183" s="517"/>
      <c r="CW183" s="517"/>
      <c r="CX183" s="517"/>
    </row>
    <row r="184" spans="1:102" ht="12" customHeight="1" x14ac:dyDescent="0.2">
      <c r="A184" s="517"/>
      <c r="B184" s="517"/>
      <c r="C184" s="517"/>
      <c r="D184" s="517"/>
      <c r="E184" s="517"/>
      <c r="F184" s="517"/>
      <c r="G184" s="517"/>
      <c r="H184" s="517"/>
      <c r="I184" s="517"/>
      <c r="J184" s="517"/>
      <c r="K184" s="517"/>
      <c r="L184" s="517"/>
      <c r="M184" s="517"/>
      <c r="N184" s="517"/>
      <c r="O184" s="517"/>
      <c r="P184" s="517"/>
      <c r="Q184" s="517"/>
      <c r="R184" s="517"/>
      <c r="S184" s="517"/>
      <c r="T184" s="517"/>
      <c r="U184" s="517"/>
      <c r="V184" s="517"/>
      <c r="W184" s="517"/>
      <c r="X184" s="127"/>
      <c r="Y184" s="127"/>
      <c r="Z184" s="127"/>
      <c r="AA184" s="127"/>
      <c r="AB184" s="127"/>
      <c r="AC184" s="127"/>
      <c r="AD184" s="127"/>
      <c r="AE184" s="127"/>
      <c r="AF184" s="127"/>
      <c r="AG184" s="127"/>
      <c r="AH184" s="127"/>
      <c r="AI184" s="127"/>
      <c r="AJ184" s="127"/>
      <c r="AK184" s="127"/>
      <c r="AL184" s="127"/>
      <c r="AM184" s="127"/>
      <c r="AN184" s="517"/>
      <c r="AO184" s="517"/>
      <c r="AP184" s="517"/>
      <c r="AQ184" s="127"/>
      <c r="AR184" s="517"/>
      <c r="AS184" s="517"/>
      <c r="AT184" s="517"/>
      <c r="AU184" s="592"/>
      <c r="AV184" s="517"/>
      <c r="AW184" s="517"/>
      <c r="AX184" s="517"/>
      <c r="AY184" s="517"/>
      <c r="AZ184" s="517"/>
      <c r="BA184" s="517"/>
      <c r="BB184" s="517"/>
      <c r="BC184" s="517"/>
      <c r="BD184" s="517"/>
      <c r="BE184" s="517"/>
      <c r="BF184" s="517"/>
      <c r="BG184" s="517"/>
      <c r="BH184" s="517"/>
      <c r="BI184" s="517"/>
      <c r="BJ184" s="517"/>
      <c r="BK184" s="517"/>
      <c r="BL184" s="517"/>
      <c r="BM184" s="517"/>
      <c r="BN184" s="517"/>
      <c r="BO184" s="517"/>
      <c r="BP184" s="517"/>
      <c r="BQ184" s="517"/>
      <c r="BR184" s="517"/>
      <c r="BS184" s="517"/>
      <c r="BT184" s="517"/>
      <c r="BU184" s="517"/>
      <c r="BV184" s="517"/>
      <c r="BW184" s="517"/>
      <c r="BX184" s="517"/>
      <c r="BY184" s="517"/>
      <c r="BZ184" s="517"/>
      <c r="CA184" s="517"/>
      <c r="CB184" s="517"/>
      <c r="CC184" s="517"/>
      <c r="CD184" s="517"/>
      <c r="CE184" s="517"/>
      <c r="CF184" s="517"/>
      <c r="CG184" s="517"/>
      <c r="CH184" s="517"/>
      <c r="CI184" s="517"/>
      <c r="CJ184" s="517"/>
      <c r="CK184" s="517"/>
      <c r="CL184" s="517"/>
      <c r="CM184" s="517"/>
      <c r="CN184" s="517"/>
      <c r="CO184" s="517"/>
      <c r="CP184" s="517"/>
      <c r="CQ184" s="517"/>
      <c r="CR184" s="517"/>
      <c r="CS184" s="517"/>
      <c r="CT184" s="517"/>
      <c r="CU184" s="517"/>
      <c r="CV184" s="517"/>
      <c r="CW184" s="517"/>
      <c r="CX184" s="517"/>
    </row>
    <row r="185" spans="1:102" ht="12" customHeight="1" x14ac:dyDescent="0.2">
      <c r="A185" s="517"/>
      <c r="B185" s="517"/>
      <c r="C185" s="517"/>
      <c r="D185" s="517"/>
      <c r="E185" s="517"/>
      <c r="F185" s="517"/>
      <c r="G185" s="517"/>
      <c r="H185" s="517"/>
      <c r="I185" s="517"/>
      <c r="J185" s="517"/>
      <c r="K185" s="517"/>
      <c r="L185" s="517"/>
      <c r="M185" s="517"/>
      <c r="N185" s="517"/>
      <c r="O185" s="517"/>
      <c r="P185" s="517"/>
      <c r="Q185" s="517"/>
      <c r="R185" s="517"/>
      <c r="S185" s="517"/>
      <c r="T185" s="517"/>
      <c r="U185" s="517"/>
      <c r="V185" s="517"/>
      <c r="W185" s="517"/>
      <c r="X185" s="127"/>
      <c r="Y185" s="127"/>
      <c r="Z185" s="127"/>
      <c r="AA185" s="127"/>
      <c r="AB185" s="127"/>
      <c r="AC185" s="127"/>
      <c r="AD185" s="127"/>
      <c r="AE185" s="127"/>
      <c r="AF185" s="127"/>
      <c r="AG185" s="127"/>
      <c r="AH185" s="127"/>
      <c r="AI185" s="127"/>
      <c r="AJ185" s="127"/>
      <c r="AK185" s="127"/>
      <c r="AL185" s="127"/>
      <c r="AM185" s="127"/>
      <c r="AN185" s="517"/>
      <c r="AO185" s="517"/>
      <c r="AP185" s="517"/>
      <c r="AQ185" s="127"/>
      <c r="AR185" s="517"/>
      <c r="AS185" s="517"/>
      <c r="AT185" s="517"/>
      <c r="AU185" s="592"/>
      <c r="AV185" s="517"/>
      <c r="AW185" s="517"/>
      <c r="AX185" s="517"/>
      <c r="AY185" s="517"/>
      <c r="AZ185" s="517"/>
      <c r="BA185" s="517"/>
      <c r="BB185" s="517"/>
      <c r="BC185" s="517"/>
      <c r="BD185" s="517"/>
      <c r="BE185" s="517"/>
      <c r="BF185" s="517"/>
      <c r="BG185" s="517"/>
      <c r="BH185" s="517"/>
      <c r="BI185" s="517"/>
      <c r="BJ185" s="517"/>
      <c r="BK185" s="517"/>
      <c r="BL185" s="517"/>
      <c r="BM185" s="517"/>
      <c r="BN185" s="517"/>
      <c r="BO185" s="517"/>
      <c r="BP185" s="517"/>
      <c r="BQ185" s="517"/>
      <c r="BR185" s="517"/>
      <c r="BS185" s="517"/>
      <c r="BT185" s="517"/>
      <c r="BU185" s="517"/>
      <c r="BV185" s="517"/>
      <c r="BW185" s="517"/>
      <c r="BX185" s="517"/>
      <c r="BY185" s="517"/>
      <c r="BZ185" s="517"/>
      <c r="CA185" s="517"/>
      <c r="CB185" s="517"/>
      <c r="CC185" s="517"/>
      <c r="CD185" s="517"/>
      <c r="CE185" s="517"/>
      <c r="CF185" s="517"/>
      <c r="CG185" s="517"/>
      <c r="CH185" s="517"/>
      <c r="CI185" s="517"/>
      <c r="CJ185" s="517"/>
      <c r="CK185" s="517"/>
      <c r="CL185" s="517"/>
      <c r="CM185" s="517"/>
      <c r="CN185" s="517"/>
      <c r="CO185" s="517"/>
      <c r="CP185" s="517"/>
      <c r="CQ185" s="517"/>
      <c r="CR185" s="517"/>
      <c r="CS185" s="517"/>
      <c r="CT185" s="517"/>
      <c r="CU185" s="517"/>
      <c r="CV185" s="517"/>
      <c r="CW185" s="517"/>
      <c r="CX185" s="517"/>
    </row>
    <row r="186" spans="1:102" ht="12" customHeight="1" x14ac:dyDescent="0.2">
      <c r="A186" s="517"/>
      <c r="B186" s="517"/>
      <c r="C186" s="517"/>
      <c r="D186" s="517"/>
      <c r="E186" s="517"/>
      <c r="F186" s="517"/>
      <c r="G186" s="517"/>
      <c r="H186" s="517"/>
      <c r="I186" s="517"/>
      <c r="J186" s="517"/>
      <c r="K186" s="517"/>
      <c r="L186" s="517"/>
      <c r="M186" s="517"/>
      <c r="N186" s="517"/>
      <c r="O186" s="517"/>
      <c r="P186" s="517"/>
      <c r="Q186" s="517"/>
      <c r="R186" s="517"/>
      <c r="S186" s="517"/>
      <c r="T186" s="517"/>
      <c r="U186" s="517"/>
      <c r="V186" s="517"/>
      <c r="W186" s="517"/>
      <c r="X186" s="127"/>
      <c r="Y186" s="127"/>
      <c r="Z186" s="127"/>
      <c r="AA186" s="127"/>
      <c r="AB186" s="127"/>
      <c r="AC186" s="127"/>
      <c r="AD186" s="127"/>
      <c r="AE186" s="127"/>
      <c r="AF186" s="127"/>
      <c r="AG186" s="127"/>
      <c r="AH186" s="127"/>
      <c r="AI186" s="127"/>
      <c r="AJ186" s="127"/>
      <c r="AK186" s="127"/>
      <c r="AL186" s="127"/>
      <c r="AM186" s="127"/>
      <c r="AN186" s="517"/>
      <c r="AO186" s="517"/>
      <c r="AP186" s="517"/>
      <c r="AQ186" s="127"/>
      <c r="AR186" s="517"/>
      <c r="AS186" s="517"/>
      <c r="AT186" s="517"/>
      <c r="AU186" s="592"/>
      <c r="AV186" s="517"/>
      <c r="AW186" s="517"/>
      <c r="AX186" s="517"/>
      <c r="AY186" s="517"/>
      <c r="AZ186" s="517"/>
      <c r="BA186" s="517"/>
      <c r="BB186" s="517"/>
      <c r="BC186" s="517"/>
      <c r="BD186" s="517"/>
      <c r="BE186" s="517"/>
      <c r="BF186" s="517"/>
      <c r="BG186" s="517"/>
      <c r="BH186" s="517"/>
      <c r="BI186" s="517"/>
      <c r="BJ186" s="517"/>
      <c r="BK186" s="517"/>
      <c r="BL186" s="517"/>
      <c r="BM186" s="517"/>
      <c r="BN186" s="517"/>
      <c r="BO186" s="517"/>
      <c r="BP186" s="517"/>
      <c r="BQ186" s="517"/>
      <c r="BR186" s="517"/>
      <c r="BS186" s="517"/>
      <c r="BT186" s="517"/>
      <c r="BU186" s="517"/>
      <c r="BV186" s="517"/>
      <c r="BW186" s="517"/>
      <c r="BX186" s="517"/>
      <c r="BY186" s="517"/>
      <c r="BZ186" s="517"/>
      <c r="CA186" s="517"/>
      <c r="CB186" s="517"/>
      <c r="CC186" s="517"/>
      <c r="CD186" s="517"/>
      <c r="CE186" s="517"/>
      <c r="CF186" s="517"/>
      <c r="CG186" s="517"/>
      <c r="CH186" s="517"/>
      <c r="CI186" s="517"/>
      <c r="CJ186" s="517"/>
      <c r="CK186" s="517"/>
      <c r="CL186" s="517"/>
      <c r="CM186" s="517"/>
      <c r="CN186" s="517"/>
      <c r="CO186" s="517"/>
      <c r="CP186" s="517"/>
      <c r="CQ186" s="517"/>
      <c r="CR186" s="517"/>
      <c r="CS186" s="517"/>
      <c r="CT186" s="517"/>
      <c r="CU186" s="517"/>
      <c r="CV186" s="517"/>
      <c r="CW186" s="517"/>
      <c r="CX186" s="517"/>
    </row>
    <row r="187" spans="1:102" ht="12" customHeight="1" x14ac:dyDescent="0.2">
      <c r="A187" s="517"/>
      <c r="B187" s="517"/>
      <c r="C187" s="517"/>
      <c r="D187" s="517"/>
      <c r="E187" s="517"/>
      <c r="F187" s="517"/>
      <c r="G187" s="517"/>
      <c r="H187" s="517"/>
      <c r="I187" s="517"/>
      <c r="J187" s="517"/>
      <c r="K187" s="517"/>
      <c r="L187" s="517"/>
      <c r="M187" s="517"/>
      <c r="N187" s="517"/>
      <c r="O187" s="517"/>
      <c r="P187" s="517"/>
      <c r="Q187" s="517"/>
      <c r="R187" s="517"/>
      <c r="S187" s="517"/>
      <c r="T187" s="517"/>
      <c r="U187" s="517"/>
      <c r="V187" s="517"/>
      <c r="W187" s="517"/>
      <c r="X187" s="127"/>
      <c r="Y187" s="127"/>
      <c r="Z187" s="127"/>
      <c r="AA187" s="127"/>
      <c r="AB187" s="127"/>
      <c r="AC187" s="127"/>
      <c r="AD187" s="127"/>
      <c r="AE187" s="127"/>
      <c r="AF187" s="127"/>
      <c r="AG187" s="127"/>
      <c r="AH187" s="127"/>
      <c r="AI187" s="127"/>
      <c r="AJ187" s="127"/>
      <c r="AK187" s="127"/>
      <c r="AL187" s="127"/>
      <c r="AM187" s="127"/>
      <c r="AN187" s="517"/>
      <c r="AO187" s="517"/>
      <c r="AP187" s="517"/>
      <c r="AQ187" s="127"/>
      <c r="AR187" s="517"/>
      <c r="AS187" s="517"/>
      <c r="AT187" s="517"/>
      <c r="AU187" s="592"/>
      <c r="AV187" s="517"/>
      <c r="AW187" s="517"/>
      <c r="AX187" s="517"/>
      <c r="AY187" s="517"/>
      <c r="AZ187" s="517"/>
      <c r="BA187" s="517"/>
      <c r="BB187" s="517"/>
      <c r="BC187" s="517"/>
      <c r="BD187" s="517"/>
      <c r="BE187" s="517"/>
      <c r="BF187" s="517"/>
      <c r="BG187" s="517"/>
      <c r="BH187" s="517"/>
      <c r="BI187" s="517"/>
      <c r="BJ187" s="517"/>
      <c r="BK187" s="517"/>
      <c r="BL187" s="517"/>
      <c r="BM187" s="517"/>
      <c r="BN187" s="517"/>
      <c r="BO187" s="517"/>
      <c r="BP187" s="517"/>
      <c r="BQ187" s="517"/>
      <c r="BR187" s="517"/>
      <c r="BS187" s="517"/>
      <c r="BT187" s="517"/>
      <c r="BU187" s="517"/>
      <c r="BV187" s="517"/>
      <c r="BW187" s="517"/>
      <c r="BX187" s="517"/>
      <c r="BY187" s="517"/>
      <c r="BZ187" s="517"/>
      <c r="CA187" s="517"/>
      <c r="CB187" s="517"/>
      <c r="CC187" s="517"/>
      <c r="CD187" s="517"/>
      <c r="CE187" s="517"/>
      <c r="CF187" s="517"/>
      <c r="CG187" s="517"/>
      <c r="CH187" s="517"/>
      <c r="CI187" s="517"/>
      <c r="CJ187" s="517"/>
      <c r="CK187" s="517"/>
      <c r="CL187" s="517"/>
      <c r="CM187" s="517"/>
      <c r="CN187" s="517"/>
      <c r="CO187" s="517"/>
      <c r="CP187" s="517"/>
      <c r="CQ187" s="517"/>
      <c r="CR187" s="517"/>
      <c r="CS187" s="517"/>
      <c r="CT187" s="517"/>
      <c r="CU187" s="517"/>
      <c r="CV187" s="517"/>
      <c r="CW187" s="517"/>
      <c r="CX187" s="517"/>
    </row>
    <row r="188" spans="1:102" ht="12" customHeight="1" x14ac:dyDescent="0.2">
      <c r="A188" s="517"/>
      <c r="B188" s="517"/>
      <c r="C188" s="517"/>
      <c r="D188" s="517"/>
      <c r="E188" s="517"/>
      <c r="F188" s="517"/>
      <c r="G188" s="517"/>
      <c r="H188" s="517"/>
      <c r="I188" s="517"/>
      <c r="J188" s="517"/>
      <c r="K188" s="517"/>
      <c r="L188" s="517"/>
      <c r="M188" s="517"/>
      <c r="N188" s="517"/>
      <c r="O188" s="517"/>
      <c r="P188" s="517"/>
      <c r="Q188" s="517"/>
      <c r="R188" s="517"/>
      <c r="S188" s="517"/>
      <c r="T188" s="517"/>
      <c r="U188" s="517"/>
      <c r="V188" s="517"/>
      <c r="W188" s="517"/>
      <c r="X188" s="127"/>
      <c r="Y188" s="127"/>
      <c r="Z188" s="127"/>
      <c r="AA188" s="127"/>
      <c r="AB188" s="127"/>
      <c r="AC188" s="127"/>
      <c r="AD188" s="127"/>
      <c r="AE188" s="127"/>
      <c r="AF188" s="127"/>
      <c r="AG188" s="127"/>
      <c r="AH188" s="127"/>
      <c r="AI188" s="127"/>
      <c r="AJ188" s="127"/>
      <c r="AK188" s="127"/>
      <c r="AL188" s="127"/>
      <c r="AM188" s="127"/>
      <c r="AN188" s="517"/>
      <c r="AO188" s="517"/>
      <c r="AP188" s="517"/>
      <c r="AQ188" s="127"/>
      <c r="AR188" s="517"/>
      <c r="AS188" s="517"/>
      <c r="AT188" s="517"/>
      <c r="AU188" s="592"/>
      <c r="AV188" s="517"/>
      <c r="AW188" s="517"/>
      <c r="AX188" s="517"/>
      <c r="AY188" s="517"/>
      <c r="AZ188" s="517"/>
      <c r="BA188" s="517"/>
      <c r="BB188" s="517"/>
      <c r="BC188" s="517"/>
      <c r="BD188" s="517"/>
      <c r="BE188" s="517"/>
      <c r="BF188" s="517"/>
      <c r="BG188" s="517"/>
      <c r="BH188" s="517"/>
      <c r="BI188" s="517"/>
      <c r="BJ188" s="517"/>
      <c r="BK188" s="517"/>
      <c r="BL188" s="517"/>
      <c r="BM188" s="517"/>
      <c r="BN188" s="517"/>
      <c r="BO188" s="517"/>
      <c r="BP188" s="517"/>
      <c r="BQ188" s="517"/>
      <c r="BR188" s="517"/>
      <c r="BS188" s="517"/>
      <c r="BT188" s="517"/>
      <c r="BU188" s="517"/>
      <c r="BV188" s="517"/>
      <c r="BW188" s="517"/>
      <c r="BX188" s="517"/>
      <c r="BY188" s="517"/>
      <c r="BZ188" s="517"/>
      <c r="CA188" s="517"/>
      <c r="CB188" s="517"/>
      <c r="CC188" s="517"/>
      <c r="CD188" s="517"/>
      <c r="CE188" s="517"/>
      <c r="CF188" s="517"/>
      <c r="CG188" s="517"/>
      <c r="CH188" s="517"/>
      <c r="CI188" s="517"/>
      <c r="CJ188" s="517"/>
      <c r="CK188" s="517"/>
      <c r="CL188" s="517"/>
      <c r="CM188" s="517"/>
      <c r="CN188" s="517"/>
      <c r="CO188" s="517"/>
      <c r="CP188" s="517"/>
      <c r="CQ188" s="517"/>
      <c r="CR188" s="517"/>
      <c r="CS188" s="517"/>
      <c r="CT188" s="517"/>
      <c r="CU188" s="517"/>
      <c r="CV188" s="517"/>
      <c r="CW188" s="517"/>
      <c r="CX188" s="517"/>
    </row>
    <row r="189" spans="1:102" ht="12" customHeight="1" x14ac:dyDescent="0.2">
      <c r="A189" s="517"/>
      <c r="B189" s="517"/>
      <c r="C189" s="517"/>
      <c r="D189" s="517"/>
      <c r="E189" s="517"/>
      <c r="F189" s="517"/>
      <c r="G189" s="517"/>
      <c r="H189" s="517"/>
      <c r="I189" s="517"/>
      <c r="J189" s="517"/>
      <c r="K189" s="517"/>
      <c r="L189" s="517"/>
      <c r="M189" s="517"/>
      <c r="N189" s="517"/>
      <c r="O189" s="517"/>
      <c r="P189" s="517"/>
      <c r="Q189" s="517"/>
      <c r="R189" s="517"/>
      <c r="S189" s="517"/>
      <c r="T189" s="517"/>
      <c r="U189" s="517"/>
      <c r="V189" s="517"/>
      <c r="W189" s="517"/>
      <c r="X189" s="127"/>
      <c r="Y189" s="127"/>
      <c r="Z189" s="127"/>
      <c r="AA189" s="127"/>
      <c r="AB189" s="127"/>
      <c r="AC189" s="127"/>
      <c r="AD189" s="127"/>
      <c r="AE189" s="127"/>
      <c r="AF189" s="127"/>
      <c r="AG189" s="127"/>
      <c r="AH189" s="127"/>
      <c r="AI189" s="127"/>
      <c r="AJ189" s="127"/>
      <c r="AK189" s="127"/>
      <c r="AL189" s="127"/>
      <c r="AM189" s="127"/>
      <c r="AN189" s="517"/>
      <c r="AO189" s="517"/>
      <c r="AP189" s="517"/>
      <c r="AQ189" s="127"/>
      <c r="AR189" s="517"/>
      <c r="AS189" s="517"/>
      <c r="AT189" s="517"/>
      <c r="AU189" s="592"/>
      <c r="AV189" s="517"/>
      <c r="AW189" s="517"/>
      <c r="AX189" s="517"/>
      <c r="AY189" s="517"/>
      <c r="AZ189" s="517"/>
      <c r="BA189" s="517"/>
      <c r="BB189" s="517"/>
      <c r="BC189" s="517"/>
      <c r="BD189" s="517"/>
      <c r="BE189" s="517"/>
      <c r="BF189" s="517"/>
      <c r="BG189" s="517"/>
      <c r="BH189" s="517"/>
      <c r="BI189" s="517"/>
      <c r="BJ189" s="517"/>
      <c r="BK189" s="517"/>
      <c r="BL189" s="517"/>
      <c r="BM189" s="517"/>
      <c r="BN189" s="517"/>
      <c r="BO189" s="517"/>
      <c r="BP189" s="517"/>
      <c r="BQ189" s="517"/>
      <c r="BR189" s="517"/>
      <c r="BS189" s="517"/>
      <c r="BT189" s="517"/>
      <c r="BU189" s="517"/>
      <c r="BV189" s="517"/>
      <c r="BW189" s="517"/>
      <c r="BX189" s="517"/>
      <c r="BY189" s="517"/>
      <c r="BZ189" s="517"/>
      <c r="CA189" s="517"/>
      <c r="CB189" s="517"/>
      <c r="CC189" s="517"/>
      <c r="CD189" s="517"/>
      <c r="CE189" s="517"/>
      <c r="CF189" s="517"/>
      <c r="CG189" s="517"/>
      <c r="CH189" s="517"/>
      <c r="CI189" s="517"/>
      <c r="CJ189" s="517"/>
      <c r="CK189" s="517"/>
      <c r="CL189" s="517"/>
      <c r="CM189" s="517"/>
      <c r="CN189" s="517"/>
      <c r="CO189" s="517"/>
      <c r="CP189" s="517"/>
      <c r="CQ189" s="517"/>
      <c r="CR189" s="517"/>
      <c r="CS189" s="517"/>
      <c r="CT189" s="517"/>
      <c r="CU189" s="517"/>
      <c r="CV189" s="517"/>
      <c r="CW189" s="517"/>
      <c r="CX189" s="517"/>
    </row>
    <row r="190" spans="1:102" ht="12" customHeight="1" x14ac:dyDescent="0.2">
      <c r="A190" s="517"/>
      <c r="B190" s="517"/>
      <c r="C190" s="517"/>
      <c r="D190" s="517"/>
      <c r="E190" s="517"/>
      <c r="F190" s="517"/>
      <c r="G190" s="517"/>
      <c r="H190" s="517"/>
      <c r="I190" s="517"/>
      <c r="J190" s="517"/>
      <c r="K190" s="517"/>
      <c r="L190" s="517"/>
      <c r="M190" s="517"/>
      <c r="N190" s="517"/>
      <c r="O190" s="517"/>
      <c r="P190" s="517"/>
      <c r="Q190" s="517"/>
      <c r="R190" s="517"/>
      <c r="S190" s="517"/>
      <c r="T190" s="517"/>
      <c r="U190" s="517"/>
      <c r="V190" s="517"/>
      <c r="W190" s="517"/>
      <c r="X190" s="127"/>
      <c r="Y190" s="127"/>
      <c r="Z190" s="127"/>
      <c r="AA190" s="127"/>
      <c r="AB190" s="127"/>
      <c r="AC190" s="127"/>
      <c r="AD190" s="127"/>
      <c r="AE190" s="127"/>
      <c r="AF190" s="127"/>
      <c r="AG190" s="127"/>
      <c r="AH190" s="127"/>
      <c r="AI190" s="127"/>
      <c r="AJ190" s="127"/>
      <c r="AK190" s="127"/>
      <c r="AL190" s="127"/>
      <c r="AM190" s="127"/>
      <c r="AN190" s="517"/>
      <c r="AO190" s="517"/>
      <c r="AP190" s="517"/>
      <c r="AQ190" s="127"/>
      <c r="AR190" s="517"/>
      <c r="AS190" s="517"/>
      <c r="AT190" s="517"/>
      <c r="AU190" s="592"/>
      <c r="AV190" s="517"/>
      <c r="AW190" s="517"/>
      <c r="AX190" s="517"/>
      <c r="AY190" s="517"/>
      <c r="AZ190" s="517"/>
      <c r="BA190" s="517"/>
      <c r="BB190" s="517"/>
      <c r="BC190" s="517"/>
      <c r="BD190" s="517"/>
      <c r="BE190" s="517"/>
      <c r="BF190" s="517"/>
      <c r="BG190" s="517"/>
      <c r="BH190" s="517"/>
      <c r="BI190" s="517"/>
      <c r="BJ190" s="517"/>
      <c r="BK190" s="517"/>
      <c r="BL190" s="517"/>
      <c r="BM190" s="517"/>
      <c r="BN190" s="517"/>
      <c r="BO190" s="517"/>
      <c r="BP190" s="517"/>
      <c r="BQ190" s="517"/>
      <c r="BR190" s="517"/>
      <c r="BS190" s="517"/>
      <c r="BT190" s="517"/>
      <c r="BU190" s="517"/>
      <c r="BV190" s="517"/>
      <c r="BW190" s="517"/>
      <c r="BX190" s="517"/>
      <c r="BY190" s="517"/>
      <c r="BZ190" s="517"/>
      <c r="CA190" s="517"/>
      <c r="CB190" s="517"/>
      <c r="CC190" s="517"/>
      <c r="CD190" s="517"/>
      <c r="CE190" s="517"/>
      <c r="CF190" s="517"/>
      <c r="CG190" s="517"/>
      <c r="CH190" s="517"/>
      <c r="CI190" s="517"/>
      <c r="CJ190" s="517"/>
      <c r="CK190" s="517"/>
      <c r="CL190" s="517"/>
      <c r="CM190" s="517"/>
      <c r="CN190" s="517"/>
      <c r="CO190" s="517"/>
      <c r="CP190" s="517"/>
      <c r="CQ190" s="517"/>
      <c r="CR190" s="517"/>
      <c r="CS190" s="517"/>
      <c r="CT190" s="517"/>
      <c r="CU190" s="517"/>
      <c r="CV190" s="517"/>
      <c r="CW190" s="517"/>
      <c r="CX190" s="517"/>
    </row>
    <row r="191" spans="1:102" ht="12" customHeight="1" x14ac:dyDescent="0.2">
      <c r="A191" s="517"/>
      <c r="B191" s="517"/>
      <c r="C191" s="517"/>
      <c r="D191" s="517"/>
      <c r="E191" s="517"/>
      <c r="F191" s="517"/>
      <c r="G191" s="517"/>
      <c r="H191" s="517"/>
      <c r="I191" s="517"/>
      <c r="J191" s="517"/>
      <c r="K191" s="517"/>
      <c r="L191" s="517"/>
      <c r="M191" s="517"/>
      <c r="N191" s="517"/>
      <c r="O191" s="517"/>
      <c r="P191" s="517"/>
      <c r="Q191" s="517"/>
      <c r="R191" s="517"/>
      <c r="S191" s="517"/>
      <c r="T191" s="517"/>
      <c r="U191" s="517"/>
      <c r="V191" s="517"/>
      <c r="W191" s="517"/>
      <c r="X191" s="127"/>
      <c r="Y191" s="127"/>
      <c r="Z191" s="127"/>
      <c r="AA191" s="127"/>
      <c r="AB191" s="127"/>
      <c r="AC191" s="127"/>
      <c r="AD191" s="127"/>
      <c r="AE191" s="127"/>
      <c r="AF191" s="127"/>
      <c r="AG191" s="127"/>
      <c r="AH191" s="127"/>
      <c r="AI191" s="127"/>
      <c r="AJ191" s="127"/>
      <c r="AK191" s="127"/>
      <c r="AL191" s="127"/>
      <c r="AM191" s="127"/>
      <c r="AN191" s="517"/>
      <c r="AO191" s="517"/>
      <c r="AP191" s="517"/>
      <c r="AQ191" s="127"/>
      <c r="AR191" s="517"/>
      <c r="AS191" s="517"/>
      <c r="AT191" s="517"/>
      <c r="AU191" s="592"/>
      <c r="AV191" s="517"/>
      <c r="AW191" s="517"/>
      <c r="AX191" s="517"/>
      <c r="AY191" s="517"/>
      <c r="AZ191" s="517"/>
      <c r="BA191" s="517"/>
      <c r="BB191" s="517"/>
      <c r="BC191" s="517"/>
      <c r="BD191" s="517"/>
      <c r="BE191" s="517"/>
      <c r="BF191" s="517"/>
      <c r="BG191" s="517"/>
      <c r="BH191" s="517"/>
      <c r="BI191" s="517"/>
      <c r="BJ191" s="517"/>
      <c r="BK191" s="517"/>
      <c r="BL191" s="517"/>
      <c r="BM191" s="517"/>
      <c r="BN191" s="517"/>
      <c r="BO191" s="517"/>
      <c r="BP191" s="517"/>
      <c r="BQ191" s="517"/>
      <c r="BR191" s="517"/>
      <c r="BS191" s="517"/>
      <c r="BT191" s="517"/>
      <c r="BU191" s="517"/>
      <c r="BV191" s="517"/>
      <c r="BW191" s="517"/>
      <c r="BX191" s="517"/>
      <c r="BY191" s="517"/>
      <c r="BZ191" s="517"/>
      <c r="CA191" s="517"/>
      <c r="CB191" s="517"/>
      <c r="CC191" s="517"/>
      <c r="CD191" s="517"/>
      <c r="CE191" s="517"/>
      <c r="CF191" s="517"/>
      <c r="CG191" s="517"/>
      <c r="CH191" s="517"/>
      <c r="CI191" s="517"/>
      <c r="CJ191" s="517"/>
      <c r="CK191" s="517"/>
      <c r="CL191" s="517"/>
      <c r="CM191" s="517"/>
      <c r="CN191" s="517"/>
      <c r="CO191" s="517"/>
      <c r="CP191" s="517"/>
      <c r="CQ191" s="517"/>
      <c r="CR191" s="517"/>
      <c r="CS191" s="517"/>
      <c r="CT191" s="517"/>
      <c r="CU191" s="517"/>
      <c r="CV191" s="517"/>
      <c r="CW191" s="517"/>
      <c r="CX191" s="517"/>
    </row>
    <row r="192" spans="1:102" ht="12" customHeight="1" x14ac:dyDescent="0.2">
      <c r="A192" s="517"/>
      <c r="B192" s="517"/>
      <c r="C192" s="517"/>
      <c r="D192" s="517"/>
      <c r="E192" s="517"/>
      <c r="F192" s="517"/>
      <c r="G192" s="517"/>
      <c r="H192" s="517"/>
      <c r="I192" s="517"/>
      <c r="J192" s="517"/>
      <c r="K192" s="517"/>
      <c r="L192" s="517"/>
      <c r="M192" s="517"/>
      <c r="N192" s="517"/>
      <c r="O192" s="517"/>
      <c r="P192" s="517"/>
      <c r="Q192" s="517"/>
      <c r="R192" s="517"/>
      <c r="S192" s="517"/>
      <c r="T192" s="517"/>
      <c r="U192" s="517"/>
      <c r="V192" s="517"/>
      <c r="W192" s="517"/>
      <c r="X192" s="127"/>
      <c r="Y192" s="127"/>
      <c r="Z192" s="127"/>
      <c r="AA192" s="127"/>
      <c r="AB192" s="127"/>
      <c r="AC192" s="127"/>
      <c r="AD192" s="127"/>
      <c r="AE192" s="127"/>
      <c r="AF192" s="127"/>
      <c r="AG192" s="127"/>
      <c r="AH192" s="127"/>
      <c r="AI192" s="127"/>
      <c r="AJ192" s="127"/>
      <c r="AK192" s="127"/>
      <c r="AL192" s="127"/>
      <c r="AM192" s="127"/>
      <c r="AN192" s="517"/>
      <c r="AO192" s="517"/>
      <c r="AP192" s="517"/>
      <c r="AQ192" s="127"/>
      <c r="AR192" s="517"/>
      <c r="AS192" s="517"/>
      <c r="AT192" s="517"/>
      <c r="AU192" s="592"/>
      <c r="AV192" s="517"/>
      <c r="AW192" s="517"/>
      <c r="AX192" s="517"/>
      <c r="AY192" s="517"/>
      <c r="AZ192" s="517"/>
      <c r="BA192" s="517"/>
      <c r="BB192" s="517"/>
      <c r="BC192" s="517"/>
      <c r="BD192" s="517"/>
      <c r="BE192" s="517"/>
      <c r="BF192" s="517"/>
      <c r="BG192" s="517"/>
      <c r="BH192" s="517"/>
      <c r="BI192" s="517"/>
      <c r="BJ192" s="517"/>
      <c r="BK192" s="517"/>
      <c r="BL192" s="517"/>
      <c r="BM192" s="517"/>
      <c r="BN192" s="517"/>
      <c r="BO192" s="517"/>
      <c r="BP192" s="517"/>
      <c r="BQ192" s="517"/>
      <c r="BR192" s="517"/>
      <c r="BS192" s="517"/>
      <c r="BT192" s="517"/>
      <c r="BU192" s="517"/>
      <c r="BV192" s="517"/>
      <c r="BW192" s="517"/>
      <c r="BX192" s="517"/>
      <c r="BY192" s="517"/>
      <c r="BZ192" s="517"/>
      <c r="CA192" s="517"/>
      <c r="CB192" s="517"/>
      <c r="CC192" s="517"/>
      <c r="CD192" s="517"/>
      <c r="CE192" s="517"/>
      <c r="CF192" s="517"/>
      <c r="CG192" s="517"/>
      <c r="CH192" s="517"/>
      <c r="CI192" s="517"/>
      <c r="CJ192" s="517"/>
      <c r="CK192" s="517"/>
      <c r="CL192" s="517"/>
      <c r="CM192" s="517"/>
      <c r="CN192" s="517"/>
      <c r="CO192" s="517"/>
      <c r="CP192" s="517"/>
      <c r="CQ192" s="517"/>
      <c r="CR192" s="517"/>
      <c r="CS192" s="517"/>
      <c r="CT192" s="517"/>
      <c r="CU192" s="517"/>
      <c r="CV192" s="517"/>
      <c r="CW192" s="517"/>
      <c r="CX192" s="517"/>
    </row>
    <row r="193" spans="1:102" ht="12" customHeight="1" x14ac:dyDescent="0.2">
      <c r="A193" s="517"/>
      <c r="B193" s="517"/>
      <c r="C193" s="517"/>
      <c r="D193" s="517"/>
      <c r="E193" s="517"/>
      <c r="F193" s="517"/>
      <c r="G193" s="517"/>
      <c r="H193" s="517"/>
      <c r="I193" s="517"/>
      <c r="J193" s="517"/>
      <c r="K193" s="517"/>
      <c r="L193" s="517"/>
      <c r="M193" s="517"/>
      <c r="N193" s="517"/>
      <c r="O193" s="517"/>
      <c r="P193" s="517"/>
      <c r="Q193" s="517"/>
      <c r="R193" s="517"/>
      <c r="S193" s="517"/>
      <c r="T193" s="517"/>
      <c r="U193" s="517"/>
      <c r="V193" s="517"/>
      <c r="W193" s="517"/>
      <c r="X193" s="127"/>
      <c r="Y193" s="127"/>
      <c r="Z193" s="127"/>
      <c r="AA193" s="127"/>
      <c r="AB193" s="127"/>
      <c r="AC193" s="127"/>
      <c r="AD193" s="127"/>
      <c r="AE193" s="127"/>
      <c r="AF193" s="127"/>
      <c r="AG193" s="127"/>
      <c r="AH193" s="127"/>
      <c r="AI193" s="127"/>
      <c r="AJ193" s="127"/>
      <c r="AK193" s="127"/>
      <c r="AL193" s="127"/>
      <c r="AM193" s="127"/>
      <c r="AN193" s="517"/>
      <c r="AO193" s="517"/>
      <c r="AP193" s="517"/>
      <c r="AQ193" s="127"/>
      <c r="AR193" s="517"/>
      <c r="AS193" s="517"/>
      <c r="AT193" s="517"/>
      <c r="AU193" s="592"/>
      <c r="AV193" s="517"/>
      <c r="AW193" s="517"/>
      <c r="AX193" s="517"/>
      <c r="AY193" s="517"/>
      <c r="AZ193" s="517"/>
      <c r="BA193" s="517"/>
      <c r="BB193" s="517"/>
      <c r="BC193" s="517"/>
      <c r="BD193" s="517"/>
      <c r="BE193" s="517"/>
      <c r="BF193" s="517"/>
      <c r="BG193" s="517"/>
      <c r="BH193" s="517"/>
      <c r="BI193" s="517"/>
      <c r="BJ193" s="517"/>
      <c r="BK193" s="517"/>
      <c r="BL193" s="517"/>
      <c r="BM193" s="517"/>
      <c r="BN193" s="517"/>
      <c r="BO193" s="517"/>
      <c r="BP193" s="517"/>
      <c r="BQ193" s="517"/>
      <c r="BR193" s="517"/>
      <c r="BS193" s="517"/>
      <c r="BT193" s="517"/>
      <c r="BU193" s="517"/>
      <c r="BV193" s="517"/>
      <c r="BW193" s="517"/>
      <c r="BX193" s="517"/>
      <c r="BY193" s="517"/>
      <c r="BZ193" s="517"/>
      <c r="CA193" s="517"/>
      <c r="CB193" s="517"/>
      <c r="CC193" s="517"/>
      <c r="CD193" s="517"/>
      <c r="CE193" s="517"/>
      <c r="CF193" s="517"/>
      <c r="CG193" s="517"/>
      <c r="CH193" s="517"/>
      <c r="CI193" s="517"/>
      <c r="CJ193" s="517"/>
      <c r="CK193" s="517"/>
      <c r="CL193" s="517"/>
      <c r="CM193" s="517"/>
      <c r="CN193" s="517"/>
      <c r="CO193" s="517"/>
      <c r="CP193" s="517"/>
      <c r="CQ193" s="517"/>
      <c r="CR193" s="517"/>
      <c r="CS193" s="517"/>
      <c r="CT193" s="517"/>
      <c r="CU193" s="517"/>
      <c r="CV193" s="517"/>
      <c r="CW193" s="517"/>
      <c r="CX193" s="517"/>
    </row>
    <row r="194" spans="1:102" ht="12" customHeight="1" x14ac:dyDescent="0.2">
      <c r="A194" s="517"/>
      <c r="B194" s="517"/>
      <c r="C194" s="517"/>
      <c r="D194" s="517"/>
      <c r="E194" s="517"/>
      <c r="F194" s="517"/>
      <c r="G194" s="517"/>
      <c r="H194" s="517"/>
      <c r="I194" s="517"/>
      <c r="J194" s="517"/>
      <c r="K194" s="517"/>
      <c r="L194" s="517"/>
      <c r="M194" s="517"/>
      <c r="N194" s="517"/>
      <c r="O194" s="517"/>
      <c r="P194" s="517"/>
      <c r="Q194" s="517"/>
      <c r="R194" s="517"/>
      <c r="S194" s="517"/>
      <c r="T194" s="517"/>
      <c r="U194" s="517"/>
      <c r="V194" s="517"/>
      <c r="W194" s="517"/>
      <c r="X194" s="127"/>
      <c r="Y194" s="127"/>
      <c r="Z194" s="127"/>
      <c r="AA194" s="127"/>
      <c r="AB194" s="127"/>
      <c r="AC194" s="127"/>
      <c r="AD194" s="127"/>
      <c r="AE194" s="127"/>
      <c r="AF194" s="127"/>
      <c r="AG194" s="127"/>
      <c r="AH194" s="127"/>
      <c r="AI194" s="127"/>
      <c r="AJ194" s="127"/>
      <c r="AK194" s="127"/>
      <c r="AL194" s="127"/>
      <c r="AM194" s="127"/>
      <c r="AN194" s="517"/>
      <c r="AO194" s="517"/>
      <c r="AP194" s="517"/>
      <c r="AQ194" s="127"/>
      <c r="AR194" s="517"/>
      <c r="AS194" s="517"/>
      <c r="AT194" s="517"/>
      <c r="AU194" s="592"/>
      <c r="AV194" s="517"/>
      <c r="AW194" s="517"/>
      <c r="AX194" s="517"/>
      <c r="AY194" s="517"/>
      <c r="AZ194" s="517"/>
      <c r="BA194" s="517"/>
      <c r="BB194" s="517"/>
      <c r="BC194" s="517"/>
      <c r="BD194" s="517"/>
      <c r="BE194" s="517"/>
      <c r="BF194" s="517"/>
      <c r="BG194" s="517"/>
      <c r="BH194" s="517"/>
      <c r="BI194" s="517"/>
      <c r="BJ194" s="517"/>
      <c r="BK194" s="517"/>
      <c r="BL194" s="517"/>
      <c r="BM194" s="517"/>
      <c r="BN194" s="517"/>
      <c r="BO194" s="517"/>
      <c r="BP194" s="517"/>
      <c r="BQ194" s="517"/>
      <c r="BR194" s="517"/>
      <c r="BS194" s="517"/>
      <c r="BT194" s="517"/>
      <c r="BU194" s="517"/>
      <c r="BV194" s="517"/>
      <c r="BW194" s="517"/>
      <c r="BX194" s="517"/>
      <c r="BY194" s="517"/>
      <c r="BZ194" s="517"/>
      <c r="CA194" s="517"/>
      <c r="CB194" s="517"/>
      <c r="CC194" s="517"/>
      <c r="CD194" s="517"/>
      <c r="CE194" s="517"/>
      <c r="CF194" s="517"/>
      <c r="CG194" s="517"/>
      <c r="CH194" s="517"/>
      <c r="CI194" s="517"/>
      <c r="CJ194" s="517"/>
      <c r="CK194" s="517"/>
      <c r="CL194" s="517"/>
      <c r="CM194" s="517"/>
      <c r="CN194" s="517"/>
      <c r="CO194" s="517"/>
      <c r="CP194" s="517"/>
      <c r="CQ194" s="517"/>
      <c r="CR194" s="517"/>
      <c r="CS194" s="517"/>
      <c r="CT194" s="517"/>
      <c r="CU194" s="517"/>
      <c r="CV194" s="517"/>
      <c r="CW194" s="517"/>
      <c r="CX194" s="517"/>
    </row>
    <row r="195" spans="1:102" ht="12" customHeight="1" x14ac:dyDescent="0.2">
      <c r="A195" s="517"/>
      <c r="B195" s="517"/>
      <c r="C195" s="517"/>
      <c r="D195" s="517"/>
      <c r="E195" s="517"/>
      <c r="F195" s="517"/>
      <c r="G195" s="517"/>
      <c r="H195" s="517"/>
      <c r="I195" s="517"/>
      <c r="J195" s="517"/>
      <c r="K195" s="517"/>
      <c r="L195" s="517"/>
      <c r="M195" s="517"/>
      <c r="N195" s="517"/>
      <c r="O195" s="517"/>
      <c r="P195" s="517"/>
      <c r="Q195" s="517"/>
      <c r="R195" s="517"/>
      <c r="S195" s="517"/>
      <c r="T195" s="517"/>
      <c r="U195" s="517"/>
      <c r="V195" s="517"/>
      <c r="W195" s="517"/>
      <c r="X195" s="127"/>
      <c r="Y195" s="127"/>
      <c r="Z195" s="127"/>
      <c r="AA195" s="127"/>
      <c r="AB195" s="127"/>
      <c r="AC195" s="127"/>
      <c r="AD195" s="127"/>
      <c r="AE195" s="127"/>
      <c r="AF195" s="127"/>
      <c r="AG195" s="127"/>
      <c r="AH195" s="127"/>
      <c r="AI195" s="127"/>
      <c r="AJ195" s="127"/>
      <c r="AK195" s="127"/>
      <c r="AL195" s="127"/>
      <c r="AM195" s="127"/>
      <c r="AN195" s="517"/>
      <c r="AO195" s="517"/>
      <c r="AP195" s="517"/>
      <c r="AQ195" s="127"/>
      <c r="AR195" s="517"/>
      <c r="AS195" s="517"/>
      <c r="AT195" s="517"/>
      <c r="AU195" s="592"/>
      <c r="AV195" s="517"/>
      <c r="AW195" s="517"/>
      <c r="AX195" s="517"/>
      <c r="AY195" s="517"/>
      <c r="AZ195" s="517"/>
      <c r="BA195" s="517"/>
      <c r="BB195" s="517"/>
      <c r="BC195" s="517"/>
      <c r="BD195" s="517"/>
      <c r="BE195" s="517"/>
      <c r="BF195" s="517"/>
      <c r="BG195" s="517"/>
      <c r="BH195" s="517"/>
      <c r="BI195" s="517"/>
      <c r="BJ195" s="517"/>
      <c r="BK195" s="517"/>
      <c r="BL195" s="517"/>
      <c r="BM195" s="517"/>
      <c r="BN195" s="517"/>
      <c r="BO195" s="517"/>
      <c r="BP195" s="517"/>
      <c r="BQ195" s="517"/>
      <c r="BR195" s="517"/>
      <c r="BS195" s="517"/>
      <c r="BT195" s="517"/>
      <c r="BU195" s="517"/>
      <c r="BV195" s="517"/>
      <c r="BW195" s="517"/>
      <c r="BX195" s="517"/>
      <c r="BY195" s="517"/>
      <c r="BZ195" s="517"/>
      <c r="CA195" s="517"/>
      <c r="CB195" s="517"/>
      <c r="CC195" s="517"/>
      <c r="CD195" s="517"/>
      <c r="CE195" s="517"/>
      <c r="CF195" s="517"/>
      <c r="CG195" s="517"/>
      <c r="CH195" s="517"/>
      <c r="CI195" s="517"/>
      <c r="CJ195" s="517"/>
      <c r="CK195" s="517"/>
      <c r="CL195" s="517"/>
      <c r="CM195" s="517"/>
      <c r="CN195" s="517"/>
      <c r="CO195" s="517"/>
      <c r="CP195" s="517"/>
      <c r="CQ195" s="517"/>
      <c r="CR195" s="517"/>
      <c r="CS195" s="517"/>
      <c r="CT195" s="517"/>
      <c r="CU195" s="517"/>
      <c r="CV195" s="517"/>
      <c r="CW195" s="517"/>
      <c r="CX195" s="517"/>
    </row>
    <row r="196" spans="1:102" ht="12" customHeight="1" x14ac:dyDescent="0.2">
      <c r="A196" s="517"/>
      <c r="B196" s="517"/>
      <c r="C196" s="517"/>
      <c r="D196" s="517"/>
      <c r="E196" s="517"/>
      <c r="F196" s="517"/>
      <c r="G196" s="517"/>
      <c r="H196" s="517"/>
      <c r="I196" s="517"/>
      <c r="J196" s="517"/>
      <c r="K196" s="517"/>
      <c r="L196" s="517"/>
      <c r="M196" s="517"/>
      <c r="N196" s="517"/>
      <c r="O196" s="517"/>
      <c r="P196" s="517"/>
      <c r="Q196" s="517"/>
      <c r="R196" s="517"/>
      <c r="S196" s="517"/>
      <c r="T196" s="517"/>
      <c r="U196" s="517"/>
      <c r="V196" s="517"/>
      <c r="W196" s="517"/>
      <c r="X196" s="127"/>
      <c r="Y196" s="127"/>
      <c r="Z196" s="127"/>
      <c r="AA196" s="127"/>
      <c r="AB196" s="127"/>
      <c r="AC196" s="127"/>
      <c r="AD196" s="127"/>
      <c r="AE196" s="127"/>
      <c r="AF196" s="127"/>
      <c r="AG196" s="127"/>
      <c r="AH196" s="127"/>
      <c r="AI196" s="127"/>
      <c r="AJ196" s="127"/>
      <c r="AK196" s="127"/>
      <c r="AL196" s="127"/>
      <c r="AM196" s="127"/>
      <c r="AN196" s="517"/>
      <c r="AO196" s="517"/>
      <c r="AP196" s="517"/>
      <c r="AQ196" s="127"/>
      <c r="AR196" s="517"/>
      <c r="AS196" s="517"/>
      <c r="AT196" s="517"/>
      <c r="AU196" s="592"/>
      <c r="AV196" s="517"/>
      <c r="AW196" s="517"/>
      <c r="AX196" s="517"/>
      <c r="AY196" s="517"/>
      <c r="AZ196" s="517"/>
      <c r="BA196" s="517"/>
      <c r="BB196" s="517"/>
      <c r="BC196" s="517"/>
      <c r="BD196" s="517"/>
      <c r="BE196" s="517"/>
      <c r="BF196" s="517"/>
      <c r="BG196" s="517"/>
      <c r="BH196" s="517"/>
      <c r="BI196" s="517"/>
      <c r="BJ196" s="517"/>
      <c r="BK196" s="517"/>
      <c r="BL196" s="517"/>
      <c r="BM196" s="517"/>
      <c r="BN196" s="517"/>
      <c r="BO196" s="517"/>
      <c r="BP196" s="517"/>
      <c r="BQ196" s="517"/>
      <c r="BR196" s="517"/>
      <c r="BS196" s="517"/>
      <c r="BT196" s="517"/>
      <c r="BU196" s="517"/>
      <c r="BV196" s="517"/>
      <c r="BW196" s="517"/>
      <c r="BX196" s="517"/>
      <c r="BY196" s="517"/>
      <c r="BZ196" s="517"/>
      <c r="CA196" s="517"/>
      <c r="CB196" s="517"/>
      <c r="CC196" s="517"/>
      <c r="CD196" s="517"/>
      <c r="CE196" s="517"/>
      <c r="CF196" s="517"/>
      <c r="CG196" s="517"/>
      <c r="CH196" s="517"/>
      <c r="CI196" s="517"/>
      <c r="CJ196" s="517"/>
      <c r="CK196" s="517"/>
      <c r="CL196" s="517"/>
      <c r="CM196" s="517"/>
      <c r="CN196" s="517"/>
      <c r="CO196" s="517"/>
      <c r="CP196" s="517"/>
      <c r="CQ196" s="517"/>
      <c r="CR196" s="517"/>
      <c r="CS196" s="517"/>
      <c r="CT196" s="517"/>
      <c r="CU196" s="517"/>
      <c r="CV196" s="517"/>
      <c r="CW196" s="517"/>
      <c r="CX196" s="517"/>
    </row>
    <row r="197" spans="1:102" ht="12" customHeight="1" x14ac:dyDescent="0.2">
      <c r="A197" s="517"/>
      <c r="B197" s="517"/>
      <c r="C197" s="517"/>
      <c r="D197" s="517"/>
      <c r="E197" s="517"/>
      <c r="F197" s="517"/>
      <c r="G197" s="517"/>
      <c r="H197" s="517"/>
      <c r="I197" s="517"/>
      <c r="J197" s="517"/>
      <c r="K197" s="517"/>
      <c r="L197" s="517"/>
      <c r="M197" s="517"/>
      <c r="N197" s="517"/>
      <c r="O197" s="517"/>
      <c r="P197" s="517"/>
      <c r="Q197" s="517"/>
      <c r="R197" s="517"/>
      <c r="S197" s="517"/>
      <c r="T197" s="517"/>
      <c r="U197" s="517"/>
      <c r="V197" s="517"/>
      <c r="W197" s="517"/>
      <c r="X197" s="127"/>
      <c r="Y197" s="127"/>
      <c r="Z197" s="127"/>
      <c r="AA197" s="127"/>
      <c r="AB197" s="127"/>
      <c r="AC197" s="127"/>
      <c r="AD197" s="127"/>
      <c r="AE197" s="127"/>
      <c r="AF197" s="127"/>
      <c r="AG197" s="127"/>
      <c r="AH197" s="127"/>
      <c r="AI197" s="127"/>
      <c r="AJ197" s="127"/>
      <c r="AK197" s="127"/>
      <c r="AL197" s="127"/>
      <c r="AM197" s="127"/>
      <c r="AN197" s="517"/>
      <c r="AO197" s="517"/>
      <c r="AP197" s="517"/>
      <c r="AQ197" s="127"/>
      <c r="AR197" s="517"/>
      <c r="AS197" s="517"/>
      <c r="AT197" s="517"/>
      <c r="AU197" s="592"/>
      <c r="AV197" s="517"/>
      <c r="AW197" s="517"/>
      <c r="AX197" s="517"/>
      <c r="AY197" s="517"/>
      <c r="AZ197" s="517"/>
      <c r="BA197" s="517"/>
      <c r="BB197" s="517"/>
      <c r="BC197" s="517"/>
      <c r="BD197" s="517"/>
      <c r="BE197" s="517"/>
      <c r="BF197" s="517"/>
      <c r="BG197" s="517"/>
      <c r="BH197" s="517"/>
      <c r="BI197" s="517"/>
      <c r="BJ197" s="517"/>
      <c r="BK197" s="517"/>
      <c r="BL197" s="517"/>
      <c r="BM197" s="517"/>
      <c r="BN197" s="517"/>
      <c r="BO197" s="517"/>
      <c r="BP197" s="517"/>
      <c r="BQ197" s="517"/>
      <c r="BR197" s="517"/>
      <c r="BS197" s="517"/>
      <c r="BT197" s="517"/>
      <c r="BU197" s="517"/>
      <c r="BV197" s="517"/>
      <c r="BW197" s="517"/>
      <c r="BX197" s="517"/>
      <c r="BY197" s="517"/>
      <c r="BZ197" s="517"/>
      <c r="CA197" s="517"/>
      <c r="CB197" s="517"/>
      <c r="CC197" s="517"/>
      <c r="CD197" s="517"/>
      <c r="CE197" s="517"/>
      <c r="CF197" s="517"/>
      <c r="CG197" s="517"/>
      <c r="CH197" s="517"/>
      <c r="CI197" s="517"/>
      <c r="CJ197" s="517"/>
      <c r="CK197" s="517"/>
      <c r="CL197" s="517"/>
      <c r="CM197" s="517"/>
      <c r="CN197" s="517"/>
      <c r="CO197" s="517"/>
      <c r="CP197" s="517"/>
      <c r="CQ197" s="517"/>
      <c r="CR197" s="517"/>
      <c r="CS197" s="517"/>
      <c r="CT197" s="517"/>
      <c r="CU197" s="517"/>
      <c r="CV197" s="517"/>
      <c r="CW197" s="517"/>
      <c r="CX197" s="517"/>
    </row>
    <row r="198" spans="1:102" ht="12" customHeight="1" x14ac:dyDescent="0.2">
      <c r="A198" s="517"/>
      <c r="B198" s="517"/>
      <c r="C198" s="517"/>
      <c r="D198" s="517"/>
      <c r="E198" s="517"/>
      <c r="F198" s="517"/>
      <c r="G198" s="517"/>
      <c r="H198" s="517"/>
      <c r="I198" s="517"/>
      <c r="J198" s="517"/>
      <c r="K198" s="517"/>
      <c r="L198" s="517"/>
      <c r="M198" s="517"/>
      <c r="N198" s="517"/>
      <c r="O198" s="517"/>
      <c r="P198" s="517"/>
      <c r="Q198" s="517"/>
      <c r="R198" s="517"/>
      <c r="S198" s="517"/>
      <c r="T198" s="517"/>
      <c r="U198" s="517"/>
      <c r="V198" s="517"/>
      <c r="W198" s="517"/>
      <c r="X198" s="127"/>
      <c r="Y198" s="127"/>
      <c r="Z198" s="127"/>
      <c r="AA198" s="127"/>
      <c r="AB198" s="127"/>
      <c r="AC198" s="127"/>
      <c r="AD198" s="127"/>
      <c r="AE198" s="127"/>
      <c r="AF198" s="127"/>
      <c r="AG198" s="127"/>
      <c r="AH198" s="127"/>
      <c r="AI198" s="127"/>
      <c r="AJ198" s="127"/>
      <c r="AK198" s="127"/>
      <c r="AL198" s="127"/>
      <c r="AM198" s="127"/>
      <c r="AN198" s="517"/>
      <c r="AO198" s="517"/>
      <c r="AP198" s="517"/>
      <c r="AQ198" s="127"/>
      <c r="AR198" s="517"/>
      <c r="AS198" s="517"/>
      <c r="AT198" s="517"/>
      <c r="AU198" s="592"/>
      <c r="AV198" s="517"/>
      <c r="AW198" s="517"/>
      <c r="AX198" s="517"/>
      <c r="AY198" s="517"/>
      <c r="AZ198" s="517"/>
      <c r="BA198" s="517"/>
      <c r="BB198" s="517"/>
      <c r="BC198" s="517"/>
      <c r="BD198" s="517"/>
      <c r="BE198" s="517"/>
      <c r="BF198" s="517"/>
      <c r="BG198" s="517"/>
      <c r="BH198" s="517"/>
      <c r="BI198" s="517"/>
      <c r="BJ198" s="517"/>
      <c r="BK198" s="517"/>
      <c r="BL198" s="517"/>
      <c r="BM198" s="517"/>
      <c r="BN198" s="517"/>
      <c r="BO198" s="517"/>
      <c r="BP198" s="517"/>
      <c r="BQ198" s="517"/>
      <c r="BR198" s="517"/>
      <c r="BS198" s="517"/>
      <c r="BT198" s="517"/>
      <c r="BU198" s="517"/>
      <c r="BV198" s="517"/>
      <c r="BW198" s="517"/>
      <c r="BX198" s="517"/>
      <c r="BY198" s="517"/>
      <c r="BZ198" s="517"/>
      <c r="CA198" s="517"/>
      <c r="CB198" s="517"/>
      <c r="CC198" s="517"/>
      <c r="CD198" s="517"/>
      <c r="CE198" s="517"/>
      <c r="CF198" s="517"/>
      <c r="CG198" s="517"/>
      <c r="CH198" s="517"/>
      <c r="CI198" s="517"/>
      <c r="CJ198" s="517"/>
      <c r="CK198" s="517"/>
      <c r="CL198" s="517"/>
      <c r="CM198" s="517"/>
      <c r="CN198" s="517"/>
      <c r="CO198" s="517"/>
      <c r="CP198" s="517"/>
      <c r="CQ198" s="517"/>
      <c r="CR198" s="517"/>
      <c r="CS198" s="517"/>
      <c r="CT198" s="517"/>
      <c r="CU198" s="517"/>
      <c r="CV198" s="517"/>
      <c r="CW198" s="517"/>
      <c r="CX198" s="517"/>
    </row>
    <row r="199" spans="1:102" ht="12" customHeight="1" x14ac:dyDescent="0.2">
      <c r="A199" s="517"/>
      <c r="B199" s="517"/>
      <c r="C199" s="517"/>
      <c r="D199" s="517"/>
      <c r="E199" s="517"/>
      <c r="F199" s="517"/>
      <c r="G199" s="517"/>
      <c r="H199" s="517"/>
      <c r="I199" s="517"/>
      <c r="J199" s="517"/>
      <c r="K199" s="517"/>
      <c r="L199" s="517"/>
      <c r="M199" s="517"/>
      <c r="N199" s="517"/>
      <c r="O199" s="517"/>
      <c r="P199" s="517"/>
      <c r="Q199" s="517"/>
      <c r="R199" s="517"/>
      <c r="S199" s="517"/>
      <c r="T199" s="517"/>
      <c r="U199" s="517"/>
      <c r="V199" s="517"/>
      <c r="W199" s="517"/>
      <c r="X199" s="127"/>
      <c r="Y199" s="127"/>
      <c r="Z199" s="127"/>
      <c r="AA199" s="127"/>
      <c r="AB199" s="127"/>
      <c r="AC199" s="127"/>
      <c r="AD199" s="127"/>
      <c r="AE199" s="127"/>
      <c r="AF199" s="127"/>
      <c r="AG199" s="127"/>
      <c r="AH199" s="127"/>
      <c r="AI199" s="127"/>
      <c r="AJ199" s="127"/>
      <c r="AK199" s="127"/>
      <c r="AL199" s="127"/>
      <c r="AM199" s="127"/>
      <c r="AN199" s="517"/>
      <c r="AO199" s="517"/>
      <c r="AP199" s="517"/>
      <c r="AQ199" s="127"/>
      <c r="AR199" s="517"/>
      <c r="AS199" s="517"/>
      <c r="AT199" s="517"/>
      <c r="AU199" s="592"/>
      <c r="AV199" s="517"/>
      <c r="AW199" s="517"/>
      <c r="AX199" s="517"/>
      <c r="AY199" s="517"/>
      <c r="AZ199" s="517"/>
      <c r="BA199" s="517"/>
      <c r="BB199" s="517"/>
      <c r="BC199" s="517"/>
      <c r="BD199" s="517"/>
      <c r="BE199" s="517"/>
      <c r="BF199" s="517"/>
      <c r="BG199" s="517"/>
      <c r="BH199" s="517"/>
      <c r="BI199" s="517"/>
      <c r="BJ199" s="517"/>
      <c r="BK199" s="517"/>
      <c r="BL199" s="517"/>
      <c r="BM199" s="517"/>
      <c r="BN199" s="517"/>
      <c r="BO199" s="517"/>
      <c r="BP199" s="517"/>
      <c r="BQ199" s="517"/>
      <c r="BR199" s="517"/>
      <c r="BS199" s="517"/>
      <c r="BT199" s="517"/>
      <c r="BU199" s="517"/>
      <c r="BV199" s="517"/>
      <c r="BW199" s="517"/>
      <c r="BX199" s="517"/>
      <c r="BY199" s="517"/>
      <c r="BZ199" s="517"/>
      <c r="CA199" s="517"/>
      <c r="CB199" s="517"/>
      <c r="CC199" s="517"/>
      <c r="CD199" s="517"/>
      <c r="CE199" s="517"/>
      <c r="CF199" s="517"/>
      <c r="CG199" s="517"/>
      <c r="CH199" s="517"/>
      <c r="CI199" s="517"/>
      <c r="CJ199" s="517"/>
      <c r="CK199" s="517"/>
      <c r="CL199" s="517"/>
      <c r="CM199" s="517"/>
      <c r="CN199" s="517"/>
      <c r="CO199" s="517"/>
      <c r="CP199" s="517"/>
      <c r="CQ199" s="517"/>
      <c r="CR199" s="517"/>
      <c r="CS199" s="517"/>
      <c r="CT199" s="517"/>
      <c r="CU199" s="517"/>
      <c r="CV199" s="517"/>
      <c r="CW199" s="517"/>
      <c r="CX199" s="517"/>
    </row>
    <row r="200" spans="1:102" ht="12" customHeight="1" x14ac:dyDescent="0.2">
      <c r="A200" s="517"/>
      <c r="B200" s="517"/>
      <c r="C200" s="517"/>
      <c r="D200" s="517"/>
      <c r="E200" s="517"/>
      <c r="F200" s="517"/>
      <c r="G200" s="517"/>
      <c r="H200" s="517"/>
      <c r="I200" s="517"/>
      <c r="J200" s="517"/>
      <c r="K200" s="517"/>
      <c r="L200" s="517"/>
      <c r="M200" s="517"/>
      <c r="N200" s="517"/>
      <c r="O200" s="517"/>
      <c r="P200" s="517"/>
      <c r="Q200" s="517"/>
      <c r="R200" s="517"/>
      <c r="S200" s="517"/>
      <c r="T200" s="517"/>
      <c r="U200" s="517"/>
      <c r="V200" s="517"/>
      <c r="W200" s="517"/>
      <c r="X200" s="127"/>
      <c r="Y200" s="127"/>
      <c r="Z200" s="127"/>
      <c r="AA200" s="127"/>
      <c r="AB200" s="127"/>
      <c r="AC200" s="127"/>
      <c r="AD200" s="127"/>
      <c r="AE200" s="127"/>
      <c r="AF200" s="127"/>
      <c r="AG200" s="127"/>
      <c r="AH200" s="127"/>
      <c r="AI200" s="127"/>
      <c r="AJ200" s="127"/>
      <c r="AK200" s="127"/>
      <c r="AL200" s="127"/>
      <c r="AM200" s="127"/>
      <c r="AN200" s="517"/>
      <c r="AO200" s="517"/>
      <c r="AP200" s="517"/>
      <c r="AQ200" s="127"/>
      <c r="AR200" s="517"/>
      <c r="AS200" s="517"/>
      <c r="AT200" s="517"/>
      <c r="AU200" s="592"/>
      <c r="AV200" s="517"/>
      <c r="AW200" s="517"/>
      <c r="AX200" s="517"/>
      <c r="AY200" s="517"/>
      <c r="AZ200" s="517"/>
      <c r="BA200" s="517"/>
      <c r="BB200" s="517"/>
      <c r="BC200" s="517"/>
      <c r="BD200" s="517"/>
      <c r="BE200" s="517"/>
      <c r="BF200" s="517"/>
      <c r="BG200" s="517"/>
      <c r="BH200" s="517"/>
      <c r="BI200" s="517"/>
      <c r="BJ200" s="517"/>
      <c r="BK200" s="517"/>
      <c r="BL200" s="517"/>
      <c r="BM200" s="517"/>
      <c r="BN200" s="517"/>
      <c r="BO200" s="517"/>
      <c r="BP200" s="517"/>
      <c r="BQ200" s="517"/>
      <c r="BR200" s="517"/>
      <c r="BS200" s="517"/>
      <c r="BT200" s="517"/>
      <c r="BU200" s="517"/>
      <c r="BV200" s="517"/>
      <c r="BW200" s="517"/>
      <c r="BX200" s="517"/>
      <c r="BY200" s="517"/>
      <c r="BZ200" s="517"/>
      <c r="CA200" s="517"/>
      <c r="CB200" s="517"/>
      <c r="CC200" s="517"/>
      <c r="CD200" s="517"/>
      <c r="CE200" s="517"/>
      <c r="CF200" s="517"/>
      <c r="CG200" s="517"/>
      <c r="CH200" s="517"/>
      <c r="CI200" s="517"/>
      <c r="CJ200" s="517"/>
      <c r="CK200" s="517"/>
      <c r="CL200" s="517"/>
      <c r="CM200" s="517"/>
      <c r="CN200" s="517"/>
      <c r="CO200" s="517"/>
      <c r="CP200" s="517"/>
      <c r="CQ200" s="517"/>
      <c r="CR200" s="517"/>
      <c r="CS200" s="517"/>
      <c r="CT200" s="517"/>
      <c r="CU200" s="517"/>
      <c r="CV200" s="517"/>
      <c r="CW200" s="517"/>
      <c r="CX200" s="517"/>
    </row>
    <row r="201" spans="1:102" ht="12" customHeight="1" x14ac:dyDescent="0.2">
      <c r="A201" s="517"/>
      <c r="B201" s="517"/>
      <c r="C201" s="517"/>
      <c r="D201" s="517"/>
      <c r="E201" s="517"/>
      <c r="F201" s="517"/>
      <c r="G201" s="517"/>
      <c r="H201" s="517"/>
      <c r="I201" s="517"/>
      <c r="J201" s="517"/>
      <c r="K201" s="517"/>
      <c r="L201" s="517"/>
      <c r="M201" s="517"/>
      <c r="N201" s="517"/>
      <c r="O201" s="517"/>
      <c r="P201" s="517"/>
      <c r="Q201" s="517"/>
      <c r="R201" s="517"/>
      <c r="S201" s="517"/>
      <c r="T201" s="517"/>
      <c r="U201" s="517"/>
      <c r="V201" s="517"/>
      <c r="W201" s="517"/>
      <c r="X201" s="127"/>
      <c r="Y201" s="127"/>
      <c r="Z201" s="127"/>
      <c r="AA201" s="127"/>
      <c r="AB201" s="127"/>
      <c r="AC201" s="127"/>
      <c r="AD201" s="127"/>
      <c r="AE201" s="127"/>
      <c r="AF201" s="127"/>
      <c r="AG201" s="127"/>
      <c r="AH201" s="127"/>
      <c r="AI201" s="127"/>
      <c r="AJ201" s="127"/>
      <c r="AK201" s="127"/>
      <c r="AL201" s="127"/>
      <c r="AM201" s="127"/>
      <c r="AN201" s="517"/>
      <c r="AO201" s="517"/>
      <c r="AP201" s="517"/>
      <c r="AQ201" s="127"/>
      <c r="AR201" s="517"/>
      <c r="AS201" s="517"/>
      <c r="AT201" s="517"/>
      <c r="AU201" s="592"/>
      <c r="AV201" s="517"/>
      <c r="AW201" s="517"/>
      <c r="AX201" s="517"/>
      <c r="AY201" s="517"/>
      <c r="AZ201" s="517"/>
      <c r="BA201" s="517"/>
      <c r="BB201" s="517"/>
      <c r="BC201" s="517"/>
      <c r="BD201" s="517"/>
      <c r="BE201" s="517"/>
      <c r="BF201" s="517"/>
      <c r="BG201" s="517"/>
      <c r="BH201" s="517"/>
      <c r="BI201" s="517"/>
      <c r="BJ201" s="517"/>
      <c r="BK201" s="517"/>
      <c r="BL201" s="517"/>
      <c r="BM201" s="517"/>
      <c r="BN201" s="517"/>
      <c r="BO201" s="517"/>
      <c r="BP201" s="517"/>
      <c r="BQ201" s="517"/>
      <c r="BR201" s="517"/>
      <c r="BS201" s="517"/>
      <c r="BT201" s="517"/>
      <c r="BU201" s="517"/>
      <c r="BV201" s="517"/>
      <c r="BW201" s="517"/>
      <c r="BX201" s="517"/>
      <c r="BY201" s="517"/>
      <c r="BZ201" s="517"/>
      <c r="CA201" s="517"/>
      <c r="CB201" s="517"/>
      <c r="CC201" s="517"/>
      <c r="CD201" s="517"/>
      <c r="CE201" s="517"/>
      <c r="CF201" s="517"/>
      <c r="CG201" s="517"/>
      <c r="CH201" s="517"/>
      <c r="CI201" s="517"/>
      <c r="CJ201" s="517"/>
      <c r="CK201" s="517"/>
      <c r="CL201" s="517"/>
      <c r="CM201" s="517"/>
      <c r="CN201" s="517"/>
      <c r="CO201" s="517"/>
      <c r="CP201" s="517"/>
      <c r="CQ201" s="517"/>
      <c r="CR201" s="517"/>
      <c r="CS201" s="517"/>
      <c r="CT201" s="517"/>
      <c r="CU201" s="517"/>
      <c r="CV201" s="517"/>
      <c r="CW201" s="517"/>
      <c r="CX201" s="517"/>
    </row>
    <row r="202" spans="1:102" ht="12" customHeight="1" x14ac:dyDescent="0.2">
      <c r="A202" s="517"/>
      <c r="B202" s="517"/>
      <c r="C202" s="517"/>
      <c r="D202" s="517"/>
      <c r="E202" s="517"/>
      <c r="F202" s="517"/>
      <c r="G202" s="517"/>
      <c r="H202" s="517"/>
      <c r="I202" s="517"/>
      <c r="J202" s="517"/>
      <c r="K202" s="517"/>
      <c r="L202" s="517"/>
      <c r="M202" s="517"/>
      <c r="N202" s="517"/>
      <c r="O202" s="517"/>
      <c r="P202" s="517"/>
      <c r="Q202" s="517"/>
      <c r="R202" s="517"/>
      <c r="S202" s="517"/>
      <c r="T202" s="517"/>
      <c r="U202" s="517"/>
      <c r="V202" s="517"/>
      <c r="W202" s="517"/>
      <c r="X202" s="127"/>
      <c r="Y202" s="127"/>
      <c r="Z202" s="127"/>
      <c r="AA202" s="127"/>
      <c r="AB202" s="127"/>
      <c r="AC202" s="127"/>
      <c r="AD202" s="127"/>
      <c r="AE202" s="127"/>
      <c r="AF202" s="127"/>
      <c r="AG202" s="127"/>
      <c r="AH202" s="127"/>
      <c r="AI202" s="127"/>
      <c r="AJ202" s="127"/>
      <c r="AK202" s="127"/>
      <c r="AL202" s="127"/>
      <c r="AM202" s="127"/>
      <c r="AN202" s="517"/>
      <c r="AO202" s="517"/>
      <c r="AP202" s="517"/>
      <c r="AQ202" s="127"/>
      <c r="AR202" s="517"/>
      <c r="AS202" s="517"/>
      <c r="AT202" s="517"/>
      <c r="AU202" s="592"/>
      <c r="AV202" s="517"/>
      <c r="AW202" s="517"/>
      <c r="AX202" s="517"/>
      <c r="AY202" s="517"/>
      <c r="AZ202" s="517"/>
      <c r="BA202" s="517"/>
      <c r="BB202" s="517"/>
      <c r="BC202" s="517"/>
      <c r="BD202" s="517"/>
      <c r="BE202" s="517"/>
      <c r="BF202" s="517"/>
      <c r="BG202" s="517"/>
      <c r="BH202" s="517"/>
      <c r="BI202" s="517"/>
      <c r="BJ202" s="517"/>
      <c r="BK202" s="517"/>
      <c r="BL202" s="517"/>
      <c r="BM202" s="517"/>
      <c r="BN202" s="517"/>
      <c r="BO202" s="517"/>
      <c r="BP202" s="517"/>
      <c r="BQ202" s="517"/>
      <c r="BR202" s="517"/>
      <c r="BS202" s="517"/>
      <c r="BT202" s="517"/>
      <c r="BU202" s="517"/>
      <c r="BV202" s="517"/>
      <c r="BW202" s="517"/>
      <c r="BX202" s="517"/>
      <c r="BY202" s="517"/>
      <c r="BZ202" s="517"/>
      <c r="CA202" s="517"/>
      <c r="CB202" s="517"/>
      <c r="CC202" s="517"/>
      <c r="CD202" s="517"/>
      <c r="CE202" s="517"/>
      <c r="CF202" s="517"/>
      <c r="CG202" s="517"/>
      <c r="CH202" s="517"/>
      <c r="CI202" s="517"/>
      <c r="CJ202" s="517"/>
      <c r="CK202" s="517"/>
      <c r="CL202" s="517"/>
      <c r="CM202" s="517"/>
      <c r="CN202" s="517"/>
      <c r="CO202" s="517"/>
      <c r="CP202" s="517"/>
      <c r="CQ202" s="517"/>
      <c r="CR202" s="517"/>
      <c r="CS202" s="517"/>
      <c r="CT202" s="517"/>
      <c r="CU202" s="517"/>
      <c r="CV202" s="517"/>
      <c r="CW202" s="517"/>
      <c r="CX202" s="517"/>
    </row>
    <row r="203" spans="1:102" ht="12" customHeight="1" x14ac:dyDescent="0.2">
      <c r="A203" s="517"/>
      <c r="B203" s="517"/>
      <c r="C203" s="517"/>
      <c r="D203" s="517"/>
      <c r="E203" s="517"/>
      <c r="F203" s="517"/>
      <c r="G203" s="517"/>
      <c r="H203" s="517"/>
      <c r="I203" s="517"/>
      <c r="J203" s="517"/>
      <c r="K203" s="517"/>
      <c r="L203" s="517"/>
      <c r="M203" s="517"/>
      <c r="N203" s="517"/>
      <c r="O203" s="517"/>
      <c r="P203" s="517"/>
      <c r="Q203" s="517"/>
      <c r="R203" s="517"/>
      <c r="S203" s="517"/>
      <c r="T203" s="517"/>
      <c r="U203" s="517"/>
      <c r="V203" s="517"/>
      <c r="W203" s="517"/>
      <c r="X203" s="127"/>
      <c r="Y203" s="127"/>
      <c r="Z203" s="127"/>
      <c r="AA203" s="127"/>
      <c r="AB203" s="127"/>
      <c r="AC203" s="127"/>
      <c r="AD203" s="127"/>
      <c r="AE203" s="127"/>
      <c r="AF203" s="127"/>
      <c r="AG203" s="127"/>
      <c r="AH203" s="127"/>
      <c r="AI203" s="127"/>
      <c r="AJ203" s="127"/>
      <c r="AK203" s="127"/>
      <c r="AL203" s="127"/>
      <c r="AM203" s="127"/>
      <c r="AN203" s="517"/>
      <c r="AO203" s="517"/>
      <c r="AP203" s="517"/>
      <c r="AQ203" s="127"/>
      <c r="AR203" s="517"/>
      <c r="AS203" s="517"/>
      <c r="AT203" s="517"/>
      <c r="AU203" s="592"/>
      <c r="AV203" s="517"/>
      <c r="AW203" s="517"/>
      <c r="AX203" s="517"/>
      <c r="AY203" s="517"/>
      <c r="AZ203" s="517"/>
      <c r="BA203" s="517"/>
      <c r="BB203" s="517"/>
      <c r="BC203" s="517"/>
      <c r="BD203" s="517"/>
      <c r="BE203" s="517"/>
      <c r="BF203" s="517"/>
      <c r="BG203" s="517"/>
      <c r="BH203" s="517"/>
      <c r="BI203" s="517"/>
      <c r="BJ203" s="517"/>
      <c r="BK203" s="517"/>
      <c r="BL203" s="517"/>
      <c r="BM203" s="517"/>
      <c r="BN203" s="517"/>
      <c r="BO203" s="517"/>
      <c r="BP203" s="517"/>
      <c r="BQ203" s="517"/>
      <c r="BR203" s="517"/>
      <c r="BS203" s="517"/>
      <c r="BT203" s="517"/>
      <c r="BU203" s="517"/>
      <c r="BV203" s="517"/>
      <c r="BW203" s="517"/>
      <c r="BX203" s="517"/>
      <c r="BY203" s="517"/>
      <c r="BZ203" s="517"/>
      <c r="CA203" s="517"/>
      <c r="CB203" s="517"/>
      <c r="CC203" s="517"/>
      <c r="CD203" s="517"/>
      <c r="CE203" s="517"/>
      <c r="CF203" s="517"/>
      <c r="CG203" s="517"/>
      <c r="CH203" s="517"/>
      <c r="CI203" s="517"/>
      <c r="CJ203" s="517"/>
      <c r="CK203" s="517"/>
      <c r="CL203" s="517"/>
      <c r="CM203" s="517"/>
      <c r="CN203" s="517"/>
      <c r="CO203" s="517"/>
      <c r="CP203" s="517"/>
      <c r="CQ203" s="517"/>
      <c r="CR203" s="517"/>
      <c r="CS203" s="517"/>
      <c r="CT203" s="517"/>
      <c r="CU203" s="517"/>
      <c r="CV203" s="517"/>
      <c r="CW203" s="517"/>
      <c r="CX203" s="517"/>
    </row>
    <row r="204" spans="1:102" ht="12" customHeight="1" x14ac:dyDescent="0.2">
      <c r="A204" s="517"/>
      <c r="B204" s="517"/>
      <c r="C204" s="517"/>
      <c r="D204" s="517"/>
      <c r="E204" s="517"/>
      <c r="F204" s="517"/>
      <c r="G204" s="517"/>
      <c r="H204" s="517"/>
      <c r="I204" s="517"/>
      <c r="J204" s="517"/>
      <c r="K204" s="517"/>
      <c r="L204" s="517"/>
      <c r="M204" s="517"/>
      <c r="N204" s="517"/>
      <c r="O204" s="517"/>
      <c r="P204" s="517"/>
      <c r="Q204" s="517"/>
      <c r="R204" s="517"/>
      <c r="S204" s="517"/>
      <c r="T204" s="517"/>
      <c r="U204" s="517"/>
      <c r="V204" s="517"/>
      <c r="W204" s="517"/>
      <c r="X204" s="127"/>
      <c r="Y204" s="127"/>
      <c r="Z204" s="127"/>
      <c r="AA204" s="127"/>
      <c r="AB204" s="127"/>
      <c r="AC204" s="127"/>
      <c r="AD204" s="127"/>
      <c r="AE204" s="127"/>
      <c r="AF204" s="127"/>
      <c r="AG204" s="127"/>
      <c r="AH204" s="127"/>
      <c r="AI204" s="127"/>
      <c r="AJ204" s="127"/>
      <c r="AK204" s="127"/>
      <c r="AL204" s="127"/>
      <c r="AM204" s="127"/>
      <c r="AN204" s="517"/>
      <c r="AO204" s="517"/>
      <c r="AP204" s="517"/>
      <c r="AQ204" s="127"/>
      <c r="AR204" s="517"/>
      <c r="AS204" s="517"/>
      <c r="AT204" s="517"/>
      <c r="AU204" s="592"/>
      <c r="AV204" s="517"/>
      <c r="AW204" s="517"/>
      <c r="AX204" s="517"/>
      <c r="AY204" s="517"/>
      <c r="AZ204" s="517"/>
      <c r="BA204" s="517"/>
      <c r="BB204" s="517"/>
      <c r="BC204" s="517"/>
      <c r="BD204" s="517"/>
      <c r="BE204" s="517"/>
      <c r="BF204" s="517"/>
      <c r="BG204" s="517"/>
      <c r="BH204" s="517"/>
      <c r="BI204" s="517"/>
      <c r="BJ204" s="517"/>
      <c r="BK204" s="517"/>
      <c r="BL204" s="517"/>
      <c r="BM204" s="517"/>
      <c r="BN204" s="517"/>
      <c r="BO204" s="517"/>
      <c r="BP204" s="517"/>
      <c r="BQ204" s="517"/>
      <c r="BR204" s="517"/>
      <c r="BS204" s="517"/>
      <c r="BT204" s="517"/>
      <c r="BU204" s="517"/>
      <c r="BV204" s="517"/>
      <c r="BW204" s="517"/>
      <c r="BX204" s="517"/>
      <c r="BY204" s="517"/>
      <c r="BZ204" s="517"/>
      <c r="CA204" s="517"/>
      <c r="CB204" s="517"/>
      <c r="CC204" s="517"/>
      <c r="CD204" s="517"/>
      <c r="CE204" s="517"/>
      <c r="CF204" s="517"/>
      <c r="CG204" s="517"/>
      <c r="CH204" s="517"/>
      <c r="CI204" s="517"/>
      <c r="CJ204" s="517"/>
      <c r="CK204" s="517"/>
      <c r="CL204" s="517"/>
      <c r="CM204" s="517"/>
      <c r="CN204" s="517"/>
      <c r="CO204" s="517"/>
      <c r="CP204" s="517"/>
      <c r="CQ204" s="517"/>
      <c r="CR204" s="517"/>
      <c r="CS204" s="517"/>
      <c r="CT204" s="517"/>
      <c r="CU204" s="517"/>
      <c r="CV204" s="517"/>
      <c r="CW204" s="517"/>
      <c r="CX204" s="517"/>
    </row>
    <row r="205" spans="1:102" ht="12" customHeight="1" x14ac:dyDescent="0.2">
      <c r="A205" s="517"/>
      <c r="B205" s="517"/>
      <c r="C205" s="517"/>
      <c r="D205" s="517"/>
      <c r="E205" s="517"/>
      <c r="F205" s="517"/>
      <c r="G205" s="517"/>
      <c r="H205" s="517"/>
      <c r="I205" s="517"/>
      <c r="J205" s="517"/>
      <c r="K205" s="517"/>
      <c r="L205" s="517"/>
      <c r="M205" s="517"/>
      <c r="N205" s="517"/>
      <c r="O205" s="517"/>
      <c r="P205" s="517"/>
      <c r="Q205" s="517"/>
      <c r="R205" s="517"/>
      <c r="S205" s="517"/>
      <c r="T205" s="517"/>
      <c r="U205" s="517"/>
      <c r="V205" s="517"/>
      <c r="W205" s="517"/>
      <c r="X205" s="127"/>
      <c r="Y205" s="127"/>
      <c r="Z205" s="127"/>
      <c r="AA205" s="127"/>
      <c r="AB205" s="127"/>
      <c r="AC205" s="127"/>
      <c r="AD205" s="127"/>
      <c r="AE205" s="127"/>
      <c r="AF205" s="127"/>
      <c r="AG205" s="127"/>
      <c r="AH205" s="127"/>
      <c r="AI205" s="127"/>
      <c r="AJ205" s="127"/>
      <c r="AK205" s="127"/>
      <c r="AL205" s="127"/>
      <c r="AM205" s="127"/>
      <c r="AN205" s="517"/>
      <c r="AO205" s="517"/>
      <c r="AP205" s="517"/>
      <c r="AQ205" s="127"/>
      <c r="AR205" s="517"/>
      <c r="AS205" s="517"/>
      <c r="AT205" s="517"/>
      <c r="AU205" s="592"/>
      <c r="AV205" s="517"/>
      <c r="AW205" s="517"/>
      <c r="AX205" s="517"/>
      <c r="AY205" s="517"/>
      <c r="AZ205" s="517"/>
      <c r="BA205" s="517"/>
      <c r="BB205" s="517"/>
      <c r="BC205" s="517"/>
      <c r="BD205" s="517"/>
      <c r="BE205" s="517"/>
      <c r="BF205" s="517"/>
      <c r="BG205" s="517"/>
      <c r="BH205" s="517"/>
      <c r="BI205" s="517"/>
      <c r="BJ205" s="517"/>
      <c r="BK205" s="517"/>
      <c r="BL205" s="517"/>
      <c r="BM205" s="517"/>
      <c r="BN205" s="517"/>
      <c r="BO205" s="517"/>
      <c r="BP205" s="517"/>
      <c r="BQ205" s="517"/>
      <c r="BR205" s="517"/>
      <c r="BS205" s="517"/>
      <c r="BT205" s="517"/>
      <c r="BU205" s="517"/>
      <c r="BV205" s="517"/>
      <c r="BW205" s="517"/>
      <c r="BX205" s="517"/>
      <c r="BY205" s="517"/>
      <c r="BZ205" s="517"/>
      <c r="CA205" s="517"/>
      <c r="CB205" s="517"/>
      <c r="CC205" s="517"/>
      <c r="CD205" s="517"/>
      <c r="CE205" s="517"/>
      <c r="CF205" s="517"/>
      <c r="CG205" s="517"/>
      <c r="CH205" s="517"/>
      <c r="CI205" s="517"/>
      <c r="CJ205" s="517"/>
      <c r="CK205" s="517"/>
      <c r="CL205" s="517"/>
      <c r="CM205" s="517"/>
      <c r="CN205" s="517"/>
      <c r="CO205" s="517"/>
      <c r="CP205" s="517"/>
      <c r="CQ205" s="517"/>
      <c r="CR205" s="517"/>
      <c r="CS205" s="517"/>
      <c r="CT205" s="517"/>
      <c r="CU205" s="517"/>
      <c r="CV205" s="517"/>
      <c r="CW205" s="517"/>
      <c r="CX205" s="517"/>
    </row>
    <row r="206" spans="1:102" ht="12" customHeight="1" x14ac:dyDescent="0.2">
      <c r="A206" s="517"/>
      <c r="B206" s="517"/>
      <c r="C206" s="517"/>
      <c r="D206" s="517"/>
      <c r="E206" s="517"/>
      <c r="F206" s="517"/>
      <c r="G206" s="517"/>
      <c r="H206" s="517"/>
      <c r="I206" s="517"/>
      <c r="J206" s="517"/>
      <c r="K206" s="517"/>
      <c r="L206" s="517"/>
      <c r="M206" s="517"/>
      <c r="N206" s="517"/>
      <c r="O206" s="517"/>
      <c r="P206" s="517"/>
      <c r="Q206" s="517"/>
      <c r="R206" s="517"/>
      <c r="S206" s="517"/>
      <c r="T206" s="517"/>
      <c r="U206" s="517"/>
      <c r="V206" s="517"/>
      <c r="W206" s="517"/>
      <c r="X206" s="127"/>
      <c r="Y206" s="127"/>
      <c r="Z206" s="127"/>
      <c r="AA206" s="127"/>
      <c r="AB206" s="127"/>
      <c r="AC206" s="127"/>
      <c r="AD206" s="127"/>
      <c r="AE206" s="127"/>
      <c r="AF206" s="127"/>
      <c r="AG206" s="127"/>
      <c r="AH206" s="127"/>
      <c r="AI206" s="127"/>
      <c r="AJ206" s="127"/>
      <c r="AK206" s="127"/>
      <c r="AL206" s="127"/>
      <c r="AM206" s="127"/>
      <c r="AN206" s="517"/>
      <c r="AO206" s="517"/>
      <c r="AP206" s="517"/>
      <c r="AQ206" s="127"/>
      <c r="AR206" s="517"/>
      <c r="AS206" s="517"/>
      <c r="AT206" s="517"/>
      <c r="AU206" s="592"/>
      <c r="AV206" s="517"/>
      <c r="AW206" s="517"/>
      <c r="AX206" s="517"/>
      <c r="AY206" s="517"/>
      <c r="AZ206" s="517"/>
      <c r="BA206" s="517"/>
      <c r="BB206" s="517"/>
      <c r="BC206" s="517"/>
      <c r="BD206" s="517"/>
      <c r="BE206" s="517"/>
      <c r="BF206" s="517"/>
      <c r="BG206" s="517"/>
      <c r="BH206" s="517"/>
      <c r="BI206" s="517"/>
      <c r="BJ206" s="517"/>
      <c r="BK206" s="517"/>
      <c r="BL206" s="517"/>
      <c r="BM206" s="517"/>
      <c r="BN206" s="517"/>
      <c r="BO206" s="517"/>
      <c r="BP206" s="517"/>
      <c r="BQ206" s="517"/>
      <c r="BR206" s="517"/>
      <c r="BS206" s="517"/>
      <c r="BT206" s="517"/>
      <c r="BU206" s="517"/>
      <c r="BV206" s="517"/>
      <c r="BW206" s="517"/>
      <c r="BX206" s="517"/>
      <c r="BY206" s="517"/>
      <c r="BZ206" s="517"/>
      <c r="CA206" s="517"/>
      <c r="CB206" s="517"/>
      <c r="CC206" s="517"/>
      <c r="CD206" s="517"/>
      <c r="CE206" s="517"/>
      <c r="CF206" s="517"/>
      <c r="CG206" s="517"/>
      <c r="CH206" s="517"/>
      <c r="CI206" s="517"/>
      <c r="CJ206" s="517"/>
      <c r="CK206" s="517"/>
      <c r="CL206" s="517"/>
      <c r="CM206" s="517"/>
      <c r="CN206" s="517"/>
      <c r="CO206" s="517"/>
      <c r="CP206" s="517"/>
      <c r="CQ206" s="517"/>
      <c r="CR206" s="517"/>
      <c r="CS206" s="517"/>
      <c r="CT206" s="517"/>
      <c r="CU206" s="517"/>
      <c r="CV206" s="517"/>
      <c r="CW206" s="517"/>
      <c r="CX206" s="517"/>
    </row>
    <row r="207" spans="1:102" ht="12" customHeight="1" x14ac:dyDescent="0.2">
      <c r="A207" s="517"/>
      <c r="B207" s="517"/>
      <c r="C207" s="517"/>
      <c r="D207" s="517"/>
      <c r="E207" s="517"/>
      <c r="F207" s="517"/>
      <c r="G207" s="517"/>
      <c r="H207" s="517"/>
      <c r="I207" s="517"/>
      <c r="J207" s="517"/>
      <c r="K207" s="517"/>
      <c r="L207" s="517"/>
      <c r="M207" s="517"/>
      <c r="N207" s="517"/>
      <c r="O207" s="517"/>
      <c r="P207" s="517"/>
      <c r="Q207" s="517"/>
      <c r="R207" s="517"/>
      <c r="S207" s="517"/>
      <c r="T207" s="517"/>
      <c r="U207" s="517"/>
      <c r="V207" s="517"/>
      <c r="W207" s="517"/>
      <c r="X207" s="127"/>
      <c r="Y207" s="127"/>
      <c r="Z207" s="127"/>
      <c r="AA207" s="127"/>
      <c r="AB207" s="127"/>
      <c r="AC207" s="127"/>
      <c r="AD207" s="127"/>
      <c r="AE207" s="127"/>
      <c r="AF207" s="127"/>
      <c r="AG207" s="127"/>
      <c r="AH207" s="127"/>
      <c r="AI207" s="127"/>
      <c r="AJ207" s="127"/>
      <c r="AK207" s="127"/>
      <c r="AL207" s="127"/>
      <c r="AM207" s="127"/>
      <c r="AN207" s="517"/>
      <c r="AO207" s="517"/>
      <c r="AP207" s="517"/>
      <c r="AQ207" s="127"/>
      <c r="AR207" s="517"/>
      <c r="AS207" s="517"/>
      <c r="AT207" s="517"/>
      <c r="AU207" s="592"/>
      <c r="AV207" s="517"/>
      <c r="AW207" s="517"/>
      <c r="AX207" s="517"/>
      <c r="AY207" s="517"/>
      <c r="AZ207" s="517"/>
      <c r="BA207" s="517"/>
      <c r="BB207" s="517"/>
      <c r="BC207" s="517"/>
      <c r="BD207" s="517"/>
      <c r="BE207" s="517"/>
      <c r="BF207" s="517"/>
      <c r="BG207" s="517"/>
      <c r="BH207" s="517"/>
      <c r="BI207" s="517"/>
      <c r="BJ207" s="517"/>
      <c r="BK207" s="517"/>
      <c r="BL207" s="517"/>
      <c r="BM207" s="517"/>
      <c r="BN207" s="517"/>
      <c r="BO207" s="517"/>
      <c r="BP207" s="517"/>
      <c r="BQ207" s="517"/>
      <c r="BR207" s="517"/>
      <c r="BS207" s="517"/>
      <c r="BT207" s="517"/>
      <c r="BU207" s="517"/>
      <c r="BV207" s="517"/>
      <c r="BW207" s="517"/>
      <c r="BX207" s="517"/>
      <c r="BY207" s="517"/>
      <c r="BZ207" s="517"/>
      <c r="CA207" s="517"/>
      <c r="CB207" s="517"/>
      <c r="CC207" s="517"/>
      <c r="CD207" s="517"/>
      <c r="CE207" s="517"/>
      <c r="CF207" s="517"/>
      <c r="CG207" s="517"/>
      <c r="CH207" s="517"/>
      <c r="CI207" s="517"/>
      <c r="CJ207" s="517"/>
      <c r="CK207" s="517"/>
      <c r="CL207" s="517"/>
      <c r="CM207" s="517"/>
      <c r="CN207" s="517"/>
      <c r="CO207" s="517"/>
      <c r="CP207" s="517"/>
      <c r="CQ207" s="517"/>
      <c r="CR207" s="517"/>
      <c r="CS207" s="517"/>
      <c r="CT207" s="517"/>
      <c r="CU207" s="517"/>
      <c r="CV207" s="517"/>
      <c r="CW207" s="517"/>
      <c r="CX207" s="517"/>
    </row>
    <row r="208" spans="1:102" ht="12" customHeight="1" x14ac:dyDescent="0.2">
      <c r="A208" s="517"/>
      <c r="B208" s="517"/>
      <c r="C208" s="517"/>
      <c r="D208" s="517"/>
      <c r="E208" s="517"/>
      <c r="F208" s="517"/>
      <c r="G208" s="517"/>
      <c r="H208" s="517"/>
      <c r="I208" s="517"/>
      <c r="J208" s="517"/>
      <c r="K208" s="517"/>
      <c r="L208" s="517"/>
      <c r="M208" s="517"/>
      <c r="N208" s="517"/>
      <c r="O208" s="517"/>
      <c r="P208" s="517"/>
      <c r="Q208" s="517"/>
      <c r="R208" s="517"/>
      <c r="S208" s="517"/>
      <c r="T208" s="517"/>
      <c r="U208" s="517"/>
      <c r="V208" s="517"/>
      <c r="W208" s="517"/>
      <c r="X208" s="127"/>
      <c r="Y208" s="127"/>
      <c r="Z208" s="127"/>
      <c r="AA208" s="127"/>
      <c r="AB208" s="127"/>
      <c r="AC208" s="127"/>
      <c r="AD208" s="127"/>
      <c r="AE208" s="127"/>
      <c r="AF208" s="127"/>
      <c r="AG208" s="127"/>
      <c r="AH208" s="127"/>
      <c r="AI208" s="127"/>
      <c r="AJ208" s="127"/>
      <c r="AK208" s="127"/>
      <c r="AL208" s="127"/>
      <c r="AM208" s="127"/>
      <c r="AN208" s="517"/>
      <c r="AO208" s="517"/>
      <c r="AP208" s="517"/>
      <c r="AQ208" s="127"/>
      <c r="AR208" s="517"/>
      <c r="AS208" s="517"/>
      <c r="AT208" s="517"/>
      <c r="AU208" s="592"/>
      <c r="AV208" s="517"/>
      <c r="AW208" s="517"/>
      <c r="AX208" s="517"/>
      <c r="AY208" s="517"/>
      <c r="AZ208" s="517"/>
      <c r="BA208" s="517"/>
      <c r="BB208" s="517"/>
      <c r="BC208" s="517"/>
      <c r="BD208" s="517"/>
      <c r="BE208" s="517"/>
      <c r="BF208" s="517"/>
      <c r="BG208" s="517"/>
      <c r="BH208" s="517"/>
      <c r="BI208" s="517"/>
      <c r="BJ208" s="517"/>
      <c r="BK208" s="517"/>
      <c r="BL208" s="517"/>
      <c r="BM208" s="517"/>
      <c r="BN208" s="517"/>
      <c r="BO208" s="517"/>
      <c r="BP208" s="517"/>
      <c r="BQ208" s="517"/>
      <c r="BR208" s="517"/>
      <c r="BS208" s="517"/>
      <c r="BT208" s="517"/>
      <c r="BU208" s="517"/>
      <c r="BV208" s="517"/>
      <c r="BW208" s="517"/>
      <c r="BX208" s="517"/>
      <c r="BY208" s="517"/>
      <c r="BZ208" s="517"/>
      <c r="CA208" s="517"/>
      <c r="CB208" s="517"/>
      <c r="CC208" s="517"/>
      <c r="CD208" s="517"/>
      <c r="CE208" s="517"/>
      <c r="CF208" s="517"/>
      <c r="CG208" s="517"/>
      <c r="CH208" s="517"/>
      <c r="CI208" s="517"/>
      <c r="CJ208" s="517"/>
      <c r="CK208" s="517"/>
      <c r="CL208" s="517"/>
      <c r="CM208" s="517"/>
      <c r="CN208" s="517"/>
      <c r="CO208" s="517"/>
      <c r="CP208" s="517"/>
      <c r="CQ208" s="517"/>
      <c r="CR208" s="517"/>
      <c r="CS208" s="517"/>
      <c r="CT208" s="517"/>
      <c r="CU208" s="517"/>
      <c r="CV208" s="517"/>
      <c r="CW208" s="517"/>
      <c r="CX208" s="517"/>
    </row>
    <row r="209" spans="1:102" ht="12" customHeight="1" x14ac:dyDescent="0.2">
      <c r="A209" s="517"/>
      <c r="B209" s="517"/>
      <c r="C209" s="517"/>
      <c r="D209" s="517"/>
      <c r="E209" s="517"/>
      <c r="F209" s="517"/>
      <c r="G209" s="517"/>
      <c r="H209" s="517"/>
      <c r="I209" s="517"/>
      <c r="J209" s="517"/>
      <c r="K209" s="517"/>
      <c r="L209" s="517"/>
      <c r="M209" s="517"/>
      <c r="N209" s="517"/>
      <c r="O209" s="517"/>
      <c r="P209" s="517"/>
      <c r="Q209" s="517"/>
      <c r="R209" s="517"/>
      <c r="S209" s="517"/>
      <c r="T209" s="517"/>
      <c r="U209" s="517"/>
      <c r="V209" s="517"/>
      <c r="W209" s="517"/>
      <c r="X209" s="127"/>
      <c r="Y209" s="127"/>
      <c r="Z209" s="127"/>
      <c r="AA209" s="127"/>
      <c r="AB209" s="127"/>
      <c r="AC209" s="127"/>
      <c r="AD209" s="127"/>
      <c r="AE209" s="127"/>
      <c r="AF209" s="127"/>
      <c r="AG209" s="127"/>
      <c r="AH209" s="127"/>
      <c r="AI209" s="127"/>
      <c r="AJ209" s="127"/>
      <c r="AK209" s="127"/>
      <c r="AL209" s="127"/>
      <c r="AM209" s="127"/>
      <c r="AN209" s="517"/>
      <c r="AO209" s="517"/>
      <c r="AP209" s="517"/>
      <c r="AQ209" s="127"/>
      <c r="AR209" s="517"/>
      <c r="AS209" s="517"/>
      <c r="AT209" s="517"/>
      <c r="AU209" s="592"/>
      <c r="AV209" s="517"/>
      <c r="AW209" s="517"/>
      <c r="AX209" s="517"/>
      <c r="AY209" s="517"/>
      <c r="AZ209" s="517"/>
      <c r="BA209" s="517"/>
      <c r="BB209" s="517"/>
      <c r="BC209" s="517"/>
      <c r="BD209" s="517"/>
      <c r="BE209" s="517"/>
      <c r="BF209" s="517"/>
      <c r="BG209" s="517"/>
      <c r="BH209" s="517"/>
      <c r="BI209" s="517"/>
      <c r="BJ209" s="517"/>
      <c r="BK209" s="517"/>
      <c r="BL209" s="517"/>
      <c r="BM209" s="517"/>
      <c r="BN209" s="517"/>
      <c r="BO209" s="517"/>
      <c r="BP209" s="517"/>
      <c r="BQ209" s="517"/>
      <c r="BR209" s="517"/>
      <c r="BS209" s="517"/>
      <c r="BT209" s="517"/>
      <c r="BU209" s="517"/>
      <c r="BV209" s="517"/>
      <c r="BW209" s="517"/>
      <c r="BX209" s="517"/>
      <c r="BY209" s="517"/>
      <c r="BZ209" s="517"/>
      <c r="CA209" s="517"/>
      <c r="CB209" s="517"/>
      <c r="CC209" s="517"/>
      <c r="CD209" s="517"/>
      <c r="CE209" s="517"/>
      <c r="CF209" s="517"/>
      <c r="CG209" s="517"/>
      <c r="CH209" s="517"/>
      <c r="CI209" s="517"/>
      <c r="CJ209" s="517"/>
      <c r="CK209" s="517"/>
      <c r="CL209" s="517"/>
      <c r="CM209" s="517"/>
      <c r="CN209" s="517"/>
      <c r="CO209" s="517"/>
      <c r="CP209" s="517"/>
      <c r="CQ209" s="517"/>
      <c r="CR209" s="517"/>
      <c r="CS209" s="517"/>
      <c r="CT209" s="517"/>
      <c r="CU209" s="517"/>
      <c r="CV209" s="517"/>
      <c r="CW209" s="517"/>
      <c r="CX209" s="517"/>
    </row>
    <row r="210" spans="1:102" ht="12" customHeight="1" x14ac:dyDescent="0.2">
      <c r="A210" s="517"/>
      <c r="B210" s="517"/>
      <c r="C210" s="517"/>
      <c r="D210" s="517"/>
      <c r="E210" s="517"/>
      <c r="F210" s="517"/>
      <c r="G210" s="517"/>
      <c r="H210" s="517"/>
      <c r="I210" s="517"/>
      <c r="J210" s="517"/>
      <c r="K210" s="517"/>
      <c r="L210" s="517"/>
      <c r="M210" s="517"/>
      <c r="N210" s="517"/>
      <c r="O210" s="517"/>
      <c r="P210" s="517"/>
      <c r="Q210" s="517"/>
      <c r="R210" s="517"/>
      <c r="S210" s="517"/>
      <c r="T210" s="517"/>
      <c r="U210" s="517"/>
      <c r="V210" s="517"/>
      <c r="W210" s="517"/>
      <c r="X210" s="127"/>
      <c r="Y210" s="127"/>
      <c r="Z210" s="127"/>
      <c r="AA210" s="127"/>
      <c r="AB210" s="127"/>
      <c r="AC210" s="127"/>
      <c r="AD210" s="127"/>
      <c r="AE210" s="127"/>
      <c r="AF210" s="127"/>
      <c r="AG210" s="127"/>
      <c r="AH210" s="127"/>
      <c r="AI210" s="127"/>
      <c r="AJ210" s="127"/>
      <c r="AK210" s="127"/>
      <c r="AL210" s="127"/>
      <c r="AM210" s="127"/>
      <c r="AN210" s="517"/>
      <c r="AO210" s="517"/>
      <c r="AP210" s="517"/>
      <c r="AQ210" s="127"/>
      <c r="AR210" s="517"/>
      <c r="AS210" s="517"/>
      <c r="AT210" s="517"/>
      <c r="AU210" s="592"/>
      <c r="AV210" s="517"/>
      <c r="AW210" s="517"/>
      <c r="AX210" s="517"/>
      <c r="AY210" s="517"/>
      <c r="AZ210" s="517"/>
      <c r="BA210" s="517"/>
      <c r="BB210" s="517"/>
      <c r="BC210" s="517"/>
      <c r="BD210" s="517"/>
      <c r="BE210" s="517"/>
      <c r="BF210" s="517"/>
      <c r="BG210" s="517"/>
      <c r="BH210" s="517"/>
      <c r="BI210" s="517"/>
      <c r="BJ210" s="517"/>
      <c r="BK210" s="517"/>
      <c r="BL210" s="517"/>
      <c r="BM210" s="517"/>
      <c r="BN210" s="517"/>
      <c r="BO210" s="517"/>
      <c r="BP210" s="517"/>
      <c r="BQ210" s="517"/>
      <c r="BR210" s="517"/>
      <c r="BS210" s="517"/>
      <c r="BT210" s="517"/>
      <c r="BU210" s="517"/>
      <c r="BV210" s="517"/>
      <c r="BW210" s="517"/>
      <c r="BX210" s="517"/>
      <c r="BY210" s="517"/>
      <c r="BZ210" s="517"/>
      <c r="CA210" s="517"/>
      <c r="CB210" s="517"/>
      <c r="CC210" s="517"/>
      <c r="CD210" s="517"/>
      <c r="CE210" s="517"/>
      <c r="CF210" s="517"/>
      <c r="CG210" s="517"/>
      <c r="CH210" s="517"/>
      <c r="CI210" s="517"/>
      <c r="CJ210" s="517"/>
      <c r="CK210" s="517"/>
      <c r="CL210" s="517"/>
      <c r="CM210" s="517"/>
      <c r="CN210" s="517"/>
      <c r="CO210" s="517"/>
      <c r="CP210" s="517"/>
      <c r="CQ210" s="517"/>
      <c r="CR210" s="517"/>
      <c r="CS210" s="517"/>
      <c r="CT210" s="517"/>
      <c r="CU210" s="517"/>
      <c r="CV210" s="517"/>
      <c r="CW210" s="517"/>
      <c r="CX210" s="517"/>
    </row>
    <row r="211" spans="1:102" ht="12" customHeight="1" x14ac:dyDescent="0.2">
      <c r="A211" s="517"/>
      <c r="B211" s="517"/>
      <c r="C211" s="517"/>
      <c r="D211" s="517"/>
      <c r="E211" s="517"/>
      <c r="F211" s="517"/>
      <c r="G211" s="517"/>
      <c r="H211" s="517"/>
      <c r="I211" s="517"/>
      <c r="J211" s="517"/>
      <c r="K211" s="517"/>
      <c r="L211" s="517"/>
      <c r="M211" s="517"/>
      <c r="N211" s="517"/>
      <c r="O211" s="517"/>
      <c r="P211" s="517"/>
      <c r="Q211" s="517"/>
      <c r="R211" s="517"/>
      <c r="S211" s="517"/>
      <c r="T211" s="517"/>
      <c r="U211" s="517"/>
      <c r="V211" s="517"/>
      <c r="W211" s="517"/>
      <c r="X211" s="127"/>
      <c r="Y211" s="127"/>
      <c r="Z211" s="127"/>
      <c r="AA211" s="127"/>
      <c r="AB211" s="127"/>
      <c r="AC211" s="127"/>
      <c r="AD211" s="127"/>
      <c r="AE211" s="127"/>
      <c r="AF211" s="127"/>
      <c r="AG211" s="127"/>
      <c r="AH211" s="127"/>
      <c r="AI211" s="127"/>
      <c r="AJ211" s="127"/>
      <c r="AK211" s="127"/>
      <c r="AL211" s="127"/>
      <c r="AM211" s="127"/>
      <c r="AN211" s="517"/>
      <c r="AO211" s="517"/>
      <c r="AP211" s="517"/>
      <c r="AQ211" s="127"/>
      <c r="AR211" s="517"/>
      <c r="AS211" s="517"/>
      <c r="AT211" s="517"/>
      <c r="AU211" s="592"/>
      <c r="AV211" s="517"/>
      <c r="AW211" s="517"/>
      <c r="AX211" s="517"/>
      <c r="AY211" s="517"/>
      <c r="AZ211" s="517"/>
      <c r="BA211" s="517"/>
      <c r="BB211" s="517"/>
      <c r="BC211" s="517"/>
      <c r="BD211" s="517"/>
      <c r="BE211" s="517"/>
      <c r="BF211" s="517"/>
      <c r="BG211" s="517"/>
      <c r="BH211" s="517"/>
      <c r="BI211" s="517"/>
      <c r="BJ211" s="517"/>
      <c r="BK211" s="517"/>
      <c r="BL211" s="517"/>
      <c r="BM211" s="517"/>
      <c r="BN211" s="517"/>
      <c r="BO211" s="517"/>
      <c r="BP211" s="517"/>
      <c r="BQ211" s="517"/>
      <c r="BR211" s="517"/>
      <c r="BS211" s="517"/>
      <c r="BT211" s="517"/>
      <c r="BU211" s="517"/>
      <c r="BV211" s="517"/>
      <c r="BW211" s="517"/>
      <c r="BX211" s="517"/>
      <c r="BY211" s="517"/>
      <c r="BZ211" s="517"/>
      <c r="CA211" s="517"/>
      <c r="CB211" s="517"/>
      <c r="CC211" s="517"/>
      <c r="CD211" s="517"/>
      <c r="CE211" s="517"/>
      <c r="CF211" s="517"/>
      <c r="CG211" s="517"/>
      <c r="CH211" s="517"/>
      <c r="CI211" s="517"/>
      <c r="CJ211" s="517"/>
      <c r="CK211" s="517"/>
      <c r="CL211" s="517"/>
      <c r="CM211" s="517"/>
      <c r="CN211" s="517"/>
      <c r="CO211" s="517"/>
      <c r="CP211" s="517"/>
      <c r="CQ211" s="517"/>
      <c r="CR211" s="517"/>
      <c r="CS211" s="517"/>
      <c r="CT211" s="517"/>
      <c r="CU211" s="517"/>
      <c r="CV211" s="517"/>
      <c r="CW211" s="517"/>
      <c r="CX211" s="517"/>
    </row>
    <row r="212" spans="1:102" ht="12" customHeight="1" x14ac:dyDescent="0.2">
      <c r="A212" s="517"/>
      <c r="B212" s="517"/>
      <c r="C212" s="517"/>
      <c r="D212" s="517"/>
      <c r="E212" s="517"/>
      <c r="F212" s="517"/>
      <c r="G212" s="517"/>
      <c r="H212" s="517"/>
      <c r="I212" s="517"/>
      <c r="J212" s="517"/>
      <c r="K212" s="517"/>
      <c r="L212" s="517"/>
      <c r="M212" s="517"/>
      <c r="N212" s="517"/>
      <c r="O212" s="517"/>
      <c r="P212" s="517"/>
      <c r="Q212" s="517"/>
      <c r="R212" s="517"/>
      <c r="S212" s="517"/>
      <c r="T212" s="517"/>
      <c r="U212" s="517"/>
      <c r="V212" s="517"/>
      <c r="W212" s="517"/>
      <c r="X212" s="127"/>
      <c r="Y212" s="127"/>
      <c r="Z212" s="127"/>
      <c r="AA212" s="127"/>
      <c r="AB212" s="127"/>
      <c r="AC212" s="127"/>
      <c r="AD212" s="127"/>
      <c r="AE212" s="127"/>
      <c r="AF212" s="127"/>
      <c r="AG212" s="127"/>
      <c r="AH212" s="127"/>
      <c r="AI212" s="127"/>
      <c r="AJ212" s="127"/>
      <c r="AK212" s="127"/>
      <c r="AL212" s="127"/>
      <c r="AM212" s="127"/>
      <c r="AN212" s="517"/>
      <c r="AO212" s="517"/>
      <c r="AP212" s="517"/>
      <c r="AQ212" s="127"/>
      <c r="AR212" s="517"/>
      <c r="AS212" s="517"/>
      <c r="AT212" s="517"/>
      <c r="AU212" s="592"/>
      <c r="AV212" s="517"/>
      <c r="AW212" s="517"/>
      <c r="AX212" s="517"/>
      <c r="AY212" s="517"/>
      <c r="AZ212" s="517"/>
      <c r="BA212" s="517"/>
      <c r="BB212" s="517"/>
      <c r="BC212" s="517"/>
      <c r="BD212" s="517"/>
      <c r="BE212" s="517"/>
      <c r="BF212" s="517"/>
      <c r="BG212" s="517"/>
      <c r="BH212" s="517"/>
      <c r="BI212" s="517"/>
      <c r="BJ212" s="517"/>
      <c r="BK212" s="517"/>
      <c r="BL212" s="517"/>
      <c r="BM212" s="517"/>
      <c r="BN212" s="517"/>
      <c r="BO212" s="517"/>
      <c r="BP212" s="517"/>
      <c r="BQ212" s="517"/>
      <c r="BR212" s="517"/>
      <c r="BS212" s="517"/>
      <c r="BT212" s="517"/>
      <c r="BU212" s="517"/>
      <c r="BV212" s="517"/>
      <c r="BW212" s="517"/>
      <c r="BX212" s="517"/>
      <c r="BY212" s="517"/>
      <c r="BZ212" s="517"/>
      <c r="CA212" s="517"/>
      <c r="CB212" s="517"/>
      <c r="CC212" s="517"/>
      <c r="CD212" s="517"/>
      <c r="CE212" s="517"/>
      <c r="CF212" s="517"/>
      <c r="CG212" s="517"/>
      <c r="CH212" s="517"/>
      <c r="CI212" s="517"/>
      <c r="CJ212" s="517"/>
      <c r="CK212" s="517"/>
      <c r="CL212" s="517"/>
      <c r="CM212" s="517"/>
      <c r="CN212" s="517"/>
      <c r="CO212" s="517"/>
      <c r="CP212" s="517"/>
      <c r="CQ212" s="517"/>
      <c r="CR212" s="517"/>
      <c r="CS212" s="517"/>
      <c r="CT212" s="517"/>
      <c r="CU212" s="517"/>
      <c r="CV212" s="517"/>
      <c r="CW212" s="517"/>
      <c r="CX212" s="517"/>
    </row>
    <row r="213" spans="1:102" ht="12" customHeight="1" x14ac:dyDescent="0.2">
      <c r="A213" s="517"/>
      <c r="B213" s="517"/>
      <c r="C213" s="517"/>
      <c r="D213" s="517"/>
      <c r="E213" s="517"/>
      <c r="F213" s="517"/>
      <c r="G213" s="517"/>
      <c r="H213" s="517"/>
      <c r="I213" s="517"/>
      <c r="J213" s="517"/>
      <c r="K213" s="517"/>
      <c r="L213" s="517"/>
      <c r="M213" s="517"/>
      <c r="N213" s="517"/>
      <c r="O213" s="517"/>
      <c r="P213" s="517"/>
      <c r="Q213" s="517"/>
      <c r="R213" s="517"/>
      <c r="S213" s="517"/>
      <c r="T213" s="517"/>
      <c r="U213" s="517"/>
      <c r="V213" s="517"/>
      <c r="W213" s="517"/>
      <c r="X213" s="127"/>
      <c r="Y213" s="127"/>
      <c r="Z213" s="127"/>
      <c r="AA213" s="127"/>
      <c r="AB213" s="127"/>
      <c r="AC213" s="127"/>
      <c r="AD213" s="127"/>
      <c r="AE213" s="127"/>
      <c r="AF213" s="127"/>
      <c r="AG213" s="127"/>
      <c r="AH213" s="127"/>
      <c r="AI213" s="127"/>
      <c r="AJ213" s="127"/>
      <c r="AK213" s="127"/>
      <c r="AL213" s="127"/>
      <c r="AM213" s="127"/>
      <c r="AN213" s="517"/>
      <c r="AO213" s="517"/>
      <c r="AP213" s="517"/>
      <c r="AQ213" s="127"/>
      <c r="AR213" s="517"/>
      <c r="AS213" s="517"/>
      <c r="AT213" s="517"/>
      <c r="AU213" s="592"/>
      <c r="AV213" s="517"/>
      <c r="AW213" s="517"/>
      <c r="AX213" s="517"/>
      <c r="AY213" s="517"/>
      <c r="AZ213" s="517"/>
      <c r="BA213" s="517"/>
      <c r="BB213" s="517"/>
      <c r="BC213" s="517"/>
      <c r="BD213" s="517"/>
      <c r="BE213" s="517"/>
      <c r="BF213" s="517"/>
      <c r="BG213" s="517"/>
      <c r="BH213" s="517"/>
      <c r="BI213" s="517"/>
      <c r="BJ213" s="517"/>
      <c r="BK213" s="517"/>
      <c r="BL213" s="517"/>
      <c r="BM213" s="517"/>
      <c r="BN213" s="517"/>
      <c r="BO213" s="517"/>
      <c r="BP213" s="517"/>
      <c r="BQ213" s="517"/>
      <c r="BR213" s="517"/>
      <c r="BS213" s="517"/>
      <c r="BT213" s="517"/>
      <c r="BU213" s="517"/>
      <c r="BV213" s="517"/>
      <c r="BW213" s="517"/>
      <c r="BX213" s="517"/>
      <c r="BY213" s="517"/>
      <c r="BZ213" s="517"/>
      <c r="CA213" s="517"/>
      <c r="CB213" s="517"/>
      <c r="CC213" s="517"/>
      <c r="CD213" s="517"/>
      <c r="CE213" s="517"/>
      <c r="CF213" s="517"/>
      <c r="CG213" s="517"/>
      <c r="CH213" s="517"/>
      <c r="CI213" s="517"/>
      <c r="CJ213" s="517"/>
      <c r="CK213" s="517"/>
      <c r="CL213" s="517"/>
      <c r="CM213" s="517"/>
      <c r="CN213" s="517"/>
      <c r="CO213" s="517"/>
      <c r="CP213" s="517"/>
      <c r="CQ213" s="517"/>
      <c r="CR213" s="517"/>
      <c r="CS213" s="517"/>
      <c r="CT213" s="517"/>
      <c r="CU213" s="517"/>
      <c r="CV213" s="517"/>
      <c r="CW213" s="517"/>
      <c r="CX213" s="517"/>
    </row>
    <row r="214" spans="1:102" ht="12" customHeight="1" x14ac:dyDescent="0.2">
      <c r="A214" s="517"/>
      <c r="B214" s="517"/>
      <c r="C214" s="517"/>
      <c r="D214" s="517"/>
      <c r="E214" s="517"/>
      <c r="F214" s="517"/>
      <c r="G214" s="517"/>
      <c r="H214" s="517"/>
      <c r="I214" s="517"/>
      <c r="J214" s="517"/>
      <c r="K214" s="517"/>
      <c r="L214" s="517"/>
      <c r="M214" s="517"/>
      <c r="N214" s="517"/>
      <c r="O214" s="517"/>
      <c r="P214" s="517"/>
      <c r="Q214" s="517"/>
      <c r="R214" s="517"/>
      <c r="S214" s="517"/>
      <c r="T214" s="517"/>
      <c r="U214" s="517"/>
      <c r="V214" s="517"/>
      <c r="W214" s="517"/>
      <c r="X214" s="127"/>
      <c r="Y214" s="127"/>
      <c r="Z214" s="127"/>
      <c r="AA214" s="127"/>
      <c r="AB214" s="127"/>
      <c r="AC214" s="127"/>
      <c r="AD214" s="127"/>
      <c r="AE214" s="127"/>
      <c r="AF214" s="127"/>
      <c r="AG214" s="127"/>
      <c r="AH214" s="127"/>
      <c r="AI214" s="127"/>
      <c r="AJ214" s="127"/>
      <c r="AK214" s="127"/>
      <c r="AL214" s="127"/>
      <c r="AM214" s="127"/>
      <c r="AN214" s="517"/>
      <c r="AO214" s="517"/>
      <c r="AP214" s="517"/>
      <c r="AQ214" s="127"/>
      <c r="AR214" s="517"/>
      <c r="AS214" s="517"/>
      <c r="AT214" s="517"/>
      <c r="AU214" s="592"/>
      <c r="AV214" s="517"/>
      <c r="AW214" s="517"/>
      <c r="AX214" s="517"/>
      <c r="AY214" s="517"/>
      <c r="AZ214" s="517"/>
      <c r="BA214" s="517"/>
      <c r="BB214" s="517"/>
      <c r="BC214" s="517"/>
      <c r="BD214" s="517"/>
      <c r="BE214" s="517"/>
      <c r="BF214" s="517"/>
      <c r="BG214" s="517"/>
      <c r="BH214" s="517"/>
      <c r="BI214" s="517"/>
      <c r="BJ214" s="517"/>
      <c r="BK214" s="517"/>
      <c r="BL214" s="517"/>
      <c r="BM214" s="517"/>
      <c r="BN214" s="517"/>
      <c r="BO214" s="517"/>
      <c r="BP214" s="517"/>
      <c r="BQ214" s="517"/>
      <c r="BR214" s="517"/>
      <c r="BS214" s="517"/>
      <c r="BT214" s="517"/>
      <c r="BU214" s="517"/>
      <c r="BV214" s="517"/>
      <c r="BW214" s="517"/>
      <c r="BX214" s="517"/>
      <c r="BY214" s="517"/>
      <c r="BZ214" s="517"/>
      <c r="CA214" s="517"/>
      <c r="CB214" s="517"/>
      <c r="CC214" s="517"/>
      <c r="CD214" s="517"/>
      <c r="CE214" s="517"/>
      <c r="CF214" s="517"/>
      <c r="CG214" s="517"/>
      <c r="CH214" s="517"/>
      <c r="CI214" s="517"/>
      <c r="CJ214" s="517"/>
      <c r="CK214" s="517"/>
      <c r="CL214" s="517"/>
      <c r="CM214" s="517"/>
      <c r="CN214" s="517"/>
      <c r="CO214" s="517"/>
      <c r="CP214" s="517"/>
      <c r="CQ214" s="517"/>
      <c r="CR214" s="517"/>
      <c r="CS214" s="517"/>
      <c r="CT214" s="517"/>
      <c r="CU214" s="517"/>
      <c r="CV214" s="517"/>
      <c r="CW214" s="517"/>
      <c r="CX214" s="517"/>
    </row>
    <row r="215" spans="1:102" ht="12" customHeight="1" x14ac:dyDescent="0.2">
      <c r="A215" s="517"/>
      <c r="B215" s="517"/>
      <c r="C215" s="517"/>
      <c r="D215" s="517"/>
      <c r="E215" s="517"/>
      <c r="F215" s="517"/>
      <c r="G215" s="517"/>
      <c r="H215" s="517"/>
      <c r="I215" s="517"/>
      <c r="J215" s="517"/>
      <c r="K215" s="517"/>
      <c r="L215" s="517"/>
      <c r="M215" s="517"/>
      <c r="N215" s="517"/>
      <c r="O215" s="517"/>
      <c r="P215" s="517"/>
      <c r="Q215" s="517"/>
      <c r="R215" s="517"/>
      <c r="S215" s="517"/>
      <c r="T215" s="517"/>
      <c r="U215" s="517"/>
      <c r="V215" s="517"/>
      <c r="W215" s="517"/>
      <c r="X215" s="127"/>
      <c r="Y215" s="127"/>
      <c r="Z215" s="127"/>
      <c r="AA215" s="127"/>
      <c r="AB215" s="127"/>
      <c r="AC215" s="127"/>
      <c r="AD215" s="127"/>
      <c r="AE215" s="127"/>
      <c r="AF215" s="127"/>
      <c r="AG215" s="127"/>
      <c r="AH215" s="127"/>
      <c r="AI215" s="127"/>
      <c r="AJ215" s="127"/>
      <c r="AK215" s="127"/>
      <c r="AL215" s="127"/>
      <c r="AM215" s="127"/>
      <c r="AN215" s="517"/>
      <c r="AO215" s="517"/>
      <c r="AP215" s="517"/>
      <c r="AQ215" s="127"/>
      <c r="AR215" s="517"/>
      <c r="AS215" s="517"/>
      <c r="AT215" s="517"/>
      <c r="AU215" s="592"/>
      <c r="AV215" s="517"/>
      <c r="AW215" s="517"/>
      <c r="AX215" s="517"/>
      <c r="AY215" s="517"/>
      <c r="AZ215" s="517"/>
      <c r="BA215" s="517"/>
      <c r="BB215" s="517"/>
      <c r="BC215" s="517"/>
      <c r="BD215" s="517"/>
      <c r="BE215" s="517"/>
      <c r="BF215" s="517"/>
      <c r="BG215" s="517"/>
      <c r="BH215" s="517"/>
      <c r="BI215" s="517"/>
      <c r="BJ215" s="517"/>
      <c r="BK215" s="517"/>
      <c r="BL215" s="517"/>
      <c r="BM215" s="517"/>
      <c r="BN215" s="517"/>
      <c r="BO215" s="517"/>
      <c r="BP215" s="517"/>
      <c r="BQ215" s="517"/>
      <c r="BR215" s="517"/>
      <c r="BS215" s="517"/>
      <c r="BT215" s="517"/>
      <c r="BU215" s="517"/>
      <c r="BV215" s="517"/>
      <c r="BW215" s="517"/>
      <c r="BX215" s="517"/>
      <c r="BY215" s="517"/>
      <c r="BZ215" s="517"/>
      <c r="CA215" s="517"/>
      <c r="CB215" s="517"/>
      <c r="CC215" s="517"/>
      <c r="CD215" s="517"/>
      <c r="CE215" s="517"/>
      <c r="CF215" s="517"/>
      <c r="CG215" s="517"/>
      <c r="CH215" s="517"/>
      <c r="CI215" s="517"/>
      <c r="CJ215" s="517"/>
      <c r="CK215" s="517"/>
      <c r="CL215" s="517"/>
      <c r="CM215" s="517"/>
      <c r="CN215" s="517"/>
      <c r="CO215" s="517"/>
      <c r="CP215" s="517"/>
      <c r="CQ215" s="517"/>
      <c r="CR215" s="517"/>
      <c r="CS215" s="517"/>
      <c r="CT215" s="517"/>
      <c r="CU215" s="517"/>
      <c r="CV215" s="517"/>
      <c r="CW215" s="517"/>
      <c r="CX215" s="517"/>
    </row>
    <row r="216" spans="1:102" ht="12" customHeight="1" x14ac:dyDescent="0.2">
      <c r="A216" s="517"/>
      <c r="B216" s="517"/>
      <c r="C216" s="517"/>
      <c r="D216" s="517"/>
      <c r="E216" s="517"/>
      <c r="F216" s="517"/>
      <c r="G216" s="517"/>
      <c r="H216" s="517"/>
      <c r="I216" s="517"/>
      <c r="J216" s="517"/>
      <c r="K216" s="517"/>
      <c r="L216" s="517"/>
      <c r="M216" s="517"/>
      <c r="N216" s="517"/>
      <c r="O216" s="517"/>
      <c r="P216" s="517"/>
      <c r="Q216" s="517"/>
      <c r="R216" s="517"/>
      <c r="S216" s="517"/>
      <c r="T216" s="517"/>
      <c r="U216" s="517"/>
      <c r="V216" s="517"/>
      <c r="W216" s="517"/>
      <c r="X216" s="127"/>
      <c r="Y216" s="127"/>
      <c r="Z216" s="127"/>
      <c r="AA216" s="127"/>
      <c r="AB216" s="127"/>
      <c r="AC216" s="127"/>
      <c r="AD216" s="127"/>
      <c r="AE216" s="127"/>
      <c r="AF216" s="127"/>
      <c r="AG216" s="127"/>
      <c r="AH216" s="127"/>
      <c r="AI216" s="127"/>
      <c r="AJ216" s="127"/>
      <c r="AK216" s="127"/>
      <c r="AL216" s="127"/>
      <c r="AM216" s="127"/>
      <c r="AN216" s="517"/>
      <c r="AO216" s="517"/>
      <c r="AP216" s="517"/>
      <c r="AQ216" s="127"/>
      <c r="AR216" s="517"/>
      <c r="AS216" s="517"/>
      <c r="AT216" s="517"/>
      <c r="AU216" s="592"/>
      <c r="AV216" s="517"/>
      <c r="AW216" s="517"/>
      <c r="AX216" s="517"/>
      <c r="AY216" s="517"/>
      <c r="AZ216" s="517"/>
      <c r="BA216" s="517"/>
      <c r="BB216" s="517"/>
      <c r="BC216" s="517"/>
      <c r="BD216" s="517"/>
      <c r="BE216" s="517"/>
      <c r="BF216" s="517"/>
      <c r="BG216" s="517"/>
      <c r="BH216" s="517"/>
      <c r="BI216" s="517"/>
      <c r="BJ216" s="517"/>
      <c r="BK216" s="517"/>
      <c r="BL216" s="517"/>
      <c r="BM216" s="517"/>
      <c r="BN216" s="517"/>
      <c r="BO216" s="517"/>
      <c r="BP216" s="517"/>
      <c r="BQ216" s="517"/>
      <c r="BR216" s="517"/>
      <c r="BS216" s="517"/>
      <c r="BT216" s="517"/>
      <c r="BU216" s="517"/>
      <c r="BV216" s="517"/>
      <c r="BW216" s="517"/>
      <c r="BX216" s="517"/>
      <c r="BY216" s="517"/>
      <c r="BZ216" s="517"/>
      <c r="CA216" s="517"/>
      <c r="CB216" s="517"/>
      <c r="CC216" s="517"/>
      <c r="CD216" s="517"/>
      <c r="CE216" s="517"/>
      <c r="CF216" s="517"/>
      <c r="CG216" s="517"/>
      <c r="CH216" s="517"/>
      <c r="CI216" s="517"/>
      <c r="CJ216" s="517"/>
      <c r="CK216" s="517"/>
      <c r="CL216" s="517"/>
      <c r="CM216" s="517"/>
      <c r="CN216" s="517"/>
      <c r="CO216" s="517"/>
      <c r="CP216" s="517"/>
      <c r="CQ216" s="517"/>
      <c r="CR216" s="517"/>
      <c r="CS216" s="517"/>
      <c r="CT216" s="517"/>
      <c r="CU216" s="517"/>
      <c r="CV216" s="517"/>
      <c r="CW216" s="517"/>
      <c r="CX216" s="517"/>
    </row>
    <row r="217" spans="1:102" ht="12" customHeight="1" x14ac:dyDescent="0.2">
      <c r="A217" s="517"/>
      <c r="B217" s="517"/>
      <c r="C217" s="517"/>
      <c r="D217" s="517"/>
      <c r="E217" s="517"/>
      <c r="F217" s="517"/>
      <c r="G217" s="517"/>
      <c r="H217" s="517"/>
      <c r="I217" s="517"/>
      <c r="J217" s="517"/>
      <c r="K217" s="517"/>
      <c r="L217" s="517"/>
      <c r="M217" s="517"/>
      <c r="N217" s="517"/>
      <c r="O217" s="517"/>
      <c r="P217" s="517"/>
      <c r="Q217" s="517"/>
      <c r="R217" s="517"/>
      <c r="S217" s="517"/>
      <c r="T217" s="517"/>
      <c r="U217" s="517"/>
      <c r="V217" s="517"/>
      <c r="W217" s="517"/>
      <c r="X217" s="127"/>
      <c r="Y217" s="127"/>
      <c r="Z217" s="127"/>
      <c r="AA217" s="127"/>
      <c r="AB217" s="127"/>
      <c r="AC217" s="127"/>
      <c r="AD217" s="127"/>
      <c r="AE217" s="127"/>
      <c r="AF217" s="127"/>
      <c r="AG217" s="127"/>
      <c r="AH217" s="127"/>
      <c r="AI217" s="127"/>
      <c r="AJ217" s="127"/>
      <c r="AK217" s="127"/>
      <c r="AL217" s="127"/>
      <c r="AM217" s="127"/>
      <c r="AN217" s="517"/>
      <c r="AO217" s="517"/>
      <c r="AP217" s="517"/>
      <c r="AQ217" s="127"/>
      <c r="AR217" s="517"/>
      <c r="AS217" s="517"/>
      <c r="AT217" s="517"/>
      <c r="AU217" s="592"/>
      <c r="AV217" s="517"/>
      <c r="AW217" s="517"/>
      <c r="AX217" s="517"/>
      <c r="AY217" s="517"/>
      <c r="AZ217" s="517"/>
      <c r="BA217" s="517"/>
      <c r="BB217" s="517"/>
      <c r="BC217" s="517"/>
      <c r="BD217" s="517"/>
      <c r="BE217" s="517"/>
      <c r="BF217" s="517"/>
      <c r="BG217" s="517"/>
      <c r="BH217" s="517"/>
      <c r="BI217" s="517"/>
      <c r="BJ217" s="517"/>
      <c r="BK217" s="517"/>
      <c r="BL217" s="517"/>
      <c r="BM217" s="517"/>
      <c r="BN217" s="517"/>
      <c r="BO217" s="517"/>
      <c r="BP217" s="517"/>
      <c r="BQ217" s="517"/>
      <c r="BR217" s="517"/>
      <c r="BS217" s="517"/>
      <c r="BT217" s="517"/>
      <c r="BU217" s="517"/>
      <c r="BV217" s="517"/>
      <c r="BW217" s="517"/>
      <c r="BX217" s="517"/>
      <c r="BY217" s="517"/>
      <c r="BZ217" s="517"/>
      <c r="CA217" s="517"/>
      <c r="CB217" s="517"/>
      <c r="CC217" s="517"/>
      <c r="CD217" s="517"/>
      <c r="CE217" s="517"/>
      <c r="CF217" s="517"/>
      <c r="CG217" s="517"/>
      <c r="CH217" s="517"/>
      <c r="CI217" s="517"/>
      <c r="CJ217" s="517"/>
      <c r="CK217" s="517"/>
      <c r="CL217" s="517"/>
      <c r="CM217" s="517"/>
      <c r="CN217" s="517"/>
      <c r="CO217" s="517"/>
      <c r="CP217" s="517"/>
      <c r="CQ217" s="517"/>
      <c r="CR217" s="517"/>
      <c r="CS217" s="517"/>
      <c r="CT217" s="517"/>
      <c r="CU217" s="517"/>
      <c r="CV217" s="517"/>
      <c r="CW217" s="517"/>
      <c r="CX217" s="517"/>
    </row>
    <row r="218" spans="1:102" ht="12" customHeight="1" x14ac:dyDescent="0.2">
      <c r="A218" s="517"/>
      <c r="B218" s="517"/>
      <c r="C218" s="517"/>
      <c r="D218" s="517"/>
      <c r="E218" s="517"/>
      <c r="F218" s="517"/>
      <c r="G218" s="517"/>
      <c r="H218" s="517"/>
      <c r="I218" s="517"/>
      <c r="J218" s="517"/>
      <c r="K218" s="517"/>
      <c r="L218" s="517"/>
      <c r="M218" s="517"/>
      <c r="N218" s="517"/>
      <c r="O218" s="517"/>
      <c r="P218" s="517"/>
      <c r="Q218" s="517"/>
      <c r="R218" s="517"/>
      <c r="S218" s="517"/>
      <c r="T218" s="517"/>
      <c r="U218" s="517"/>
      <c r="V218" s="517"/>
      <c r="W218" s="517"/>
      <c r="X218" s="127"/>
      <c r="Y218" s="127"/>
      <c r="Z218" s="127"/>
      <c r="AA218" s="127"/>
      <c r="AB218" s="127"/>
      <c r="AC218" s="127"/>
      <c r="AD218" s="127"/>
      <c r="AE218" s="127"/>
      <c r="AF218" s="127"/>
      <c r="AG218" s="127"/>
      <c r="AH218" s="127"/>
      <c r="AI218" s="127"/>
      <c r="AJ218" s="127"/>
      <c r="AK218" s="127"/>
      <c r="AL218" s="127"/>
      <c r="AM218" s="127"/>
      <c r="AN218" s="517"/>
      <c r="AO218" s="517"/>
      <c r="AP218" s="517"/>
      <c r="AQ218" s="127"/>
      <c r="AR218" s="517"/>
      <c r="AS218" s="517"/>
      <c r="AT218" s="517"/>
      <c r="AU218" s="592"/>
      <c r="AV218" s="517"/>
      <c r="AW218" s="517"/>
      <c r="AX218" s="517"/>
      <c r="AY218" s="517"/>
      <c r="AZ218" s="517"/>
      <c r="BA218" s="517"/>
      <c r="BB218" s="517"/>
      <c r="BC218" s="517"/>
      <c r="BD218" s="517"/>
      <c r="BE218" s="517"/>
      <c r="BF218" s="517"/>
      <c r="BG218" s="517"/>
      <c r="BH218" s="517"/>
      <c r="BI218" s="517"/>
      <c r="BJ218" s="517"/>
      <c r="BK218" s="517"/>
      <c r="BL218" s="517"/>
      <c r="BM218" s="517"/>
      <c r="BN218" s="517"/>
      <c r="BO218" s="517"/>
      <c r="BP218" s="517"/>
      <c r="BQ218" s="517"/>
      <c r="BR218" s="517"/>
      <c r="BS218" s="517"/>
      <c r="BT218" s="517"/>
      <c r="BU218" s="517"/>
      <c r="BV218" s="517"/>
      <c r="BW218" s="517"/>
      <c r="BX218" s="517"/>
      <c r="BY218" s="517"/>
      <c r="BZ218" s="517"/>
      <c r="CA218" s="517"/>
      <c r="CB218" s="517"/>
      <c r="CC218" s="517"/>
      <c r="CD218" s="517"/>
      <c r="CE218" s="517"/>
      <c r="CF218" s="517"/>
      <c r="CG218" s="517"/>
      <c r="CH218" s="517"/>
      <c r="CI218" s="517"/>
      <c r="CJ218" s="517"/>
      <c r="CK218" s="517"/>
      <c r="CL218" s="517"/>
      <c r="CM218" s="517"/>
      <c r="CN218" s="517"/>
      <c r="CO218" s="517"/>
      <c r="CP218" s="517"/>
      <c r="CQ218" s="517"/>
      <c r="CR218" s="517"/>
      <c r="CS218" s="517"/>
      <c r="CT218" s="517"/>
      <c r="CU218" s="517"/>
      <c r="CV218" s="517"/>
      <c r="CW218" s="517"/>
      <c r="CX218" s="517"/>
    </row>
    <row r="219" spans="1:102" ht="12" customHeight="1" x14ac:dyDescent="0.2">
      <c r="A219" s="517"/>
      <c r="B219" s="517"/>
      <c r="C219" s="517"/>
      <c r="D219" s="517"/>
      <c r="E219" s="517"/>
      <c r="F219" s="517"/>
      <c r="G219" s="517"/>
      <c r="H219" s="517"/>
      <c r="I219" s="517"/>
      <c r="J219" s="517"/>
      <c r="K219" s="517"/>
      <c r="L219" s="517"/>
      <c r="M219" s="517"/>
      <c r="N219" s="517"/>
      <c r="O219" s="517"/>
      <c r="P219" s="517"/>
      <c r="Q219" s="517"/>
      <c r="R219" s="517"/>
      <c r="S219" s="517"/>
      <c r="T219" s="517"/>
      <c r="U219" s="517"/>
      <c r="V219" s="517"/>
      <c r="W219" s="517"/>
      <c r="X219" s="127"/>
      <c r="Y219" s="127"/>
      <c r="Z219" s="127"/>
      <c r="AA219" s="127"/>
      <c r="AB219" s="127"/>
      <c r="AC219" s="127"/>
      <c r="AD219" s="127"/>
      <c r="AE219" s="127"/>
      <c r="AF219" s="127"/>
      <c r="AG219" s="127"/>
      <c r="AH219" s="127"/>
      <c r="AI219" s="127"/>
      <c r="AJ219" s="127"/>
      <c r="AK219" s="127"/>
      <c r="AL219" s="127"/>
      <c r="AM219" s="127"/>
      <c r="AN219" s="517"/>
      <c r="AO219" s="517"/>
      <c r="AP219" s="517"/>
      <c r="AQ219" s="127"/>
      <c r="AR219" s="517"/>
      <c r="AS219" s="517"/>
      <c r="AT219" s="517"/>
      <c r="AU219" s="592"/>
      <c r="AV219" s="517"/>
      <c r="AW219" s="517"/>
      <c r="AX219" s="517"/>
      <c r="AY219" s="517"/>
      <c r="AZ219" s="517"/>
      <c r="BA219" s="517"/>
      <c r="BB219" s="517"/>
      <c r="BC219" s="517"/>
      <c r="BD219" s="517"/>
      <c r="BE219" s="517"/>
      <c r="BF219" s="517"/>
      <c r="BG219" s="517"/>
      <c r="BH219" s="517"/>
      <c r="BI219" s="517"/>
      <c r="BJ219" s="517"/>
      <c r="BK219" s="517"/>
      <c r="BL219" s="517"/>
      <c r="BM219" s="517"/>
      <c r="BN219" s="517"/>
      <c r="BO219" s="517"/>
      <c r="BP219" s="517"/>
      <c r="BQ219" s="517"/>
      <c r="BR219" s="517"/>
      <c r="BS219" s="517"/>
      <c r="BT219" s="517"/>
      <c r="BU219" s="517"/>
      <c r="BV219" s="517"/>
      <c r="BW219" s="517"/>
      <c r="BX219" s="517"/>
      <c r="BY219" s="517"/>
      <c r="BZ219" s="517"/>
      <c r="CA219" s="517"/>
      <c r="CB219" s="517"/>
      <c r="CC219" s="517"/>
      <c r="CD219" s="517"/>
      <c r="CE219" s="517"/>
      <c r="CF219" s="517"/>
      <c r="CG219" s="517"/>
      <c r="CH219" s="517"/>
      <c r="CI219" s="517"/>
      <c r="CJ219" s="517"/>
      <c r="CK219" s="517"/>
      <c r="CL219" s="517"/>
      <c r="CM219" s="517"/>
      <c r="CN219" s="517"/>
      <c r="CO219" s="517"/>
      <c r="CP219" s="517"/>
      <c r="CQ219" s="517"/>
      <c r="CR219" s="517"/>
      <c r="CS219" s="517"/>
      <c r="CT219" s="517"/>
      <c r="CU219" s="517"/>
      <c r="CV219" s="517"/>
      <c r="CW219" s="517"/>
      <c r="CX219" s="517"/>
    </row>
    <row r="220" spans="1:102" ht="12" customHeight="1" x14ac:dyDescent="0.2">
      <c r="A220" s="517"/>
      <c r="B220" s="517"/>
      <c r="C220" s="517"/>
      <c r="D220" s="517"/>
      <c r="E220" s="517"/>
      <c r="F220" s="517"/>
      <c r="G220" s="517"/>
      <c r="H220" s="517"/>
      <c r="I220" s="517"/>
      <c r="J220" s="517"/>
      <c r="K220" s="517"/>
      <c r="L220" s="517"/>
      <c r="M220" s="517"/>
      <c r="N220" s="517"/>
      <c r="O220" s="517"/>
      <c r="P220" s="517"/>
      <c r="Q220" s="517"/>
      <c r="R220" s="517"/>
      <c r="S220" s="517"/>
      <c r="T220" s="517"/>
      <c r="U220" s="517"/>
      <c r="V220" s="517"/>
      <c r="W220" s="517"/>
      <c r="X220" s="127"/>
      <c r="Y220" s="127"/>
      <c r="Z220" s="127"/>
      <c r="AA220" s="127"/>
      <c r="AB220" s="127"/>
      <c r="AC220" s="127"/>
      <c r="AD220" s="127"/>
      <c r="AE220" s="127"/>
      <c r="AF220" s="127"/>
      <c r="AG220" s="127"/>
      <c r="AH220" s="127"/>
      <c r="AI220" s="127"/>
      <c r="AJ220" s="127"/>
      <c r="AK220" s="127"/>
      <c r="AL220" s="127"/>
      <c r="AM220" s="127"/>
      <c r="AN220" s="517"/>
      <c r="AO220" s="517"/>
      <c r="AP220" s="517"/>
      <c r="AQ220" s="127"/>
      <c r="AR220" s="517"/>
      <c r="AS220" s="517"/>
      <c r="AT220" s="517"/>
      <c r="AU220" s="592"/>
      <c r="AV220" s="517"/>
      <c r="AW220" s="517"/>
      <c r="AX220" s="517"/>
      <c r="AY220" s="517"/>
      <c r="AZ220" s="517"/>
      <c r="BA220" s="517"/>
      <c r="BB220" s="517"/>
      <c r="BC220" s="517"/>
      <c r="BD220" s="517"/>
      <c r="BE220" s="517"/>
      <c r="BF220" s="517"/>
      <c r="BG220" s="517"/>
      <c r="BH220" s="517"/>
      <c r="BI220" s="517"/>
      <c r="BJ220" s="517"/>
      <c r="BK220" s="517"/>
      <c r="BL220" s="517"/>
      <c r="BM220" s="517"/>
      <c r="BN220" s="517"/>
      <c r="BO220" s="517"/>
      <c r="BP220" s="517"/>
      <c r="BQ220" s="517"/>
      <c r="BR220" s="517"/>
      <c r="BS220" s="517"/>
      <c r="BT220" s="517"/>
      <c r="BU220" s="517"/>
      <c r="BV220" s="517"/>
      <c r="BW220" s="517"/>
      <c r="BX220" s="517"/>
      <c r="BY220" s="517"/>
      <c r="BZ220" s="517"/>
      <c r="CA220" s="517"/>
      <c r="CB220" s="517"/>
      <c r="CC220" s="517"/>
      <c r="CD220" s="517"/>
      <c r="CE220" s="517"/>
      <c r="CF220" s="517"/>
      <c r="CG220" s="517"/>
      <c r="CH220" s="517"/>
      <c r="CI220" s="517"/>
      <c r="CJ220" s="517"/>
      <c r="CK220" s="517"/>
      <c r="CL220" s="517"/>
      <c r="CM220" s="517"/>
      <c r="CN220" s="517"/>
      <c r="CO220" s="517"/>
      <c r="CP220" s="517"/>
      <c r="CQ220" s="517"/>
      <c r="CR220" s="517"/>
      <c r="CS220" s="517"/>
      <c r="CT220" s="517"/>
      <c r="CU220" s="517"/>
      <c r="CV220" s="517"/>
      <c r="CW220" s="517"/>
      <c r="CX220" s="517"/>
    </row>
    <row r="221" spans="1:102" ht="12" customHeight="1" x14ac:dyDescent="0.2">
      <c r="A221" s="517"/>
      <c r="B221" s="517"/>
      <c r="C221" s="517"/>
      <c r="D221" s="517"/>
      <c r="E221" s="517"/>
      <c r="F221" s="517"/>
      <c r="G221" s="517"/>
      <c r="H221" s="517"/>
      <c r="I221" s="517"/>
      <c r="J221" s="517"/>
      <c r="K221" s="517"/>
      <c r="L221" s="517"/>
      <c r="M221" s="517"/>
      <c r="N221" s="517"/>
      <c r="O221" s="517"/>
      <c r="P221" s="517"/>
      <c r="Q221" s="517"/>
      <c r="R221" s="517"/>
      <c r="S221" s="517"/>
      <c r="T221" s="517"/>
      <c r="U221" s="517"/>
      <c r="V221" s="517"/>
      <c r="W221" s="517"/>
      <c r="X221" s="127"/>
      <c r="Y221" s="127"/>
      <c r="Z221" s="127"/>
      <c r="AA221" s="127"/>
      <c r="AB221" s="127"/>
      <c r="AC221" s="127"/>
      <c r="AD221" s="127"/>
      <c r="AE221" s="127"/>
      <c r="AF221" s="127"/>
      <c r="AG221" s="127"/>
      <c r="AH221" s="127"/>
      <c r="AI221" s="127"/>
      <c r="AJ221" s="127"/>
      <c r="AK221" s="127"/>
      <c r="AL221" s="127"/>
      <c r="AM221" s="127"/>
      <c r="AN221" s="517"/>
      <c r="AO221" s="517"/>
      <c r="AP221" s="517"/>
      <c r="AQ221" s="127"/>
      <c r="AR221" s="517"/>
      <c r="AS221" s="517"/>
      <c r="AT221" s="517"/>
      <c r="AU221" s="592"/>
      <c r="AV221" s="517"/>
      <c r="AW221" s="517"/>
      <c r="AX221" s="517"/>
      <c r="AY221" s="517"/>
      <c r="AZ221" s="517"/>
      <c r="BA221" s="517"/>
      <c r="BB221" s="517"/>
      <c r="BC221" s="517"/>
      <c r="BD221" s="517"/>
      <c r="BE221" s="517"/>
      <c r="BF221" s="517"/>
      <c r="BG221" s="517"/>
      <c r="BH221" s="517"/>
      <c r="BI221" s="517"/>
      <c r="BJ221" s="517"/>
      <c r="BK221" s="517"/>
      <c r="BL221" s="517"/>
      <c r="BM221" s="517"/>
      <c r="BN221" s="517"/>
      <c r="BO221" s="517"/>
      <c r="BP221" s="517"/>
      <c r="BQ221" s="517"/>
      <c r="BR221" s="517"/>
      <c r="BS221" s="517"/>
      <c r="BT221" s="517"/>
      <c r="BU221" s="517"/>
      <c r="BV221" s="517"/>
      <c r="BW221" s="517"/>
      <c r="BX221" s="517"/>
      <c r="BY221" s="517"/>
      <c r="BZ221" s="517"/>
      <c r="CA221" s="517"/>
      <c r="CB221" s="517"/>
      <c r="CC221" s="517"/>
      <c r="CD221" s="517"/>
      <c r="CE221" s="517"/>
      <c r="CF221" s="517"/>
      <c r="CG221" s="517"/>
      <c r="CH221" s="517"/>
      <c r="CI221" s="517"/>
      <c r="CJ221" s="517"/>
      <c r="CK221" s="517"/>
      <c r="CL221" s="517"/>
      <c r="CM221" s="517"/>
      <c r="CN221" s="517"/>
      <c r="CO221" s="517"/>
      <c r="CP221" s="517"/>
      <c r="CQ221" s="517"/>
      <c r="CR221" s="517"/>
      <c r="CS221" s="517"/>
      <c r="CT221" s="517"/>
      <c r="CU221" s="517"/>
      <c r="CV221" s="517"/>
      <c r="CW221" s="517"/>
      <c r="CX221" s="517"/>
    </row>
    <row r="222" spans="1:102" ht="12" customHeight="1" x14ac:dyDescent="0.2">
      <c r="A222" s="517"/>
      <c r="B222" s="517"/>
      <c r="C222" s="517"/>
      <c r="D222" s="517"/>
      <c r="E222" s="517"/>
      <c r="F222" s="517"/>
      <c r="G222" s="517"/>
      <c r="H222" s="517"/>
      <c r="I222" s="517"/>
      <c r="J222" s="517"/>
      <c r="K222" s="517"/>
      <c r="L222" s="517"/>
      <c r="M222" s="517"/>
      <c r="N222" s="517"/>
      <c r="O222" s="517"/>
      <c r="P222" s="517"/>
      <c r="Q222" s="517"/>
      <c r="R222" s="517"/>
      <c r="S222" s="517"/>
      <c r="T222" s="517"/>
      <c r="U222" s="517"/>
      <c r="V222" s="517"/>
      <c r="W222" s="517"/>
      <c r="X222" s="127"/>
      <c r="Y222" s="127"/>
      <c r="Z222" s="127"/>
      <c r="AA222" s="127"/>
      <c r="AB222" s="127"/>
      <c r="AC222" s="127"/>
      <c r="AD222" s="127"/>
      <c r="AE222" s="127"/>
      <c r="AF222" s="127"/>
      <c r="AG222" s="127"/>
      <c r="AH222" s="127"/>
      <c r="AI222" s="127"/>
      <c r="AJ222" s="127"/>
      <c r="AK222" s="127"/>
      <c r="AL222" s="127"/>
      <c r="AM222" s="127"/>
      <c r="AN222" s="517"/>
      <c r="AO222" s="517"/>
      <c r="AP222" s="517"/>
      <c r="AQ222" s="127"/>
      <c r="AR222" s="517"/>
      <c r="AS222" s="517"/>
      <c r="AT222" s="517"/>
      <c r="AU222" s="592"/>
      <c r="AV222" s="517"/>
      <c r="AW222" s="517"/>
      <c r="AX222" s="517"/>
      <c r="AY222" s="517"/>
      <c r="AZ222" s="517"/>
      <c r="BA222" s="517"/>
      <c r="BB222" s="517"/>
      <c r="BC222" s="517"/>
      <c r="BD222" s="517"/>
      <c r="BE222" s="517"/>
      <c r="BF222" s="517"/>
      <c r="BG222" s="517"/>
      <c r="BH222" s="517"/>
      <c r="BI222" s="517"/>
      <c r="BJ222" s="517"/>
      <c r="BK222" s="517"/>
      <c r="BL222" s="517"/>
      <c r="BM222" s="517"/>
      <c r="BN222" s="517"/>
      <c r="BO222" s="517"/>
      <c r="BP222" s="517"/>
      <c r="BQ222" s="517"/>
      <c r="BR222" s="517"/>
      <c r="BS222" s="517"/>
      <c r="BT222" s="517"/>
      <c r="BU222" s="517"/>
      <c r="BV222" s="517"/>
      <c r="BW222" s="517"/>
      <c r="BX222" s="517"/>
      <c r="BY222" s="517"/>
      <c r="BZ222" s="517"/>
      <c r="CA222" s="517"/>
      <c r="CB222" s="517"/>
      <c r="CC222" s="517"/>
      <c r="CD222" s="517"/>
      <c r="CE222" s="517"/>
      <c r="CF222" s="517"/>
      <c r="CG222" s="517"/>
      <c r="CH222" s="517"/>
      <c r="CI222" s="517"/>
      <c r="CJ222" s="517"/>
      <c r="CK222" s="517"/>
      <c r="CL222" s="517"/>
      <c r="CM222" s="517"/>
      <c r="CN222" s="517"/>
      <c r="CO222" s="517"/>
      <c r="CP222" s="517"/>
      <c r="CQ222" s="517"/>
      <c r="CR222" s="517"/>
      <c r="CS222" s="517"/>
      <c r="CT222" s="517"/>
      <c r="CU222" s="517"/>
      <c r="CV222" s="517"/>
      <c r="CW222" s="517"/>
      <c r="CX222" s="517"/>
    </row>
    <row r="223" spans="1:102" ht="12" customHeight="1" x14ac:dyDescent="0.2">
      <c r="A223" s="517"/>
      <c r="B223" s="517"/>
      <c r="C223" s="517"/>
      <c r="D223" s="517"/>
      <c r="E223" s="517"/>
      <c r="F223" s="517"/>
      <c r="G223" s="517"/>
      <c r="H223" s="517"/>
      <c r="I223" s="517"/>
      <c r="J223" s="517"/>
      <c r="K223" s="517"/>
      <c r="L223" s="517"/>
      <c r="M223" s="517"/>
      <c r="N223" s="517"/>
      <c r="O223" s="517"/>
      <c r="P223" s="517"/>
      <c r="Q223" s="517"/>
      <c r="R223" s="517"/>
      <c r="S223" s="517"/>
      <c r="T223" s="517"/>
      <c r="U223" s="517"/>
      <c r="V223" s="517"/>
      <c r="W223" s="517"/>
      <c r="X223" s="127"/>
      <c r="Y223" s="127"/>
      <c r="Z223" s="127"/>
      <c r="AA223" s="127"/>
      <c r="AB223" s="127"/>
      <c r="AC223" s="127"/>
      <c r="AD223" s="127"/>
      <c r="AE223" s="127"/>
      <c r="AF223" s="127"/>
      <c r="AG223" s="127"/>
      <c r="AH223" s="127"/>
      <c r="AI223" s="127"/>
      <c r="AJ223" s="127"/>
      <c r="AK223" s="127"/>
      <c r="AL223" s="127"/>
      <c r="AM223" s="127"/>
      <c r="AN223" s="517"/>
      <c r="AO223" s="517"/>
      <c r="AP223" s="517"/>
      <c r="AQ223" s="127"/>
      <c r="AR223" s="517"/>
      <c r="AS223" s="517"/>
      <c r="AT223" s="517"/>
      <c r="AU223" s="592"/>
      <c r="AV223" s="517"/>
      <c r="AW223" s="517"/>
      <c r="AX223" s="517"/>
      <c r="AY223" s="517"/>
      <c r="AZ223" s="517"/>
      <c r="BA223" s="517"/>
      <c r="BB223" s="517"/>
      <c r="BC223" s="517"/>
      <c r="BD223" s="517"/>
      <c r="BE223" s="517"/>
      <c r="BF223" s="517"/>
      <c r="BG223" s="517"/>
      <c r="BH223" s="517"/>
      <c r="BI223" s="517"/>
      <c r="BJ223" s="517"/>
      <c r="BK223" s="517"/>
      <c r="BL223" s="517"/>
      <c r="BM223" s="517"/>
      <c r="BN223" s="517"/>
      <c r="BO223" s="517"/>
      <c r="BP223" s="517"/>
      <c r="BQ223" s="517"/>
      <c r="BR223" s="517"/>
      <c r="BS223" s="517"/>
      <c r="BT223" s="517"/>
      <c r="BU223" s="517"/>
      <c r="BV223" s="517"/>
      <c r="BW223" s="517"/>
      <c r="BX223" s="517"/>
      <c r="BY223" s="517"/>
      <c r="BZ223" s="517"/>
      <c r="CA223" s="517"/>
      <c r="CB223" s="517"/>
      <c r="CC223" s="517"/>
      <c r="CD223" s="517"/>
      <c r="CE223" s="517"/>
      <c r="CF223" s="517"/>
      <c r="CG223" s="517"/>
      <c r="CH223" s="517"/>
      <c r="CI223" s="517"/>
      <c r="CJ223" s="517"/>
      <c r="CK223" s="517"/>
      <c r="CL223" s="517"/>
      <c r="CM223" s="517"/>
      <c r="CN223" s="517"/>
      <c r="CO223" s="517"/>
      <c r="CP223" s="517"/>
      <c r="CQ223" s="517"/>
      <c r="CR223" s="517"/>
      <c r="CS223" s="517"/>
      <c r="CT223" s="517"/>
      <c r="CU223" s="517"/>
      <c r="CV223" s="517"/>
      <c r="CW223" s="517"/>
      <c r="CX223" s="517"/>
    </row>
    <row r="224" spans="1:102" ht="12" customHeight="1" x14ac:dyDescent="0.2">
      <c r="A224" s="517"/>
      <c r="B224" s="517"/>
      <c r="C224" s="517"/>
      <c r="D224" s="517"/>
      <c r="E224" s="517"/>
      <c r="F224" s="517"/>
      <c r="G224" s="517"/>
      <c r="H224" s="517"/>
      <c r="I224" s="517"/>
      <c r="J224" s="517"/>
      <c r="K224" s="517"/>
      <c r="L224" s="517"/>
      <c r="M224" s="517"/>
      <c r="N224" s="517"/>
      <c r="O224" s="517"/>
      <c r="P224" s="517"/>
      <c r="Q224" s="517"/>
      <c r="R224" s="517"/>
      <c r="S224" s="517"/>
      <c r="T224" s="517"/>
      <c r="U224" s="517"/>
      <c r="V224" s="517"/>
      <c r="W224" s="517"/>
      <c r="X224" s="127"/>
      <c r="Y224" s="127"/>
      <c r="Z224" s="127"/>
      <c r="AA224" s="127"/>
      <c r="AB224" s="127"/>
      <c r="AC224" s="127"/>
      <c r="AD224" s="127"/>
      <c r="AE224" s="127"/>
      <c r="AF224" s="127"/>
      <c r="AG224" s="127"/>
      <c r="AH224" s="127"/>
      <c r="AI224" s="127"/>
      <c r="AJ224" s="127"/>
      <c r="AK224" s="127"/>
      <c r="AL224" s="127"/>
      <c r="AM224" s="127"/>
      <c r="AN224" s="517"/>
      <c r="AO224" s="517"/>
      <c r="AP224" s="517"/>
      <c r="AQ224" s="127"/>
      <c r="AR224" s="517"/>
      <c r="AS224" s="517"/>
      <c r="AT224" s="517"/>
      <c r="AU224" s="592"/>
      <c r="AV224" s="517"/>
      <c r="AW224" s="517"/>
      <c r="AX224" s="517"/>
      <c r="AY224" s="517"/>
      <c r="AZ224" s="517"/>
      <c r="BA224" s="517"/>
      <c r="BB224" s="517"/>
      <c r="BC224" s="517"/>
      <c r="BD224" s="517"/>
      <c r="BE224" s="517"/>
      <c r="BF224" s="517"/>
      <c r="BG224" s="517"/>
      <c r="BH224" s="517"/>
      <c r="BI224" s="517"/>
      <c r="BJ224" s="517"/>
      <c r="BK224" s="517"/>
      <c r="BL224" s="517"/>
      <c r="BM224" s="517"/>
      <c r="BN224" s="517"/>
      <c r="BO224" s="517"/>
      <c r="BP224" s="517"/>
      <c r="BQ224" s="517"/>
      <c r="BR224" s="517"/>
      <c r="BS224" s="517"/>
      <c r="BT224" s="517"/>
      <c r="BU224" s="517"/>
      <c r="BV224" s="517"/>
      <c r="BW224" s="517"/>
      <c r="BX224" s="517"/>
      <c r="BY224" s="517"/>
      <c r="BZ224" s="517"/>
      <c r="CA224" s="517"/>
      <c r="CB224" s="517"/>
      <c r="CC224" s="517"/>
      <c r="CD224" s="517"/>
      <c r="CE224" s="517"/>
      <c r="CF224" s="517"/>
      <c r="CG224" s="517"/>
      <c r="CH224" s="517"/>
      <c r="CI224" s="517"/>
      <c r="CJ224" s="517"/>
      <c r="CK224" s="517"/>
      <c r="CL224" s="517"/>
      <c r="CM224" s="517"/>
      <c r="CN224" s="517"/>
      <c r="CO224" s="517"/>
      <c r="CP224" s="517"/>
      <c r="CQ224" s="517"/>
      <c r="CR224" s="517"/>
      <c r="CS224" s="517"/>
      <c r="CT224" s="517"/>
      <c r="CU224" s="517"/>
      <c r="CV224" s="517"/>
      <c r="CW224" s="517"/>
      <c r="CX224" s="517"/>
    </row>
    <row r="225" spans="1:102" ht="12" customHeight="1" x14ac:dyDescent="0.2">
      <c r="A225" s="517"/>
      <c r="B225" s="517"/>
      <c r="C225" s="517"/>
      <c r="D225" s="517"/>
      <c r="E225" s="517"/>
      <c r="F225" s="517"/>
      <c r="G225" s="517"/>
      <c r="H225" s="517"/>
      <c r="I225" s="517"/>
      <c r="J225" s="517"/>
      <c r="K225" s="517"/>
      <c r="L225" s="517"/>
      <c r="M225" s="517"/>
      <c r="N225" s="517"/>
      <c r="O225" s="517"/>
      <c r="P225" s="517"/>
      <c r="Q225" s="517"/>
      <c r="R225" s="517"/>
      <c r="S225" s="517"/>
      <c r="T225" s="517"/>
      <c r="U225" s="517"/>
      <c r="V225" s="517"/>
      <c r="W225" s="517"/>
      <c r="X225" s="127"/>
      <c r="Y225" s="127"/>
      <c r="Z225" s="127"/>
      <c r="AA225" s="127"/>
      <c r="AB225" s="127"/>
      <c r="AC225" s="127"/>
      <c r="AD225" s="127"/>
      <c r="AE225" s="127"/>
      <c r="AF225" s="127"/>
      <c r="AG225" s="127"/>
      <c r="AH225" s="127"/>
      <c r="AI225" s="127"/>
      <c r="AJ225" s="127"/>
      <c r="AK225" s="127"/>
      <c r="AL225" s="127"/>
      <c r="AM225" s="127"/>
      <c r="AN225" s="517"/>
      <c r="AO225" s="517"/>
      <c r="AP225" s="517"/>
      <c r="AQ225" s="127"/>
      <c r="AR225" s="517"/>
      <c r="AS225" s="517"/>
      <c r="AT225" s="517"/>
      <c r="AU225" s="592"/>
      <c r="AV225" s="517"/>
      <c r="AW225" s="517"/>
      <c r="AX225" s="517"/>
      <c r="AY225" s="517"/>
      <c r="AZ225" s="517"/>
      <c r="BA225" s="517"/>
      <c r="BB225" s="517"/>
      <c r="BC225" s="517"/>
      <c r="BD225" s="517"/>
      <c r="BE225" s="517"/>
      <c r="BF225" s="517"/>
      <c r="BG225" s="517"/>
      <c r="BH225" s="517"/>
      <c r="BI225" s="517"/>
      <c r="BJ225" s="517"/>
      <c r="BK225" s="517"/>
      <c r="BL225" s="517"/>
      <c r="BM225" s="517"/>
      <c r="BN225" s="517"/>
      <c r="BO225" s="517"/>
      <c r="BP225" s="517"/>
      <c r="BQ225" s="517"/>
      <c r="BR225" s="517"/>
      <c r="BS225" s="517"/>
      <c r="BT225" s="517"/>
      <c r="BU225" s="517"/>
      <c r="BV225" s="517"/>
      <c r="BW225" s="517"/>
      <c r="BX225" s="517"/>
      <c r="BY225" s="517"/>
      <c r="BZ225" s="517"/>
      <c r="CA225" s="517"/>
      <c r="CB225" s="517"/>
      <c r="CC225" s="517"/>
      <c r="CD225" s="517"/>
      <c r="CE225" s="517"/>
      <c r="CF225" s="517"/>
      <c r="CG225" s="517"/>
      <c r="CH225" s="517"/>
      <c r="CI225" s="517"/>
      <c r="CJ225" s="517"/>
      <c r="CK225" s="517"/>
      <c r="CL225" s="517"/>
      <c r="CM225" s="517"/>
      <c r="CN225" s="517"/>
      <c r="CO225" s="517"/>
      <c r="CP225" s="517"/>
      <c r="CQ225" s="517"/>
      <c r="CR225" s="517"/>
      <c r="CS225" s="517"/>
      <c r="CT225" s="517"/>
      <c r="CU225" s="517"/>
      <c r="CV225" s="517"/>
      <c r="CW225" s="517"/>
      <c r="CX225" s="517"/>
    </row>
    <row r="226" spans="1:102" ht="12" customHeight="1" x14ac:dyDescent="0.2">
      <c r="A226" s="517"/>
      <c r="B226" s="517"/>
      <c r="C226" s="517"/>
      <c r="D226" s="517"/>
      <c r="E226" s="517"/>
      <c r="F226" s="517"/>
      <c r="G226" s="517"/>
      <c r="H226" s="517"/>
      <c r="I226" s="517"/>
      <c r="J226" s="517"/>
      <c r="K226" s="517"/>
      <c r="L226" s="517"/>
      <c r="M226" s="517"/>
      <c r="N226" s="517"/>
      <c r="O226" s="517"/>
      <c r="P226" s="517"/>
      <c r="Q226" s="517"/>
      <c r="R226" s="517"/>
      <c r="S226" s="517"/>
      <c r="T226" s="517"/>
      <c r="U226" s="517"/>
      <c r="V226" s="517"/>
      <c r="W226" s="517"/>
      <c r="X226" s="127"/>
      <c r="Y226" s="127"/>
      <c r="Z226" s="127"/>
      <c r="AA226" s="127"/>
      <c r="AB226" s="127"/>
      <c r="AC226" s="127"/>
      <c r="AD226" s="127"/>
      <c r="AE226" s="127"/>
      <c r="AF226" s="127"/>
      <c r="AG226" s="127"/>
      <c r="AH226" s="127"/>
      <c r="AI226" s="127"/>
      <c r="AJ226" s="127"/>
      <c r="AK226" s="127"/>
      <c r="AL226" s="127"/>
      <c r="AM226" s="127"/>
      <c r="AN226" s="517"/>
      <c r="AO226" s="517"/>
      <c r="AP226" s="517"/>
      <c r="AQ226" s="127"/>
      <c r="AR226" s="517"/>
      <c r="AS226" s="517"/>
      <c r="AT226" s="517"/>
      <c r="AU226" s="592"/>
      <c r="AV226" s="517"/>
      <c r="AW226" s="517"/>
      <c r="AX226" s="517"/>
      <c r="AY226" s="517"/>
      <c r="AZ226" s="517"/>
      <c r="BA226" s="517"/>
      <c r="BB226" s="517"/>
      <c r="BC226" s="517"/>
      <c r="BD226" s="517"/>
      <c r="BE226" s="517"/>
      <c r="BF226" s="517"/>
      <c r="BG226" s="517"/>
      <c r="BH226" s="517"/>
      <c r="BI226" s="517"/>
      <c r="BJ226" s="517"/>
      <c r="BK226" s="517"/>
      <c r="BL226" s="517"/>
      <c r="BM226" s="517"/>
      <c r="BN226" s="517"/>
      <c r="BO226" s="517"/>
      <c r="BP226" s="517"/>
      <c r="BQ226" s="517"/>
      <c r="BR226" s="517"/>
      <c r="BS226" s="517"/>
      <c r="BT226" s="517"/>
      <c r="BU226" s="517"/>
      <c r="BV226" s="517"/>
      <c r="BW226" s="517"/>
      <c r="BX226" s="517"/>
      <c r="BY226" s="517"/>
      <c r="BZ226" s="517"/>
      <c r="CA226" s="517"/>
      <c r="CB226" s="517"/>
      <c r="CC226" s="517"/>
      <c r="CD226" s="517"/>
      <c r="CE226" s="517"/>
      <c r="CF226" s="517"/>
      <c r="CG226" s="517"/>
      <c r="CH226" s="517"/>
      <c r="CI226" s="517"/>
      <c r="CJ226" s="517"/>
      <c r="CK226" s="517"/>
      <c r="CL226" s="517"/>
      <c r="CM226" s="517"/>
      <c r="CN226" s="517"/>
      <c r="CO226" s="517"/>
      <c r="CP226" s="517"/>
      <c r="CQ226" s="517"/>
      <c r="CR226" s="517"/>
      <c r="CS226" s="517"/>
      <c r="CT226" s="517"/>
      <c r="CU226" s="517"/>
      <c r="CV226" s="517"/>
      <c r="CW226" s="517"/>
      <c r="CX226" s="517"/>
    </row>
    <row r="227" spans="1:102" ht="12" customHeight="1" x14ac:dyDescent="0.2">
      <c r="A227" s="517"/>
      <c r="B227" s="517"/>
      <c r="C227" s="517"/>
      <c r="D227" s="517"/>
      <c r="E227" s="517"/>
      <c r="F227" s="517"/>
      <c r="G227" s="517"/>
      <c r="H227" s="517"/>
      <c r="I227" s="517"/>
      <c r="J227" s="517"/>
      <c r="K227" s="517"/>
      <c r="L227" s="517"/>
      <c r="M227" s="517"/>
      <c r="N227" s="517"/>
      <c r="O227" s="517"/>
      <c r="P227" s="517"/>
      <c r="Q227" s="517"/>
      <c r="R227" s="517"/>
      <c r="S227" s="517"/>
      <c r="T227" s="517"/>
      <c r="U227" s="517"/>
      <c r="V227" s="517"/>
      <c r="W227" s="517"/>
      <c r="X227" s="127"/>
      <c r="Y227" s="127"/>
      <c r="Z227" s="127"/>
      <c r="AA227" s="127"/>
      <c r="AB227" s="127"/>
      <c r="AC227" s="127"/>
      <c r="AD227" s="127"/>
      <c r="AE227" s="127"/>
      <c r="AF227" s="127"/>
      <c r="AG227" s="127"/>
      <c r="AH227" s="127"/>
      <c r="AI227" s="127"/>
      <c r="AJ227" s="127"/>
      <c r="AK227" s="127"/>
      <c r="AL227" s="127"/>
      <c r="AM227" s="127"/>
      <c r="AN227" s="517"/>
      <c r="AO227" s="517"/>
      <c r="AP227" s="517"/>
      <c r="AQ227" s="127"/>
      <c r="AR227" s="517"/>
      <c r="AS227" s="517"/>
      <c r="AT227" s="517"/>
      <c r="AU227" s="592"/>
      <c r="AV227" s="517"/>
      <c r="AW227" s="517"/>
      <c r="AX227" s="517"/>
      <c r="AY227" s="517"/>
      <c r="AZ227" s="517"/>
      <c r="BA227" s="517"/>
      <c r="BB227" s="517"/>
      <c r="BC227" s="517"/>
      <c r="BD227" s="517"/>
      <c r="BE227" s="517"/>
      <c r="BF227" s="517"/>
      <c r="BG227" s="517"/>
      <c r="BH227" s="517"/>
      <c r="BI227" s="517"/>
      <c r="BJ227" s="517"/>
      <c r="BK227" s="517"/>
      <c r="BL227" s="517"/>
      <c r="BM227" s="517"/>
      <c r="BN227" s="517"/>
      <c r="BO227" s="517"/>
      <c r="BP227" s="517"/>
      <c r="BQ227" s="517"/>
      <c r="BR227" s="517"/>
      <c r="BS227" s="517"/>
      <c r="BT227" s="517"/>
      <c r="BU227" s="517"/>
      <c r="BV227" s="517"/>
      <c r="BW227" s="517"/>
      <c r="BX227" s="517"/>
      <c r="BY227" s="517"/>
      <c r="BZ227" s="517"/>
      <c r="CA227" s="517"/>
      <c r="CB227" s="517"/>
      <c r="CC227" s="517"/>
      <c r="CD227" s="517"/>
      <c r="CE227" s="517"/>
      <c r="CF227" s="517"/>
      <c r="CG227" s="517"/>
      <c r="CH227" s="517"/>
      <c r="CI227" s="517"/>
      <c r="CJ227" s="517"/>
      <c r="CK227" s="517"/>
      <c r="CL227" s="517"/>
      <c r="CM227" s="517"/>
      <c r="CN227" s="517"/>
      <c r="CO227" s="517"/>
      <c r="CP227" s="517"/>
      <c r="CQ227" s="517"/>
      <c r="CR227" s="517"/>
      <c r="CS227" s="517"/>
      <c r="CT227" s="517"/>
      <c r="CU227" s="517"/>
      <c r="CV227" s="517"/>
      <c r="CW227" s="517"/>
      <c r="CX227" s="517"/>
    </row>
    <row r="228" spans="1:102" ht="12" customHeight="1" x14ac:dyDescent="0.2">
      <c r="A228" s="517"/>
      <c r="B228" s="517"/>
      <c r="C228" s="517"/>
      <c r="D228" s="517"/>
      <c r="E228" s="517"/>
      <c r="F228" s="517"/>
      <c r="G228" s="517"/>
      <c r="H228" s="517"/>
      <c r="I228" s="517"/>
      <c r="J228" s="517"/>
      <c r="K228" s="517"/>
      <c r="L228" s="517"/>
      <c r="M228" s="517"/>
      <c r="N228" s="517"/>
      <c r="O228" s="517"/>
      <c r="P228" s="517"/>
      <c r="Q228" s="517"/>
      <c r="R228" s="517"/>
      <c r="S228" s="517"/>
      <c r="T228" s="517"/>
      <c r="U228" s="517"/>
      <c r="V228" s="517"/>
      <c r="W228" s="517"/>
      <c r="X228" s="127"/>
      <c r="Y228" s="127"/>
      <c r="Z228" s="127"/>
      <c r="AA228" s="127"/>
      <c r="AB228" s="127"/>
      <c r="AC228" s="127"/>
      <c r="AD228" s="127"/>
      <c r="AE228" s="127"/>
      <c r="AF228" s="127"/>
      <c r="AG228" s="127"/>
      <c r="AH228" s="127"/>
      <c r="AI228" s="127"/>
      <c r="AJ228" s="127"/>
      <c r="AK228" s="127"/>
      <c r="AL228" s="127"/>
      <c r="AM228" s="127"/>
      <c r="AN228" s="517"/>
      <c r="AO228" s="517"/>
      <c r="AP228" s="517"/>
      <c r="AQ228" s="127"/>
      <c r="AR228" s="517"/>
      <c r="AS228" s="517"/>
      <c r="AT228" s="517"/>
      <c r="AU228" s="592"/>
      <c r="AV228" s="517"/>
      <c r="AW228" s="517"/>
      <c r="AX228" s="517"/>
      <c r="AY228" s="517"/>
      <c r="AZ228" s="517"/>
      <c r="BA228" s="517"/>
      <c r="BB228" s="517"/>
      <c r="BC228" s="517"/>
      <c r="BD228" s="517"/>
      <c r="BE228" s="517"/>
      <c r="BF228" s="517"/>
      <c r="BG228" s="517"/>
      <c r="BH228" s="517"/>
      <c r="BI228" s="517"/>
      <c r="BJ228" s="517"/>
      <c r="BK228" s="517"/>
      <c r="BL228" s="517"/>
      <c r="BM228" s="517"/>
      <c r="BN228" s="517"/>
      <c r="BO228" s="517"/>
      <c r="BP228" s="517"/>
      <c r="BQ228" s="517"/>
      <c r="BR228" s="517"/>
      <c r="BS228" s="517"/>
      <c r="BT228" s="517"/>
      <c r="BU228" s="517"/>
      <c r="BV228" s="517"/>
      <c r="BW228" s="517"/>
      <c r="BX228" s="517"/>
      <c r="BY228" s="517"/>
      <c r="BZ228" s="517"/>
      <c r="CA228" s="517"/>
      <c r="CB228" s="517"/>
      <c r="CC228" s="517"/>
      <c r="CD228" s="517"/>
      <c r="CE228" s="517"/>
      <c r="CF228" s="517"/>
      <c r="CG228" s="517"/>
      <c r="CH228" s="517"/>
      <c r="CI228" s="517"/>
      <c r="CJ228" s="517"/>
      <c r="CK228" s="517"/>
      <c r="CL228" s="517"/>
      <c r="CM228" s="517"/>
      <c r="CN228" s="517"/>
      <c r="CO228" s="517"/>
      <c r="CP228" s="517"/>
      <c r="CQ228" s="517"/>
      <c r="CR228" s="517"/>
      <c r="CS228" s="517"/>
      <c r="CT228" s="517"/>
      <c r="CU228" s="517"/>
      <c r="CV228" s="517"/>
      <c r="CW228" s="517"/>
      <c r="CX228" s="517"/>
    </row>
    <row r="229" spans="1:102" ht="12" customHeight="1" x14ac:dyDescent="0.2">
      <c r="A229" s="517"/>
      <c r="B229" s="517"/>
      <c r="C229" s="517"/>
      <c r="D229" s="517"/>
      <c r="E229" s="517"/>
      <c r="F229" s="517"/>
      <c r="G229" s="517"/>
      <c r="H229" s="517"/>
      <c r="I229" s="517"/>
      <c r="J229" s="517"/>
      <c r="K229" s="517"/>
      <c r="L229" s="517"/>
      <c r="M229" s="517"/>
      <c r="N229" s="517"/>
      <c r="O229" s="517"/>
      <c r="P229" s="517"/>
      <c r="Q229" s="517"/>
      <c r="R229" s="517"/>
      <c r="S229" s="517"/>
      <c r="T229" s="517"/>
      <c r="U229" s="517"/>
      <c r="V229" s="517"/>
      <c r="W229" s="517"/>
      <c r="X229" s="127"/>
      <c r="Y229" s="127"/>
      <c r="Z229" s="127"/>
      <c r="AA229" s="127"/>
      <c r="AB229" s="127"/>
      <c r="AC229" s="127"/>
      <c r="AD229" s="127"/>
      <c r="AE229" s="127"/>
      <c r="AF229" s="127"/>
      <c r="AG229" s="127"/>
      <c r="AH229" s="127"/>
      <c r="AI229" s="127"/>
      <c r="AJ229" s="127"/>
      <c r="AK229" s="127"/>
      <c r="AL229" s="127"/>
      <c r="AM229" s="127"/>
      <c r="AN229" s="517"/>
      <c r="AO229" s="517"/>
      <c r="AP229" s="517"/>
      <c r="AQ229" s="127"/>
      <c r="AR229" s="517"/>
      <c r="AS229" s="517"/>
      <c r="AT229" s="517"/>
      <c r="AU229" s="592"/>
      <c r="AV229" s="517"/>
      <c r="AW229" s="517"/>
      <c r="AX229" s="517"/>
      <c r="AY229" s="517"/>
      <c r="AZ229" s="517"/>
      <c r="BA229" s="517"/>
      <c r="BB229" s="517"/>
      <c r="BC229" s="517"/>
      <c r="BD229" s="517"/>
      <c r="BE229" s="517"/>
      <c r="BF229" s="517"/>
      <c r="BG229" s="517"/>
      <c r="BH229" s="517"/>
      <c r="BI229" s="517"/>
      <c r="BJ229" s="517"/>
      <c r="BK229" s="517"/>
      <c r="BL229" s="517"/>
      <c r="BM229" s="517"/>
      <c r="BN229" s="517"/>
      <c r="BO229" s="517"/>
      <c r="BP229" s="517"/>
      <c r="BQ229" s="517"/>
      <c r="BR229" s="517"/>
      <c r="BS229" s="517"/>
      <c r="BT229" s="517"/>
      <c r="BU229" s="517"/>
      <c r="BV229" s="517"/>
      <c r="BW229" s="517"/>
      <c r="BX229" s="517"/>
      <c r="BY229" s="517"/>
      <c r="BZ229" s="517"/>
      <c r="CA229" s="517"/>
      <c r="CB229" s="517"/>
      <c r="CC229" s="517"/>
      <c r="CD229" s="517"/>
      <c r="CE229" s="517"/>
      <c r="CF229" s="517"/>
      <c r="CG229" s="517"/>
      <c r="CH229" s="517"/>
      <c r="CI229" s="517"/>
      <c r="CJ229" s="517"/>
      <c r="CK229" s="517"/>
      <c r="CL229" s="517"/>
      <c r="CM229" s="517"/>
      <c r="CN229" s="517"/>
      <c r="CO229" s="517"/>
      <c r="CP229" s="517"/>
      <c r="CQ229" s="517"/>
      <c r="CR229" s="517"/>
      <c r="CS229" s="517"/>
      <c r="CT229" s="517"/>
      <c r="CU229" s="517"/>
      <c r="CV229" s="517"/>
      <c r="CW229" s="517"/>
      <c r="CX229" s="517"/>
    </row>
    <row r="230" spans="1:102" ht="12" customHeight="1" x14ac:dyDescent="0.2">
      <c r="A230" s="517"/>
      <c r="B230" s="517"/>
      <c r="C230" s="517"/>
      <c r="D230" s="517"/>
      <c r="E230" s="517"/>
      <c r="F230" s="517"/>
      <c r="G230" s="517"/>
      <c r="H230" s="517"/>
      <c r="I230" s="517"/>
      <c r="J230" s="517"/>
      <c r="K230" s="517"/>
      <c r="L230" s="517"/>
      <c r="M230" s="517"/>
      <c r="N230" s="517"/>
      <c r="O230" s="517"/>
      <c r="P230" s="517"/>
      <c r="Q230" s="517"/>
      <c r="R230" s="517"/>
      <c r="S230" s="517"/>
      <c r="T230" s="517"/>
      <c r="U230" s="517"/>
      <c r="V230" s="517"/>
      <c r="W230" s="517"/>
      <c r="X230" s="127"/>
      <c r="Y230" s="127"/>
      <c r="Z230" s="127"/>
      <c r="AA230" s="127"/>
      <c r="AB230" s="127"/>
      <c r="AC230" s="127"/>
      <c r="AD230" s="127"/>
      <c r="AE230" s="127"/>
      <c r="AF230" s="127"/>
      <c r="AG230" s="127"/>
      <c r="AH230" s="127"/>
      <c r="AI230" s="127"/>
      <c r="AJ230" s="127"/>
      <c r="AK230" s="127"/>
      <c r="AL230" s="127"/>
      <c r="AM230" s="127"/>
      <c r="AN230" s="517"/>
      <c r="AO230" s="517"/>
      <c r="AP230" s="517"/>
      <c r="AQ230" s="127"/>
      <c r="AR230" s="517"/>
      <c r="AS230" s="517"/>
      <c r="AT230" s="517"/>
      <c r="AU230" s="592"/>
      <c r="AV230" s="517"/>
      <c r="AW230" s="517"/>
      <c r="AX230" s="517"/>
      <c r="AY230" s="517"/>
      <c r="AZ230" s="517"/>
      <c r="BA230" s="517"/>
      <c r="BB230" s="517"/>
      <c r="BC230" s="517"/>
      <c r="BD230" s="517"/>
      <c r="BE230" s="517"/>
      <c r="BF230" s="517"/>
      <c r="BG230" s="517"/>
      <c r="BH230" s="517"/>
      <c r="BI230" s="517"/>
      <c r="BJ230" s="517"/>
      <c r="BK230" s="517"/>
      <c r="BL230" s="517"/>
      <c r="BM230" s="517"/>
      <c r="BN230" s="517"/>
      <c r="BO230" s="517"/>
      <c r="BP230" s="517"/>
      <c r="BQ230" s="517"/>
      <c r="BR230" s="517"/>
      <c r="BS230" s="517"/>
      <c r="BT230" s="517"/>
      <c r="BU230" s="517"/>
      <c r="BV230" s="517"/>
      <c r="BW230" s="517"/>
      <c r="BX230" s="517"/>
      <c r="BY230" s="517"/>
      <c r="BZ230" s="517"/>
      <c r="CA230" s="517"/>
      <c r="CB230" s="517"/>
      <c r="CC230" s="517"/>
      <c r="CD230" s="517"/>
      <c r="CE230" s="517"/>
      <c r="CF230" s="517"/>
      <c r="CG230" s="517"/>
      <c r="CH230" s="517"/>
      <c r="CI230" s="517"/>
      <c r="CJ230" s="517"/>
      <c r="CK230" s="517"/>
      <c r="CL230" s="517"/>
      <c r="CM230" s="517"/>
      <c r="CN230" s="517"/>
      <c r="CO230" s="517"/>
      <c r="CP230" s="517"/>
      <c r="CQ230" s="517"/>
      <c r="CR230" s="517"/>
      <c r="CS230" s="517"/>
      <c r="CT230" s="517"/>
      <c r="CU230" s="517"/>
      <c r="CV230" s="517"/>
      <c r="CW230" s="517"/>
      <c r="CX230" s="517"/>
    </row>
    <row r="231" spans="1:102" ht="12" customHeight="1" x14ac:dyDescent="0.2">
      <c r="A231" s="517"/>
      <c r="B231" s="517"/>
      <c r="C231" s="517"/>
      <c r="D231" s="517"/>
      <c r="E231" s="517"/>
      <c r="F231" s="517"/>
      <c r="G231" s="517"/>
      <c r="H231" s="517"/>
      <c r="I231" s="517"/>
      <c r="J231" s="517"/>
      <c r="K231" s="517"/>
      <c r="L231" s="517"/>
      <c r="M231" s="517"/>
      <c r="N231" s="517"/>
      <c r="O231" s="517"/>
      <c r="P231" s="517"/>
      <c r="Q231" s="517"/>
      <c r="R231" s="517"/>
      <c r="S231" s="517"/>
      <c r="T231" s="517"/>
      <c r="U231" s="517"/>
      <c r="V231" s="517"/>
      <c r="W231" s="517"/>
      <c r="X231" s="127"/>
      <c r="Y231" s="127"/>
      <c r="Z231" s="127"/>
      <c r="AA231" s="127"/>
      <c r="AB231" s="127"/>
      <c r="AC231" s="127"/>
      <c r="AD231" s="127"/>
      <c r="AE231" s="127"/>
      <c r="AF231" s="127"/>
      <c r="AG231" s="127"/>
      <c r="AH231" s="127"/>
      <c r="AI231" s="127"/>
      <c r="AJ231" s="127"/>
      <c r="AK231" s="127"/>
      <c r="AL231" s="127"/>
      <c r="AM231" s="127"/>
      <c r="AN231" s="517"/>
      <c r="AO231" s="517"/>
      <c r="AP231" s="517"/>
      <c r="AQ231" s="127"/>
      <c r="AR231" s="517"/>
      <c r="AS231" s="517"/>
      <c r="AT231" s="517"/>
      <c r="AU231" s="592"/>
      <c r="AV231" s="517"/>
      <c r="AW231" s="517"/>
      <c r="AX231" s="517"/>
      <c r="AY231" s="517"/>
      <c r="AZ231" s="517"/>
      <c r="BA231" s="517"/>
      <c r="BB231" s="517"/>
      <c r="BC231" s="517"/>
      <c r="BD231" s="517"/>
      <c r="BE231" s="517"/>
      <c r="BF231" s="517"/>
      <c r="BG231" s="517"/>
      <c r="BH231" s="517"/>
      <c r="BI231" s="517"/>
      <c r="BJ231" s="517"/>
      <c r="BK231" s="517"/>
      <c r="BL231" s="517"/>
      <c r="BM231" s="517"/>
      <c r="BN231" s="517"/>
      <c r="BO231" s="517"/>
      <c r="BP231" s="517"/>
      <c r="BQ231" s="517"/>
      <c r="BR231" s="517"/>
      <c r="BS231" s="517"/>
      <c r="BT231" s="517"/>
      <c r="BU231" s="517"/>
      <c r="BV231" s="517"/>
      <c r="BW231" s="517"/>
      <c r="BX231" s="517"/>
      <c r="BY231" s="517"/>
      <c r="BZ231" s="517"/>
      <c r="CA231" s="517"/>
      <c r="CB231" s="517"/>
      <c r="CC231" s="517"/>
      <c r="CD231" s="517"/>
      <c r="CE231" s="517"/>
      <c r="CF231" s="517"/>
      <c r="CG231" s="517"/>
      <c r="CH231" s="517"/>
      <c r="CI231" s="517"/>
      <c r="CJ231" s="517"/>
      <c r="CK231" s="517"/>
      <c r="CL231" s="517"/>
      <c r="CM231" s="517"/>
      <c r="CN231" s="517"/>
      <c r="CO231" s="517"/>
      <c r="CP231" s="517"/>
      <c r="CQ231" s="517"/>
      <c r="CR231" s="517"/>
      <c r="CS231" s="517"/>
      <c r="CT231" s="517"/>
      <c r="CU231" s="517"/>
      <c r="CV231" s="517"/>
      <c r="CW231" s="517"/>
      <c r="CX231" s="517"/>
    </row>
    <row r="232" spans="1:102" ht="12" customHeight="1" x14ac:dyDescent="0.2">
      <c r="A232" s="517"/>
      <c r="B232" s="517"/>
      <c r="C232" s="517"/>
      <c r="D232" s="517"/>
      <c r="E232" s="517"/>
      <c r="F232" s="517"/>
      <c r="G232" s="517"/>
      <c r="H232" s="517"/>
      <c r="I232" s="517"/>
      <c r="J232" s="517"/>
      <c r="K232" s="517"/>
      <c r="L232" s="517"/>
      <c r="M232" s="517"/>
      <c r="N232" s="517"/>
      <c r="O232" s="517"/>
      <c r="P232" s="517"/>
      <c r="Q232" s="517"/>
      <c r="R232" s="517"/>
      <c r="S232" s="517"/>
      <c r="T232" s="517"/>
      <c r="U232" s="517"/>
      <c r="V232" s="517"/>
      <c r="W232" s="517"/>
      <c r="X232" s="127"/>
      <c r="Y232" s="127"/>
      <c r="Z232" s="127"/>
      <c r="AA232" s="127"/>
      <c r="AB232" s="127"/>
      <c r="AC232" s="127"/>
      <c r="AD232" s="127"/>
      <c r="AE232" s="127"/>
      <c r="AF232" s="127"/>
      <c r="AG232" s="127"/>
      <c r="AH232" s="127"/>
      <c r="AI232" s="127"/>
      <c r="AJ232" s="127"/>
      <c r="AK232" s="127"/>
      <c r="AL232" s="127"/>
      <c r="AM232" s="127"/>
      <c r="AN232" s="517"/>
      <c r="AO232" s="517"/>
      <c r="AP232" s="517"/>
      <c r="AQ232" s="127"/>
      <c r="AR232" s="517"/>
      <c r="AS232" s="517"/>
      <c r="AT232" s="517"/>
      <c r="AU232" s="592"/>
      <c r="AV232" s="517"/>
      <c r="AW232" s="517"/>
      <c r="AX232" s="517"/>
      <c r="AY232" s="517"/>
      <c r="AZ232" s="517"/>
      <c r="BA232" s="517"/>
      <c r="BB232" s="517"/>
      <c r="BC232" s="517"/>
      <c r="BD232" s="517"/>
      <c r="BE232" s="517"/>
      <c r="BF232" s="517"/>
      <c r="BG232" s="517"/>
      <c r="BH232" s="517"/>
      <c r="BI232" s="517"/>
      <c r="BJ232" s="517"/>
      <c r="BK232" s="517"/>
      <c r="BL232" s="517"/>
      <c r="BM232" s="517"/>
      <c r="BN232" s="517"/>
      <c r="BO232" s="517"/>
      <c r="BP232" s="517"/>
      <c r="BQ232" s="517"/>
      <c r="BR232" s="517"/>
      <c r="BS232" s="517"/>
      <c r="BT232" s="517"/>
      <c r="BU232" s="517"/>
      <c r="BV232" s="517"/>
      <c r="BW232" s="517"/>
      <c r="BX232" s="517"/>
      <c r="BY232" s="517"/>
      <c r="BZ232" s="517"/>
      <c r="CA232" s="517"/>
      <c r="CB232" s="517"/>
      <c r="CC232" s="517"/>
      <c r="CD232" s="517"/>
      <c r="CE232" s="517"/>
      <c r="CF232" s="517"/>
      <c r="CG232" s="517"/>
      <c r="CH232" s="517"/>
      <c r="CI232" s="517"/>
      <c r="CJ232" s="517"/>
      <c r="CK232" s="517"/>
      <c r="CL232" s="517"/>
      <c r="CM232" s="517"/>
      <c r="CN232" s="517"/>
      <c r="CO232" s="517"/>
      <c r="CP232" s="517"/>
      <c r="CQ232" s="517"/>
      <c r="CR232" s="517"/>
      <c r="CS232" s="517"/>
      <c r="CT232" s="517"/>
      <c r="CU232" s="517"/>
      <c r="CV232" s="517"/>
      <c r="CW232" s="517"/>
      <c r="CX232" s="517"/>
    </row>
    <row r="233" spans="1:102" ht="12" customHeight="1" x14ac:dyDescent="0.2">
      <c r="A233" s="517"/>
      <c r="B233" s="517"/>
      <c r="C233" s="517"/>
      <c r="D233" s="517"/>
      <c r="E233" s="517"/>
      <c r="F233" s="517"/>
      <c r="G233" s="517"/>
      <c r="H233" s="517"/>
      <c r="I233" s="517"/>
      <c r="J233" s="517"/>
      <c r="K233" s="517"/>
      <c r="L233" s="517"/>
      <c r="M233" s="517"/>
      <c r="N233" s="517"/>
      <c r="O233" s="517"/>
      <c r="P233" s="517"/>
      <c r="Q233" s="517"/>
      <c r="R233" s="517"/>
      <c r="S233" s="517"/>
      <c r="T233" s="517"/>
      <c r="U233" s="517"/>
      <c r="V233" s="517"/>
      <c r="W233" s="517"/>
      <c r="X233" s="127"/>
      <c r="Y233" s="127"/>
      <c r="Z233" s="127"/>
      <c r="AA233" s="127"/>
      <c r="AB233" s="127"/>
      <c r="AC233" s="127"/>
      <c r="AD233" s="127"/>
      <c r="AE233" s="127"/>
      <c r="AF233" s="127"/>
      <c r="AG233" s="127"/>
      <c r="AH233" s="127"/>
      <c r="AI233" s="127"/>
      <c r="AJ233" s="127"/>
      <c r="AK233" s="127"/>
      <c r="AL233" s="127"/>
      <c r="AM233" s="127"/>
      <c r="AN233" s="517"/>
      <c r="AO233" s="517"/>
      <c r="AP233" s="517"/>
      <c r="AQ233" s="127"/>
      <c r="AR233" s="517"/>
      <c r="AS233" s="517"/>
      <c r="AT233" s="517"/>
      <c r="AU233" s="592"/>
      <c r="AV233" s="517"/>
      <c r="AW233" s="517"/>
      <c r="AX233" s="517"/>
      <c r="AY233" s="517"/>
      <c r="AZ233" s="517"/>
      <c r="BA233" s="517"/>
      <c r="BB233" s="517"/>
      <c r="BC233" s="517"/>
      <c r="BD233" s="517"/>
      <c r="BE233" s="517"/>
      <c r="BF233" s="517"/>
      <c r="BG233" s="517"/>
      <c r="BH233" s="517"/>
      <c r="BI233" s="517"/>
      <c r="BJ233" s="517"/>
      <c r="BK233" s="517"/>
      <c r="BL233" s="517"/>
      <c r="BM233" s="517"/>
      <c r="BN233" s="517"/>
      <c r="BO233" s="517"/>
      <c r="BP233" s="517"/>
      <c r="BQ233" s="517"/>
      <c r="BR233" s="517"/>
      <c r="BS233" s="517"/>
      <c r="BT233" s="517"/>
      <c r="BU233" s="517"/>
      <c r="BV233" s="517"/>
      <c r="BW233" s="517"/>
      <c r="BX233" s="517"/>
      <c r="BY233" s="517"/>
      <c r="BZ233" s="517"/>
      <c r="CA233" s="517"/>
      <c r="CB233" s="517"/>
      <c r="CC233" s="517"/>
      <c r="CD233" s="517"/>
      <c r="CE233" s="517"/>
      <c r="CF233" s="517"/>
      <c r="CG233" s="517"/>
      <c r="CH233" s="517"/>
      <c r="CI233" s="517"/>
      <c r="CJ233" s="517"/>
      <c r="CK233" s="517"/>
      <c r="CL233" s="517"/>
      <c r="CM233" s="517"/>
      <c r="CN233" s="517"/>
      <c r="CO233" s="517"/>
      <c r="CP233" s="517"/>
      <c r="CQ233" s="517"/>
      <c r="CR233" s="517"/>
      <c r="CS233" s="517"/>
      <c r="CT233" s="517"/>
      <c r="CU233" s="517"/>
      <c r="CV233" s="517"/>
      <c r="CW233" s="517"/>
      <c r="CX233" s="517"/>
    </row>
    <row r="234" spans="1:102" ht="12" customHeight="1" x14ac:dyDescent="0.2">
      <c r="A234" s="517"/>
      <c r="B234" s="517"/>
      <c r="C234" s="517"/>
      <c r="D234" s="517"/>
      <c r="E234" s="517"/>
      <c r="F234" s="517"/>
      <c r="G234" s="517"/>
      <c r="H234" s="517"/>
      <c r="I234" s="517"/>
      <c r="J234" s="517"/>
      <c r="K234" s="517"/>
      <c r="L234" s="517"/>
      <c r="M234" s="517"/>
      <c r="N234" s="517"/>
      <c r="O234" s="517"/>
      <c r="P234" s="517"/>
      <c r="Q234" s="517"/>
      <c r="R234" s="517"/>
      <c r="S234" s="517"/>
      <c r="T234" s="517"/>
      <c r="U234" s="517"/>
      <c r="V234" s="517"/>
      <c r="W234" s="517"/>
      <c r="X234" s="127"/>
      <c r="Y234" s="127"/>
      <c r="Z234" s="127"/>
      <c r="AA234" s="127"/>
      <c r="AB234" s="127"/>
      <c r="AC234" s="127"/>
      <c r="AD234" s="127"/>
      <c r="AE234" s="127"/>
      <c r="AF234" s="127"/>
      <c r="AG234" s="127"/>
      <c r="AH234" s="127"/>
      <c r="AI234" s="127"/>
      <c r="AJ234" s="127"/>
      <c r="AK234" s="127"/>
      <c r="AL234" s="127"/>
      <c r="AM234" s="127"/>
      <c r="AN234" s="517"/>
      <c r="AO234" s="517"/>
      <c r="AP234" s="517"/>
      <c r="AQ234" s="127"/>
      <c r="AR234" s="517"/>
      <c r="AS234" s="517"/>
      <c r="AT234" s="517"/>
      <c r="AU234" s="592"/>
      <c r="AV234" s="517"/>
      <c r="AW234" s="517"/>
      <c r="AX234" s="517"/>
      <c r="AY234" s="517"/>
      <c r="AZ234" s="517"/>
      <c r="BA234" s="517"/>
      <c r="BB234" s="517"/>
      <c r="BC234" s="517"/>
      <c r="BD234" s="517"/>
      <c r="BE234" s="517"/>
      <c r="BF234" s="517"/>
      <c r="BG234" s="517"/>
      <c r="BH234" s="517"/>
      <c r="BI234" s="517"/>
      <c r="BJ234" s="517"/>
      <c r="BK234" s="517"/>
      <c r="BL234" s="517"/>
      <c r="BM234" s="517"/>
      <c r="BN234" s="517"/>
      <c r="BO234" s="517"/>
      <c r="BP234" s="517"/>
      <c r="BQ234" s="517"/>
      <c r="BR234" s="517"/>
      <c r="BS234" s="517"/>
      <c r="BT234" s="517"/>
      <c r="BU234" s="517"/>
      <c r="BV234" s="517"/>
      <c r="BW234" s="517"/>
      <c r="BX234" s="517"/>
      <c r="BY234" s="517"/>
      <c r="BZ234" s="517"/>
      <c r="CA234" s="517"/>
      <c r="CB234" s="517"/>
      <c r="CC234" s="517"/>
      <c r="CD234" s="517"/>
      <c r="CE234" s="517"/>
      <c r="CF234" s="517"/>
      <c r="CG234" s="517"/>
      <c r="CH234" s="517"/>
      <c r="CI234" s="517"/>
      <c r="CJ234" s="517"/>
      <c r="CK234" s="517"/>
      <c r="CL234" s="517"/>
      <c r="CM234" s="517"/>
      <c r="CN234" s="517"/>
      <c r="CO234" s="517"/>
      <c r="CP234" s="517"/>
      <c r="CQ234" s="517"/>
      <c r="CR234" s="517"/>
      <c r="CS234" s="517"/>
      <c r="CT234" s="517"/>
      <c r="CU234" s="517"/>
      <c r="CV234" s="517"/>
      <c r="CW234" s="517"/>
      <c r="CX234" s="517"/>
    </row>
    <row r="235" spans="1:102" ht="12" customHeight="1" x14ac:dyDescent="0.2">
      <c r="A235" s="517"/>
      <c r="B235" s="517"/>
      <c r="C235" s="517"/>
      <c r="D235" s="517"/>
      <c r="E235" s="517"/>
      <c r="F235" s="517"/>
      <c r="G235" s="517"/>
      <c r="H235" s="517"/>
      <c r="I235" s="517"/>
      <c r="J235" s="517"/>
      <c r="K235" s="517"/>
      <c r="L235" s="517"/>
      <c r="M235" s="517"/>
      <c r="N235" s="517"/>
      <c r="O235" s="517"/>
      <c r="P235" s="517"/>
      <c r="Q235" s="517"/>
      <c r="R235" s="517"/>
      <c r="S235" s="517"/>
      <c r="T235" s="517"/>
      <c r="U235" s="517"/>
      <c r="V235" s="517"/>
      <c r="W235" s="517"/>
      <c r="X235" s="127"/>
      <c r="Y235" s="127"/>
      <c r="Z235" s="127"/>
      <c r="AA235" s="127"/>
      <c r="AB235" s="127"/>
      <c r="AC235" s="127"/>
      <c r="AD235" s="127"/>
      <c r="AE235" s="127"/>
      <c r="AF235" s="127"/>
      <c r="AG235" s="127"/>
      <c r="AH235" s="127"/>
      <c r="AI235" s="127"/>
      <c r="AJ235" s="127"/>
      <c r="AK235" s="127"/>
      <c r="AL235" s="127"/>
      <c r="AM235" s="127"/>
      <c r="AN235" s="517"/>
      <c r="AO235" s="517"/>
      <c r="AP235" s="517"/>
      <c r="AQ235" s="127"/>
      <c r="AR235" s="517"/>
      <c r="AS235" s="517"/>
      <c r="AT235" s="517"/>
      <c r="AU235" s="592"/>
      <c r="AV235" s="517"/>
      <c r="AW235" s="517"/>
      <c r="AX235" s="517"/>
      <c r="AY235" s="517"/>
      <c r="AZ235" s="517"/>
      <c r="BA235" s="517"/>
      <c r="BB235" s="517"/>
      <c r="BC235" s="517"/>
      <c r="BD235" s="517"/>
      <c r="BE235" s="517"/>
      <c r="BF235" s="517"/>
      <c r="BG235" s="517"/>
      <c r="BH235" s="517"/>
      <c r="BI235" s="517"/>
      <c r="BJ235" s="517"/>
      <c r="BK235" s="517"/>
      <c r="BL235" s="517"/>
      <c r="BM235" s="517"/>
      <c r="BN235" s="517"/>
      <c r="BO235" s="517"/>
      <c r="BP235" s="517"/>
      <c r="BQ235" s="517"/>
      <c r="BR235" s="517"/>
      <c r="BS235" s="517"/>
      <c r="BT235" s="517"/>
      <c r="BU235" s="517"/>
      <c r="BV235" s="517"/>
      <c r="BW235" s="517"/>
      <c r="BX235" s="517"/>
      <c r="BY235" s="517"/>
      <c r="BZ235" s="517"/>
      <c r="CA235" s="517"/>
      <c r="CB235" s="517"/>
      <c r="CC235" s="517"/>
      <c r="CD235" s="517"/>
      <c r="CE235" s="517"/>
      <c r="CF235" s="517"/>
      <c r="CG235" s="517"/>
      <c r="CH235" s="517"/>
      <c r="CI235" s="517"/>
      <c r="CJ235" s="517"/>
      <c r="CK235" s="517"/>
      <c r="CL235" s="517"/>
      <c r="CM235" s="517"/>
      <c r="CN235" s="517"/>
      <c r="CO235" s="517"/>
      <c r="CP235" s="517"/>
      <c r="CQ235" s="517"/>
      <c r="CR235" s="517"/>
      <c r="CS235" s="517"/>
      <c r="CT235" s="517"/>
      <c r="CU235" s="517"/>
      <c r="CV235" s="517"/>
      <c r="CW235" s="517"/>
      <c r="CX235" s="517"/>
    </row>
    <row r="236" spans="1:102" ht="12" customHeight="1" x14ac:dyDescent="0.2">
      <c r="A236" s="517"/>
      <c r="B236" s="517"/>
      <c r="C236" s="517"/>
      <c r="D236" s="517"/>
      <c r="E236" s="517"/>
      <c r="F236" s="517"/>
      <c r="G236" s="517"/>
      <c r="H236" s="517"/>
      <c r="I236" s="517"/>
      <c r="J236" s="517"/>
      <c r="K236" s="517"/>
      <c r="L236" s="517"/>
      <c r="M236" s="517"/>
      <c r="N236" s="517"/>
      <c r="O236" s="517"/>
      <c r="P236" s="517"/>
      <c r="Q236" s="517"/>
      <c r="R236" s="517"/>
      <c r="S236" s="517"/>
      <c r="T236" s="517"/>
      <c r="U236" s="517"/>
      <c r="V236" s="517"/>
      <c r="W236" s="517"/>
      <c r="X236" s="127"/>
      <c r="Y236" s="127"/>
      <c r="Z236" s="127"/>
      <c r="AA236" s="127"/>
      <c r="AB236" s="127"/>
      <c r="AC236" s="127"/>
      <c r="AD236" s="127"/>
      <c r="AE236" s="127"/>
      <c r="AF236" s="127"/>
      <c r="AG236" s="127"/>
      <c r="AH236" s="127"/>
      <c r="AI236" s="127"/>
      <c r="AJ236" s="127"/>
      <c r="AK236" s="127"/>
      <c r="AL236" s="127"/>
      <c r="AM236" s="127"/>
      <c r="AN236" s="517"/>
      <c r="AO236" s="517"/>
      <c r="AP236" s="517"/>
      <c r="AQ236" s="127"/>
      <c r="AR236" s="517"/>
      <c r="AS236" s="517"/>
      <c r="AT236" s="517"/>
      <c r="AU236" s="592"/>
      <c r="AV236" s="517"/>
      <c r="AW236" s="517"/>
      <c r="AX236" s="517"/>
      <c r="AY236" s="517"/>
      <c r="AZ236" s="517"/>
      <c r="BA236" s="517"/>
      <c r="BB236" s="517"/>
      <c r="BC236" s="517"/>
      <c r="BD236" s="517"/>
      <c r="BE236" s="517"/>
      <c r="BF236" s="517"/>
      <c r="BG236" s="517"/>
      <c r="BH236" s="517"/>
      <c r="BI236" s="517"/>
      <c r="BJ236" s="517"/>
      <c r="BK236" s="517"/>
      <c r="BL236" s="517"/>
      <c r="BM236" s="517"/>
      <c r="BN236" s="517"/>
      <c r="BO236" s="517"/>
      <c r="BP236" s="517"/>
      <c r="BQ236" s="517"/>
      <c r="BR236" s="517"/>
      <c r="BS236" s="517"/>
      <c r="BT236" s="517"/>
      <c r="BU236" s="517"/>
      <c r="BV236" s="517"/>
      <c r="BW236" s="517"/>
      <c r="BX236" s="517"/>
      <c r="BY236" s="517"/>
      <c r="BZ236" s="517"/>
      <c r="CA236" s="517"/>
      <c r="CB236" s="517"/>
      <c r="CC236" s="517"/>
      <c r="CD236" s="517"/>
      <c r="CE236" s="517"/>
      <c r="CF236" s="517"/>
      <c r="CG236" s="517"/>
      <c r="CH236" s="517"/>
      <c r="CI236" s="517"/>
      <c r="CJ236" s="517"/>
      <c r="CK236" s="517"/>
      <c r="CL236" s="517"/>
      <c r="CM236" s="517"/>
      <c r="CN236" s="517"/>
      <c r="CO236" s="517"/>
      <c r="CP236" s="517"/>
      <c r="CQ236" s="517"/>
      <c r="CR236" s="517"/>
      <c r="CS236" s="517"/>
      <c r="CT236" s="517"/>
      <c r="CU236" s="517"/>
      <c r="CV236" s="517"/>
      <c r="CW236" s="517"/>
      <c r="CX236" s="517"/>
    </row>
    <row r="237" spans="1:102" ht="12" customHeight="1" x14ac:dyDescent="0.2">
      <c r="A237" s="517"/>
      <c r="B237" s="517"/>
      <c r="C237" s="517"/>
      <c r="D237" s="517"/>
      <c r="E237" s="517"/>
      <c r="F237" s="517"/>
      <c r="G237" s="517"/>
      <c r="H237" s="517"/>
      <c r="I237" s="517"/>
      <c r="J237" s="517"/>
      <c r="K237" s="517"/>
      <c r="L237" s="517"/>
      <c r="M237" s="517"/>
      <c r="N237" s="517"/>
      <c r="O237" s="517"/>
      <c r="P237" s="517"/>
      <c r="Q237" s="517"/>
      <c r="R237" s="517"/>
      <c r="S237" s="517"/>
      <c r="T237" s="517"/>
      <c r="U237" s="517"/>
      <c r="V237" s="517"/>
      <c r="W237" s="517"/>
      <c r="X237" s="127"/>
      <c r="Y237" s="127"/>
      <c r="Z237" s="127"/>
      <c r="AA237" s="127"/>
      <c r="AB237" s="127"/>
      <c r="AC237" s="127"/>
      <c r="AD237" s="127"/>
      <c r="AE237" s="127"/>
      <c r="AF237" s="127"/>
      <c r="AG237" s="127"/>
      <c r="AH237" s="127"/>
      <c r="AI237" s="127"/>
      <c r="AJ237" s="127"/>
      <c r="AK237" s="127"/>
      <c r="AL237" s="127"/>
      <c r="AM237" s="127"/>
      <c r="AN237" s="517"/>
      <c r="AO237" s="517"/>
      <c r="AP237" s="517"/>
      <c r="AQ237" s="127"/>
      <c r="AR237" s="517"/>
      <c r="AS237" s="517"/>
      <c r="AT237" s="517"/>
      <c r="AU237" s="592"/>
      <c r="AV237" s="517"/>
      <c r="AW237" s="517"/>
      <c r="AX237" s="517"/>
      <c r="AY237" s="517"/>
      <c r="AZ237" s="517"/>
      <c r="BA237" s="517"/>
      <c r="BB237" s="517"/>
      <c r="BC237" s="517"/>
      <c r="BD237" s="517"/>
      <c r="BE237" s="517"/>
      <c r="BF237" s="517"/>
      <c r="BG237" s="517"/>
      <c r="BH237" s="517"/>
      <c r="BI237" s="517"/>
      <c r="BJ237" s="517"/>
      <c r="BK237" s="517"/>
      <c r="BL237" s="517"/>
      <c r="BM237" s="517"/>
      <c r="BN237" s="517"/>
      <c r="BO237" s="517"/>
      <c r="BP237" s="517"/>
      <c r="BQ237" s="517"/>
      <c r="BR237" s="517"/>
      <c r="BS237" s="517"/>
      <c r="BT237" s="517"/>
      <c r="BU237" s="517"/>
      <c r="BV237" s="517"/>
      <c r="BW237" s="517"/>
      <c r="BX237" s="517"/>
      <c r="BY237" s="517"/>
      <c r="BZ237" s="517"/>
      <c r="CA237" s="517"/>
      <c r="CB237" s="517"/>
      <c r="CC237" s="517"/>
      <c r="CD237" s="517"/>
      <c r="CE237" s="517"/>
      <c r="CF237" s="517"/>
      <c r="CG237" s="517"/>
      <c r="CH237" s="517"/>
      <c r="CI237" s="517"/>
      <c r="CJ237" s="517"/>
      <c r="CK237" s="517"/>
      <c r="CL237" s="517"/>
      <c r="CM237" s="517"/>
      <c r="CN237" s="517"/>
      <c r="CO237" s="517"/>
      <c r="CP237" s="517"/>
      <c r="CQ237" s="517"/>
      <c r="CR237" s="517"/>
      <c r="CS237" s="517"/>
      <c r="CT237" s="517"/>
      <c r="CU237" s="517"/>
      <c r="CV237" s="517"/>
      <c r="CW237" s="517"/>
      <c r="CX237" s="517"/>
    </row>
    <row r="238" spans="1:102" ht="12" customHeight="1" x14ac:dyDescent="0.2">
      <c r="A238" s="517"/>
      <c r="B238" s="517"/>
      <c r="C238" s="517"/>
      <c r="D238" s="517"/>
      <c r="E238" s="517"/>
      <c r="F238" s="517"/>
      <c r="G238" s="517"/>
      <c r="H238" s="517"/>
      <c r="I238" s="517"/>
      <c r="J238" s="517"/>
      <c r="K238" s="517"/>
      <c r="L238" s="517"/>
      <c r="M238" s="517"/>
      <c r="N238" s="517"/>
      <c r="O238" s="517"/>
      <c r="P238" s="517"/>
      <c r="Q238" s="517"/>
      <c r="R238" s="517"/>
      <c r="S238" s="517"/>
      <c r="T238" s="517"/>
      <c r="U238" s="517"/>
      <c r="V238" s="517"/>
      <c r="W238" s="517"/>
      <c r="X238" s="127"/>
      <c r="Y238" s="127"/>
      <c r="Z238" s="127"/>
      <c r="AA238" s="127"/>
      <c r="AB238" s="127"/>
      <c r="AC238" s="127"/>
      <c r="AD238" s="127"/>
      <c r="AE238" s="127"/>
      <c r="AF238" s="127"/>
      <c r="AG238" s="127"/>
      <c r="AH238" s="127"/>
      <c r="AI238" s="127"/>
      <c r="AJ238" s="127"/>
      <c r="AK238" s="127"/>
      <c r="AL238" s="127"/>
      <c r="AM238" s="127"/>
      <c r="AN238" s="517"/>
      <c r="AO238" s="517"/>
      <c r="AP238" s="517"/>
      <c r="AQ238" s="127"/>
      <c r="AR238" s="517"/>
      <c r="AS238" s="517"/>
      <c r="AT238" s="517"/>
      <c r="AU238" s="592"/>
      <c r="AV238" s="517"/>
      <c r="AW238" s="517"/>
      <c r="AX238" s="517"/>
      <c r="AY238" s="517"/>
      <c r="AZ238" s="517"/>
      <c r="BA238" s="517"/>
      <c r="BB238" s="517"/>
      <c r="BC238" s="517"/>
      <c r="BD238" s="517"/>
      <c r="BE238" s="517"/>
      <c r="BF238" s="517"/>
      <c r="BG238" s="517"/>
      <c r="BH238" s="517"/>
      <c r="BI238" s="517"/>
      <c r="BJ238" s="517"/>
      <c r="BK238" s="517"/>
      <c r="BL238" s="517"/>
      <c r="BM238" s="517"/>
      <c r="BN238" s="517"/>
      <c r="BO238" s="517"/>
      <c r="BP238" s="517"/>
      <c r="BQ238" s="517"/>
      <c r="BR238" s="517"/>
      <c r="BS238" s="517"/>
      <c r="BT238" s="517"/>
      <c r="BU238" s="517"/>
      <c r="BV238" s="517"/>
      <c r="BW238" s="517"/>
      <c r="BX238" s="517"/>
      <c r="BY238" s="517"/>
      <c r="BZ238" s="517"/>
      <c r="CA238" s="517"/>
      <c r="CB238" s="517"/>
      <c r="CC238" s="517"/>
      <c r="CD238" s="517"/>
      <c r="CE238" s="517"/>
      <c r="CF238" s="517"/>
      <c r="CG238" s="517"/>
      <c r="CH238" s="517"/>
      <c r="CI238" s="517"/>
      <c r="CJ238" s="517"/>
      <c r="CK238" s="517"/>
      <c r="CL238" s="517"/>
      <c r="CM238" s="517"/>
      <c r="CN238" s="517"/>
      <c r="CO238" s="517"/>
      <c r="CP238" s="517"/>
      <c r="CQ238" s="517"/>
      <c r="CR238" s="517"/>
      <c r="CS238" s="517"/>
      <c r="CT238" s="517"/>
      <c r="CU238" s="517"/>
      <c r="CV238" s="517"/>
      <c r="CW238" s="517"/>
      <c r="CX238" s="517"/>
    </row>
    <row r="239" spans="1:102" ht="12" customHeight="1" x14ac:dyDescent="0.2">
      <c r="A239" s="517"/>
      <c r="B239" s="517"/>
      <c r="C239" s="517"/>
      <c r="D239" s="517"/>
      <c r="E239" s="517"/>
      <c r="F239" s="517"/>
      <c r="G239" s="517"/>
      <c r="H239" s="517"/>
      <c r="I239" s="517"/>
      <c r="J239" s="517"/>
      <c r="K239" s="517"/>
      <c r="L239" s="517"/>
      <c r="M239" s="517"/>
      <c r="N239" s="517"/>
      <c r="O239" s="517"/>
      <c r="P239" s="517"/>
      <c r="Q239" s="517"/>
      <c r="R239" s="517"/>
      <c r="S239" s="517"/>
      <c r="T239" s="517"/>
      <c r="U239" s="517"/>
      <c r="V239" s="517"/>
      <c r="W239" s="517"/>
      <c r="X239" s="127"/>
      <c r="Y239" s="127"/>
      <c r="Z239" s="127"/>
      <c r="AA239" s="127"/>
      <c r="AB239" s="127"/>
      <c r="AC239" s="127"/>
      <c r="AD239" s="127"/>
      <c r="AE239" s="127"/>
      <c r="AF239" s="127"/>
      <c r="AG239" s="127"/>
      <c r="AH239" s="127"/>
      <c r="AI239" s="127"/>
      <c r="AJ239" s="127"/>
      <c r="AK239" s="127"/>
      <c r="AL239" s="127"/>
      <c r="AM239" s="127"/>
      <c r="AN239" s="517"/>
      <c r="AO239" s="517"/>
      <c r="AP239" s="517"/>
      <c r="AQ239" s="127"/>
      <c r="AR239" s="517"/>
      <c r="AS239" s="517"/>
      <c r="AT239" s="517"/>
      <c r="AU239" s="592"/>
      <c r="AV239" s="517"/>
      <c r="AW239" s="517"/>
      <c r="AX239" s="517"/>
      <c r="AY239" s="517"/>
      <c r="AZ239" s="517"/>
      <c r="BA239" s="517"/>
      <c r="BB239" s="517"/>
      <c r="BC239" s="517"/>
      <c r="BD239" s="517"/>
      <c r="BE239" s="517"/>
      <c r="BF239" s="517"/>
      <c r="BG239" s="517"/>
      <c r="BH239" s="517"/>
      <c r="BI239" s="517"/>
      <c r="BJ239" s="517"/>
      <c r="BK239" s="517"/>
      <c r="BL239" s="517"/>
      <c r="BM239" s="517"/>
      <c r="BN239" s="517"/>
      <c r="BO239" s="517"/>
      <c r="BP239" s="517"/>
      <c r="BQ239" s="517"/>
      <c r="BR239" s="517"/>
      <c r="BS239" s="517"/>
      <c r="BT239" s="517"/>
      <c r="BU239" s="517"/>
      <c r="BV239" s="517"/>
      <c r="BW239" s="517"/>
      <c r="BX239" s="517"/>
      <c r="BY239" s="517"/>
      <c r="BZ239" s="517"/>
      <c r="CA239" s="517"/>
      <c r="CB239" s="517"/>
      <c r="CC239" s="517"/>
      <c r="CD239" s="517"/>
      <c r="CE239" s="517"/>
      <c r="CF239" s="517"/>
      <c r="CG239" s="517"/>
      <c r="CH239" s="517"/>
      <c r="CI239" s="517"/>
      <c r="CJ239" s="517"/>
      <c r="CK239" s="517"/>
      <c r="CL239" s="517"/>
      <c r="CM239" s="517"/>
      <c r="CN239" s="517"/>
      <c r="CO239" s="517"/>
      <c r="CP239" s="517"/>
      <c r="CQ239" s="517"/>
      <c r="CR239" s="517"/>
      <c r="CS239" s="517"/>
      <c r="CT239" s="517"/>
      <c r="CU239" s="517"/>
      <c r="CV239" s="517"/>
      <c r="CW239" s="517"/>
      <c r="CX239" s="517"/>
    </row>
    <row r="240" spans="1:102" ht="12" customHeight="1" x14ac:dyDescent="0.2">
      <c r="A240" s="517"/>
      <c r="B240" s="517"/>
      <c r="C240" s="517"/>
      <c r="D240" s="517"/>
      <c r="E240" s="517"/>
      <c r="F240" s="517"/>
      <c r="G240" s="517"/>
      <c r="H240" s="517"/>
      <c r="I240" s="517"/>
      <c r="J240" s="517"/>
      <c r="K240" s="517"/>
      <c r="L240" s="517"/>
      <c r="M240" s="517"/>
      <c r="N240" s="517"/>
      <c r="O240" s="517"/>
      <c r="P240" s="517"/>
      <c r="Q240" s="517"/>
      <c r="R240" s="517"/>
      <c r="S240" s="517"/>
      <c r="T240" s="517"/>
      <c r="U240" s="517"/>
      <c r="V240" s="517"/>
      <c r="W240" s="517"/>
      <c r="X240" s="127"/>
      <c r="Y240" s="127"/>
      <c r="Z240" s="127"/>
      <c r="AA240" s="127"/>
      <c r="AB240" s="127"/>
      <c r="AC240" s="127"/>
      <c r="AD240" s="127"/>
      <c r="AE240" s="127"/>
      <c r="AF240" s="127"/>
      <c r="AG240" s="127"/>
      <c r="AH240" s="127"/>
      <c r="AI240" s="127"/>
      <c r="AJ240" s="127"/>
      <c r="AK240" s="127"/>
      <c r="AL240" s="127"/>
      <c r="AM240" s="127"/>
      <c r="AN240" s="517"/>
      <c r="AO240" s="517"/>
      <c r="AP240" s="517"/>
      <c r="AQ240" s="127"/>
      <c r="AR240" s="517"/>
      <c r="AS240" s="517"/>
      <c r="AT240" s="517"/>
      <c r="AU240" s="592"/>
      <c r="AV240" s="517"/>
      <c r="AW240" s="517"/>
      <c r="AX240" s="517"/>
      <c r="AY240" s="517"/>
      <c r="AZ240" s="517"/>
      <c r="BA240" s="517"/>
      <c r="BB240" s="517"/>
      <c r="BC240" s="517"/>
      <c r="BD240" s="517"/>
      <c r="BE240" s="517"/>
      <c r="BF240" s="517"/>
      <c r="BG240" s="517"/>
      <c r="BH240" s="517"/>
      <c r="BI240" s="517"/>
      <c r="BJ240" s="517"/>
      <c r="BK240" s="517"/>
      <c r="BL240" s="517"/>
      <c r="BM240" s="517"/>
      <c r="BN240" s="517"/>
      <c r="BO240" s="517"/>
      <c r="BP240" s="517"/>
      <c r="BQ240" s="517"/>
      <c r="BR240" s="517"/>
      <c r="BS240" s="517"/>
      <c r="BT240" s="517"/>
      <c r="BU240" s="517"/>
      <c r="BV240" s="517"/>
      <c r="BW240" s="517"/>
      <c r="BX240" s="517"/>
      <c r="BY240" s="517"/>
      <c r="BZ240" s="517"/>
      <c r="CA240" s="517"/>
      <c r="CB240" s="517"/>
      <c r="CC240" s="517"/>
      <c r="CD240" s="517"/>
      <c r="CE240" s="517"/>
      <c r="CF240" s="517"/>
      <c r="CG240" s="517"/>
      <c r="CH240" s="517"/>
      <c r="CI240" s="517"/>
      <c r="CJ240" s="517"/>
      <c r="CK240" s="517"/>
      <c r="CL240" s="517"/>
      <c r="CM240" s="517"/>
      <c r="CN240" s="517"/>
      <c r="CO240" s="517"/>
      <c r="CP240" s="517"/>
      <c r="CQ240" s="517"/>
      <c r="CR240" s="517"/>
      <c r="CS240" s="517"/>
      <c r="CT240" s="517"/>
      <c r="CU240" s="517"/>
      <c r="CV240" s="517"/>
      <c r="CW240" s="517"/>
      <c r="CX240" s="517"/>
    </row>
    <row r="241" spans="1:102" ht="12" customHeight="1" x14ac:dyDescent="0.2">
      <c r="A241" s="517"/>
      <c r="B241" s="517"/>
      <c r="C241" s="517"/>
      <c r="D241" s="517"/>
      <c r="E241" s="517"/>
      <c r="F241" s="517"/>
      <c r="G241" s="517"/>
      <c r="H241" s="517"/>
      <c r="I241" s="517"/>
      <c r="J241" s="517"/>
      <c r="K241" s="517"/>
      <c r="L241" s="517"/>
      <c r="M241" s="517"/>
      <c r="N241" s="517"/>
      <c r="O241" s="517"/>
      <c r="P241" s="517"/>
      <c r="Q241" s="517"/>
      <c r="R241" s="517"/>
      <c r="S241" s="517"/>
      <c r="T241" s="517"/>
      <c r="U241" s="517"/>
      <c r="V241" s="517"/>
      <c r="W241" s="517"/>
      <c r="X241" s="127"/>
      <c r="Y241" s="127"/>
      <c r="Z241" s="127"/>
      <c r="AA241" s="127"/>
      <c r="AB241" s="127"/>
      <c r="AC241" s="127"/>
      <c r="AD241" s="127"/>
      <c r="AE241" s="127"/>
      <c r="AF241" s="127"/>
      <c r="AG241" s="127"/>
      <c r="AH241" s="127"/>
      <c r="AI241" s="127"/>
      <c r="AJ241" s="127"/>
      <c r="AK241" s="127"/>
      <c r="AL241" s="127"/>
      <c r="AM241" s="127"/>
      <c r="AN241" s="517"/>
      <c r="AO241" s="517"/>
      <c r="AP241" s="517"/>
      <c r="AQ241" s="127"/>
      <c r="AR241" s="517"/>
      <c r="AS241" s="517"/>
      <c r="AT241" s="517"/>
      <c r="AU241" s="592"/>
      <c r="AV241" s="517"/>
      <c r="AW241" s="517"/>
      <c r="AX241" s="517"/>
      <c r="AY241" s="517"/>
      <c r="AZ241" s="517"/>
      <c r="BA241" s="517"/>
      <c r="BB241" s="517"/>
      <c r="BC241" s="517"/>
      <c r="BD241" s="517"/>
      <c r="BE241" s="517"/>
      <c r="BF241" s="517"/>
      <c r="BG241" s="517"/>
      <c r="BH241" s="517"/>
      <c r="BI241" s="517"/>
      <c r="BJ241" s="517"/>
      <c r="BK241" s="517"/>
      <c r="BL241" s="517"/>
      <c r="BM241" s="517"/>
      <c r="BN241" s="517"/>
      <c r="BO241" s="517"/>
      <c r="BP241" s="517"/>
      <c r="BQ241" s="517"/>
      <c r="BR241" s="517"/>
      <c r="BS241" s="517"/>
      <c r="BT241" s="517"/>
      <c r="BU241" s="517"/>
      <c r="BV241" s="517"/>
      <c r="BW241" s="517"/>
      <c r="BX241" s="517"/>
      <c r="BY241" s="517"/>
      <c r="BZ241" s="517"/>
      <c r="CA241" s="517"/>
      <c r="CB241" s="517"/>
      <c r="CC241" s="517"/>
      <c r="CD241" s="517"/>
      <c r="CE241" s="517"/>
      <c r="CF241" s="517"/>
      <c r="CG241" s="517"/>
      <c r="CH241" s="517"/>
      <c r="CI241" s="517"/>
      <c r="CJ241" s="517"/>
      <c r="CK241" s="517"/>
      <c r="CL241" s="517"/>
      <c r="CM241" s="517"/>
      <c r="CN241" s="517"/>
      <c r="CO241" s="517"/>
      <c r="CP241" s="517"/>
      <c r="CQ241" s="517"/>
      <c r="CR241" s="517"/>
      <c r="CS241" s="517"/>
      <c r="CT241" s="517"/>
      <c r="CU241" s="517"/>
      <c r="CV241" s="517"/>
      <c r="CW241" s="517"/>
      <c r="CX241" s="517"/>
    </row>
    <row r="242" spans="1:102" ht="12" customHeight="1" x14ac:dyDescent="0.2">
      <c r="A242" s="517"/>
      <c r="B242" s="517"/>
      <c r="C242" s="517"/>
      <c r="D242" s="517"/>
      <c r="E242" s="517"/>
      <c r="F242" s="517"/>
      <c r="G242" s="517"/>
      <c r="H242" s="517"/>
      <c r="I242" s="517"/>
      <c r="J242" s="517"/>
      <c r="K242" s="517"/>
      <c r="L242" s="517"/>
      <c r="M242" s="517"/>
      <c r="N242" s="517"/>
      <c r="O242" s="517"/>
      <c r="P242" s="517"/>
      <c r="Q242" s="517"/>
      <c r="R242" s="517"/>
      <c r="S242" s="517"/>
      <c r="T242" s="517"/>
      <c r="U242" s="517"/>
      <c r="V242" s="517"/>
      <c r="W242" s="517"/>
      <c r="X242" s="127"/>
      <c r="Y242" s="127"/>
      <c r="Z242" s="127"/>
      <c r="AA242" s="127"/>
      <c r="AB242" s="127"/>
      <c r="AC242" s="127"/>
      <c r="AD242" s="127"/>
      <c r="AE242" s="127"/>
      <c r="AF242" s="127"/>
      <c r="AG242" s="127"/>
      <c r="AH242" s="127"/>
      <c r="AI242" s="127"/>
      <c r="AJ242" s="127"/>
      <c r="AK242" s="127"/>
      <c r="AL242" s="127"/>
      <c r="AM242" s="127"/>
      <c r="AN242" s="517"/>
      <c r="AO242" s="517"/>
      <c r="AP242" s="517"/>
      <c r="AQ242" s="127"/>
      <c r="AR242" s="517"/>
      <c r="AS242" s="517"/>
      <c r="AT242" s="517"/>
      <c r="AU242" s="592"/>
      <c r="AV242" s="517"/>
      <c r="AW242" s="517"/>
      <c r="AX242" s="517"/>
      <c r="AY242" s="517"/>
      <c r="AZ242" s="517"/>
      <c r="BA242" s="517"/>
      <c r="BB242" s="517"/>
      <c r="BC242" s="517"/>
      <c r="BD242" s="517"/>
      <c r="BE242" s="517"/>
      <c r="BF242" s="517"/>
      <c r="BG242" s="517"/>
      <c r="BH242" s="517"/>
      <c r="BI242" s="517"/>
      <c r="BJ242" s="517"/>
      <c r="BK242" s="517"/>
      <c r="BL242" s="517"/>
      <c r="BM242" s="517"/>
      <c r="BN242" s="517"/>
      <c r="BO242" s="517"/>
      <c r="BP242" s="517"/>
      <c r="BQ242" s="517"/>
      <c r="BR242" s="517"/>
      <c r="BS242" s="517"/>
      <c r="BT242" s="517"/>
      <c r="BU242" s="517"/>
      <c r="BV242" s="517"/>
      <c r="BW242" s="517"/>
      <c r="BX242" s="517"/>
      <c r="BY242" s="517"/>
      <c r="BZ242" s="517"/>
      <c r="CA242" s="517"/>
      <c r="CB242" s="517"/>
      <c r="CC242" s="517"/>
      <c r="CD242" s="517"/>
      <c r="CE242" s="517"/>
      <c r="CF242" s="517"/>
      <c r="CG242" s="517"/>
      <c r="CH242" s="517"/>
      <c r="CI242" s="517"/>
      <c r="CJ242" s="517"/>
      <c r="CK242" s="517"/>
      <c r="CL242" s="517"/>
      <c r="CM242" s="517"/>
      <c r="CN242" s="517"/>
      <c r="CO242" s="517"/>
      <c r="CP242" s="517"/>
      <c r="CQ242" s="517"/>
      <c r="CR242" s="517"/>
      <c r="CS242" s="517"/>
      <c r="CT242" s="517"/>
      <c r="CU242" s="517"/>
      <c r="CV242" s="517"/>
      <c r="CW242" s="517"/>
      <c r="CX242" s="517"/>
    </row>
    <row r="243" spans="1:102" ht="12" customHeight="1" x14ac:dyDescent="0.2">
      <c r="A243" s="517"/>
      <c r="B243" s="517"/>
      <c r="C243" s="517"/>
      <c r="D243" s="517"/>
      <c r="E243" s="517"/>
      <c r="F243" s="517"/>
      <c r="G243" s="517"/>
      <c r="H243" s="517"/>
      <c r="I243" s="517"/>
      <c r="J243" s="517"/>
      <c r="K243" s="517"/>
      <c r="L243" s="517"/>
      <c r="M243" s="517"/>
      <c r="N243" s="517"/>
      <c r="O243" s="517"/>
      <c r="P243" s="517"/>
      <c r="Q243" s="517"/>
      <c r="R243" s="517"/>
      <c r="S243" s="517"/>
      <c r="T243" s="517"/>
      <c r="U243" s="517"/>
      <c r="V243" s="517"/>
      <c r="W243" s="517"/>
      <c r="X243" s="127"/>
      <c r="Y243" s="127"/>
      <c r="Z243" s="127"/>
      <c r="AA243" s="127"/>
      <c r="AB243" s="127"/>
      <c r="AC243" s="127"/>
      <c r="AD243" s="127"/>
      <c r="AE243" s="127"/>
      <c r="AF243" s="127"/>
      <c r="AG243" s="127"/>
      <c r="AH243" s="127"/>
      <c r="AI243" s="127"/>
      <c r="AJ243" s="127"/>
      <c r="AK243" s="127"/>
      <c r="AL243" s="127"/>
      <c r="AM243" s="127"/>
      <c r="AN243" s="517"/>
      <c r="AO243" s="517"/>
      <c r="AP243" s="517"/>
      <c r="AQ243" s="127"/>
      <c r="AR243" s="517"/>
      <c r="AS243" s="517"/>
      <c r="AT243" s="517"/>
      <c r="AU243" s="592"/>
      <c r="AV243" s="517"/>
      <c r="AW243" s="517"/>
      <c r="AX243" s="517"/>
      <c r="AY243" s="517"/>
      <c r="AZ243" s="517"/>
      <c r="BA243" s="517"/>
      <c r="BB243" s="517"/>
      <c r="BC243" s="517"/>
      <c r="BD243" s="517"/>
      <c r="BE243" s="517"/>
      <c r="BF243" s="517"/>
      <c r="BG243" s="517"/>
      <c r="BH243" s="517"/>
      <c r="BI243" s="517"/>
      <c r="BJ243" s="517"/>
      <c r="BK243" s="517"/>
      <c r="BL243" s="517"/>
      <c r="BM243" s="517"/>
      <c r="BN243" s="517"/>
      <c r="BO243" s="517"/>
      <c r="BP243" s="517"/>
      <c r="BQ243" s="517"/>
      <c r="BR243" s="517"/>
      <c r="BS243" s="517"/>
      <c r="BT243" s="517"/>
      <c r="BU243" s="517"/>
      <c r="BV243" s="517"/>
      <c r="BW243" s="517"/>
      <c r="BX243" s="517"/>
      <c r="BY243" s="517"/>
      <c r="BZ243" s="517"/>
      <c r="CA243" s="517"/>
      <c r="CB243" s="517"/>
      <c r="CC243" s="517"/>
      <c r="CD243" s="517"/>
      <c r="CE243" s="517"/>
      <c r="CF243" s="517"/>
      <c r="CG243" s="517"/>
      <c r="CH243" s="517"/>
      <c r="CI243" s="517"/>
      <c r="CJ243" s="517"/>
      <c r="CK243" s="517"/>
      <c r="CL243" s="517"/>
      <c r="CM243" s="517"/>
      <c r="CN243" s="517"/>
      <c r="CO243" s="517"/>
      <c r="CP243" s="517"/>
      <c r="CQ243" s="517"/>
      <c r="CR243" s="517"/>
      <c r="CS243" s="517"/>
      <c r="CT243" s="517"/>
      <c r="CU243" s="517"/>
      <c r="CV243" s="517"/>
      <c r="CW243" s="517"/>
      <c r="CX243" s="517"/>
    </row>
    <row r="244" spans="1:102" ht="12" customHeight="1" x14ac:dyDescent="0.2">
      <c r="A244" s="517"/>
      <c r="B244" s="517"/>
      <c r="C244" s="517"/>
      <c r="D244" s="517"/>
      <c r="E244" s="517"/>
      <c r="F244" s="517"/>
      <c r="G244" s="517"/>
      <c r="H244" s="517"/>
      <c r="I244" s="517"/>
      <c r="J244" s="517"/>
      <c r="K244" s="517"/>
      <c r="L244" s="517"/>
      <c r="M244" s="517"/>
      <c r="N244" s="517"/>
      <c r="O244" s="517"/>
      <c r="P244" s="517"/>
      <c r="Q244" s="517"/>
      <c r="R244" s="517"/>
      <c r="S244" s="517"/>
      <c r="T244" s="517"/>
      <c r="U244" s="517"/>
      <c r="V244" s="517"/>
      <c r="W244" s="517"/>
      <c r="X244" s="127"/>
      <c r="Y244" s="127"/>
      <c r="Z244" s="127"/>
      <c r="AA244" s="127"/>
      <c r="AB244" s="127"/>
      <c r="AC244" s="127"/>
      <c r="AD244" s="127"/>
      <c r="AE244" s="127"/>
      <c r="AF244" s="127"/>
      <c r="AG244" s="127"/>
      <c r="AH244" s="127"/>
      <c r="AI244" s="127"/>
      <c r="AJ244" s="127"/>
      <c r="AK244" s="127"/>
      <c r="AL244" s="127"/>
      <c r="AM244" s="127"/>
      <c r="AN244" s="517"/>
      <c r="AO244" s="517"/>
      <c r="AP244" s="517"/>
      <c r="AQ244" s="127"/>
      <c r="AR244" s="517"/>
      <c r="AS244" s="517"/>
      <c r="AT244" s="517"/>
      <c r="AU244" s="592"/>
      <c r="AV244" s="517"/>
      <c r="AW244" s="517"/>
      <c r="AX244" s="517"/>
      <c r="AY244" s="517"/>
      <c r="AZ244" s="517"/>
      <c r="BA244" s="517"/>
      <c r="BB244" s="517"/>
      <c r="BC244" s="517"/>
      <c r="BD244" s="517"/>
      <c r="BE244" s="517"/>
      <c r="BF244" s="517"/>
      <c r="BG244" s="517"/>
      <c r="BH244" s="517"/>
      <c r="BI244" s="517"/>
      <c r="BJ244" s="517"/>
      <c r="BK244" s="517"/>
      <c r="BL244" s="517"/>
      <c r="BM244" s="517"/>
      <c r="BN244" s="517"/>
      <c r="BO244" s="517"/>
      <c r="BP244" s="517"/>
      <c r="BQ244" s="517"/>
      <c r="BR244" s="517"/>
      <c r="BS244" s="517"/>
      <c r="BT244" s="517"/>
      <c r="BU244" s="517"/>
      <c r="BV244" s="517"/>
      <c r="BW244" s="517"/>
      <c r="BX244" s="517"/>
      <c r="BY244" s="517"/>
      <c r="BZ244" s="517"/>
      <c r="CA244" s="517"/>
      <c r="CB244" s="517"/>
      <c r="CC244" s="517"/>
      <c r="CD244" s="517"/>
      <c r="CE244" s="517"/>
      <c r="CF244" s="517"/>
      <c r="CG244" s="517"/>
      <c r="CH244" s="517"/>
      <c r="CI244" s="517"/>
      <c r="CJ244" s="517"/>
      <c r="CK244" s="517"/>
      <c r="CL244" s="517"/>
      <c r="CM244" s="517"/>
      <c r="CN244" s="517"/>
      <c r="CO244" s="517"/>
      <c r="CP244" s="517"/>
      <c r="CQ244" s="517"/>
      <c r="CR244" s="517"/>
      <c r="CS244" s="517"/>
      <c r="CT244" s="517"/>
      <c r="CU244" s="517"/>
      <c r="CV244" s="517"/>
      <c r="CW244" s="517"/>
      <c r="CX244" s="517"/>
    </row>
    <row r="245" spans="1:102" ht="12" customHeight="1" x14ac:dyDescent="0.2">
      <c r="A245" s="517"/>
      <c r="B245" s="517"/>
      <c r="C245" s="517"/>
      <c r="D245" s="517"/>
      <c r="E245" s="517"/>
      <c r="F245" s="517"/>
      <c r="G245" s="517"/>
      <c r="H245" s="517"/>
      <c r="I245" s="517"/>
      <c r="J245" s="517"/>
      <c r="K245" s="517"/>
      <c r="L245" s="517"/>
      <c r="M245" s="517"/>
      <c r="N245" s="517"/>
      <c r="O245" s="517"/>
      <c r="P245" s="517"/>
      <c r="Q245" s="517"/>
      <c r="R245" s="517"/>
      <c r="S245" s="517"/>
      <c r="T245" s="517"/>
      <c r="U245" s="517"/>
      <c r="V245" s="517"/>
      <c r="W245" s="517"/>
      <c r="X245" s="127"/>
      <c r="Y245" s="127"/>
      <c r="Z245" s="127"/>
      <c r="AA245" s="127"/>
      <c r="AB245" s="127"/>
      <c r="AC245" s="127"/>
      <c r="AD245" s="127"/>
      <c r="AE245" s="127"/>
      <c r="AF245" s="127"/>
      <c r="AG245" s="127"/>
      <c r="AH245" s="127"/>
      <c r="AI245" s="127"/>
      <c r="AJ245" s="127"/>
      <c r="AK245" s="127"/>
      <c r="AL245" s="127"/>
      <c r="AM245" s="127"/>
      <c r="AN245" s="517"/>
      <c r="AO245" s="517"/>
      <c r="AP245" s="517"/>
      <c r="AQ245" s="127"/>
      <c r="AR245" s="517"/>
      <c r="AS245" s="517"/>
      <c r="AT245" s="517"/>
      <c r="AU245" s="592"/>
      <c r="AV245" s="517"/>
      <c r="AW245" s="517"/>
      <c r="AX245" s="517"/>
      <c r="AY245" s="517"/>
      <c r="AZ245" s="517"/>
      <c r="BA245" s="517"/>
      <c r="BB245" s="517"/>
      <c r="BC245" s="517"/>
      <c r="BD245" s="517"/>
      <c r="BE245" s="517"/>
      <c r="BF245" s="517"/>
      <c r="BG245" s="517"/>
      <c r="BH245" s="517"/>
      <c r="BI245" s="517"/>
      <c r="BJ245" s="517"/>
      <c r="BK245" s="517"/>
      <c r="BL245" s="517"/>
      <c r="BM245" s="517"/>
      <c r="BN245" s="517"/>
      <c r="BO245" s="517"/>
      <c r="BP245" s="517"/>
      <c r="BQ245" s="517"/>
      <c r="BR245" s="517"/>
      <c r="BS245" s="517"/>
      <c r="BT245" s="517"/>
      <c r="BU245" s="517"/>
      <c r="BV245" s="517"/>
      <c r="BW245" s="517"/>
      <c r="BX245" s="517"/>
      <c r="BY245" s="517"/>
      <c r="BZ245" s="517"/>
      <c r="CA245" s="517"/>
      <c r="CB245" s="517"/>
      <c r="CC245" s="517"/>
      <c r="CD245" s="517"/>
      <c r="CE245" s="517"/>
      <c r="CF245" s="517"/>
      <c r="CG245" s="517"/>
      <c r="CH245" s="517"/>
      <c r="CI245" s="517"/>
      <c r="CJ245" s="517"/>
      <c r="CK245" s="517"/>
      <c r="CL245" s="517"/>
      <c r="CM245" s="517"/>
      <c r="CN245" s="517"/>
      <c r="CO245" s="517"/>
      <c r="CP245" s="517"/>
      <c r="CQ245" s="517"/>
      <c r="CR245" s="517"/>
      <c r="CS245" s="517"/>
      <c r="CT245" s="517"/>
      <c r="CU245" s="517"/>
      <c r="CV245" s="517"/>
      <c r="CW245" s="517"/>
      <c r="CX245" s="517"/>
    </row>
    <row r="246" spans="1:102" ht="12" customHeight="1" x14ac:dyDescent="0.2">
      <c r="A246" s="517"/>
      <c r="B246" s="517"/>
      <c r="C246" s="517"/>
      <c r="D246" s="517"/>
      <c r="E246" s="517"/>
      <c r="F246" s="517"/>
      <c r="G246" s="517"/>
      <c r="H246" s="517"/>
      <c r="I246" s="517"/>
      <c r="J246" s="517"/>
      <c r="K246" s="517"/>
      <c r="L246" s="517"/>
      <c r="M246" s="517"/>
      <c r="N246" s="517"/>
      <c r="O246" s="517"/>
      <c r="P246" s="517"/>
      <c r="Q246" s="517"/>
      <c r="R246" s="517"/>
      <c r="S246" s="517"/>
      <c r="T246" s="517"/>
      <c r="U246" s="517"/>
      <c r="V246" s="517"/>
      <c r="W246" s="517"/>
      <c r="X246" s="127"/>
      <c r="Y246" s="127"/>
      <c r="Z246" s="127"/>
      <c r="AA246" s="127"/>
      <c r="AB246" s="127"/>
      <c r="AC246" s="127"/>
      <c r="AD246" s="127"/>
      <c r="AE246" s="127"/>
      <c r="AF246" s="127"/>
      <c r="AG246" s="127"/>
      <c r="AH246" s="127"/>
      <c r="AI246" s="127"/>
      <c r="AJ246" s="127"/>
      <c r="AK246" s="127"/>
      <c r="AL246" s="127"/>
      <c r="AM246" s="127"/>
      <c r="AN246" s="517"/>
      <c r="AO246" s="517"/>
      <c r="AP246" s="517"/>
      <c r="AQ246" s="127"/>
      <c r="AR246" s="517"/>
      <c r="AS246" s="517"/>
      <c r="AT246" s="517"/>
      <c r="AU246" s="592"/>
      <c r="AV246" s="517"/>
      <c r="AW246" s="517"/>
      <c r="AX246" s="517"/>
      <c r="AY246" s="517"/>
      <c r="AZ246" s="517"/>
      <c r="BA246" s="517"/>
      <c r="BB246" s="517"/>
      <c r="BC246" s="517"/>
      <c r="BD246" s="517"/>
      <c r="BE246" s="517"/>
      <c r="BF246" s="517"/>
      <c r="BG246" s="517"/>
      <c r="BH246" s="517"/>
      <c r="BI246" s="517"/>
      <c r="BJ246" s="517"/>
      <c r="BK246" s="517"/>
      <c r="BL246" s="517"/>
      <c r="BM246" s="517"/>
      <c r="BN246" s="517"/>
      <c r="BO246" s="517"/>
      <c r="BP246" s="517"/>
      <c r="BQ246" s="517"/>
      <c r="BR246" s="517"/>
      <c r="BS246" s="517"/>
      <c r="BT246" s="517"/>
      <c r="BU246" s="517"/>
      <c r="BV246" s="517"/>
      <c r="BW246" s="517"/>
      <c r="BX246" s="517"/>
      <c r="BY246" s="517"/>
      <c r="BZ246" s="517"/>
      <c r="CA246" s="517"/>
      <c r="CB246" s="517"/>
      <c r="CC246" s="517"/>
      <c r="CD246" s="517"/>
      <c r="CE246" s="517"/>
      <c r="CF246" s="517"/>
      <c r="CG246" s="517"/>
      <c r="CH246" s="517"/>
      <c r="CI246" s="517"/>
      <c r="CJ246" s="517"/>
      <c r="CK246" s="517"/>
      <c r="CL246" s="517"/>
      <c r="CM246" s="517"/>
      <c r="CN246" s="517"/>
      <c r="CO246" s="517"/>
      <c r="CP246" s="517"/>
      <c r="CQ246" s="517"/>
      <c r="CR246" s="517"/>
      <c r="CS246" s="517"/>
      <c r="CT246" s="517"/>
      <c r="CU246" s="517"/>
      <c r="CV246" s="517"/>
      <c r="CW246" s="517"/>
      <c r="CX246" s="517"/>
    </row>
    <row r="247" spans="1:102" ht="12" customHeight="1" x14ac:dyDescent="0.2">
      <c r="A247" s="517"/>
      <c r="B247" s="517"/>
      <c r="C247" s="517"/>
      <c r="D247" s="517"/>
      <c r="E247" s="517"/>
      <c r="F247" s="517"/>
      <c r="G247" s="517"/>
      <c r="H247" s="517"/>
      <c r="I247" s="517"/>
      <c r="J247" s="517"/>
      <c r="K247" s="517"/>
      <c r="L247" s="517"/>
      <c r="M247" s="517"/>
      <c r="N247" s="517"/>
      <c r="O247" s="517"/>
      <c r="P247" s="517"/>
      <c r="Q247" s="517"/>
      <c r="R247" s="517"/>
      <c r="S247" s="517"/>
      <c r="T247" s="517"/>
      <c r="U247" s="517"/>
      <c r="V247" s="517"/>
      <c r="W247" s="517"/>
      <c r="X247" s="127"/>
      <c r="Y247" s="127"/>
      <c r="Z247" s="127"/>
      <c r="AA247" s="127"/>
      <c r="AB247" s="127"/>
      <c r="AC247" s="127"/>
      <c r="AD247" s="127"/>
      <c r="AE247" s="127"/>
      <c r="AF247" s="127"/>
      <c r="AG247" s="127"/>
      <c r="AH247" s="127"/>
      <c r="AI247" s="127"/>
      <c r="AJ247" s="127"/>
      <c r="AK247" s="127"/>
      <c r="AL247" s="127"/>
      <c r="AM247" s="127"/>
      <c r="AN247" s="517"/>
      <c r="AO247" s="517"/>
      <c r="AP247" s="517"/>
      <c r="AQ247" s="127"/>
      <c r="AR247" s="517"/>
      <c r="AS247" s="517"/>
      <c r="AT247" s="517"/>
      <c r="AU247" s="592"/>
      <c r="AV247" s="517"/>
      <c r="AW247" s="517"/>
      <c r="AX247" s="517"/>
      <c r="AY247" s="517"/>
      <c r="AZ247" s="517"/>
      <c r="BA247" s="517"/>
      <c r="BB247" s="517"/>
      <c r="BC247" s="517"/>
      <c r="BD247" s="517"/>
      <c r="BE247" s="517"/>
      <c r="BF247" s="517"/>
      <c r="BG247" s="517"/>
      <c r="BH247" s="517"/>
      <c r="BI247" s="517"/>
      <c r="BJ247" s="517"/>
      <c r="BK247" s="517"/>
      <c r="BL247" s="517"/>
      <c r="BM247" s="517"/>
      <c r="BN247" s="517"/>
      <c r="BO247" s="517"/>
      <c r="BP247" s="517"/>
      <c r="BQ247" s="517"/>
      <c r="BR247" s="517"/>
      <c r="BS247" s="517"/>
      <c r="BT247" s="517"/>
      <c r="BU247" s="517"/>
      <c r="BV247" s="517"/>
      <c r="BW247" s="517"/>
      <c r="BX247" s="517"/>
      <c r="BY247" s="517"/>
      <c r="BZ247" s="517"/>
      <c r="CA247" s="517"/>
      <c r="CB247" s="517"/>
      <c r="CC247" s="517"/>
      <c r="CD247" s="517"/>
      <c r="CE247" s="517"/>
      <c r="CF247" s="517"/>
      <c r="CG247" s="517"/>
      <c r="CH247" s="517"/>
      <c r="CI247" s="517"/>
      <c r="CJ247" s="517"/>
      <c r="CK247" s="517"/>
      <c r="CL247" s="517"/>
      <c r="CM247" s="517"/>
      <c r="CN247" s="517"/>
      <c r="CO247" s="517"/>
      <c r="CP247" s="517"/>
      <c r="CQ247" s="517"/>
      <c r="CR247" s="517"/>
      <c r="CS247" s="517"/>
      <c r="CT247" s="517"/>
      <c r="CU247" s="517"/>
      <c r="CV247" s="517"/>
      <c r="CW247" s="517"/>
      <c r="CX247" s="517"/>
    </row>
    <row r="248" spans="1:102" ht="12" customHeight="1" x14ac:dyDescent="0.2">
      <c r="A248" s="517"/>
      <c r="B248" s="517"/>
      <c r="C248" s="517"/>
      <c r="D248" s="517"/>
      <c r="E248" s="517"/>
      <c r="F248" s="517"/>
      <c r="G248" s="517"/>
      <c r="H248" s="517"/>
      <c r="I248" s="517"/>
      <c r="J248" s="517"/>
      <c r="K248" s="517"/>
      <c r="L248" s="517"/>
      <c r="M248" s="517"/>
      <c r="N248" s="517"/>
      <c r="O248" s="517"/>
      <c r="P248" s="517"/>
      <c r="Q248" s="517"/>
      <c r="R248" s="517"/>
      <c r="S248" s="517"/>
      <c r="T248" s="517"/>
      <c r="U248" s="517"/>
      <c r="V248" s="517"/>
      <c r="W248" s="517"/>
      <c r="X248" s="127"/>
      <c r="Y248" s="127"/>
      <c r="Z248" s="127"/>
      <c r="AA248" s="127"/>
      <c r="AB248" s="127"/>
      <c r="AC248" s="127"/>
      <c r="AD248" s="127"/>
      <c r="AE248" s="127"/>
      <c r="AF248" s="127"/>
      <c r="AG248" s="127"/>
      <c r="AH248" s="127"/>
      <c r="AI248" s="127"/>
      <c r="AJ248" s="127"/>
      <c r="AK248" s="127"/>
      <c r="AL248" s="127"/>
      <c r="AM248" s="127"/>
      <c r="AN248" s="517"/>
      <c r="AO248" s="517"/>
      <c r="AP248" s="517"/>
      <c r="AQ248" s="127"/>
      <c r="AR248" s="517"/>
      <c r="AS248" s="517"/>
      <c r="AT248" s="517"/>
      <c r="AU248" s="592"/>
      <c r="AV248" s="517"/>
      <c r="AW248" s="517"/>
      <c r="AX248" s="517"/>
      <c r="AY248" s="517"/>
      <c r="AZ248" s="517"/>
      <c r="BA248" s="517"/>
      <c r="BB248" s="517"/>
      <c r="BC248" s="517"/>
      <c r="BD248" s="517"/>
      <c r="BE248" s="517"/>
      <c r="BF248" s="517"/>
      <c r="BG248" s="517"/>
      <c r="BH248" s="517"/>
      <c r="BI248" s="517"/>
      <c r="BJ248" s="517"/>
      <c r="BK248" s="517"/>
      <c r="BL248" s="517"/>
      <c r="BM248" s="517"/>
      <c r="BN248" s="517"/>
      <c r="BO248" s="517"/>
      <c r="BP248" s="517"/>
      <c r="BQ248" s="517"/>
      <c r="BR248" s="517"/>
      <c r="BS248" s="517"/>
      <c r="BT248" s="517"/>
      <c r="BU248" s="517"/>
      <c r="BV248" s="517"/>
      <c r="BW248" s="517"/>
      <c r="BX248" s="517"/>
      <c r="BY248" s="517"/>
      <c r="BZ248" s="517"/>
      <c r="CA248" s="517"/>
      <c r="CB248" s="517"/>
      <c r="CC248" s="517"/>
      <c r="CD248" s="517"/>
      <c r="CE248" s="517"/>
      <c r="CF248" s="517"/>
      <c r="CG248" s="517"/>
      <c r="CH248" s="517"/>
      <c r="CI248" s="517"/>
      <c r="CJ248" s="517"/>
      <c r="CK248" s="517"/>
      <c r="CL248" s="517"/>
      <c r="CM248" s="517"/>
      <c r="CN248" s="517"/>
      <c r="CO248" s="517"/>
      <c r="CP248" s="517"/>
      <c r="CQ248" s="517"/>
      <c r="CR248" s="517"/>
      <c r="CS248" s="517"/>
      <c r="CT248" s="517"/>
      <c r="CU248" s="517"/>
      <c r="CV248" s="517"/>
      <c r="CW248" s="517"/>
      <c r="CX248" s="517"/>
    </row>
    <row r="249" spans="1:102" ht="12" customHeight="1" x14ac:dyDescent="0.2">
      <c r="A249" s="517"/>
      <c r="B249" s="517"/>
      <c r="C249" s="517"/>
      <c r="D249" s="517"/>
      <c r="E249" s="517"/>
      <c r="F249" s="517"/>
      <c r="G249" s="517"/>
      <c r="H249" s="517"/>
      <c r="I249" s="517"/>
      <c r="J249" s="517"/>
      <c r="K249" s="517"/>
      <c r="L249" s="517"/>
      <c r="M249" s="517"/>
      <c r="N249" s="517"/>
      <c r="O249" s="517"/>
      <c r="P249" s="517"/>
      <c r="Q249" s="517"/>
      <c r="R249" s="517"/>
      <c r="S249" s="517"/>
      <c r="T249" s="517"/>
      <c r="U249" s="517"/>
      <c r="V249" s="517"/>
      <c r="W249" s="517"/>
      <c r="X249" s="127"/>
      <c r="Y249" s="127"/>
      <c r="Z249" s="127"/>
      <c r="AA249" s="127"/>
      <c r="AB249" s="127"/>
      <c r="AC249" s="127"/>
      <c r="AD249" s="127"/>
      <c r="AE249" s="127"/>
      <c r="AF249" s="127"/>
      <c r="AG249" s="127"/>
      <c r="AH249" s="127"/>
      <c r="AI249" s="127"/>
      <c r="AJ249" s="127"/>
      <c r="AK249" s="127"/>
      <c r="AL249" s="127"/>
      <c r="AM249" s="127"/>
      <c r="AN249" s="517"/>
      <c r="AO249" s="517"/>
      <c r="AP249" s="517"/>
      <c r="AQ249" s="127"/>
      <c r="AR249" s="517"/>
      <c r="AS249" s="517"/>
      <c r="AT249" s="517"/>
      <c r="AU249" s="592"/>
      <c r="AV249" s="517"/>
      <c r="AW249" s="517"/>
      <c r="AX249" s="517"/>
      <c r="AY249" s="517"/>
      <c r="AZ249" s="517"/>
      <c r="BA249" s="517"/>
      <c r="BB249" s="517"/>
      <c r="BC249" s="517"/>
      <c r="BD249" s="517"/>
      <c r="BE249" s="517"/>
      <c r="BF249" s="517"/>
      <c r="BG249" s="517"/>
      <c r="BH249" s="517"/>
      <c r="BI249" s="517"/>
      <c r="BJ249" s="517"/>
      <c r="BK249" s="517"/>
      <c r="BL249" s="517"/>
      <c r="BM249" s="517"/>
      <c r="BN249" s="517"/>
      <c r="BO249" s="517"/>
      <c r="BP249" s="517"/>
      <c r="BQ249" s="517"/>
      <c r="BR249" s="517"/>
      <c r="BS249" s="517"/>
      <c r="BT249" s="517"/>
      <c r="BU249" s="517"/>
      <c r="BV249" s="517"/>
      <c r="BW249" s="517"/>
      <c r="BX249" s="517"/>
      <c r="BY249" s="517"/>
      <c r="BZ249" s="517"/>
      <c r="CA249" s="517"/>
      <c r="CB249" s="517"/>
      <c r="CC249" s="517"/>
      <c r="CD249" s="517"/>
      <c r="CE249" s="517"/>
      <c r="CF249" s="517"/>
      <c r="CG249" s="517"/>
      <c r="CH249" s="517"/>
      <c r="CI249" s="517"/>
      <c r="CJ249" s="517"/>
      <c r="CK249" s="517"/>
      <c r="CL249" s="517"/>
      <c r="CM249" s="517"/>
      <c r="CN249" s="517"/>
      <c r="CO249" s="517"/>
      <c r="CP249" s="517"/>
      <c r="CQ249" s="517"/>
      <c r="CR249" s="517"/>
      <c r="CS249" s="517"/>
      <c r="CT249" s="517"/>
      <c r="CU249" s="517"/>
      <c r="CV249" s="517"/>
      <c r="CW249" s="517"/>
      <c r="CX249" s="517"/>
    </row>
    <row r="250" spans="1:102" ht="12" customHeight="1" x14ac:dyDescent="0.2">
      <c r="A250" s="517"/>
      <c r="B250" s="517"/>
      <c r="C250" s="517"/>
      <c r="D250" s="517"/>
      <c r="E250" s="517"/>
      <c r="F250" s="517"/>
      <c r="G250" s="517"/>
      <c r="H250" s="517"/>
      <c r="I250" s="517"/>
      <c r="J250" s="517"/>
      <c r="K250" s="517"/>
      <c r="L250" s="517"/>
      <c r="M250" s="517"/>
      <c r="N250" s="517"/>
      <c r="O250" s="517"/>
      <c r="P250" s="517"/>
      <c r="Q250" s="517"/>
      <c r="R250" s="517"/>
      <c r="S250" s="517"/>
      <c r="T250" s="517"/>
      <c r="U250" s="517"/>
      <c r="V250" s="517"/>
      <c r="W250" s="517"/>
      <c r="X250" s="127"/>
      <c r="Y250" s="127"/>
      <c r="Z250" s="127"/>
      <c r="AA250" s="127"/>
      <c r="AB250" s="127"/>
      <c r="AC250" s="127"/>
      <c r="AD250" s="127"/>
      <c r="AE250" s="127"/>
      <c r="AF250" s="127"/>
      <c r="AG250" s="127"/>
      <c r="AH250" s="127"/>
      <c r="AI250" s="127"/>
      <c r="AJ250" s="127"/>
      <c r="AK250" s="127"/>
      <c r="AL250" s="127"/>
      <c r="AM250" s="127"/>
      <c r="AN250" s="517"/>
      <c r="AO250" s="517"/>
      <c r="AP250" s="517"/>
      <c r="AQ250" s="127"/>
      <c r="AR250" s="517"/>
      <c r="AS250" s="517"/>
      <c r="AT250" s="517"/>
      <c r="AU250" s="592"/>
      <c r="AV250" s="517"/>
      <c r="AW250" s="517"/>
      <c r="AX250" s="517"/>
      <c r="AY250" s="517"/>
      <c r="AZ250" s="517"/>
      <c r="BA250" s="517"/>
      <c r="BB250" s="517"/>
      <c r="BC250" s="517"/>
      <c r="BD250" s="517"/>
      <c r="BE250" s="517"/>
      <c r="BF250" s="517"/>
      <c r="BG250" s="517"/>
      <c r="BH250" s="517"/>
      <c r="BI250" s="517"/>
      <c r="BJ250" s="517"/>
      <c r="BK250" s="517"/>
      <c r="BL250" s="517"/>
      <c r="BM250" s="517"/>
      <c r="BN250" s="517"/>
      <c r="BO250" s="517"/>
      <c r="BP250" s="517"/>
      <c r="BQ250" s="517"/>
      <c r="BR250" s="517"/>
      <c r="BS250" s="517"/>
      <c r="BT250" s="517"/>
      <c r="BU250" s="517"/>
      <c r="BV250" s="517"/>
      <c r="BW250" s="517"/>
      <c r="BX250" s="517"/>
      <c r="BY250" s="517"/>
      <c r="BZ250" s="517"/>
      <c r="CA250" s="517"/>
      <c r="CB250" s="517"/>
      <c r="CC250" s="517"/>
      <c r="CD250" s="517"/>
      <c r="CE250" s="517"/>
      <c r="CF250" s="517"/>
      <c r="CG250" s="517"/>
      <c r="CH250" s="517"/>
      <c r="CI250" s="517"/>
      <c r="CJ250" s="517"/>
      <c r="CK250" s="517"/>
      <c r="CL250" s="517"/>
      <c r="CM250" s="517"/>
      <c r="CN250" s="517"/>
      <c r="CO250" s="517"/>
      <c r="CP250" s="517"/>
      <c r="CQ250" s="517"/>
      <c r="CR250" s="517"/>
      <c r="CS250" s="517"/>
      <c r="CT250" s="517"/>
      <c r="CU250" s="517"/>
      <c r="CV250" s="517"/>
      <c r="CW250" s="517"/>
      <c r="CX250" s="517"/>
    </row>
    <row r="251" spans="1:102" ht="12" customHeight="1" x14ac:dyDescent="0.2">
      <c r="A251" s="517"/>
      <c r="B251" s="517"/>
      <c r="C251" s="517"/>
      <c r="D251" s="517"/>
      <c r="E251" s="517"/>
      <c r="F251" s="517"/>
      <c r="G251" s="517"/>
      <c r="H251" s="517"/>
      <c r="I251" s="517"/>
      <c r="J251" s="517"/>
      <c r="K251" s="517"/>
      <c r="L251" s="517"/>
      <c r="M251" s="517"/>
      <c r="N251" s="517"/>
      <c r="O251" s="517"/>
      <c r="P251" s="517"/>
      <c r="Q251" s="517"/>
      <c r="R251" s="517"/>
      <c r="S251" s="517"/>
      <c r="T251" s="517"/>
      <c r="U251" s="517"/>
      <c r="V251" s="517"/>
      <c r="W251" s="517"/>
      <c r="X251" s="127"/>
      <c r="Y251" s="127"/>
      <c r="Z251" s="127"/>
      <c r="AA251" s="127"/>
      <c r="AB251" s="127"/>
      <c r="AC251" s="127"/>
      <c r="AD251" s="127"/>
      <c r="AE251" s="127"/>
      <c r="AF251" s="127"/>
      <c r="AG251" s="127"/>
      <c r="AH251" s="127"/>
      <c r="AI251" s="127"/>
      <c r="AJ251" s="127"/>
      <c r="AK251" s="127"/>
      <c r="AL251" s="127"/>
      <c r="AM251" s="127"/>
      <c r="AN251" s="517"/>
      <c r="AO251" s="517"/>
      <c r="AP251" s="517"/>
      <c r="AQ251" s="127"/>
      <c r="AR251" s="517"/>
      <c r="AS251" s="517"/>
      <c r="AT251" s="517"/>
      <c r="AU251" s="592"/>
      <c r="AV251" s="517"/>
      <c r="AW251" s="517"/>
      <c r="AX251" s="517"/>
      <c r="AY251" s="517"/>
      <c r="AZ251" s="517"/>
      <c r="BA251" s="517"/>
      <c r="BB251" s="517"/>
      <c r="BC251" s="517"/>
      <c r="BD251" s="517"/>
      <c r="BE251" s="517"/>
      <c r="BF251" s="517"/>
      <c r="BG251" s="517"/>
      <c r="BH251" s="517"/>
      <c r="BI251" s="517"/>
      <c r="BJ251" s="517"/>
      <c r="BK251" s="517"/>
      <c r="BL251" s="517"/>
      <c r="BM251" s="517"/>
      <c r="BN251" s="517"/>
      <c r="BO251" s="517"/>
      <c r="BP251" s="517"/>
      <c r="BQ251" s="517"/>
      <c r="BR251" s="517"/>
      <c r="BS251" s="517"/>
      <c r="BT251" s="517"/>
      <c r="BU251" s="517"/>
      <c r="BV251" s="517"/>
      <c r="BW251" s="517"/>
      <c r="BX251" s="517"/>
      <c r="BY251" s="517"/>
      <c r="BZ251" s="517"/>
      <c r="CA251" s="517"/>
      <c r="CB251" s="517"/>
      <c r="CC251" s="517"/>
      <c r="CD251" s="517"/>
      <c r="CE251" s="517"/>
      <c r="CF251" s="517"/>
      <c r="CG251" s="517"/>
      <c r="CH251" s="517"/>
      <c r="CI251" s="517"/>
      <c r="CJ251" s="517"/>
      <c r="CK251" s="517"/>
      <c r="CL251" s="517"/>
      <c r="CM251" s="517"/>
      <c r="CN251" s="517"/>
      <c r="CO251" s="517"/>
      <c r="CP251" s="517"/>
      <c r="CQ251" s="517"/>
      <c r="CR251" s="517"/>
      <c r="CS251" s="517"/>
      <c r="CT251" s="517"/>
      <c r="CU251" s="517"/>
      <c r="CV251" s="517"/>
      <c r="CW251" s="517"/>
      <c r="CX251" s="517"/>
    </row>
    <row r="252" spans="1:102" ht="12" customHeight="1" x14ac:dyDescent="0.2">
      <c r="A252" s="517"/>
      <c r="B252" s="517"/>
      <c r="C252" s="517"/>
      <c r="D252" s="517"/>
      <c r="E252" s="517"/>
      <c r="F252" s="517"/>
      <c r="G252" s="517"/>
      <c r="H252" s="517"/>
      <c r="I252" s="517"/>
      <c r="J252" s="517"/>
      <c r="K252" s="517"/>
      <c r="L252" s="517"/>
      <c r="M252" s="517"/>
      <c r="N252" s="517"/>
      <c r="O252" s="517"/>
      <c r="P252" s="517"/>
      <c r="Q252" s="517"/>
      <c r="R252" s="517"/>
      <c r="S252" s="517"/>
      <c r="T252" s="517"/>
      <c r="U252" s="517"/>
      <c r="V252" s="517"/>
      <c r="W252" s="517"/>
      <c r="X252" s="127"/>
      <c r="Y252" s="127"/>
      <c r="Z252" s="127"/>
      <c r="AA252" s="127"/>
      <c r="AB252" s="127"/>
      <c r="AC252" s="127"/>
      <c r="AD252" s="127"/>
      <c r="AE252" s="127"/>
      <c r="AF252" s="127"/>
      <c r="AG252" s="127"/>
      <c r="AH252" s="127"/>
      <c r="AI252" s="127"/>
      <c r="AJ252" s="127"/>
      <c r="AK252" s="127"/>
      <c r="AL252" s="127"/>
      <c r="AM252" s="127"/>
      <c r="AN252" s="517"/>
      <c r="AO252" s="517"/>
      <c r="AP252" s="517"/>
      <c r="AQ252" s="127"/>
      <c r="AR252" s="517"/>
      <c r="AS252" s="517"/>
      <c r="AT252" s="517"/>
      <c r="AU252" s="592"/>
      <c r="AV252" s="517"/>
      <c r="AW252" s="517"/>
      <c r="AX252" s="517"/>
      <c r="AY252" s="517"/>
      <c r="AZ252" s="517"/>
      <c r="BA252" s="517"/>
      <c r="BB252" s="517"/>
      <c r="BC252" s="517"/>
      <c r="BD252" s="517"/>
      <c r="BE252" s="517"/>
      <c r="BF252" s="517"/>
      <c r="BG252" s="517"/>
      <c r="BH252" s="517"/>
      <c r="BI252" s="517"/>
      <c r="BJ252" s="517"/>
      <c r="BK252" s="517"/>
      <c r="BL252" s="517"/>
      <c r="BM252" s="517"/>
      <c r="BN252" s="517"/>
      <c r="BO252" s="517"/>
      <c r="BP252" s="517"/>
      <c r="BQ252" s="517"/>
      <c r="BR252" s="517"/>
      <c r="BS252" s="517"/>
      <c r="BT252" s="517"/>
      <c r="BU252" s="517"/>
      <c r="BV252" s="517"/>
      <c r="BW252" s="517"/>
      <c r="BX252" s="517"/>
      <c r="BY252" s="517"/>
      <c r="BZ252" s="517"/>
      <c r="CA252" s="517"/>
      <c r="CB252" s="517"/>
      <c r="CC252" s="517"/>
      <c r="CD252" s="517"/>
      <c r="CE252" s="517"/>
      <c r="CF252" s="517"/>
      <c r="CG252" s="517"/>
      <c r="CH252" s="517"/>
      <c r="CI252" s="517"/>
      <c r="CJ252" s="517"/>
      <c r="CK252" s="517"/>
      <c r="CL252" s="517"/>
      <c r="CM252" s="517"/>
      <c r="CN252" s="517"/>
      <c r="CO252" s="517"/>
      <c r="CP252" s="517"/>
      <c r="CQ252" s="517"/>
      <c r="CR252" s="517"/>
      <c r="CS252" s="517"/>
      <c r="CT252" s="517"/>
      <c r="CU252" s="517"/>
      <c r="CV252" s="517"/>
      <c r="CW252" s="517"/>
      <c r="CX252" s="517"/>
    </row>
    <row r="253" spans="1:102" ht="12" customHeight="1" x14ac:dyDescent="0.2">
      <c r="A253" s="517"/>
      <c r="B253" s="517"/>
      <c r="C253" s="517"/>
      <c r="D253" s="517"/>
      <c r="E253" s="517"/>
      <c r="F253" s="517"/>
      <c r="G253" s="517"/>
      <c r="H253" s="517"/>
      <c r="I253" s="517"/>
      <c r="J253" s="517"/>
      <c r="K253" s="517"/>
      <c r="L253" s="517"/>
      <c r="M253" s="517"/>
      <c r="N253" s="517"/>
      <c r="O253" s="517"/>
      <c r="P253" s="517"/>
      <c r="Q253" s="517"/>
      <c r="R253" s="517"/>
      <c r="S253" s="517"/>
      <c r="T253" s="517"/>
      <c r="U253" s="517"/>
      <c r="V253" s="517"/>
      <c r="W253" s="517"/>
      <c r="X253" s="127"/>
      <c r="Y253" s="127"/>
      <c r="Z253" s="127"/>
      <c r="AA253" s="127"/>
      <c r="AB253" s="127"/>
      <c r="AC253" s="127"/>
      <c r="AD253" s="127"/>
      <c r="AE253" s="127"/>
      <c r="AF253" s="127"/>
      <c r="AG253" s="127"/>
      <c r="AH253" s="127"/>
      <c r="AI253" s="127"/>
      <c r="AJ253" s="127"/>
      <c r="AK253" s="127"/>
      <c r="AL253" s="127"/>
      <c r="AM253" s="127"/>
      <c r="AN253" s="517"/>
      <c r="AO253" s="517"/>
      <c r="AP253" s="517"/>
      <c r="AQ253" s="127"/>
      <c r="AR253" s="517"/>
      <c r="AS253" s="517"/>
      <c r="AT253" s="517"/>
      <c r="AU253" s="592"/>
      <c r="AV253" s="517"/>
      <c r="AW253" s="517"/>
      <c r="AX253" s="517"/>
      <c r="AY253" s="517"/>
      <c r="AZ253" s="517"/>
      <c r="BA253" s="517"/>
      <c r="BB253" s="517"/>
      <c r="BC253" s="517"/>
      <c r="BD253" s="517"/>
      <c r="BE253" s="517"/>
      <c r="BF253" s="517"/>
      <c r="BG253" s="517"/>
      <c r="BH253" s="517"/>
      <c r="BI253" s="517"/>
      <c r="BJ253" s="517"/>
      <c r="BK253" s="517"/>
      <c r="BL253" s="517"/>
      <c r="BM253" s="517"/>
      <c r="BN253" s="517"/>
      <c r="BO253" s="517"/>
      <c r="BP253" s="517"/>
      <c r="BQ253" s="517"/>
      <c r="BR253" s="517"/>
      <c r="BS253" s="517"/>
      <c r="BT253" s="517"/>
      <c r="BU253" s="517"/>
      <c r="BV253" s="517"/>
      <c r="BW253" s="517"/>
      <c r="BX253" s="517"/>
      <c r="BY253" s="517"/>
      <c r="BZ253" s="517"/>
      <c r="CA253" s="517"/>
      <c r="CB253" s="517"/>
      <c r="CC253" s="517"/>
      <c r="CD253" s="517"/>
      <c r="CE253" s="517"/>
      <c r="CF253" s="517"/>
      <c r="CG253" s="517"/>
      <c r="CH253" s="517"/>
      <c r="CI253" s="517"/>
      <c r="CJ253" s="517"/>
      <c r="CK253" s="517"/>
      <c r="CL253" s="517"/>
      <c r="CM253" s="517"/>
      <c r="CN253" s="517"/>
      <c r="CO253" s="517"/>
      <c r="CP253" s="517"/>
      <c r="CQ253" s="517"/>
      <c r="CR253" s="517"/>
      <c r="CS253" s="517"/>
      <c r="CT253" s="517"/>
      <c r="CU253" s="517"/>
      <c r="CV253" s="517"/>
      <c r="CW253" s="517"/>
      <c r="CX253" s="517"/>
    </row>
    <row r="254" spans="1:102" ht="12" customHeight="1" x14ac:dyDescent="0.2">
      <c r="A254" s="517"/>
      <c r="B254" s="517"/>
      <c r="C254" s="517"/>
      <c r="D254" s="517"/>
      <c r="E254" s="517"/>
      <c r="F254" s="517"/>
      <c r="G254" s="517"/>
      <c r="H254" s="517"/>
      <c r="I254" s="517"/>
      <c r="J254" s="517"/>
      <c r="K254" s="517"/>
      <c r="L254" s="517"/>
      <c r="M254" s="517"/>
      <c r="N254" s="517"/>
      <c r="O254" s="517"/>
      <c r="P254" s="517"/>
      <c r="Q254" s="517"/>
      <c r="R254" s="517"/>
      <c r="S254" s="517"/>
      <c r="T254" s="517"/>
      <c r="U254" s="517"/>
      <c r="V254" s="517"/>
      <c r="W254" s="517"/>
      <c r="X254" s="127"/>
      <c r="Y254" s="127"/>
      <c r="Z254" s="127"/>
      <c r="AA254" s="127"/>
      <c r="AB254" s="127"/>
      <c r="AC254" s="127"/>
      <c r="AD254" s="127"/>
      <c r="AE254" s="127"/>
      <c r="AF254" s="127"/>
      <c r="AG254" s="127"/>
      <c r="AH254" s="127"/>
      <c r="AI254" s="127"/>
      <c r="AJ254" s="127"/>
      <c r="AK254" s="127"/>
      <c r="AL254" s="127"/>
      <c r="AM254" s="127"/>
      <c r="AN254" s="517"/>
      <c r="AO254" s="517"/>
      <c r="AP254" s="517"/>
      <c r="AQ254" s="127"/>
      <c r="AR254" s="517"/>
      <c r="AS254" s="517"/>
      <c r="AT254" s="517"/>
      <c r="AU254" s="592"/>
      <c r="AV254" s="517"/>
      <c r="AW254" s="517"/>
      <c r="AX254" s="517"/>
      <c r="AY254" s="517"/>
      <c r="AZ254" s="517"/>
      <c r="BA254" s="517"/>
      <c r="BB254" s="517"/>
      <c r="BC254" s="517"/>
      <c r="BD254" s="517"/>
      <c r="BE254" s="517"/>
      <c r="BF254" s="517"/>
      <c r="BG254" s="517"/>
      <c r="BH254" s="517"/>
      <c r="BI254" s="517"/>
      <c r="BJ254" s="517"/>
      <c r="BK254" s="517"/>
      <c r="BL254" s="517"/>
      <c r="BM254" s="517"/>
      <c r="BN254" s="517"/>
      <c r="BO254" s="517"/>
      <c r="BP254" s="517"/>
      <c r="BQ254" s="517"/>
      <c r="BR254" s="517"/>
      <c r="BS254" s="517"/>
      <c r="BT254" s="517"/>
      <c r="BU254" s="517"/>
      <c r="BV254" s="517"/>
      <c r="BW254" s="517"/>
      <c r="BX254" s="517"/>
      <c r="BY254" s="517"/>
      <c r="BZ254" s="517"/>
      <c r="CA254" s="517"/>
      <c r="CB254" s="517"/>
      <c r="CC254" s="517"/>
      <c r="CD254" s="517"/>
      <c r="CE254" s="517"/>
      <c r="CF254" s="517"/>
      <c r="CG254" s="517"/>
      <c r="CH254" s="517"/>
      <c r="CI254" s="517"/>
      <c r="CJ254" s="517"/>
      <c r="CK254" s="517"/>
      <c r="CL254" s="517"/>
      <c r="CM254" s="517"/>
      <c r="CN254" s="517"/>
      <c r="CO254" s="517"/>
      <c r="CP254" s="517"/>
      <c r="CQ254" s="517"/>
      <c r="CR254" s="517"/>
      <c r="CS254" s="517"/>
      <c r="CT254" s="517"/>
      <c r="CU254" s="517"/>
      <c r="CV254" s="517"/>
      <c r="CW254" s="517"/>
      <c r="CX254" s="517"/>
    </row>
    <row r="255" spans="1:102" ht="12" customHeight="1" x14ac:dyDescent="0.2">
      <c r="A255" s="517"/>
      <c r="B255" s="517"/>
      <c r="C255" s="517"/>
      <c r="D255" s="517"/>
      <c r="E255" s="517"/>
      <c r="F255" s="517"/>
      <c r="G255" s="517"/>
      <c r="H255" s="517"/>
      <c r="I255" s="517"/>
      <c r="J255" s="517"/>
      <c r="K255" s="517"/>
      <c r="L255" s="517"/>
      <c r="M255" s="517"/>
      <c r="N255" s="517"/>
      <c r="O255" s="517"/>
      <c r="P255" s="517"/>
      <c r="Q255" s="517"/>
      <c r="R255" s="517"/>
      <c r="S255" s="517"/>
      <c r="T255" s="517"/>
      <c r="U255" s="517"/>
      <c r="V255" s="517"/>
      <c r="W255" s="517"/>
      <c r="X255" s="127"/>
      <c r="Y255" s="127"/>
      <c r="Z255" s="127"/>
      <c r="AA255" s="127"/>
      <c r="AB255" s="127"/>
      <c r="AC255" s="127"/>
      <c r="AD255" s="127"/>
      <c r="AE255" s="127"/>
      <c r="AF255" s="127"/>
      <c r="AG255" s="127"/>
      <c r="AH255" s="127"/>
      <c r="AI255" s="127"/>
      <c r="AJ255" s="127"/>
      <c r="AK255" s="127"/>
      <c r="AL255" s="127"/>
      <c r="AM255" s="127"/>
      <c r="AN255" s="517"/>
      <c r="AO255" s="517"/>
      <c r="AP255" s="517"/>
      <c r="AQ255" s="127"/>
      <c r="AR255" s="517"/>
      <c r="AS255" s="517"/>
      <c r="AT255" s="517"/>
      <c r="AU255" s="592"/>
      <c r="AV255" s="517"/>
      <c r="AW255" s="517"/>
      <c r="AX255" s="517"/>
      <c r="AY255" s="517"/>
      <c r="AZ255" s="517"/>
      <c r="BA255" s="517"/>
      <c r="BB255" s="517"/>
      <c r="BC255" s="517"/>
      <c r="BD255" s="517"/>
      <c r="BE255" s="517"/>
      <c r="BF255" s="517"/>
      <c r="BG255" s="517"/>
      <c r="BH255" s="517"/>
      <c r="BI255" s="517"/>
      <c r="BJ255" s="517"/>
      <c r="BK255" s="517"/>
      <c r="BL255" s="517"/>
      <c r="BM255" s="517"/>
      <c r="BN255" s="517"/>
      <c r="BO255" s="517"/>
      <c r="BP255" s="517"/>
      <c r="BQ255" s="517"/>
      <c r="BR255" s="517"/>
      <c r="BS255" s="517"/>
      <c r="BT255" s="517"/>
      <c r="BU255" s="517"/>
      <c r="BV255" s="517"/>
      <c r="BW255" s="517"/>
      <c r="BX255" s="517"/>
      <c r="BY255" s="517"/>
      <c r="BZ255" s="517"/>
      <c r="CA255" s="517"/>
      <c r="CB255" s="517"/>
      <c r="CC255" s="517"/>
      <c r="CD255" s="517"/>
      <c r="CE255" s="517"/>
      <c r="CF255" s="517"/>
      <c r="CG255" s="517"/>
      <c r="CH255" s="517"/>
      <c r="CI255" s="517"/>
      <c r="CJ255" s="517"/>
      <c r="CK255" s="517"/>
      <c r="CL255" s="517"/>
      <c r="CM255" s="517"/>
      <c r="CN255" s="517"/>
      <c r="CO255" s="517"/>
      <c r="CP255" s="517"/>
      <c r="CQ255" s="517"/>
      <c r="CR255" s="517"/>
      <c r="CS255" s="517"/>
      <c r="CT255" s="517"/>
      <c r="CU255" s="517"/>
      <c r="CV255" s="517"/>
      <c r="CW255" s="517"/>
      <c r="CX255" s="517"/>
    </row>
    <row r="256" spans="1:102" ht="12" customHeight="1" x14ac:dyDescent="0.2">
      <c r="A256" s="517"/>
      <c r="B256" s="517"/>
      <c r="C256" s="517"/>
      <c r="D256" s="517"/>
      <c r="E256" s="517"/>
      <c r="F256" s="517"/>
      <c r="G256" s="517"/>
      <c r="H256" s="517"/>
      <c r="I256" s="517"/>
      <c r="J256" s="517"/>
      <c r="K256" s="517"/>
      <c r="L256" s="517"/>
      <c r="M256" s="517"/>
      <c r="N256" s="517"/>
      <c r="O256" s="517"/>
      <c r="P256" s="517"/>
      <c r="Q256" s="517"/>
      <c r="R256" s="517"/>
      <c r="S256" s="517"/>
      <c r="T256" s="517"/>
      <c r="U256" s="517"/>
      <c r="V256" s="517"/>
      <c r="W256" s="517"/>
      <c r="X256" s="127"/>
      <c r="Y256" s="127"/>
      <c r="Z256" s="127"/>
      <c r="AA256" s="127"/>
      <c r="AB256" s="127"/>
      <c r="AC256" s="127"/>
      <c r="AD256" s="127"/>
      <c r="AE256" s="127"/>
      <c r="AF256" s="127"/>
      <c r="AG256" s="127"/>
      <c r="AH256" s="127"/>
      <c r="AI256" s="127"/>
      <c r="AJ256" s="127"/>
      <c r="AK256" s="127"/>
      <c r="AL256" s="127"/>
      <c r="AM256" s="127"/>
      <c r="AN256" s="517"/>
      <c r="AO256" s="517"/>
      <c r="AP256" s="517"/>
      <c r="AQ256" s="127"/>
      <c r="AR256" s="517"/>
      <c r="AS256" s="517"/>
      <c r="AT256" s="517"/>
      <c r="AU256" s="592"/>
      <c r="AV256" s="517"/>
      <c r="AW256" s="517"/>
      <c r="AX256" s="517"/>
      <c r="AY256" s="517"/>
      <c r="AZ256" s="517"/>
      <c r="BA256" s="517"/>
      <c r="BB256" s="517"/>
      <c r="BC256" s="517"/>
      <c r="BD256" s="517"/>
      <c r="BE256" s="517"/>
      <c r="BF256" s="517"/>
      <c r="BG256" s="517"/>
      <c r="BH256" s="517"/>
      <c r="BI256" s="517"/>
      <c r="BJ256" s="517"/>
      <c r="BK256" s="517"/>
      <c r="BL256" s="517"/>
      <c r="BM256" s="517"/>
      <c r="BN256" s="517"/>
      <c r="BO256" s="517"/>
      <c r="BP256" s="517"/>
      <c r="BQ256" s="517"/>
      <c r="BR256" s="517"/>
      <c r="BS256" s="517"/>
      <c r="BT256" s="517"/>
      <c r="BU256" s="517"/>
      <c r="BV256" s="517"/>
      <c r="BW256" s="517"/>
      <c r="BX256" s="517"/>
      <c r="BY256" s="517"/>
      <c r="BZ256" s="517"/>
      <c r="CA256" s="517"/>
      <c r="CB256" s="517"/>
      <c r="CC256" s="517"/>
      <c r="CD256" s="517"/>
      <c r="CE256" s="517"/>
      <c r="CF256" s="517"/>
      <c r="CG256" s="517"/>
      <c r="CH256" s="517"/>
      <c r="CI256" s="517"/>
      <c r="CJ256" s="517"/>
      <c r="CK256" s="517"/>
      <c r="CL256" s="517"/>
      <c r="CM256" s="517"/>
      <c r="CN256" s="517"/>
      <c r="CO256" s="517"/>
      <c r="CP256" s="517"/>
      <c r="CQ256" s="517"/>
      <c r="CR256" s="517"/>
      <c r="CS256" s="517"/>
      <c r="CT256" s="517"/>
      <c r="CU256" s="517"/>
      <c r="CV256" s="517"/>
      <c r="CW256" s="517"/>
      <c r="CX256" s="517"/>
    </row>
    <row r="257" spans="1:102" ht="12" customHeight="1" x14ac:dyDescent="0.2">
      <c r="A257" s="517"/>
      <c r="B257" s="517"/>
      <c r="C257" s="517"/>
      <c r="D257" s="517"/>
      <c r="E257" s="517"/>
      <c r="F257" s="517"/>
      <c r="G257" s="517"/>
      <c r="H257" s="517"/>
      <c r="I257" s="517"/>
      <c r="J257" s="517"/>
      <c r="K257" s="517"/>
      <c r="L257" s="517"/>
      <c r="M257" s="517"/>
      <c r="N257" s="517"/>
      <c r="O257" s="517"/>
      <c r="P257" s="517"/>
      <c r="Q257" s="517"/>
      <c r="R257" s="517"/>
      <c r="S257" s="517"/>
      <c r="T257" s="517"/>
      <c r="U257" s="517"/>
      <c r="V257" s="517"/>
      <c r="W257" s="517"/>
      <c r="X257" s="127"/>
      <c r="Y257" s="127"/>
      <c r="Z257" s="127"/>
      <c r="AA257" s="127"/>
      <c r="AB257" s="127"/>
      <c r="AC257" s="127"/>
      <c r="AD257" s="127"/>
      <c r="AE257" s="127"/>
      <c r="AF257" s="127"/>
      <c r="AG257" s="127"/>
      <c r="AH257" s="127"/>
      <c r="AI257" s="127"/>
      <c r="AJ257" s="127"/>
      <c r="AK257" s="127"/>
      <c r="AL257" s="127"/>
      <c r="AM257" s="127"/>
      <c r="AN257" s="517"/>
      <c r="AO257" s="517"/>
      <c r="AP257" s="517"/>
      <c r="AQ257" s="127"/>
      <c r="AR257" s="517"/>
      <c r="AS257" s="517"/>
      <c r="AT257" s="517"/>
      <c r="AU257" s="592"/>
      <c r="AV257" s="517"/>
      <c r="AW257" s="517"/>
      <c r="AX257" s="517"/>
      <c r="AY257" s="517"/>
      <c r="AZ257" s="517"/>
      <c r="BA257" s="517"/>
      <c r="BB257" s="517"/>
      <c r="BC257" s="517"/>
      <c r="BD257" s="517"/>
      <c r="BE257" s="517"/>
      <c r="BF257" s="517"/>
      <c r="BG257" s="517"/>
      <c r="BH257" s="517"/>
      <c r="BI257" s="517"/>
      <c r="BJ257" s="517"/>
      <c r="BK257" s="517"/>
      <c r="BL257" s="517"/>
      <c r="BM257" s="517"/>
      <c r="BN257" s="517"/>
      <c r="BO257" s="517"/>
      <c r="BP257" s="517"/>
      <c r="BQ257" s="517"/>
      <c r="BR257" s="517"/>
      <c r="BS257" s="517"/>
      <c r="BT257" s="517"/>
      <c r="BU257" s="517"/>
      <c r="BV257" s="517"/>
      <c r="BW257" s="517"/>
      <c r="BX257" s="517"/>
      <c r="BY257" s="517"/>
      <c r="BZ257" s="517"/>
      <c r="CA257" s="517"/>
      <c r="CB257" s="517"/>
      <c r="CC257" s="517"/>
      <c r="CD257" s="517"/>
      <c r="CE257" s="517"/>
      <c r="CF257" s="517"/>
      <c r="CG257" s="517"/>
      <c r="CH257" s="517"/>
      <c r="CI257" s="517"/>
      <c r="CJ257" s="517"/>
      <c r="CK257" s="517"/>
      <c r="CL257" s="517"/>
      <c r="CM257" s="517"/>
      <c r="CN257" s="517"/>
      <c r="CO257" s="517"/>
      <c r="CP257" s="517"/>
      <c r="CQ257" s="517"/>
      <c r="CR257" s="517"/>
      <c r="CS257" s="517"/>
      <c r="CT257" s="517"/>
      <c r="CU257" s="517"/>
      <c r="CV257" s="517"/>
      <c r="CW257" s="517"/>
      <c r="CX257" s="517"/>
    </row>
    <row r="258" spans="1:102" ht="12" customHeight="1" x14ac:dyDescent="0.2">
      <c r="A258" s="517"/>
      <c r="B258" s="517"/>
      <c r="C258" s="517"/>
      <c r="D258" s="517"/>
      <c r="E258" s="517"/>
      <c r="F258" s="517"/>
      <c r="G258" s="517"/>
      <c r="H258" s="517"/>
      <c r="I258" s="517"/>
      <c r="J258" s="517"/>
      <c r="K258" s="517"/>
      <c r="L258" s="517"/>
      <c r="M258" s="517"/>
      <c r="N258" s="517"/>
      <c r="O258" s="517"/>
      <c r="P258" s="517"/>
      <c r="Q258" s="517"/>
      <c r="R258" s="517"/>
      <c r="S258" s="517"/>
      <c r="T258" s="517"/>
      <c r="U258" s="517"/>
      <c r="V258" s="517"/>
      <c r="W258" s="517"/>
      <c r="X258" s="127"/>
      <c r="Y258" s="127"/>
      <c r="Z258" s="127"/>
      <c r="AA258" s="127"/>
      <c r="AB258" s="127"/>
      <c r="AC258" s="127"/>
      <c r="AD258" s="127"/>
      <c r="AE258" s="127"/>
      <c r="AF258" s="127"/>
      <c r="AG258" s="127"/>
      <c r="AH258" s="127"/>
      <c r="AI258" s="127"/>
      <c r="AJ258" s="127"/>
      <c r="AK258" s="127"/>
      <c r="AL258" s="127"/>
      <c r="AM258" s="127"/>
      <c r="AN258" s="517"/>
      <c r="AO258" s="517"/>
      <c r="AP258" s="517"/>
      <c r="AQ258" s="127"/>
      <c r="AR258" s="517"/>
      <c r="AS258" s="517"/>
      <c r="AT258" s="517"/>
      <c r="AU258" s="592"/>
      <c r="AV258" s="517"/>
      <c r="AW258" s="517"/>
      <c r="AX258" s="517"/>
      <c r="AY258" s="517"/>
      <c r="AZ258" s="517"/>
      <c r="BA258" s="517"/>
      <c r="BB258" s="517"/>
      <c r="BC258" s="517"/>
      <c r="BD258" s="517"/>
      <c r="BE258" s="517"/>
      <c r="BF258" s="517"/>
      <c r="BG258" s="517"/>
      <c r="BH258" s="517"/>
      <c r="BI258" s="517"/>
      <c r="BJ258" s="517"/>
      <c r="BK258" s="517"/>
      <c r="BL258" s="517"/>
      <c r="BM258" s="517"/>
      <c r="BN258" s="517"/>
      <c r="BO258" s="517"/>
      <c r="BP258" s="517"/>
      <c r="BQ258" s="517"/>
      <c r="BR258" s="517"/>
      <c r="BS258" s="517"/>
      <c r="BT258" s="517"/>
      <c r="BU258" s="517"/>
      <c r="BV258" s="517"/>
      <c r="BW258" s="517"/>
      <c r="BX258" s="517"/>
      <c r="BY258" s="517"/>
      <c r="BZ258" s="517"/>
      <c r="CA258" s="517"/>
      <c r="CB258" s="517"/>
      <c r="CC258" s="517"/>
      <c r="CD258" s="517"/>
      <c r="CE258" s="517"/>
      <c r="CF258" s="517"/>
      <c r="CG258" s="517"/>
      <c r="CH258" s="517"/>
      <c r="CI258" s="517"/>
      <c r="CJ258" s="517"/>
      <c r="CK258" s="517"/>
      <c r="CL258" s="517"/>
      <c r="CM258" s="517"/>
      <c r="CN258" s="517"/>
      <c r="CO258" s="517"/>
      <c r="CP258" s="517"/>
      <c r="CQ258" s="517"/>
      <c r="CR258" s="517"/>
      <c r="CS258" s="517"/>
      <c r="CT258" s="517"/>
      <c r="CU258" s="517"/>
      <c r="CV258" s="517"/>
      <c r="CW258" s="517"/>
      <c r="CX258" s="517"/>
    </row>
    <row r="259" spans="1:102" ht="12" customHeight="1" x14ac:dyDescent="0.2">
      <c r="A259" s="517"/>
      <c r="B259" s="517"/>
      <c r="C259" s="517"/>
      <c r="D259" s="517"/>
      <c r="E259" s="517"/>
      <c r="F259" s="517"/>
      <c r="G259" s="517"/>
      <c r="H259" s="517"/>
      <c r="I259" s="517"/>
      <c r="J259" s="517"/>
      <c r="K259" s="517"/>
      <c r="L259" s="517"/>
      <c r="M259" s="517"/>
      <c r="N259" s="517"/>
      <c r="O259" s="517"/>
      <c r="P259" s="517"/>
      <c r="Q259" s="517"/>
      <c r="R259" s="517"/>
      <c r="S259" s="517"/>
      <c r="T259" s="517"/>
      <c r="U259" s="517"/>
      <c r="V259" s="517"/>
      <c r="W259" s="517"/>
      <c r="X259" s="127"/>
      <c r="Y259" s="127"/>
      <c r="Z259" s="127"/>
      <c r="AA259" s="127"/>
      <c r="AB259" s="127"/>
      <c r="AC259" s="127"/>
      <c r="AD259" s="127"/>
      <c r="AE259" s="127"/>
      <c r="AF259" s="127"/>
      <c r="AG259" s="127"/>
      <c r="AH259" s="127"/>
      <c r="AI259" s="127"/>
      <c r="AJ259" s="127"/>
      <c r="AK259" s="127"/>
      <c r="AL259" s="127"/>
      <c r="AM259" s="127"/>
      <c r="AN259" s="517"/>
      <c r="AO259" s="517"/>
      <c r="AP259" s="517"/>
      <c r="AQ259" s="127"/>
      <c r="AR259" s="517"/>
      <c r="AS259" s="517"/>
      <c r="AT259" s="517"/>
      <c r="AU259" s="592"/>
      <c r="AV259" s="517"/>
      <c r="AW259" s="517"/>
      <c r="AX259" s="517"/>
      <c r="AY259" s="517"/>
      <c r="AZ259" s="517"/>
      <c r="BA259" s="517"/>
      <c r="BB259" s="517"/>
      <c r="BC259" s="517"/>
      <c r="BD259" s="517"/>
      <c r="BE259" s="517"/>
      <c r="BF259" s="517"/>
      <c r="BG259" s="517"/>
      <c r="BH259" s="517"/>
      <c r="BI259" s="517"/>
      <c r="BJ259" s="517"/>
      <c r="BK259" s="517"/>
      <c r="BL259" s="517"/>
      <c r="BM259" s="517"/>
      <c r="BN259" s="517"/>
      <c r="BO259" s="517"/>
      <c r="BP259" s="517"/>
      <c r="BQ259" s="517"/>
      <c r="BR259" s="517"/>
      <c r="BS259" s="517"/>
      <c r="BT259" s="517"/>
      <c r="BU259" s="517"/>
      <c r="BV259" s="517"/>
      <c r="BW259" s="517"/>
      <c r="BX259" s="517"/>
      <c r="BY259" s="517"/>
      <c r="BZ259" s="517"/>
      <c r="CA259" s="517"/>
      <c r="CB259" s="517"/>
      <c r="CC259" s="517"/>
      <c r="CD259" s="517"/>
      <c r="CE259" s="517"/>
      <c r="CF259" s="517"/>
      <c r="CG259" s="517"/>
      <c r="CH259" s="517"/>
      <c r="CI259" s="517"/>
      <c r="CJ259" s="517"/>
      <c r="CK259" s="517"/>
      <c r="CL259" s="517"/>
      <c r="CM259" s="517"/>
      <c r="CN259" s="517"/>
      <c r="CO259" s="517"/>
      <c r="CP259" s="517"/>
      <c r="CQ259" s="517"/>
      <c r="CR259" s="517"/>
      <c r="CS259" s="517"/>
      <c r="CT259" s="517"/>
      <c r="CU259" s="517"/>
      <c r="CV259" s="517"/>
      <c r="CW259" s="517"/>
      <c r="CX259" s="517"/>
    </row>
    <row r="260" spans="1:102" ht="12" customHeight="1" x14ac:dyDescent="0.2">
      <c r="A260" s="517"/>
      <c r="B260" s="517"/>
      <c r="C260" s="517"/>
      <c r="D260" s="517"/>
      <c r="E260" s="517"/>
      <c r="F260" s="517"/>
      <c r="G260" s="517"/>
      <c r="H260" s="517"/>
      <c r="I260" s="517"/>
      <c r="J260" s="517"/>
      <c r="K260" s="517"/>
      <c r="L260" s="517"/>
      <c r="M260" s="517"/>
      <c r="N260" s="517"/>
      <c r="O260" s="517"/>
      <c r="P260" s="517"/>
      <c r="Q260" s="517"/>
      <c r="R260" s="517"/>
      <c r="S260" s="517"/>
      <c r="T260" s="517"/>
      <c r="U260" s="517"/>
      <c r="V260" s="517"/>
      <c r="W260" s="517"/>
      <c r="X260" s="127"/>
      <c r="Y260" s="127"/>
      <c r="Z260" s="127"/>
      <c r="AA260" s="127"/>
      <c r="AB260" s="127"/>
      <c r="AC260" s="127"/>
      <c r="AD260" s="127"/>
      <c r="AE260" s="127"/>
      <c r="AF260" s="127"/>
      <c r="AG260" s="127"/>
      <c r="AH260" s="127"/>
      <c r="AI260" s="127"/>
      <c r="AJ260" s="127"/>
      <c r="AK260" s="127"/>
      <c r="AL260" s="127"/>
      <c r="AM260" s="127"/>
      <c r="AN260" s="517"/>
      <c r="AO260" s="517"/>
      <c r="AP260" s="517"/>
      <c r="AQ260" s="127"/>
      <c r="AR260" s="517"/>
      <c r="AS260" s="517"/>
      <c r="AT260" s="517"/>
      <c r="AU260" s="592"/>
      <c r="AV260" s="517"/>
      <c r="AW260" s="517"/>
      <c r="AX260" s="517"/>
      <c r="AY260" s="517"/>
      <c r="AZ260" s="517"/>
      <c r="BA260" s="517"/>
      <c r="BB260" s="517"/>
      <c r="BC260" s="517"/>
      <c r="BD260" s="517"/>
      <c r="BE260" s="517"/>
      <c r="BF260" s="517"/>
      <c r="BG260" s="517"/>
      <c r="BH260" s="517"/>
      <c r="BI260" s="517"/>
      <c r="BJ260" s="517"/>
      <c r="BK260" s="517"/>
      <c r="BL260" s="517"/>
      <c r="BM260" s="517"/>
      <c r="BN260" s="517"/>
      <c r="BO260" s="517"/>
      <c r="BP260" s="517"/>
      <c r="BQ260" s="517"/>
      <c r="BR260" s="517"/>
      <c r="BS260" s="517"/>
      <c r="BT260" s="517"/>
      <c r="BU260" s="517"/>
      <c r="BV260" s="517"/>
      <c r="BW260" s="517"/>
      <c r="BX260" s="517"/>
      <c r="BY260" s="517"/>
      <c r="BZ260" s="517"/>
      <c r="CA260" s="517"/>
      <c r="CB260" s="517"/>
      <c r="CC260" s="517"/>
      <c r="CD260" s="517"/>
      <c r="CE260" s="517"/>
      <c r="CF260" s="517"/>
      <c r="CG260" s="517"/>
      <c r="CH260" s="517"/>
      <c r="CI260" s="517"/>
      <c r="CJ260" s="517"/>
      <c r="CK260" s="517"/>
      <c r="CL260" s="517"/>
      <c r="CM260" s="517"/>
      <c r="CN260" s="517"/>
      <c r="CO260" s="517"/>
      <c r="CP260" s="517"/>
      <c r="CQ260" s="517"/>
      <c r="CR260" s="517"/>
      <c r="CS260" s="517"/>
      <c r="CT260" s="517"/>
      <c r="CU260" s="517"/>
      <c r="CV260" s="517"/>
      <c r="CW260" s="517"/>
      <c r="CX260" s="517"/>
    </row>
    <row r="261" spans="1:102" ht="12" customHeight="1" x14ac:dyDescent="0.2">
      <c r="A261" s="517"/>
      <c r="B261" s="517"/>
      <c r="C261" s="517"/>
      <c r="D261" s="517"/>
      <c r="E261" s="517"/>
      <c r="F261" s="517"/>
      <c r="G261" s="517"/>
      <c r="H261" s="517"/>
      <c r="I261" s="517"/>
      <c r="J261" s="517"/>
      <c r="K261" s="517"/>
      <c r="L261" s="517"/>
      <c r="M261" s="517"/>
      <c r="N261" s="517"/>
      <c r="O261" s="517"/>
      <c r="P261" s="517"/>
      <c r="Q261" s="517"/>
      <c r="R261" s="517"/>
      <c r="S261" s="517"/>
      <c r="T261" s="517"/>
      <c r="U261" s="517"/>
      <c r="V261" s="517"/>
      <c r="W261" s="517"/>
      <c r="X261" s="127"/>
      <c r="Y261" s="127"/>
      <c r="Z261" s="127"/>
      <c r="AA261" s="127"/>
      <c r="AB261" s="127"/>
      <c r="AC261" s="127"/>
      <c r="AD261" s="127"/>
      <c r="AE261" s="127"/>
      <c r="AF261" s="127"/>
      <c r="AG261" s="127"/>
      <c r="AH261" s="127"/>
      <c r="AI261" s="127"/>
      <c r="AJ261" s="127"/>
      <c r="AK261" s="127"/>
      <c r="AL261" s="127"/>
      <c r="AM261" s="127"/>
      <c r="AN261" s="517"/>
      <c r="AO261" s="517"/>
      <c r="AP261" s="517"/>
      <c r="AQ261" s="127"/>
      <c r="AR261" s="517"/>
      <c r="AS261" s="517"/>
      <c r="AT261" s="517"/>
      <c r="AU261" s="592"/>
      <c r="AV261" s="517"/>
      <c r="AW261" s="517"/>
      <c r="AX261" s="517"/>
      <c r="AY261" s="517"/>
      <c r="AZ261" s="517"/>
      <c r="BA261" s="517"/>
      <c r="BB261" s="517"/>
      <c r="BC261" s="517"/>
      <c r="BD261" s="517"/>
      <c r="BE261" s="517"/>
      <c r="BF261" s="517"/>
      <c r="BG261" s="517"/>
      <c r="BH261" s="517"/>
      <c r="BI261" s="517"/>
      <c r="BJ261" s="517"/>
      <c r="BK261" s="517"/>
      <c r="BL261" s="517"/>
      <c r="BM261" s="517"/>
      <c r="BN261" s="517"/>
      <c r="BO261" s="517"/>
      <c r="BP261" s="517"/>
      <c r="BQ261" s="517"/>
      <c r="BR261" s="517"/>
      <c r="BS261" s="517"/>
      <c r="BT261" s="517"/>
      <c r="BU261" s="517"/>
      <c r="BV261" s="517"/>
      <c r="BW261" s="517"/>
      <c r="BX261" s="517"/>
      <c r="BY261" s="517"/>
      <c r="BZ261" s="517"/>
      <c r="CA261" s="517"/>
      <c r="CB261" s="517"/>
      <c r="CC261" s="517"/>
      <c r="CD261" s="517"/>
      <c r="CE261" s="517"/>
      <c r="CF261" s="517"/>
      <c r="CG261" s="517"/>
      <c r="CH261" s="517"/>
      <c r="CI261" s="517"/>
      <c r="CJ261" s="517"/>
      <c r="CK261" s="517"/>
      <c r="CL261" s="517"/>
      <c r="CM261" s="517"/>
      <c r="CN261" s="517"/>
      <c r="CO261" s="517"/>
      <c r="CP261" s="517"/>
      <c r="CQ261" s="517"/>
      <c r="CR261" s="517"/>
      <c r="CS261" s="517"/>
      <c r="CT261" s="517"/>
      <c r="CU261" s="517"/>
      <c r="CV261" s="517"/>
      <c r="CW261" s="517"/>
      <c r="CX261" s="517"/>
    </row>
    <row r="262" spans="1:102" ht="12" customHeight="1" x14ac:dyDescent="0.2">
      <c r="A262" s="517"/>
      <c r="B262" s="517"/>
      <c r="C262" s="517"/>
      <c r="D262" s="517"/>
      <c r="E262" s="517"/>
      <c r="F262" s="517"/>
      <c r="G262" s="517"/>
      <c r="H262" s="517"/>
      <c r="I262" s="517"/>
      <c r="J262" s="517"/>
      <c r="K262" s="517"/>
      <c r="L262" s="517"/>
      <c r="M262" s="517"/>
      <c r="N262" s="517"/>
      <c r="O262" s="517"/>
      <c r="P262" s="517"/>
      <c r="Q262" s="517"/>
      <c r="R262" s="517"/>
      <c r="S262" s="517"/>
      <c r="T262" s="517"/>
      <c r="U262" s="517"/>
      <c r="V262" s="517"/>
      <c r="W262" s="517"/>
      <c r="X262" s="127"/>
      <c r="Y262" s="127"/>
      <c r="Z262" s="127"/>
      <c r="AA262" s="127"/>
      <c r="AB262" s="127"/>
      <c r="AC262" s="127"/>
      <c r="AD262" s="127"/>
      <c r="AE262" s="127"/>
      <c r="AF262" s="127"/>
      <c r="AG262" s="127"/>
      <c r="AH262" s="127"/>
      <c r="AI262" s="127"/>
      <c r="AJ262" s="127"/>
      <c r="AK262" s="127"/>
      <c r="AL262" s="127"/>
      <c r="AM262" s="127"/>
      <c r="AN262" s="517"/>
      <c r="AO262" s="517"/>
      <c r="AP262" s="517"/>
      <c r="AQ262" s="127"/>
      <c r="AR262" s="517"/>
      <c r="AS262" s="517"/>
      <c r="AT262" s="517"/>
      <c r="AU262" s="592"/>
      <c r="AV262" s="517"/>
      <c r="AW262" s="517"/>
      <c r="AX262" s="517"/>
      <c r="AY262" s="517"/>
      <c r="AZ262" s="517"/>
      <c r="BA262" s="517"/>
      <c r="BB262" s="517"/>
      <c r="BC262" s="517"/>
      <c r="BD262" s="517"/>
      <c r="BE262" s="517"/>
      <c r="BF262" s="517"/>
      <c r="BG262" s="517"/>
      <c r="BH262" s="517"/>
      <c r="BI262" s="517"/>
      <c r="BJ262" s="517"/>
      <c r="BK262" s="517"/>
      <c r="BL262" s="517"/>
      <c r="BM262" s="517"/>
      <c r="BN262" s="517"/>
      <c r="BO262" s="517"/>
      <c r="BP262" s="517"/>
      <c r="BQ262" s="517"/>
      <c r="BR262" s="517"/>
      <c r="BS262" s="517"/>
      <c r="BT262" s="517"/>
      <c r="BU262" s="517"/>
      <c r="BV262" s="517"/>
      <c r="BW262" s="517"/>
      <c r="BX262" s="517"/>
      <c r="BY262" s="517"/>
      <c r="BZ262" s="517"/>
      <c r="CA262" s="517"/>
      <c r="CB262" s="517"/>
      <c r="CC262" s="517"/>
      <c r="CD262" s="517"/>
      <c r="CE262" s="517"/>
      <c r="CF262" s="517"/>
      <c r="CG262" s="517"/>
      <c r="CH262" s="517"/>
      <c r="CI262" s="517"/>
      <c r="CJ262" s="517"/>
      <c r="CK262" s="517"/>
      <c r="CL262" s="517"/>
      <c r="CM262" s="517"/>
      <c r="CN262" s="517"/>
      <c r="CO262" s="517"/>
      <c r="CP262" s="517"/>
      <c r="CQ262" s="517"/>
      <c r="CR262" s="517"/>
      <c r="CS262" s="517"/>
      <c r="CT262" s="517"/>
      <c r="CU262" s="517"/>
      <c r="CV262" s="517"/>
      <c r="CW262" s="517"/>
      <c r="CX262" s="517"/>
    </row>
    <row r="263" spans="1:102" ht="12" customHeight="1" x14ac:dyDescent="0.2">
      <c r="A263" s="517"/>
      <c r="B263" s="517"/>
      <c r="C263" s="517"/>
      <c r="D263" s="517"/>
      <c r="E263" s="517"/>
      <c r="F263" s="517"/>
      <c r="G263" s="517"/>
      <c r="H263" s="517"/>
      <c r="I263" s="517"/>
      <c r="J263" s="517"/>
      <c r="K263" s="517"/>
      <c r="L263" s="517"/>
      <c r="M263" s="517"/>
      <c r="N263" s="517"/>
      <c r="O263" s="517"/>
      <c r="P263" s="517"/>
      <c r="Q263" s="517"/>
      <c r="R263" s="517"/>
      <c r="S263" s="517"/>
      <c r="T263" s="517"/>
      <c r="U263" s="517"/>
      <c r="V263" s="517"/>
      <c r="W263" s="517"/>
      <c r="X263" s="127"/>
      <c r="Y263" s="127"/>
      <c r="Z263" s="127"/>
      <c r="AA263" s="127"/>
      <c r="AB263" s="127"/>
      <c r="AC263" s="127"/>
      <c r="AD263" s="127"/>
      <c r="AE263" s="127"/>
      <c r="AF263" s="127"/>
      <c r="AG263" s="127"/>
      <c r="AH263" s="127"/>
      <c r="AI263" s="127"/>
      <c r="AJ263" s="127"/>
      <c r="AK263" s="127"/>
      <c r="AL263" s="127"/>
      <c r="AM263" s="127"/>
      <c r="AN263" s="517"/>
      <c r="AO263" s="517"/>
      <c r="AP263" s="517"/>
      <c r="AQ263" s="127"/>
      <c r="AR263" s="517"/>
      <c r="AS263" s="517"/>
      <c r="AT263" s="517"/>
      <c r="AU263" s="592"/>
      <c r="AV263" s="517"/>
      <c r="AW263" s="517"/>
      <c r="AX263" s="517"/>
      <c r="AY263" s="517"/>
      <c r="AZ263" s="517"/>
      <c r="BA263" s="517"/>
      <c r="BB263" s="517"/>
      <c r="BC263" s="517"/>
      <c r="BD263" s="517"/>
      <c r="BE263" s="517"/>
      <c r="BF263" s="517"/>
      <c r="BG263" s="517"/>
      <c r="BH263" s="517"/>
      <c r="BI263" s="517"/>
      <c r="BJ263" s="517"/>
      <c r="BK263" s="517"/>
      <c r="BL263" s="517"/>
      <c r="BM263" s="517"/>
      <c r="BN263" s="517"/>
      <c r="BO263" s="517"/>
      <c r="BP263" s="517"/>
      <c r="BQ263" s="517"/>
      <c r="BR263" s="517"/>
      <c r="BS263" s="517"/>
      <c r="BT263" s="517"/>
      <c r="BU263" s="517"/>
      <c r="BV263" s="517"/>
      <c r="BW263" s="517"/>
      <c r="BX263" s="517"/>
      <c r="BY263" s="517"/>
      <c r="BZ263" s="517"/>
      <c r="CA263" s="517"/>
      <c r="CB263" s="517"/>
      <c r="CC263" s="517"/>
      <c r="CD263" s="517"/>
      <c r="CE263" s="517"/>
      <c r="CF263" s="517"/>
      <c r="CG263" s="517"/>
      <c r="CH263" s="517"/>
      <c r="CI263" s="517"/>
      <c r="CJ263" s="517"/>
      <c r="CK263" s="517"/>
      <c r="CL263" s="517"/>
      <c r="CM263" s="517"/>
      <c r="CN263" s="517"/>
      <c r="CO263" s="517"/>
      <c r="CP263" s="517"/>
      <c r="CQ263" s="517"/>
      <c r="CR263" s="517"/>
      <c r="CS263" s="517"/>
      <c r="CT263" s="517"/>
      <c r="CU263" s="517"/>
      <c r="CV263" s="517"/>
      <c r="CW263" s="517"/>
      <c r="CX263" s="517"/>
    </row>
    <row r="264" spans="1:102" ht="12" customHeight="1" x14ac:dyDescent="0.2">
      <c r="A264" s="517"/>
      <c r="B264" s="517"/>
      <c r="C264" s="517"/>
      <c r="D264" s="517"/>
      <c r="E264" s="517"/>
      <c r="F264" s="517"/>
      <c r="G264" s="517"/>
      <c r="H264" s="517"/>
      <c r="I264" s="517"/>
      <c r="J264" s="517"/>
      <c r="K264" s="517"/>
      <c r="L264" s="517"/>
      <c r="M264" s="517"/>
      <c r="N264" s="517"/>
      <c r="O264" s="517"/>
      <c r="P264" s="517"/>
      <c r="Q264" s="517"/>
      <c r="R264" s="517"/>
      <c r="S264" s="517"/>
      <c r="T264" s="517"/>
      <c r="U264" s="517"/>
      <c r="V264" s="517"/>
      <c r="W264" s="517"/>
      <c r="X264" s="127"/>
      <c r="Y264" s="127"/>
      <c r="Z264" s="127"/>
      <c r="AA264" s="127"/>
      <c r="AB264" s="127"/>
      <c r="AC264" s="127"/>
      <c r="AD264" s="127"/>
      <c r="AE264" s="127"/>
      <c r="AF264" s="127"/>
      <c r="AG264" s="127"/>
      <c r="AH264" s="127"/>
      <c r="AI264" s="127"/>
      <c r="AJ264" s="127"/>
      <c r="AK264" s="127"/>
      <c r="AL264" s="127"/>
      <c r="AM264" s="127"/>
      <c r="AN264" s="517"/>
      <c r="AO264" s="517"/>
      <c r="AP264" s="517"/>
      <c r="AQ264" s="127"/>
      <c r="AR264" s="517"/>
      <c r="AS264" s="517"/>
      <c r="AT264" s="517"/>
      <c r="AU264" s="592"/>
      <c r="AV264" s="517"/>
      <c r="AW264" s="517"/>
      <c r="AX264" s="517"/>
      <c r="AY264" s="517"/>
      <c r="AZ264" s="517"/>
      <c r="BA264" s="517"/>
      <c r="BB264" s="517"/>
      <c r="BC264" s="517"/>
      <c r="BD264" s="517"/>
      <c r="BE264" s="517"/>
      <c r="BF264" s="517"/>
      <c r="BG264" s="517"/>
      <c r="BH264" s="517"/>
      <c r="BI264" s="517"/>
      <c r="BJ264" s="517"/>
      <c r="BK264" s="517"/>
      <c r="BL264" s="517"/>
      <c r="BM264" s="517"/>
      <c r="BN264" s="517"/>
      <c r="BO264" s="517"/>
      <c r="BP264" s="517"/>
      <c r="BQ264" s="517"/>
      <c r="BR264" s="517"/>
      <c r="BS264" s="517"/>
      <c r="BT264" s="517"/>
      <c r="BU264" s="517"/>
      <c r="BV264" s="517"/>
      <c r="BW264" s="517"/>
      <c r="BX264" s="517"/>
      <c r="BY264" s="517"/>
      <c r="BZ264" s="517"/>
      <c r="CA264" s="517"/>
      <c r="CB264" s="517"/>
      <c r="CC264" s="517"/>
      <c r="CD264" s="517"/>
      <c r="CE264" s="517"/>
      <c r="CF264" s="517"/>
      <c r="CG264" s="517"/>
      <c r="CH264" s="517"/>
      <c r="CI264" s="517"/>
      <c r="CJ264" s="517"/>
      <c r="CK264" s="517"/>
      <c r="CL264" s="517"/>
      <c r="CM264" s="517"/>
      <c r="CN264" s="517"/>
      <c r="CO264" s="517"/>
      <c r="CP264" s="517"/>
      <c r="CQ264" s="517"/>
      <c r="CR264" s="517"/>
      <c r="CS264" s="517"/>
      <c r="CT264" s="517"/>
      <c r="CU264" s="517"/>
      <c r="CV264" s="517"/>
      <c r="CW264" s="517"/>
      <c r="CX264" s="517"/>
    </row>
    <row r="265" spans="1:102" ht="12" customHeight="1" x14ac:dyDescent="0.2">
      <c r="A265" s="517"/>
      <c r="B265" s="517"/>
      <c r="C265" s="517"/>
      <c r="D265" s="517"/>
      <c r="E265" s="517"/>
      <c r="F265" s="517"/>
      <c r="G265" s="517"/>
      <c r="H265" s="517"/>
      <c r="I265" s="517"/>
      <c r="J265" s="517"/>
      <c r="K265" s="517"/>
      <c r="L265" s="517"/>
      <c r="M265" s="517"/>
      <c r="N265" s="517"/>
      <c r="O265" s="517"/>
      <c r="P265" s="517"/>
      <c r="Q265" s="517"/>
      <c r="R265" s="517"/>
      <c r="S265" s="517"/>
      <c r="T265" s="517"/>
      <c r="U265" s="517"/>
      <c r="V265" s="517"/>
      <c r="W265" s="517"/>
      <c r="X265" s="127"/>
      <c r="Y265" s="127"/>
      <c r="Z265" s="127"/>
      <c r="AA265" s="127"/>
      <c r="AB265" s="127"/>
      <c r="AC265" s="127"/>
      <c r="AD265" s="127"/>
      <c r="AE265" s="127"/>
      <c r="AF265" s="127"/>
      <c r="AG265" s="127"/>
      <c r="AH265" s="127"/>
      <c r="AI265" s="127"/>
      <c r="AJ265" s="127"/>
      <c r="AK265" s="127"/>
      <c r="AL265" s="127"/>
      <c r="AM265" s="127"/>
      <c r="AN265" s="517"/>
      <c r="AO265" s="517"/>
      <c r="AP265" s="517"/>
      <c r="AQ265" s="127"/>
      <c r="AR265" s="517"/>
      <c r="AS265" s="517"/>
      <c r="AT265" s="517"/>
      <c r="AU265" s="592"/>
      <c r="AV265" s="517"/>
      <c r="AW265" s="517"/>
      <c r="AX265" s="517"/>
      <c r="AY265" s="517"/>
      <c r="AZ265" s="517"/>
      <c r="BA265" s="517"/>
      <c r="BB265" s="517"/>
      <c r="BC265" s="517"/>
      <c r="BD265" s="517"/>
      <c r="BE265" s="517"/>
      <c r="BF265" s="517"/>
      <c r="BG265" s="517"/>
      <c r="BH265" s="517"/>
      <c r="BI265" s="517"/>
      <c r="BJ265" s="517"/>
      <c r="BK265" s="517"/>
      <c r="BL265" s="517"/>
      <c r="BM265" s="517"/>
      <c r="BN265" s="517"/>
      <c r="BO265" s="517"/>
      <c r="BP265" s="517"/>
      <c r="BQ265" s="517"/>
      <c r="BR265" s="517"/>
      <c r="BS265" s="517"/>
      <c r="BT265" s="517"/>
      <c r="BU265" s="517"/>
      <c r="BV265" s="517"/>
      <c r="BW265" s="517"/>
      <c r="BX265" s="517"/>
      <c r="BY265" s="517"/>
      <c r="BZ265" s="517"/>
      <c r="CA265" s="517"/>
      <c r="CB265" s="517"/>
      <c r="CC265" s="517"/>
      <c r="CD265" s="517"/>
      <c r="CE265" s="517"/>
      <c r="CF265" s="517"/>
      <c r="CG265" s="517"/>
      <c r="CH265" s="517"/>
      <c r="CI265" s="517"/>
      <c r="CJ265" s="517"/>
      <c r="CK265" s="517"/>
      <c r="CL265" s="517"/>
      <c r="CM265" s="517"/>
      <c r="CN265" s="517"/>
      <c r="CO265" s="517"/>
      <c r="CP265" s="517"/>
      <c r="CQ265" s="517"/>
      <c r="CR265" s="517"/>
      <c r="CS265" s="517"/>
      <c r="CT265" s="517"/>
      <c r="CU265" s="517"/>
      <c r="CV265" s="517"/>
      <c r="CW265" s="517"/>
      <c r="CX265" s="517"/>
    </row>
    <row r="266" spans="1:102" ht="12" customHeight="1" x14ac:dyDescent="0.2">
      <c r="A266" s="517"/>
      <c r="B266" s="517"/>
      <c r="C266" s="517"/>
      <c r="D266" s="517"/>
      <c r="E266" s="517"/>
      <c r="F266" s="517"/>
      <c r="G266" s="517"/>
      <c r="H266" s="517"/>
      <c r="I266" s="517"/>
      <c r="J266" s="517"/>
      <c r="K266" s="517"/>
      <c r="L266" s="517"/>
      <c r="M266" s="517"/>
      <c r="N266" s="517"/>
      <c r="O266" s="517"/>
      <c r="P266" s="517"/>
      <c r="Q266" s="517"/>
      <c r="R266" s="517"/>
      <c r="S266" s="517"/>
      <c r="T266" s="517"/>
      <c r="U266" s="517"/>
      <c r="V266" s="517"/>
      <c r="W266" s="517"/>
      <c r="X266" s="127"/>
      <c r="Y266" s="127"/>
      <c r="Z266" s="127"/>
      <c r="AA266" s="127"/>
      <c r="AB266" s="127"/>
      <c r="AC266" s="127"/>
      <c r="AD266" s="127"/>
      <c r="AE266" s="127"/>
      <c r="AF266" s="127"/>
      <c r="AG266" s="127"/>
      <c r="AH266" s="127"/>
      <c r="AI266" s="127"/>
      <c r="AJ266" s="127"/>
      <c r="AK266" s="127"/>
      <c r="AL266" s="127"/>
      <c r="AM266" s="127"/>
      <c r="AN266" s="517"/>
      <c r="AO266" s="517"/>
      <c r="AP266" s="517"/>
      <c r="AQ266" s="127"/>
      <c r="AR266" s="517"/>
      <c r="AS266" s="517"/>
      <c r="AT266" s="517"/>
      <c r="AU266" s="592"/>
      <c r="AV266" s="517"/>
      <c r="AW266" s="517"/>
      <c r="AX266" s="517"/>
      <c r="AY266" s="517"/>
      <c r="AZ266" s="517"/>
      <c r="BA266" s="517"/>
      <c r="BB266" s="517"/>
      <c r="BC266" s="517"/>
      <c r="BD266" s="517"/>
      <c r="BE266" s="517"/>
      <c r="BF266" s="517"/>
      <c r="BG266" s="517"/>
      <c r="BH266" s="517"/>
      <c r="BI266" s="517"/>
      <c r="BJ266" s="517"/>
      <c r="BK266" s="517"/>
      <c r="BL266" s="517"/>
      <c r="BM266" s="517"/>
      <c r="BN266" s="517"/>
      <c r="BO266" s="517"/>
      <c r="BP266" s="517"/>
      <c r="BQ266" s="517"/>
      <c r="BR266" s="517"/>
      <c r="BS266" s="517"/>
      <c r="BT266" s="517"/>
      <c r="BU266" s="517"/>
      <c r="BV266" s="517"/>
      <c r="BW266" s="517"/>
      <c r="BX266" s="517"/>
      <c r="BY266" s="517"/>
      <c r="BZ266" s="517"/>
      <c r="CA266" s="517"/>
      <c r="CB266" s="517"/>
      <c r="CC266" s="517"/>
      <c r="CD266" s="517"/>
      <c r="CE266" s="517"/>
      <c r="CF266" s="517"/>
      <c r="CG266" s="517"/>
      <c r="CH266" s="517"/>
      <c r="CI266" s="517"/>
      <c r="CJ266" s="517"/>
      <c r="CK266" s="517"/>
      <c r="CL266" s="517"/>
      <c r="CM266" s="517"/>
      <c r="CN266" s="517"/>
      <c r="CO266" s="517"/>
      <c r="CP266" s="517"/>
      <c r="CQ266" s="517"/>
      <c r="CR266" s="517"/>
      <c r="CS266" s="517"/>
      <c r="CT266" s="517"/>
      <c r="CU266" s="517"/>
      <c r="CV266" s="517"/>
      <c r="CW266" s="517"/>
      <c r="CX266" s="517"/>
    </row>
    <row r="267" spans="1:102" ht="12" customHeight="1" x14ac:dyDescent="0.2">
      <c r="A267" s="517"/>
      <c r="B267" s="517"/>
      <c r="C267" s="517"/>
      <c r="D267" s="517"/>
      <c r="E267" s="517"/>
      <c r="F267" s="517"/>
      <c r="G267" s="517"/>
      <c r="H267" s="517"/>
      <c r="I267" s="517"/>
      <c r="J267" s="517"/>
      <c r="K267" s="517"/>
      <c r="L267" s="517"/>
      <c r="M267" s="517"/>
      <c r="N267" s="517"/>
      <c r="O267" s="517"/>
      <c r="P267" s="517"/>
      <c r="Q267" s="517"/>
      <c r="R267" s="517"/>
      <c r="S267" s="517"/>
      <c r="T267" s="517"/>
      <c r="U267" s="517"/>
      <c r="V267" s="517"/>
      <c r="W267" s="517"/>
      <c r="X267" s="127"/>
      <c r="Y267" s="127"/>
      <c r="Z267" s="127"/>
      <c r="AA267" s="127"/>
      <c r="AB267" s="127"/>
      <c r="AC267" s="127"/>
      <c r="AD267" s="127"/>
      <c r="AE267" s="127"/>
      <c r="AF267" s="127"/>
      <c r="AG267" s="127"/>
      <c r="AH267" s="127"/>
      <c r="AI267" s="127"/>
      <c r="AJ267" s="127"/>
      <c r="AK267" s="127"/>
      <c r="AL267" s="127"/>
      <c r="AM267" s="127"/>
      <c r="AN267" s="517"/>
      <c r="AO267" s="517"/>
      <c r="AP267" s="517"/>
      <c r="AQ267" s="127"/>
      <c r="AR267" s="517"/>
      <c r="AS267" s="517"/>
      <c r="AT267" s="517"/>
      <c r="AU267" s="592"/>
      <c r="AV267" s="517"/>
      <c r="AW267" s="517"/>
      <c r="AX267" s="517"/>
      <c r="AY267" s="517"/>
      <c r="AZ267" s="517"/>
      <c r="BA267" s="517"/>
      <c r="BB267" s="517"/>
      <c r="BC267" s="517"/>
      <c r="BD267" s="517"/>
      <c r="BE267" s="517"/>
      <c r="BF267" s="517"/>
      <c r="BG267" s="517"/>
      <c r="BH267" s="517"/>
      <c r="BI267" s="517"/>
      <c r="BJ267" s="517"/>
      <c r="BK267" s="517"/>
      <c r="BL267" s="517"/>
      <c r="BM267" s="517"/>
      <c r="BN267" s="517"/>
      <c r="BO267" s="517"/>
      <c r="BP267" s="517"/>
      <c r="BQ267" s="517"/>
      <c r="BR267" s="517"/>
      <c r="BS267" s="517"/>
      <c r="BT267" s="517"/>
      <c r="BU267" s="517"/>
      <c r="BV267" s="517"/>
      <c r="BW267" s="517"/>
      <c r="BX267" s="517"/>
      <c r="BY267" s="517"/>
      <c r="BZ267" s="517"/>
      <c r="CA267" s="517"/>
      <c r="CB267" s="517"/>
      <c r="CC267" s="517"/>
      <c r="CD267" s="517"/>
      <c r="CE267" s="517"/>
      <c r="CF267" s="517"/>
      <c r="CG267" s="517"/>
      <c r="CH267" s="517"/>
      <c r="CI267" s="517"/>
      <c r="CJ267" s="517"/>
      <c r="CK267" s="517"/>
      <c r="CL267" s="517"/>
      <c r="CM267" s="517"/>
      <c r="CN267" s="517"/>
      <c r="CO267" s="517"/>
      <c r="CP267" s="517"/>
      <c r="CQ267" s="517"/>
      <c r="CR267" s="517"/>
      <c r="CS267" s="517"/>
      <c r="CT267" s="517"/>
      <c r="CU267" s="517"/>
      <c r="CV267" s="517"/>
      <c r="CW267" s="517"/>
      <c r="CX267" s="517"/>
    </row>
    <row r="268" spans="1:102" ht="12" customHeight="1" x14ac:dyDescent="0.2">
      <c r="A268" s="517"/>
      <c r="B268" s="517"/>
      <c r="C268" s="517"/>
      <c r="D268" s="517"/>
      <c r="E268" s="517"/>
      <c r="F268" s="517"/>
      <c r="G268" s="517"/>
      <c r="H268" s="517"/>
      <c r="I268" s="517"/>
      <c r="J268" s="517"/>
      <c r="K268" s="517"/>
      <c r="L268" s="517"/>
      <c r="M268" s="517"/>
      <c r="N268" s="517"/>
      <c r="O268" s="517"/>
      <c r="P268" s="517"/>
      <c r="Q268" s="517"/>
      <c r="R268" s="517"/>
      <c r="S268" s="517"/>
      <c r="T268" s="517"/>
      <c r="U268" s="517"/>
      <c r="V268" s="517"/>
      <c r="W268" s="517"/>
      <c r="X268" s="127"/>
      <c r="Y268" s="127"/>
      <c r="Z268" s="127"/>
      <c r="AA268" s="127"/>
      <c r="AB268" s="127"/>
      <c r="AC268" s="127"/>
      <c r="AD268" s="127"/>
      <c r="AE268" s="127"/>
      <c r="AF268" s="127"/>
      <c r="AG268" s="127"/>
      <c r="AH268" s="127"/>
      <c r="AI268" s="127"/>
      <c r="AJ268" s="127"/>
      <c r="AK268" s="127"/>
      <c r="AL268" s="127"/>
      <c r="AM268" s="127"/>
      <c r="AN268" s="517"/>
      <c r="AO268" s="517"/>
      <c r="AP268" s="517"/>
      <c r="AQ268" s="127"/>
      <c r="AR268" s="517"/>
      <c r="AS268" s="517"/>
      <c r="AT268" s="517"/>
      <c r="AU268" s="592"/>
      <c r="AV268" s="517"/>
      <c r="AW268" s="517"/>
      <c r="AX268" s="517"/>
      <c r="AY268" s="517"/>
      <c r="AZ268" s="517"/>
      <c r="BA268" s="517"/>
      <c r="BB268" s="517"/>
      <c r="BC268" s="517"/>
      <c r="BD268" s="517"/>
      <c r="BE268" s="517"/>
      <c r="BF268" s="517"/>
      <c r="BG268" s="517"/>
      <c r="BH268" s="517"/>
      <c r="BI268" s="517"/>
      <c r="BJ268" s="517"/>
      <c r="BK268" s="517"/>
      <c r="BL268" s="517"/>
      <c r="BM268" s="517"/>
      <c r="BN268" s="517"/>
      <c r="BO268" s="517"/>
      <c r="BP268" s="517"/>
      <c r="BQ268" s="517"/>
      <c r="BR268" s="517"/>
      <c r="BS268" s="517"/>
      <c r="BT268" s="517"/>
      <c r="BU268" s="517"/>
      <c r="BV268" s="517"/>
      <c r="BW268" s="517"/>
      <c r="BX268" s="517"/>
      <c r="BY268" s="517"/>
      <c r="BZ268" s="517"/>
      <c r="CA268" s="517"/>
      <c r="CB268" s="517"/>
      <c r="CC268" s="517"/>
      <c r="CD268" s="517"/>
      <c r="CE268" s="517"/>
      <c r="CF268" s="517"/>
      <c r="CG268" s="517"/>
      <c r="CH268" s="517"/>
      <c r="CI268" s="517"/>
      <c r="CJ268" s="517"/>
      <c r="CK268" s="517"/>
      <c r="CL268" s="517"/>
      <c r="CM268" s="517"/>
      <c r="CN268" s="517"/>
      <c r="CO268" s="517"/>
      <c r="CP268" s="517"/>
      <c r="CQ268" s="517"/>
      <c r="CR268" s="517"/>
      <c r="CS268" s="517"/>
      <c r="CT268" s="517"/>
      <c r="CU268" s="517"/>
      <c r="CV268" s="517"/>
      <c r="CW268" s="517"/>
      <c r="CX268" s="517"/>
    </row>
    <row r="269" spans="1:102" ht="12" customHeight="1" x14ac:dyDescent="0.2">
      <c r="A269" s="517"/>
      <c r="B269" s="517"/>
      <c r="C269" s="517"/>
      <c r="D269" s="517"/>
      <c r="E269" s="517"/>
      <c r="F269" s="517"/>
      <c r="G269" s="517"/>
      <c r="H269" s="517"/>
      <c r="I269" s="517"/>
      <c r="J269" s="517"/>
      <c r="K269" s="517"/>
      <c r="L269" s="517"/>
      <c r="M269" s="517"/>
      <c r="N269" s="517"/>
      <c r="O269" s="517"/>
      <c r="P269" s="517"/>
      <c r="Q269" s="517"/>
      <c r="R269" s="517"/>
      <c r="S269" s="517"/>
      <c r="T269" s="517"/>
      <c r="U269" s="517"/>
      <c r="V269" s="517"/>
      <c r="W269" s="517"/>
      <c r="X269" s="127"/>
      <c r="Y269" s="127"/>
      <c r="Z269" s="127"/>
      <c r="AA269" s="127"/>
      <c r="AB269" s="127"/>
      <c r="AC269" s="127"/>
      <c r="AD269" s="127"/>
      <c r="AE269" s="127"/>
      <c r="AF269" s="127"/>
      <c r="AG269" s="127"/>
      <c r="AH269" s="127"/>
      <c r="AI269" s="127"/>
      <c r="AJ269" s="127"/>
      <c r="AK269" s="127"/>
      <c r="AL269" s="127"/>
      <c r="AM269" s="127"/>
      <c r="AN269" s="517"/>
      <c r="AO269" s="517"/>
      <c r="AP269" s="517"/>
      <c r="AQ269" s="127"/>
      <c r="AR269" s="517"/>
      <c r="AS269" s="517"/>
      <c r="AT269" s="517"/>
      <c r="AU269" s="592"/>
      <c r="AV269" s="517"/>
      <c r="AW269" s="517"/>
      <c r="AX269" s="517"/>
      <c r="AY269" s="517"/>
      <c r="AZ269" s="517"/>
      <c r="BA269" s="517"/>
      <c r="BB269" s="517"/>
      <c r="BC269" s="517"/>
      <c r="BD269" s="517"/>
      <c r="BE269" s="517"/>
      <c r="BF269" s="517"/>
      <c r="BG269" s="517"/>
      <c r="BH269" s="517"/>
      <c r="BI269" s="517"/>
      <c r="BJ269" s="517"/>
      <c r="BK269" s="517"/>
      <c r="BL269" s="517"/>
      <c r="BM269" s="517"/>
      <c r="BN269" s="517"/>
      <c r="BO269" s="517"/>
      <c r="BP269" s="517"/>
      <c r="BQ269" s="517"/>
      <c r="BR269" s="517"/>
      <c r="BS269" s="517"/>
      <c r="BT269" s="517"/>
      <c r="BU269" s="517"/>
      <c r="BV269" s="517"/>
      <c r="BW269" s="517"/>
      <c r="BX269" s="517"/>
      <c r="BY269" s="517"/>
      <c r="BZ269" s="517"/>
      <c r="CA269" s="517"/>
      <c r="CB269" s="517"/>
      <c r="CC269" s="517"/>
      <c r="CD269" s="517"/>
      <c r="CE269" s="517"/>
      <c r="CF269" s="517"/>
      <c r="CG269" s="517"/>
      <c r="CH269" s="517"/>
      <c r="CI269" s="517"/>
      <c r="CJ269" s="517"/>
      <c r="CK269" s="517"/>
      <c r="CL269" s="517"/>
      <c r="CM269" s="517"/>
      <c r="CN269" s="517"/>
      <c r="CO269" s="517"/>
      <c r="CP269" s="517"/>
      <c r="CQ269" s="517"/>
      <c r="CR269" s="517"/>
      <c r="CS269" s="517"/>
      <c r="CT269" s="517"/>
      <c r="CU269" s="517"/>
      <c r="CV269" s="517"/>
      <c r="CW269" s="517"/>
      <c r="CX269" s="517"/>
    </row>
    <row r="270" spans="1:102" ht="12" customHeight="1" x14ac:dyDescent="0.2">
      <c r="A270" s="517"/>
      <c r="B270" s="517"/>
      <c r="C270" s="517"/>
      <c r="D270" s="517"/>
      <c r="E270" s="517"/>
      <c r="F270" s="517"/>
      <c r="G270" s="517"/>
      <c r="H270" s="517"/>
      <c r="I270" s="517"/>
      <c r="J270" s="517"/>
      <c r="K270" s="517"/>
      <c r="L270" s="517"/>
      <c r="M270" s="517"/>
      <c r="N270" s="517"/>
      <c r="O270" s="517"/>
      <c r="P270" s="517"/>
      <c r="Q270" s="517"/>
      <c r="R270" s="517"/>
      <c r="S270" s="517"/>
      <c r="T270" s="517"/>
      <c r="U270" s="517"/>
      <c r="V270" s="517"/>
      <c r="W270" s="517"/>
      <c r="X270" s="127"/>
      <c r="Y270" s="127"/>
      <c r="Z270" s="127"/>
      <c r="AA270" s="127"/>
      <c r="AB270" s="127"/>
      <c r="AC270" s="127"/>
      <c r="AD270" s="127"/>
      <c r="AE270" s="127"/>
      <c r="AF270" s="127"/>
      <c r="AG270" s="127"/>
      <c r="AH270" s="127"/>
      <c r="AI270" s="127"/>
      <c r="AJ270" s="127"/>
      <c r="AK270" s="127"/>
      <c r="AL270" s="127"/>
      <c r="AM270" s="127"/>
      <c r="AN270" s="517"/>
      <c r="AO270" s="517"/>
      <c r="AP270" s="517"/>
      <c r="AQ270" s="127"/>
      <c r="AR270" s="517"/>
      <c r="AS270" s="517"/>
      <c r="AT270" s="517"/>
      <c r="AU270" s="592"/>
      <c r="AV270" s="517"/>
      <c r="AW270" s="517"/>
      <c r="AX270" s="517"/>
      <c r="AY270" s="517"/>
      <c r="AZ270" s="517"/>
      <c r="BA270" s="517"/>
      <c r="BB270" s="517"/>
      <c r="BC270" s="517"/>
      <c r="BD270" s="517"/>
      <c r="BE270" s="517"/>
      <c r="BF270" s="517"/>
      <c r="BG270" s="517"/>
      <c r="BH270" s="517"/>
      <c r="BI270" s="517"/>
      <c r="BJ270" s="517"/>
      <c r="BK270" s="517"/>
      <c r="BL270" s="517"/>
      <c r="BM270" s="517"/>
      <c r="BN270" s="517"/>
      <c r="BO270" s="517"/>
      <c r="BP270" s="517"/>
      <c r="BQ270" s="517"/>
      <c r="BR270" s="517"/>
      <c r="BS270" s="517"/>
      <c r="BT270" s="517"/>
      <c r="BU270" s="517"/>
      <c r="BV270" s="517"/>
      <c r="BW270" s="517"/>
      <c r="BX270" s="517"/>
      <c r="BY270" s="517"/>
      <c r="BZ270" s="517"/>
      <c r="CA270" s="517"/>
      <c r="CB270" s="517"/>
      <c r="CC270" s="517"/>
      <c r="CD270" s="517"/>
      <c r="CE270" s="517"/>
      <c r="CF270" s="517"/>
      <c r="CG270" s="517"/>
      <c r="CH270" s="517"/>
      <c r="CI270" s="517"/>
      <c r="CJ270" s="517"/>
      <c r="CK270" s="517"/>
      <c r="CL270" s="517"/>
      <c r="CM270" s="517"/>
      <c r="CN270" s="517"/>
      <c r="CO270" s="517"/>
      <c r="CP270" s="517"/>
      <c r="CQ270" s="517"/>
      <c r="CR270" s="517"/>
      <c r="CS270" s="517"/>
      <c r="CT270" s="517"/>
      <c r="CU270" s="517"/>
      <c r="CV270" s="517"/>
      <c r="CW270" s="517"/>
      <c r="CX270" s="517"/>
    </row>
    <row r="271" spans="1:102" ht="12" customHeight="1" x14ac:dyDescent="0.2">
      <c r="A271" s="517"/>
      <c r="B271" s="517"/>
      <c r="C271" s="517"/>
      <c r="D271" s="517"/>
      <c r="E271" s="517"/>
      <c r="F271" s="517"/>
      <c r="G271" s="517"/>
      <c r="H271" s="517"/>
      <c r="I271" s="517"/>
      <c r="J271" s="517"/>
      <c r="K271" s="517"/>
      <c r="L271" s="517"/>
      <c r="M271" s="517"/>
      <c r="N271" s="517"/>
      <c r="O271" s="517"/>
      <c r="P271" s="517"/>
      <c r="Q271" s="517"/>
      <c r="R271" s="517"/>
      <c r="S271" s="517"/>
      <c r="T271" s="517"/>
      <c r="U271" s="517"/>
      <c r="V271" s="517"/>
      <c r="W271" s="517"/>
      <c r="X271" s="127"/>
      <c r="Y271" s="127"/>
      <c r="Z271" s="127"/>
      <c r="AA271" s="127"/>
      <c r="AB271" s="127"/>
      <c r="AC271" s="127"/>
      <c r="AD271" s="127"/>
      <c r="AE271" s="127"/>
      <c r="AF271" s="127"/>
      <c r="AG271" s="127"/>
      <c r="AH271" s="127"/>
      <c r="AI271" s="127"/>
      <c r="AJ271" s="127"/>
      <c r="AK271" s="127"/>
      <c r="AL271" s="127"/>
      <c r="AM271" s="127"/>
      <c r="AN271" s="517"/>
      <c r="AO271" s="517"/>
      <c r="AP271" s="517"/>
      <c r="AQ271" s="127"/>
      <c r="AR271" s="517"/>
      <c r="AS271" s="517"/>
      <c r="AT271" s="517"/>
      <c r="AU271" s="592"/>
      <c r="AV271" s="517"/>
      <c r="AW271" s="517"/>
      <c r="AX271" s="517"/>
      <c r="AY271" s="517"/>
      <c r="AZ271" s="517"/>
      <c r="BA271" s="517"/>
      <c r="BB271" s="517"/>
      <c r="BC271" s="517"/>
      <c r="BD271" s="517"/>
      <c r="BE271" s="517"/>
      <c r="BF271" s="517"/>
      <c r="BG271" s="517"/>
      <c r="BH271" s="517"/>
      <c r="BI271" s="517"/>
      <c r="BJ271" s="517"/>
      <c r="BK271" s="517"/>
      <c r="BL271" s="517"/>
      <c r="BM271" s="517"/>
      <c r="BN271" s="517"/>
      <c r="BO271" s="517"/>
      <c r="BP271" s="517"/>
      <c r="BQ271" s="517"/>
      <c r="BR271" s="517"/>
      <c r="BS271" s="517"/>
      <c r="BT271" s="517"/>
      <c r="BU271" s="517"/>
      <c r="BV271" s="517"/>
      <c r="BW271" s="517"/>
      <c r="BX271" s="517"/>
      <c r="BY271" s="517"/>
      <c r="BZ271" s="517"/>
      <c r="CA271" s="517"/>
      <c r="CB271" s="517"/>
      <c r="CC271" s="517"/>
      <c r="CD271" s="517"/>
      <c r="CE271" s="517"/>
      <c r="CF271" s="517"/>
      <c r="CG271" s="517"/>
      <c r="CH271" s="517"/>
      <c r="CI271" s="517"/>
      <c r="CJ271" s="517"/>
      <c r="CK271" s="517"/>
      <c r="CL271" s="517"/>
      <c r="CM271" s="517"/>
      <c r="CN271" s="517"/>
      <c r="CO271" s="517"/>
      <c r="CP271" s="517"/>
      <c r="CQ271" s="517"/>
      <c r="CR271" s="517"/>
      <c r="CS271" s="517"/>
      <c r="CT271" s="517"/>
      <c r="CU271" s="517"/>
      <c r="CV271" s="517"/>
      <c r="CW271" s="517"/>
      <c r="CX271" s="517"/>
    </row>
    <row r="272" spans="1:102" ht="12" customHeight="1" x14ac:dyDescent="0.2">
      <c r="A272" s="517"/>
      <c r="B272" s="517"/>
      <c r="C272" s="517"/>
      <c r="D272" s="517"/>
      <c r="E272" s="517"/>
      <c r="F272" s="517"/>
      <c r="G272" s="517"/>
      <c r="H272" s="517"/>
      <c r="I272" s="517"/>
      <c r="J272" s="517"/>
      <c r="K272" s="517"/>
      <c r="L272" s="517"/>
      <c r="M272" s="517"/>
      <c r="N272" s="517"/>
      <c r="O272" s="517"/>
      <c r="P272" s="517"/>
      <c r="Q272" s="517"/>
      <c r="R272" s="517"/>
      <c r="S272" s="517"/>
      <c r="T272" s="517"/>
      <c r="U272" s="517"/>
      <c r="V272" s="517"/>
      <c r="W272" s="517"/>
      <c r="X272" s="127"/>
      <c r="Y272" s="127"/>
      <c r="Z272" s="127"/>
      <c r="AA272" s="127"/>
      <c r="AB272" s="127"/>
      <c r="AC272" s="127"/>
      <c r="AD272" s="127"/>
      <c r="AE272" s="127"/>
      <c r="AF272" s="127"/>
      <c r="AG272" s="127"/>
      <c r="AH272" s="127"/>
      <c r="AI272" s="127"/>
      <c r="AJ272" s="127"/>
      <c r="AK272" s="127"/>
      <c r="AL272" s="127"/>
      <c r="AM272" s="127"/>
      <c r="AN272" s="517"/>
      <c r="AO272" s="517"/>
      <c r="AP272" s="517"/>
      <c r="AQ272" s="127"/>
      <c r="AR272" s="517"/>
      <c r="AS272" s="517"/>
      <c r="AT272" s="517"/>
      <c r="AU272" s="592"/>
      <c r="AV272" s="517"/>
      <c r="AW272" s="517"/>
      <c r="AX272" s="517"/>
      <c r="AY272" s="517"/>
      <c r="AZ272" s="517"/>
      <c r="BA272" s="517"/>
      <c r="BB272" s="517"/>
      <c r="BC272" s="517"/>
      <c r="BD272" s="517"/>
      <c r="BE272" s="517"/>
      <c r="BF272" s="517"/>
      <c r="BG272" s="517"/>
      <c r="BH272" s="517"/>
      <c r="BI272" s="517"/>
      <c r="BJ272" s="517"/>
      <c r="BK272" s="517"/>
      <c r="BL272" s="517"/>
      <c r="BM272" s="517"/>
      <c r="BN272" s="517"/>
      <c r="BO272" s="517"/>
      <c r="BP272" s="517"/>
      <c r="BQ272" s="517"/>
      <c r="BR272" s="517"/>
      <c r="BS272" s="517"/>
      <c r="BT272" s="517"/>
      <c r="BU272" s="517"/>
      <c r="BV272" s="517"/>
      <c r="BW272" s="517"/>
      <c r="BX272" s="517"/>
      <c r="BY272" s="517"/>
      <c r="BZ272" s="517"/>
      <c r="CA272" s="517"/>
      <c r="CB272" s="517"/>
      <c r="CC272" s="517"/>
      <c r="CD272" s="517"/>
      <c r="CE272" s="517"/>
      <c r="CF272" s="517"/>
      <c r="CG272" s="517"/>
      <c r="CH272" s="517"/>
      <c r="CI272" s="517"/>
      <c r="CJ272" s="517"/>
      <c r="CK272" s="517"/>
      <c r="CL272" s="517"/>
      <c r="CM272" s="517"/>
      <c r="CN272" s="517"/>
      <c r="CO272" s="517"/>
      <c r="CP272" s="517"/>
      <c r="CQ272" s="517"/>
      <c r="CR272" s="517"/>
      <c r="CS272" s="517"/>
      <c r="CT272" s="517"/>
      <c r="CU272" s="517"/>
      <c r="CV272" s="517"/>
      <c r="CW272" s="517"/>
      <c r="CX272" s="517"/>
    </row>
    <row r="273" spans="1:102" ht="12" customHeight="1" x14ac:dyDescent="0.2">
      <c r="A273" s="517"/>
      <c r="B273" s="517"/>
      <c r="C273" s="517"/>
      <c r="D273" s="517"/>
      <c r="E273" s="517"/>
      <c r="F273" s="517"/>
      <c r="G273" s="517"/>
      <c r="H273" s="517"/>
      <c r="I273" s="517"/>
      <c r="J273" s="517"/>
      <c r="K273" s="517"/>
      <c r="L273" s="517"/>
      <c r="M273" s="517"/>
      <c r="N273" s="517"/>
      <c r="O273" s="517"/>
      <c r="P273" s="517"/>
      <c r="Q273" s="517"/>
      <c r="R273" s="517"/>
      <c r="S273" s="517"/>
      <c r="T273" s="517"/>
      <c r="U273" s="517"/>
      <c r="V273" s="517"/>
      <c r="W273" s="517"/>
      <c r="X273" s="127"/>
      <c r="Y273" s="127"/>
      <c r="Z273" s="127"/>
      <c r="AA273" s="127"/>
      <c r="AB273" s="127"/>
      <c r="AC273" s="127"/>
      <c r="AD273" s="127"/>
      <c r="AE273" s="127"/>
      <c r="AF273" s="127"/>
      <c r="AG273" s="127"/>
      <c r="AH273" s="127"/>
      <c r="AI273" s="127"/>
      <c r="AJ273" s="127"/>
      <c r="AK273" s="127"/>
      <c r="AL273" s="127"/>
      <c r="AM273" s="127"/>
      <c r="AN273" s="517"/>
      <c r="AO273" s="517"/>
      <c r="AP273" s="517"/>
      <c r="AQ273" s="127"/>
      <c r="AR273" s="517"/>
      <c r="AS273" s="517"/>
      <c r="AT273" s="517"/>
      <c r="AU273" s="592"/>
      <c r="AV273" s="517"/>
      <c r="AW273" s="517"/>
      <c r="AX273" s="517"/>
      <c r="AY273" s="517"/>
      <c r="AZ273" s="517"/>
      <c r="BA273" s="517"/>
      <c r="BB273" s="517"/>
      <c r="BC273" s="517"/>
      <c r="BD273" s="517"/>
      <c r="BE273" s="517"/>
      <c r="BF273" s="517"/>
      <c r="BG273" s="517"/>
      <c r="BH273" s="517"/>
      <c r="BI273" s="517"/>
      <c r="BJ273" s="517"/>
      <c r="BK273" s="517"/>
      <c r="BL273" s="517"/>
      <c r="BM273" s="517"/>
      <c r="BN273" s="517"/>
      <c r="BO273" s="517"/>
      <c r="BP273" s="517"/>
      <c r="BQ273" s="517"/>
      <c r="BR273" s="517"/>
      <c r="BS273" s="517"/>
      <c r="BT273" s="517"/>
      <c r="BU273" s="517"/>
      <c r="BV273" s="517"/>
      <c r="BW273" s="517"/>
      <c r="BX273" s="517"/>
      <c r="BY273" s="517"/>
      <c r="BZ273" s="517"/>
      <c r="CA273" s="517"/>
      <c r="CB273" s="517"/>
      <c r="CC273" s="517"/>
      <c r="CD273" s="517"/>
      <c r="CE273" s="517"/>
      <c r="CF273" s="517"/>
      <c r="CG273" s="517"/>
      <c r="CH273" s="517"/>
      <c r="CI273" s="517"/>
      <c r="CJ273" s="517"/>
      <c r="CK273" s="517"/>
      <c r="CL273" s="517"/>
      <c r="CM273" s="517"/>
      <c r="CN273" s="517"/>
      <c r="CO273" s="517"/>
      <c r="CP273" s="517"/>
      <c r="CQ273" s="517"/>
      <c r="CR273" s="517"/>
      <c r="CS273" s="517"/>
      <c r="CT273" s="517"/>
      <c r="CU273" s="517"/>
      <c r="CV273" s="517"/>
      <c r="CW273" s="517"/>
      <c r="CX273" s="517"/>
    </row>
    <row r="274" spans="1:102" ht="12" customHeight="1" x14ac:dyDescent="0.2">
      <c r="A274" s="517"/>
      <c r="B274" s="517"/>
      <c r="C274" s="517"/>
      <c r="D274" s="517"/>
      <c r="E274" s="517"/>
      <c r="F274" s="517"/>
      <c r="G274" s="517"/>
      <c r="H274" s="517"/>
      <c r="I274" s="517"/>
      <c r="J274" s="517"/>
      <c r="K274" s="517"/>
      <c r="L274" s="517"/>
      <c r="M274" s="517"/>
      <c r="N274" s="517"/>
      <c r="O274" s="517"/>
      <c r="P274" s="517"/>
      <c r="Q274" s="517"/>
      <c r="R274" s="517"/>
      <c r="S274" s="517"/>
      <c r="T274" s="517"/>
      <c r="U274" s="517"/>
      <c r="V274" s="517"/>
      <c r="W274" s="517"/>
      <c r="X274" s="127"/>
      <c r="Y274" s="127"/>
      <c r="Z274" s="127"/>
      <c r="AA274" s="127"/>
      <c r="AB274" s="127"/>
      <c r="AC274" s="127"/>
      <c r="AD274" s="127"/>
      <c r="AE274" s="127"/>
      <c r="AF274" s="127"/>
      <c r="AG274" s="127"/>
      <c r="AH274" s="127"/>
      <c r="AI274" s="127"/>
      <c r="AJ274" s="127"/>
      <c r="AK274" s="127"/>
      <c r="AL274" s="127"/>
      <c r="AM274" s="127"/>
      <c r="AN274" s="517"/>
      <c r="AO274" s="517"/>
      <c r="AP274" s="517"/>
      <c r="AQ274" s="127"/>
      <c r="AR274" s="517"/>
      <c r="AS274" s="517"/>
      <c r="AT274" s="517"/>
      <c r="AU274" s="592"/>
      <c r="AV274" s="517"/>
      <c r="AW274" s="517"/>
      <c r="AX274" s="517"/>
      <c r="AY274" s="517"/>
      <c r="AZ274" s="517"/>
      <c r="BA274" s="517"/>
      <c r="BB274" s="517"/>
      <c r="BC274" s="517"/>
      <c r="BD274" s="517"/>
      <c r="BE274" s="517"/>
      <c r="BF274" s="517"/>
      <c r="BG274" s="517"/>
      <c r="BH274" s="517"/>
      <c r="BI274" s="517"/>
      <c r="BJ274" s="517"/>
      <c r="BK274" s="517"/>
      <c r="BL274" s="517"/>
      <c r="BM274" s="517"/>
      <c r="BN274" s="517"/>
      <c r="BO274" s="517"/>
      <c r="BP274" s="517"/>
      <c r="BQ274" s="517"/>
      <c r="BR274" s="517"/>
      <c r="BS274" s="517"/>
      <c r="BT274" s="517"/>
      <c r="BU274" s="517"/>
      <c r="BV274" s="517"/>
      <c r="BW274" s="517"/>
      <c r="BX274" s="517"/>
      <c r="BY274" s="517"/>
      <c r="BZ274" s="517"/>
      <c r="CA274" s="517"/>
      <c r="CB274" s="517"/>
      <c r="CC274" s="517"/>
      <c r="CD274" s="517"/>
      <c r="CE274" s="517"/>
      <c r="CF274" s="517"/>
      <c r="CG274" s="517"/>
      <c r="CH274" s="517"/>
      <c r="CI274" s="517"/>
      <c r="CJ274" s="517"/>
      <c r="CK274" s="517"/>
      <c r="CL274" s="517"/>
      <c r="CM274" s="517"/>
      <c r="CN274" s="517"/>
      <c r="CO274" s="517"/>
      <c r="CP274" s="517"/>
      <c r="CQ274" s="517"/>
      <c r="CR274" s="517"/>
      <c r="CS274" s="517"/>
      <c r="CT274" s="517"/>
      <c r="CU274" s="517"/>
      <c r="CV274" s="517"/>
      <c r="CW274" s="517"/>
      <c r="CX274" s="517"/>
    </row>
    <row r="275" spans="1:102" ht="12" customHeight="1" x14ac:dyDescent="0.2">
      <c r="A275" s="517"/>
      <c r="B275" s="517"/>
      <c r="C275" s="517"/>
      <c r="D275" s="517"/>
      <c r="E275" s="517"/>
      <c r="F275" s="517"/>
      <c r="G275" s="517"/>
      <c r="H275" s="517"/>
      <c r="I275" s="517"/>
      <c r="J275" s="517"/>
      <c r="K275" s="517"/>
      <c r="L275" s="517"/>
      <c r="M275" s="517"/>
      <c r="N275" s="517"/>
      <c r="O275" s="517"/>
      <c r="P275" s="517"/>
      <c r="Q275" s="517"/>
      <c r="R275" s="517"/>
      <c r="S275" s="517"/>
      <c r="T275" s="517"/>
      <c r="U275" s="517"/>
      <c r="V275" s="517"/>
      <c r="W275" s="517"/>
      <c r="X275" s="127"/>
      <c r="Y275" s="127"/>
      <c r="Z275" s="127"/>
      <c r="AA275" s="127"/>
      <c r="AB275" s="127"/>
      <c r="AC275" s="127"/>
      <c r="AD275" s="127"/>
      <c r="AE275" s="127"/>
      <c r="AF275" s="127"/>
      <c r="AG275" s="127"/>
      <c r="AH275" s="127"/>
      <c r="AI275" s="127"/>
      <c r="AJ275" s="127"/>
      <c r="AK275" s="127"/>
      <c r="AL275" s="127"/>
      <c r="AM275" s="127"/>
      <c r="AN275" s="517"/>
      <c r="AO275" s="517"/>
      <c r="AP275" s="517"/>
      <c r="AQ275" s="127"/>
      <c r="AR275" s="517"/>
      <c r="AS275" s="517"/>
      <c r="AT275" s="517"/>
      <c r="AU275" s="592"/>
      <c r="AV275" s="517"/>
      <c r="AW275" s="517"/>
      <c r="AX275" s="517"/>
      <c r="AY275" s="517"/>
      <c r="AZ275" s="517"/>
      <c r="BA275" s="517"/>
      <c r="BB275" s="517"/>
      <c r="BC275" s="517"/>
      <c r="BD275" s="517"/>
      <c r="BE275" s="517"/>
      <c r="BF275" s="517"/>
      <c r="BG275" s="517"/>
      <c r="BH275" s="517"/>
      <c r="BI275" s="517"/>
      <c r="BJ275" s="517"/>
      <c r="BK275" s="517"/>
      <c r="BL275" s="517"/>
      <c r="BM275" s="517"/>
      <c r="BN275" s="517"/>
      <c r="BO275" s="517"/>
      <c r="BP275" s="517"/>
      <c r="BQ275" s="517"/>
      <c r="BR275" s="517"/>
      <c r="BS275" s="517"/>
      <c r="BT275" s="517"/>
      <c r="BU275" s="517"/>
      <c r="BV275" s="517"/>
      <c r="BW275" s="517"/>
      <c r="BX275" s="517"/>
      <c r="BY275" s="517"/>
      <c r="BZ275" s="517"/>
      <c r="CA275" s="517"/>
      <c r="CB275" s="517"/>
      <c r="CC275" s="517"/>
      <c r="CD275" s="517"/>
      <c r="CE275" s="517"/>
      <c r="CF275" s="517"/>
      <c r="CG275" s="517"/>
      <c r="CH275" s="517"/>
      <c r="CI275" s="517"/>
      <c r="CJ275" s="517"/>
      <c r="CK275" s="517"/>
      <c r="CL275" s="517"/>
      <c r="CM275" s="517"/>
      <c r="CN275" s="517"/>
      <c r="CO275" s="517"/>
      <c r="CP275" s="517"/>
      <c r="CQ275" s="517"/>
      <c r="CR275" s="517"/>
      <c r="CS275" s="517"/>
      <c r="CT275" s="517"/>
      <c r="CU275" s="517"/>
      <c r="CV275" s="517"/>
      <c r="CW275" s="517"/>
      <c r="CX275" s="517"/>
    </row>
    <row r="276" spans="1:102" ht="12" customHeight="1" x14ac:dyDescent="0.2">
      <c r="A276" s="517"/>
      <c r="B276" s="517"/>
      <c r="C276" s="517"/>
      <c r="D276" s="517"/>
      <c r="E276" s="517"/>
      <c r="F276" s="517"/>
      <c r="G276" s="517"/>
      <c r="H276" s="517"/>
      <c r="I276" s="517"/>
      <c r="J276" s="517"/>
      <c r="K276" s="517"/>
      <c r="L276" s="517"/>
      <c r="M276" s="517"/>
      <c r="N276" s="517"/>
      <c r="O276" s="517"/>
      <c r="P276" s="517"/>
      <c r="Q276" s="517"/>
      <c r="R276" s="517"/>
      <c r="S276" s="517"/>
      <c r="T276" s="517"/>
      <c r="U276" s="517"/>
      <c r="V276" s="517"/>
      <c r="W276" s="517"/>
      <c r="X276" s="127"/>
      <c r="Y276" s="127"/>
      <c r="Z276" s="127"/>
      <c r="AA276" s="127"/>
      <c r="AB276" s="127"/>
      <c r="AC276" s="127"/>
      <c r="AD276" s="127"/>
      <c r="AE276" s="127"/>
      <c r="AF276" s="127"/>
      <c r="AG276" s="127"/>
      <c r="AH276" s="127"/>
      <c r="AI276" s="127"/>
      <c r="AJ276" s="127"/>
      <c r="AK276" s="127"/>
      <c r="AL276" s="127"/>
      <c r="AM276" s="127"/>
      <c r="AN276" s="517"/>
      <c r="AO276" s="517"/>
      <c r="AP276" s="517"/>
      <c r="AQ276" s="127"/>
      <c r="AR276" s="517"/>
      <c r="AS276" s="517"/>
      <c r="AT276" s="517"/>
      <c r="AU276" s="592"/>
      <c r="AV276" s="517"/>
      <c r="AW276" s="517"/>
      <c r="AX276" s="517"/>
      <c r="AY276" s="517"/>
      <c r="AZ276" s="517"/>
      <c r="BA276" s="517"/>
      <c r="BB276" s="517"/>
      <c r="BC276" s="517"/>
      <c r="BD276" s="517"/>
      <c r="BE276" s="517"/>
      <c r="BF276" s="517"/>
      <c r="BG276" s="517"/>
      <c r="BH276" s="517"/>
      <c r="BI276" s="517"/>
      <c r="BJ276" s="517"/>
      <c r="BK276" s="517"/>
      <c r="BL276" s="517"/>
      <c r="BM276" s="517"/>
      <c r="BN276" s="517"/>
      <c r="BO276" s="517"/>
      <c r="BP276" s="517"/>
      <c r="BQ276" s="517"/>
      <c r="BR276" s="517"/>
      <c r="BS276" s="517"/>
      <c r="BT276" s="517"/>
      <c r="BU276" s="517"/>
      <c r="BV276" s="517"/>
      <c r="BW276" s="517"/>
      <c r="BX276" s="517"/>
      <c r="BY276" s="517"/>
      <c r="BZ276" s="517"/>
      <c r="CA276" s="517"/>
      <c r="CB276" s="517"/>
      <c r="CC276" s="517"/>
      <c r="CD276" s="517"/>
      <c r="CE276" s="517"/>
      <c r="CF276" s="517"/>
      <c r="CG276" s="517"/>
      <c r="CH276" s="517"/>
      <c r="CI276" s="517"/>
      <c r="CJ276" s="517"/>
      <c r="CK276" s="517"/>
      <c r="CL276" s="517"/>
      <c r="CM276" s="517"/>
      <c r="CN276" s="517"/>
      <c r="CO276" s="517"/>
      <c r="CP276" s="517"/>
      <c r="CQ276" s="517"/>
      <c r="CR276" s="517"/>
      <c r="CS276" s="517"/>
      <c r="CT276" s="517"/>
      <c r="CU276" s="517"/>
      <c r="CV276" s="517"/>
      <c r="CW276" s="517"/>
      <c r="CX276" s="517"/>
    </row>
    <row r="277" spans="1:102" ht="12" customHeight="1" x14ac:dyDescent="0.2">
      <c r="A277" s="517"/>
      <c r="B277" s="517"/>
      <c r="C277" s="517"/>
      <c r="D277" s="517"/>
      <c r="E277" s="517"/>
      <c r="F277" s="517"/>
      <c r="G277" s="517"/>
      <c r="H277" s="517"/>
      <c r="I277" s="517"/>
      <c r="J277" s="517"/>
      <c r="K277" s="517"/>
      <c r="L277" s="517"/>
      <c r="M277" s="517"/>
      <c r="N277" s="517"/>
      <c r="O277" s="517"/>
      <c r="P277" s="517"/>
      <c r="Q277" s="517"/>
      <c r="R277" s="517"/>
      <c r="S277" s="517"/>
      <c r="T277" s="517"/>
      <c r="U277" s="517"/>
      <c r="V277" s="517"/>
      <c r="W277" s="517"/>
      <c r="X277" s="127"/>
      <c r="Y277" s="127"/>
      <c r="Z277" s="127"/>
      <c r="AA277" s="127"/>
      <c r="AB277" s="127"/>
      <c r="AC277" s="127"/>
      <c r="AD277" s="127"/>
      <c r="AE277" s="127"/>
      <c r="AF277" s="127"/>
      <c r="AG277" s="127"/>
      <c r="AH277" s="127"/>
      <c r="AI277" s="127"/>
      <c r="AJ277" s="127"/>
      <c r="AK277" s="127"/>
      <c r="AL277" s="127"/>
      <c r="AM277" s="127"/>
      <c r="AN277" s="517"/>
      <c r="AO277" s="517"/>
      <c r="AP277" s="517"/>
      <c r="AQ277" s="127"/>
      <c r="AR277" s="517"/>
      <c r="AS277" s="517"/>
      <c r="AT277" s="517"/>
      <c r="AU277" s="592"/>
      <c r="AV277" s="517"/>
      <c r="AW277" s="517"/>
      <c r="AX277" s="517"/>
      <c r="AY277" s="517"/>
      <c r="AZ277" s="517"/>
      <c r="BA277" s="517"/>
      <c r="BB277" s="517"/>
      <c r="BC277" s="517"/>
      <c r="BD277" s="517"/>
      <c r="BE277" s="517"/>
      <c r="BF277" s="517"/>
      <c r="BG277" s="517"/>
      <c r="BH277" s="517"/>
      <c r="BI277" s="517"/>
      <c r="BJ277" s="517"/>
      <c r="BK277" s="517"/>
      <c r="BL277" s="517"/>
      <c r="BM277" s="517"/>
      <c r="BN277" s="517"/>
      <c r="BO277" s="517"/>
      <c r="BP277" s="517"/>
      <c r="BQ277" s="517"/>
      <c r="BR277" s="517"/>
      <c r="BS277" s="517"/>
      <c r="BT277" s="517"/>
      <c r="BU277" s="517"/>
      <c r="BV277" s="517"/>
      <c r="BW277" s="517"/>
      <c r="BX277" s="517"/>
      <c r="BY277" s="517"/>
      <c r="BZ277" s="517"/>
      <c r="CA277" s="517"/>
      <c r="CB277" s="517"/>
      <c r="CC277" s="517"/>
      <c r="CD277" s="517"/>
      <c r="CE277" s="517"/>
      <c r="CF277" s="517"/>
      <c r="CG277" s="517"/>
      <c r="CH277" s="517"/>
      <c r="CI277" s="517"/>
      <c r="CJ277" s="517"/>
      <c r="CK277" s="517"/>
      <c r="CL277" s="517"/>
      <c r="CM277" s="517"/>
      <c r="CN277" s="517"/>
      <c r="CO277" s="517"/>
      <c r="CP277" s="517"/>
      <c r="CQ277" s="517"/>
      <c r="CR277" s="517"/>
      <c r="CS277" s="517"/>
      <c r="CT277" s="517"/>
      <c r="CU277" s="517"/>
      <c r="CV277" s="517"/>
      <c r="CW277" s="517"/>
      <c r="CX277" s="517"/>
    </row>
    <row r="278" spans="1:102" ht="12" customHeight="1" x14ac:dyDescent="0.2">
      <c r="A278" s="517"/>
      <c r="B278" s="517"/>
      <c r="C278" s="517"/>
      <c r="D278" s="517"/>
      <c r="E278" s="517"/>
      <c r="F278" s="517"/>
      <c r="G278" s="517"/>
      <c r="H278" s="517"/>
      <c r="I278" s="517"/>
      <c r="J278" s="517"/>
      <c r="K278" s="517"/>
      <c r="L278" s="517"/>
      <c r="M278" s="517"/>
      <c r="N278" s="517"/>
      <c r="O278" s="517"/>
      <c r="P278" s="517"/>
      <c r="Q278" s="517"/>
      <c r="R278" s="517"/>
      <c r="S278" s="517"/>
      <c r="T278" s="517"/>
      <c r="U278" s="517"/>
      <c r="V278" s="517"/>
      <c r="W278" s="517"/>
      <c r="X278" s="127"/>
      <c r="Y278" s="127"/>
      <c r="Z278" s="127"/>
      <c r="AA278" s="127"/>
      <c r="AB278" s="127"/>
      <c r="AC278" s="127"/>
      <c r="AD278" s="127"/>
      <c r="AE278" s="127"/>
      <c r="AF278" s="127"/>
      <c r="AG278" s="127"/>
      <c r="AH278" s="127"/>
      <c r="AI278" s="127"/>
      <c r="AJ278" s="127"/>
      <c r="AK278" s="127"/>
      <c r="AL278" s="127"/>
      <c r="AM278" s="127"/>
      <c r="AN278" s="517"/>
      <c r="AO278" s="517"/>
      <c r="AP278" s="517"/>
      <c r="AQ278" s="127"/>
      <c r="AR278" s="517"/>
      <c r="AS278" s="517"/>
      <c r="AT278" s="517"/>
      <c r="AU278" s="592"/>
      <c r="AV278" s="517"/>
      <c r="AW278" s="517"/>
      <c r="AX278" s="517"/>
      <c r="AY278" s="517"/>
      <c r="AZ278" s="517"/>
      <c r="BA278" s="517"/>
      <c r="BB278" s="517"/>
      <c r="BC278" s="517"/>
      <c r="BD278" s="517"/>
      <c r="BE278" s="517"/>
      <c r="BF278" s="517"/>
      <c r="BG278" s="517"/>
      <c r="BH278" s="517"/>
      <c r="BI278" s="517"/>
      <c r="BJ278" s="517"/>
      <c r="BK278" s="517"/>
      <c r="BL278" s="517"/>
      <c r="BM278" s="517"/>
      <c r="BN278" s="517"/>
      <c r="BO278" s="517"/>
      <c r="BP278" s="517"/>
      <c r="BQ278" s="517"/>
      <c r="BR278" s="517"/>
      <c r="BS278" s="517"/>
      <c r="BT278" s="517"/>
      <c r="BU278" s="517"/>
      <c r="BV278" s="517"/>
      <c r="BW278" s="517"/>
      <c r="BX278" s="517"/>
      <c r="BY278" s="517"/>
      <c r="BZ278" s="517"/>
      <c r="CA278" s="517"/>
      <c r="CB278" s="517"/>
      <c r="CC278" s="517"/>
      <c r="CD278" s="517"/>
      <c r="CE278" s="517"/>
      <c r="CF278" s="517"/>
      <c r="CG278" s="517"/>
      <c r="CH278" s="517"/>
      <c r="CI278" s="517"/>
      <c r="CJ278" s="517"/>
      <c r="CK278" s="517"/>
      <c r="CL278" s="517"/>
      <c r="CM278" s="517"/>
      <c r="CN278" s="517"/>
      <c r="CO278" s="517"/>
      <c r="CP278" s="517"/>
      <c r="CQ278" s="517"/>
      <c r="CR278" s="517"/>
      <c r="CS278" s="517"/>
      <c r="CT278" s="517"/>
      <c r="CU278" s="517"/>
      <c r="CV278" s="517"/>
      <c r="CW278" s="517"/>
      <c r="CX278" s="517"/>
    </row>
    <row r="279" spans="1:102" ht="12" customHeight="1" x14ac:dyDescent="0.2">
      <c r="A279" s="517"/>
      <c r="B279" s="517"/>
      <c r="C279" s="517"/>
      <c r="D279" s="517"/>
      <c r="E279" s="517"/>
      <c r="F279" s="517"/>
      <c r="G279" s="517"/>
      <c r="H279" s="517"/>
      <c r="I279" s="517"/>
      <c r="J279" s="517"/>
      <c r="K279" s="517"/>
      <c r="L279" s="517"/>
      <c r="M279" s="517"/>
      <c r="N279" s="517"/>
      <c r="O279" s="517"/>
      <c r="P279" s="517"/>
      <c r="Q279" s="517"/>
      <c r="R279" s="517"/>
      <c r="S279" s="517"/>
      <c r="T279" s="517"/>
      <c r="U279" s="517"/>
      <c r="V279" s="517"/>
      <c r="W279" s="517"/>
      <c r="X279" s="127"/>
      <c r="Y279" s="127"/>
      <c r="Z279" s="127"/>
      <c r="AA279" s="127"/>
      <c r="AB279" s="127"/>
      <c r="AC279" s="127"/>
      <c r="AD279" s="127"/>
      <c r="AE279" s="127"/>
      <c r="AF279" s="127"/>
      <c r="AG279" s="127"/>
      <c r="AH279" s="127"/>
      <c r="AI279" s="127"/>
      <c r="AJ279" s="127"/>
      <c r="AK279" s="127"/>
      <c r="AL279" s="127"/>
      <c r="AM279" s="127"/>
      <c r="AN279" s="517"/>
      <c r="AO279" s="517"/>
      <c r="AP279" s="517"/>
      <c r="AQ279" s="127"/>
      <c r="AR279" s="517"/>
      <c r="AS279" s="517"/>
      <c r="AT279" s="517"/>
      <c r="AU279" s="592"/>
      <c r="AV279" s="517"/>
      <c r="AW279" s="517"/>
      <c r="AX279" s="517"/>
      <c r="AY279" s="517"/>
      <c r="AZ279" s="517"/>
      <c r="BA279" s="517"/>
      <c r="BB279" s="517"/>
      <c r="BC279" s="517"/>
      <c r="BD279" s="517"/>
      <c r="BE279" s="517"/>
      <c r="BF279" s="517"/>
      <c r="BG279" s="517"/>
      <c r="BH279" s="517"/>
      <c r="BI279" s="517"/>
      <c r="BJ279" s="517"/>
      <c r="BK279" s="517"/>
      <c r="BL279" s="517"/>
      <c r="BM279" s="517"/>
      <c r="BN279" s="517"/>
      <c r="BO279" s="517"/>
      <c r="BP279" s="517"/>
      <c r="BQ279" s="517"/>
      <c r="BR279" s="517"/>
      <c r="BS279" s="517"/>
      <c r="BT279" s="517"/>
      <c r="BU279" s="517"/>
      <c r="BV279" s="517"/>
      <c r="BW279" s="517"/>
      <c r="BX279" s="517"/>
      <c r="BY279" s="517"/>
      <c r="BZ279" s="517"/>
      <c r="CA279" s="517"/>
      <c r="CB279" s="517"/>
      <c r="CC279" s="517"/>
      <c r="CD279" s="517"/>
      <c r="CE279" s="517"/>
      <c r="CF279" s="517"/>
      <c r="CG279" s="517"/>
      <c r="CH279" s="517"/>
      <c r="CI279" s="517"/>
      <c r="CJ279" s="517"/>
      <c r="CK279" s="517"/>
      <c r="CL279" s="517"/>
      <c r="CM279" s="517"/>
      <c r="CN279" s="517"/>
      <c r="CO279" s="517"/>
      <c r="CP279" s="517"/>
      <c r="CQ279" s="517"/>
      <c r="CR279" s="517"/>
      <c r="CS279" s="517"/>
      <c r="CT279" s="517"/>
      <c r="CU279" s="517"/>
      <c r="CV279" s="517"/>
      <c r="CW279" s="517"/>
      <c r="CX279" s="517"/>
    </row>
    <row r="280" spans="1:102" ht="12" customHeight="1" x14ac:dyDescent="0.2">
      <c r="A280" s="517"/>
      <c r="B280" s="517"/>
      <c r="C280" s="517"/>
      <c r="D280" s="517"/>
      <c r="E280" s="517"/>
      <c r="F280" s="517"/>
      <c r="G280" s="517"/>
      <c r="H280" s="517"/>
      <c r="I280" s="517"/>
      <c r="J280" s="517"/>
      <c r="K280" s="517"/>
      <c r="L280" s="517"/>
      <c r="M280" s="517"/>
      <c r="N280" s="517"/>
      <c r="O280" s="517"/>
      <c r="P280" s="517"/>
      <c r="Q280" s="517"/>
      <c r="R280" s="517"/>
      <c r="S280" s="517"/>
      <c r="T280" s="517"/>
      <c r="U280" s="517"/>
      <c r="V280" s="517"/>
      <c r="W280" s="517"/>
      <c r="X280" s="127"/>
      <c r="Y280" s="127"/>
      <c r="Z280" s="127"/>
      <c r="AA280" s="127"/>
      <c r="AB280" s="127"/>
      <c r="AC280" s="127"/>
      <c r="AD280" s="127"/>
      <c r="AE280" s="127"/>
      <c r="AF280" s="127"/>
      <c r="AG280" s="127"/>
      <c r="AH280" s="127"/>
      <c r="AI280" s="127"/>
      <c r="AJ280" s="127"/>
      <c r="AK280" s="127"/>
      <c r="AL280" s="127"/>
      <c r="AM280" s="127"/>
      <c r="AN280" s="517"/>
      <c r="AO280" s="517"/>
      <c r="AP280" s="517"/>
      <c r="AQ280" s="127"/>
      <c r="AR280" s="517"/>
      <c r="AS280" s="517"/>
      <c r="AT280" s="517"/>
      <c r="AU280" s="592"/>
      <c r="AV280" s="517"/>
      <c r="AW280" s="517"/>
      <c r="AX280" s="517"/>
      <c r="AY280" s="517"/>
      <c r="AZ280" s="517"/>
      <c r="BA280" s="517"/>
      <c r="BB280" s="517"/>
      <c r="BC280" s="517"/>
      <c r="BD280" s="517"/>
      <c r="BE280" s="517"/>
      <c r="BF280" s="517"/>
      <c r="BG280" s="517"/>
      <c r="BH280" s="517"/>
      <c r="BI280" s="517"/>
      <c r="BJ280" s="517"/>
      <c r="BK280" s="517"/>
      <c r="BL280" s="517"/>
      <c r="BM280" s="517"/>
      <c r="BN280" s="517"/>
      <c r="BO280" s="517"/>
      <c r="BP280" s="517"/>
      <c r="BQ280" s="517"/>
      <c r="BR280" s="517"/>
      <c r="BS280" s="517"/>
      <c r="BT280" s="517"/>
      <c r="BU280" s="517"/>
      <c r="BV280" s="517"/>
      <c r="BW280" s="517"/>
      <c r="BX280" s="517"/>
      <c r="BY280" s="517"/>
      <c r="BZ280" s="517"/>
      <c r="CA280" s="517"/>
      <c r="CB280" s="517"/>
      <c r="CC280" s="517"/>
      <c r="CD280" s="517"/>
      <c r="CE280" s="517"/>
      <c r="CF280" s="517"/>
      <c r="CG280" s="517"/>
      <c r="CH280" s="517"/>
      <c r="CI280" s="517"/>
      <c r="CJ280" s="517"/>
      <c r="CK280" s="517"/>
      <c r="CL280" s="517"/>
      <c r="CM280" s="517"/>
      <c r="CN280" s="517"/>
      <c r="CO280" s="517"/>
      <c r="CP280" s="517"/>
      <c r="CQ280" s="517"/>
      <c r="CR280" s="517"/>
      <c r="CS280" s="517"/>
      <c r="CT280" s="517"/>
      <c r="CU280" s="517"/>
      <c r="CV280" s="517"/>
      <c r="CW280" s="517"/>
      <c r="CX280" s="517"/>
    </row>
    <row r="281" spans="1:102" ht="12" customHeight="1" x14ac:dyDescent="0.2">
      <c r="A281" s="517"/>
      <c r="B281" s="517"/>
      <c r="C281" s="517"/>
      <c r="D281" s="517"/>
      <c r="E281" s="517"/>
      <c r="F281" s="517"/>
      <c r="G281" s="517"/>
      <c r="H281" s="517"/>
      <c r="I281" s="517"/>
      <c r="J281" s="517"/>
      <c r="K281" s="517"/>
      <c r="L281" s="517"/>
      <c r="M281" s="517"/>
      <c r="N281" s="517"/>
      <c r="O281" s="517"/>
      <c r="P281" s="517"/>
      <c r="Q281" s="517"/>
      <c r="R281" s="517"/>
      <c r="S281" s="517"/>
      <c r="T281" s="517"/>
      <c r="U281" s="517"/>
      <c r="V281" s="517"/>
      <c r="W281" s="517"/>
      <c r="X281" s="127"/>
      <c r="Y281" s="127"/>
      <c r="Z281" s="127"/>
      <c r="AA281" s="127"/>
      <c r="AB281" s="127"/>
      <c r="AC281" s="127"/>
      <c r="AD281" s="127"/>
      <c r="AE281" s="127"/>
      <c r="AF281" s="127"/>
      <c r="AG281" s="127"/>
      <c r="AH281" s="127"/>
      <c r="AI281" s="127"/>
      <c r="AJ281" s="127"/>
      <c r="AK281" s="127"/>
      <c r="AL281" s="127"/>
      <c r="AM281" s="127"/>
      <c r="AN281" s="517"/>
      <c r="AO281" s="517"/>
      <c r="AP281" s="517"/>
      <c r="AQ281" s="127"/>
      <c r="AR281" s="517"/>
      <c r="AS281" s="517"/>
      <c r="AT281" s="517"/>
      <c r="AU281" s="592"/>
      <c r="AV281" s="517"/>
      <c r="AW281" s="517"/>
      <c r="AX281" s="517"/>
      <c r="AY281" s="517"/>
      <c r="AZ281" s="517"/>
      <c r="BA281" s="517"/>
      <c r="BB281" s="517"/>
      <c r="BC281" s="517"/>
      <c r="BD281" s="517"/>
      <c r="BE281" s="517"/>
      <c r="BF281" s="517"/>
      <c r="BG281" s="517"/>
      <c r="BH281" s="517"/>
      <c r="BI281" s="517"/>
      <c r="BJ281" s="517"/>
      <c r="BK281" s="517"/>
      <c r="BL281" s="517"/>
      <c r="BM281" s="517"/>
      <c r="BN281" s="517"/>
      <c r="BO281" s="517"/>
      <c r="BP281" s="517"/>
      <c r="BQ281" s="517"/>
      <c r="BR281" s="517"/>
      <c r="BS281" s="517"/>
      <c r="BT281" s="517"/>
      <c r="BU281" s="517"/>
      <c r="BV281" s="517"/>
      <c r="BW281" s="517"/>
      <c r="BX281" s="517"/>
      <c r="BY281" s="517"/>
      <c r="BZ281" s="517"/>
      <c r="CA281" s="517"/>
      <c r="CB281" s="517"/>
      <c r="CC281" s="517"/>
      <c r="CD281" s="517"/>
      <c r="CE281" s="517"/>
      <c r="CF281" s="517"/>
      <c r="CG281" s="517"/>
      <c r="CH281" s="517"/>
      <c r="CI281" s="517"/>
      <c r="CJ281" s="517"/>
      <c r="CK281" s="517"/>
      <c r="CL281" s="517"/>
      <c r="CM281" s="517"/>
      <c r="CN281" s="517"/>
      <c r="CO281" s="517"/>
      <c r="CP281" s="517"/>
      <c r="CQ281" s="517"/>
      <c r="CR281" s="517"/>
      <c r="CS281" s="517"/>
      <c r="CT281" s="517"/>
      <c r="CU281" s="517"/>
      <c r="CV281" s="517"/>
      <c r="CW281" s="517"/>
      <c r="CX281" s="517"/>
    </row>
    <row r="282" spans="1:102" ht="12" customHeight="1" x14ac:dyDescent="0.2">
      <c r="A282" s="517"/>
      <c r="B282" s="517"/>
      <c r="C282" s="517"/>
      <c r="D282" s="517"/>
      <c r="E282" s="517"/>
      <c r="F282" s="517"/>
      <c r="G282" s="517"/>
      <c r="H282" s="517"/>
      <c r="I282" s="517"/>
      <c r="J282" s="517"/>
      <c r="K282" s="517"/>
      <c r="L282" s="517"/>
      <c r="M282" s="517"/>
      <c r="N282" s="517"/>
      <c r="O282" s="517"/>
      <c r="P282" s="517"/>
      <c r="Q282" s="517"/>
      <c r="R282" s="517"/>
      <c r="S282" s="517"/>
      <c r="T282" s="517"/>
      <c r="U282" s="517"/>
      <c r="V282" s="517"/>
      <c r="W282" s="517"/>
      <c r="X282" s="127"/>
      <c r="Y282" s="127"/>
      <c r="Z282" s="127"/>
      <c r="AA282" s="127"/>
      <c r="AB282" s="127"/>
      <c r="AC282" s="127"/>
      <c r="AD282" s="127"/>
      <c r="AE282" s="127"/>
      <c r="AF282" s="127"/>
      <c r="AG282" s="127"/>
      <c r="AH282" s="127"/>
      <c r="AI282" s="127"/>
      <c r="AJ282" s="127"/>
      <c r="AK282" s="127"/>
      <c r="AL282" s="127"/>
      <c r="AM282" s="127"/>
      <c r="AN282" s="517"/>
      <c r="AO282" s="517"/>
      <c r="AP282" s="517"/>
      <c r="AQ282" s="127"/>
      <c r="AR282" s="517"/>
      <c r="AS282" s="517"/>
      <c r="AT282" s="517"/>
      <c r="AU282" s="592"/>
      <c r="AV282" s="517"/>
      <c r="AW282" s="517"/>
      <c r="AX282" s="517"/>
      <c r="AY282" s="517"/>
      <c r="AZ282" s="517"/>
      <c r="BA282" s="517"/>
      <c r="BB282" s="517"/>
      <c r="BC282" s="517"/>
      <c r="BD282" s="517"/>
      <c r="BE282" s="517"/>
      <c r="BF282" s="517"/>
      <c r="BG282" s="517"/>
      <c r="BH282" s="517"/>
      <c r="BI282" s="517"/>
      <c r="BJ282" s="517"/>
      <c r="BK282" s="517"/>
      <c r="BL282" s="517"/>
      <c r="BM282" s="517"/>
      <c r="BN282" s="517"/>
      <c r="BO282" s="517"/>
      <c r="BP282" s="517"/>
      <c r="BQ282" s="517"/>
      <c r="BR282" s="517"/>
      <c r="BS282" s="517"/>
      <c r="BT282" s="517"/>
      <c r="BU282" s="517"/>
      <c r="BV282" s="517"/>
      <c r="BW282" s="517"/>
      <c r="BX282" s="517"/>
      <c r="BY282" s="517"/>
      <c r="BZ282" s="517"/>
      <c r="CA282" s="517"/>
      <c r="CB282" s="517"/>
      <c r="CC282" s="517"/>
      <c r="CD282" s="517"/>
      <c r="CE282" s="517"/>
      <c r="CF282" s="517"/>
      <c r="CG282" s="517"/>
      <c r="CH282" s="517"/>
      <c r="CI282" s="517"/>
      <c r="CJ282" s="517"/>
      <c r="CK282" s="517"/>
      <c r="CL282" s="517"/>
      <c r="CM282" s="517"/>
      <c r="CN282" s="517"/>
      <c r="CO282" s="517"/>
      <c r="CP282" s="517"/>
      <c r="CQ282" s="517"/>
      <c r="CR282" s="517"/>
      <c r="CS282" s="517"/>
      <c r="CT282" s="517"/>
      <c r="CU282" s="517"/>
      <c r="CV282" s="517"/>
      <c r="CW282" s="517"/>
      <c r="CX282" s="517"/>
    </row>
    <row r="283" spans="1:102" ht="12" customHeight="1" x14ac:dyDescent="0.2">
      <c r="A283" s="517"/>
      <c r="B283" s="517"/>
      <c r="C283" s="517"/>
      <c r="D283" s="517"/>
      <c r="E283" s="517"/>
      <c r="F283" s="517"/>
      <c r="G283" s="517"/>
      <c r="H283" s="517"/>
      <c r="I283" s="517"/>
      <c r="J283" s="517"/>
      <c r="K283" s="517"/>
      <c r="L283" s="517"/>
      <c r="M283" s="517"/>
      <c r="N283" s="517"/>
      <c r="O283" s="517"/>
      <c r="P283" s="517"/>
      <c r="Q283" s="517"/>
      <c r="R283" s="517"/>
      <c r="S283" s="517"/>
      <c r="T283" s="517"/>
      <c r="U283" s="517"/>
      <c r="V283" s="517"/>
      <c r="W283" s="517"/>
      <c r="X283" s="127"/>
      <c r="Y283" s="127"/>
      <c r="Z283" s="127"/>
      <c r="AA283" s="127"/>
      <c r="AB283" s="127"/>
      <c r="AC283" s="127"/>
      <c r="AD283" s="127"/>
      <c r="AE283" s="127"/>
      <c r="AF283" s="127"/>
      <c r="AG283" s="127"/>
      <c r="AH283" s="127"/>
      <c r="AI283" s="127"/>
      <c r="AJ283" s="127"/>
      <c r="AK283" s="127"/>
      <c r="AL283" s="127"/>
      <c r="AM283" s="127"/>
      <c r="AN283" s="517"/>
      <c r="AO283" s="517"/>
      <c r="AP283" s="517"/>
      <c r="AQ283" s="127"/>
      <c r="AR283" s="517"/>
      <c r="AS283" s="517"/>
      <c r="AT283" s="517"/>
      <c r="AU283" s="592"/>
      <c r="AV283" s="517"/>
      <c r="AW283" s="517"/>
      <c r="AX283" s="517"/>
      <c r="AY283" s="517"/>
      <c r="AZ283" s="517"/>
      <c r="BA283" s="517"/>
      <c r="BB283" s="517"/>
      <c r="BC283" s="517"/>
      <c r="BD283" s="517"/>
      <c r="BE283" s="517"/>
      <c r="BF283" s="517"/>
      <c r="BG283" s="517"/>
      <c r="BH283" s="517"/>
      <c r="BI283" s="517"/>
      <c r="BJ283" s="517"/>
      <c r="BK283" s="517"/>
      <c r="BL283" s="517"/>
      <c r="BM283" s="517"/>
      <c r="BN283" s="517"/>
      <c r="BO283" s="517"/>
      <c r="BP283" s="517"/>
      <c r="BQ283" s="517"/>
      <c r="BR283" s="517"/>
      <c r="BS283" s="517"/>
      <c r="BT283" s="517"/>
      <c r="BU283" s="517"/>
      <c r="BV283" s="517"/>
      <c r="BW283" s="517"/>
      <c r="BX283" s="517"/>
      <c r="BY283" s="517"/>
      <c r="BZ283" s="517"/>
      <c r="CA283" s="517"/>
      <c r="CB283" s="517"/>
      <c r="CC283" s="517"/>
      <c r="CD283" s="517"/>
      <c r="CE283" s="517"/>
      <c r="CF283" s="517"/>
      <c r="CG283" s="517"/>
      <c r="CH283" s="517"/>
      <c r="CI283" s="517"/>
      <c r="CJ283" s="517"/>
      <c r="CK283" s="517"/>
      <c r="CL283" s="517"/>
      <c r="CM283" s="517"/>
      <c r="CN283" s="517"/>
      <c r="CO283" s="517"/>
      <c r="CP283" s="517"/>
      <c r="CQ283" s="517"/>
      <c r="CR283" s="517"/>
      <c r="CS283" s="517"/>
      <c r="CT283" s="517"/>
      <c r="CU283" s="517"/>
      <c r="CV283" s="517"/>
      <c r="CW283" s="517"/>
      <c r="CX283" s="517"/>
    </row>
    <row r="284" spans="1:102" ht="12" customHeight="1" x14ac:dyDescent="0.2">
      <c r="A284" s="517"/>
      <c r="B284" s="517"/>
      <c r="C284" s="517"/>
      <c r="D284" s="517"/>
      <c r="E284" s="517"/>
      <c r="F284" s="517"/>
      <c r="G284" s="517"/>
      <c r="H284" s="517"/>
      <c r="I284" s="517"/>
      <c r="J284" s="517"/>
      <c r="K284" s="517"/>
      <c r="L284" s="517"/>
      <c r="M284" s="517"/>
      <c r="N284" s="517"/>
      <c r="O284" s="517"/>
      <c r="P284" s="517"/>
      <c r="Q284" s="517"/>
      <c r="R284" s="517"/>
      <c r="S284" s="517"/>
      <c r="T284" s="517"/>
      <c r="U284" s="517"/>
      <c r="V284" s="517"/>
      <c r="W284" s="517"/>
      <c r="X284" s="127"/>
      <c r="Y284" s="127"/>
      <c r="Z284" s="127"/>
      <c r="AA284" s="127"/>
      <c r="AB284" s="127"/>
      <c r="AC284" s="127"/>
      <c r="AD284" s="127"/>
      <c r="AE284" s="127"/>
      <c r="AF284" s="127"/>
      <c r="AG284" s="127"/>
      <c r="AH284" s="127"/>
      <c r="AI284" s="127"/>
      <c r="AJ284" s="127"/>
      <c r="AK284" s="127"/>
      <c r="AL284" s="127"/>
      <c r="AM284" s="127"/>
      <c r="AN284" s="517"/>
      <c r="AO284" s="517"/>
      <c r="AP284" s="517"/>
      <c r="AQ284" s="127"/>
      <c r="AR284" s="517"/>
      <c r="AS284" s="517"/>
      <c r="AT284" s="517"/>
      <c r="AU284" s="592"/>
      <c r="AV284" s="517"/>
      <c r="AW284" s="517"/>
      <c r="AX284" s="517"/>
      <c r="AY284" s="517"/>
      <c r="AZ284" s="517"/>
      <c r="BA284" s="517"/>
      <c r="BB284" s="517"/>
      <c r="BC284" s="517"/>
      <c r="BD284" s="517"/>
      <c r="BE284" s="517"/>
      <c r="BF284" s="517"/>
      <c r="BG284" s="517"/>
      <c r="BH284" s="517"/>
      <c r="BI284" s="517"/>
      <c r="BJ284" s="517"/>
      <c r="BK284" s="517"/>
      <c r="BL284" s="517"/>
      <c r="BM284" s="517"/>
      <c r="BN284" s="517"/>
      <c r="BO284" s="517"/>
      <c r="BP284" s="517"/>
      <c r="BQ284" s="517"/>
      <c r="BR284" s="517"/>
      <c r="BS284" s="517"/>
      <c r="BT284" s="517"/>
      <c r="BU284" s="517"/>
      <c r="BV284" s="517"/>
      <c r="BW284" s="517"/>
      <c r="BX284" s="517"/>
      <c r="BY284" s="517"/>
      <c r="BZ284" s="517"/>
      <c r="CA284" s="517"/>
      <c r="CB284" s="517"/>
      <c r="CC284" s="517"/>
      <c r="CD284" s="517"/>
      <c r="CE284" s="517"/>
      <c r="CF284" s="517"/>
      <c r="CG284" s="517"/>
      <c r="CH284" s="517"/>
      <c r="CI284" s="517"/>
      <c r="CJ284" s="517"/>
      <c r="CK284" s="517"/>
      <c r="CL284" s="517"/>
      <c r="CM284" s="517"/>
      <c r="CN284" s="517"/>
      <c r="CO284" s="517"/>
      <c r="CP284" s="517"/>
      <c r="CQ284" s="517"/>
      <c r="CR284" s="517"/>
      <c r="CS284" s="517"/>
      <c r="CT284" s="517"/>
      <c r="CU284" s="517"/>
      <c r="CV284" s="517"/>
      <c r="CW284" s="517"/>
      <c r="CX284" s="517"/>
    </row>
    <row r="285" spans="1:102" ht="12" customHeight="1" x14ac:dyDescent="0.2">
      <c r="A285" s="517"/>
      <c r="B285" s="517"/>
      <c r="C285" s="517"/>
      <c r="D285" s="517"/>
      <c r="E285" s="517"/>
      <c r="F285" s="517"/>
      <c r="G285" s="517"/>
      <c r="H285" s="517"/>
      <c r="I285" s="517"/>
      <c r="J285" s="517"/>
      <c r="K285" s="517"/>
      <c r="L285" s="517"/>
      <c r="M285" s="517"/>
      <c r="N285" s="517"/>
      <c r="O285" s="517"/>
      <c r="P285" s="517"/>
      <c r="Q285" s="517"/>
      <c r="R285" s="517"/>
      <c r="S285" s="517"/>
      <c r="T285" s="517"/>
      <c r="U285" s="517"/>
      <c r="V285" s="517"/>
      <c r="W285" s="517"/>
      <c r="X285" s="127"/>
      <c r="Y285" s="127"/>
      <c r="Z285" s="127"/>
      <c r="AA285" s="127"/>
      <c r="AB285" s="127"/>
      <c r="AC285" s="127"/>
      <c r="AD285" s="127"/>
      <c r="AE285" s="127"/>
      <c r="AF285" s="127"/>
      <c r="AG285" s="127"/>
      <c r="AH285" s="127"/>
      <c r="AI285" s="127"/>
      <c r="AJ285" s="127"/>
      <c r="AK285" s="127"/>
      <c r="AL285" s="127"/>
      <c r="AM285" s="127"/>
      <c r="AN285" s="517"/>
      <c r="AO285" s="517"/>
      <c r="AP285" s="517"/>
      <c r="AQ285" s="127"/>
      <c r="AR285" s="517"/>
      <c r="AS285" s="517"/>
      <c r="AT285" s="517"/>
      <c r="AU285" s="592"/>
      <c r="AV285" s="517"/>
      <c r="AW285" s="517"/>
      <c r="AX285" s="517"/>
      <c r="AY285" s="517"/>
      <c r="AZ285" s="517"/>
      <c r="BA285" s="517"/>
      <c r="BB285" s="517"/>
      <c r="BC285" s="517"/>
      <c r="BD285" s="517"/>
      <c r="BE285" s="517"/>
      <c r="BF285" s="517"/>
      <c r="BG285" s="517"/>
      <c r="BH285" s="517"/>
      <c r="BI285" s="517"/>
      <c r="BJ285" s="517"/>
      <c r="BK285" s="517"/>
      <c r="BL285" s="517"/>
      <c r="BM285" s="517"/>
      <c r="BN285" s="517"/>
      <c r="BO285" s="517"/>
      <c r="BP285" s="517"/>
      <c r="BQ285" s="517"/>
      <c r="BR285" s="517"/>
      <c r="BS285" s="517"/>
      <c r="BT285" s="517"/>
      <c r="BU285" s="517"/>
      <c r="BV285" s="517"/>
      <c r="BW285" s="517"/>
      <c r="BX285" s="517"/>
      <c r="BY285" s="517"/>
      <c r="BZ285" s="517"/>
      <c r="CA285" s="517"/>
      <c r="CB285" s="517"/>
      <c r="CC285" s="517"/>
      <c r="CD285" s="517"/>
      <c r="CE285" s="517"/>
      <c r="CF285" s="517"/>
      <c r="CG285" s="517"/>
      <c r="CH285" s="517"/>
      <c r="CI285" s="517"/>
      <c r="CJ285" s="517"/>
      <c r="CK285" s="517"/>
      <c r="CL285" s="517"/>
      <c r="CM285" s="517"/>
      <c r="CN285" s="517"/>
      <c r="CO285" s="517"/>
      <c r="CP285" s="517"/>
      <c r="CQ285" s="517"/>
      <c r="CR285" s="517"/>
      <c r="CS285" s="517"/>
      <c r="CT285" s="517"/>
      <c r="CU285" s="517"/>
      <c r="CV285" s="517"/>
      <c r="CW285" s="517"/>
      <c r="CX285" s="517"/>
    </row>
    <row r="286" spans="1:102" ht="12" customHeight="1" x14ac:dyDescent="0.2">
      <c r="A286" s="517"/>
      <c r="B286" s="517"/>
      <c r="C286" s="517"/>
      <c r="D286" s="517"/>
      <c r="E286" s="517"/>
      <c r="F286" s="517"/>
      <c r="G286" s="517"/>
      <c r="H286" s="517"/>
      <c r="I286" s="517"/>
      <c r="J286" s="517"/>
      <c r="K286" s="517"/>
      <c r="L286" s="517"/>
      <c r="M286" s="517"/>
      <c r="N286" s="517"/>
      <c r="O286" s="517"/>
      <c r="P286" s="517"/>
      <c r="Q286" s="517"/>
      <c r="R286" s="517"/>
      <c r="S286" s="517"/>
      <c r="T286" s="517"/>
      <c r="U286" s="517"/>
      <c r="V286" s="517"/>
      <c r="W286" s="517"/>
      <c r="X286" s="127"/>
      <c r="Y286" s="127"/>
      <c r="Z286" s="127"/>
      <c r="AA286" s="127"/>
      <c r="AB286" s="127"/>
      <c r="AC286" s="127"/>
      <c r="AD286" s="127"/>
      <c r="AE286" s="127"/>
      <c r="AF286" s="127"/>
      <c r="AG286" s="127"/>
      <c r="AH286" s="127"/>
      <c r="AI286" s="127"/>
      <c r="AJ286" s="127"/>
      <c r="AK286" s="127"/>
      <c r="AL286" s="127"/>
      <c r="AM286" s="127"/>
      <c r="AN286" s="517"/>
      <c r="AO286" s="517"/>
      <c r="AP286" s="517"/>
      <c r="AQ286" s="127"/>
      <c r="AR286" s="517"/>
      <c r="AS286" s="517"/>
      <c r="AT286" s="517"/>
      <c r="AU286" s="592"/>
      <c r="AV286" s="517"/>
      <c r="AW286" s="517"/>
      <c r="AX286" s="517"/>
      <c r="AY286" s="517"/>
      <c r="AZ286" s="517"/>
      <c r="BA286" s="517"/>
      <c r="BB286" s="517"/>
      <c r="BC286" s="517"/>
      <c r="BD286" s="517"/>
      <c r="BE286" s="517"/>
      <c r="BF286" s="517"/>
      <c r="BG286" s="517"/>
      <c r="BH286" s="517"/>
      <c r="BI286" s="517"/>
      <c r="BJ286" s="517"/>
      <c r="BK286" s="517"/>
      <c r="BL286" s="517"/>
      <c r="BM286" s="517"/>
      <c r="BN286" s="517"/>
      <c r="BO286" s="517"/>
      <c r="BP286" s="517"/>
      <c r="BQ286" s="517"/>
      <c r="BR286" s="517"/>
      <c r="BS286" s="517"/>
      <c r="BT286" s="517"/>
      <c r="BU286" s="517"/>
      <c r="BV286" s="517"/>
      <c r="BW286" s="517"/>
      <c r="BX286" s="517"/>
      <c r="BY286" s="517"/>
      <c r="BZ286" s="517"/>
      <c r="CA286" s="517"/>
      <c r="CB286" s="517"/>
      <c r="CC286" s="517"/>
      <c r="CD286" s="517"/>
      <c r="CE286" s="517"/>
      <c r="CF286" s="517"/>
      <c r="CG286" s="517"/>
      <c r="CH286" s="517"/>
      <c r="CI286" s="517"/>
      <c r="CJ286" s="517"/>
      <c r="CK286" s="517"/>
      <c r="CL286" s="517"/>
      <c r="CM286" s="517"/>
      <c r="CN286" s="517"/>
      <c r="CO286" s="517"/>
      <c r="CP286" s="517"/>
      <c r="CQ286" s="517"/>
      <c r="CR286" s="517"/>
      <c r="CS286" s="517"/>
      <c r="CT286" s="517"/>
      <c r="CU286" s="517"/>
      <c r="CV286" s="517"/>
      <c r="CW286" s="517"/>
      <c r="CX286" s="517"/>
    </row>
    <row r="287" spans="1:102" ht="12" customHeight="1" x14ac:dyDescent="0.2">
      <c r="A287" s="517"/>
      <c r="B287" s="517"/>
      <c r="C287" s="517"/>
      <c r="D287" s="517"/>
      <c r="E287" s="517"/>
      <c r="F287" s="517"/>
      <c r="G287" s="517"/>
      <c r="H287" s="517"/>
      <c r="I287" s="517"/>
      <c r="J287" s="517"/>
      <c r="K287" s="517"/>
      <c r="L287" s="517"/>
      <c r="M287" s="517"/>
      <c r="N287" s="517"/>
      <c r="O287" s="517"/>
      <c r="P287" s="517"/>
      <c r="Q287" s="517"/>
      <c r="R287" s="517"/>
      <c r="S287" s="517"/>
      <c r="T287" s="517"/>
      <c r="U287" s="517"/>
      <c r="V287" s="517"/>
      <c r="W287" s="517"/>
      <c r="X287" s="127"/>
      <c r="Y287" s="127"/>
      <c r="Z287" s="127"/>
      <c r="AA287" s="127"/>
      <c r="AB287" s="127"/>
      <c r="AC287" s="127"/>
      <c r="AD287" s="127"/>
      <c r="AE287" s="127"/>
      <c r="AF287" s="127"/>
      <c r="AG287" s="127"/>
      <c r="AH287" s="127"/>
      <c r="AI287" s="127"/>
      <c r="AJ287" s="127"/>
      <c r="AK287" s="127"/>
      <c r="AL287" s="127"/>
      <c r="AM287" s="127"/>
      <c r="AN287" s="517"/>
      <c r="AO287" s="517"/>
      <c r="AP287" s="517"/>
      <c r="AQ287" s="127"/>
      <c r="AR287" s="517"/>
      <c r="AS287" s="517"/>
      <c r="AT287" s="517"/>
      <c r="AU287" s="592"/>
      <c r="AV287" s="517"/>
      <c r="AW287" s="517"/>
      <c r="AX287" s="517"/>
      <c r="AY287" s="517"/>
      <c r="AZ287" s="517"/>
      <c r="BA287" s="517"/>
      <c r="BB287" s="517"/>
      <c r="BC287" s="517"/>
      <c r="BD287" s="517"/>
      <c r="BE287" s="517"/>
      <c r="BF287" s="517"/>
      <c r="BG287" s="517"/>
      <c r="BH287" s="517"/>
      <c r="BI287" s="517"/>
      <c r="BJ287" s="517"/>
      <c r="BK287" s="517"/>
      <c r="BL287" s="517"/>
      <c r="BM287" s="517"/>
      <c r="BN287" s="517"/>
      <c r="BO287" s="517"/>
      <c r="BP287" s="517"/>
      <c r="BQ287" s="517"/>
      <c r="BR287" s="517"/>
      <c r="BS287" s="517"/>
      <c r="BT287" s="517"/>
      <c r="BU287" s="517"/>
      <c r="BV287" s="517"/>
      <c r="BW287" s="517"/>
      <c r="BX287" s="517"/>
      <c r="BY287" s="517"/>
      <c r="BZ287" s="517"/>
      <c r="CA287" s="517"/>
      <c r="CB287" s="517"/>
      <c r="CC287" s="517"/>
      <c r="CD287" s="517"/>
      <c r="CE287" s="517"/>
      <c r="CF287" s="517"/>
      <c r="CG287" s="517"/>
      <c r="CH287" s="517"/>
      <c r="CI287" s="517"/>
      <c r="CJ287" s="517"/>
      <c r="CK287" s="517"/>
      <c r="CL287" s="517"/>
      <c r="CM287" s="517"/>
      <c r="CN287" s="517"/>
      <c r="CO287" s="517"/>
      <c r="CP287" s="517"/>
      <c r="CQ287" s="517"/>
      <c r="CR287" s="517"/>
      <c r="CS287" s="517"/>
      <c r="CT287" s="517"/>
      <c r="CU287" s="517"/>
      <c r="CV287" s="517"/>
      <c r="CW287" s="517"/>
      <c r="CX287" s="517"/>
    </row>
    <row r="288" spans="1:102" ht="12" customHeight="1" x14ac:dyDescent="0.2">
      <c r="A288" s="517"/>
      <c r="B288" s="517"/>
      <c r="C288" s="517"/>
      <c r="D288" s="517"/>
      <c r="E288" s="517"/>
      <c r="F288" s="517"/>
      <c r="G288" s="517"/>
      <c r="H288" s="517"/>
      <c r="I288" s="517"/>
      <c r="J288" s="517"/>
      <c r="K288" s="517"/>
      <c r="L288" s="517"/>
      <c r="M288" s="517"/>
      <c r="N288" s="517"/>
      <c r="O288" s="517"/>
      <c r="P288" s="517"/>
      <c r="Q288" s="517"/>
      <c r="R288" s="517"/>
      <c r="S288" s="517"/>
      <c r="T288" s="517"/>
      <c r="U288" s="517"/>
      <c r="V288" s="517"/>
      <c r="W288" s="517"/>
      <c r="X288" s="127"/>
      <c r="Y288" s="127"/>
      <c r="Z288" s="127"/>
      <c r="AA288" s="127"/>
      <c r="AB288" s="127"/>
      <c r="AC288" s="127"/>
      <c r="AD288" s="127"/>
      <c r="AE288" s="127"/>
      <c r="AF288" s="127"/>
      <c r="AG288" s="127"/>
      <c r="AH288" s="127"/>
      <c r="AI288" s="127"/>
      <c r="AJ288" s="127"/>
      <c r="AK288" s="127"/>
      <c r="AL288" s="127"/>
      <c r="AM288" s="127"/>
      <c r="AN288" s="517"/>
      <c r="AO288" s="517"/>
      <c r="AP288" s="517"/>
      <c r="AQ288" s="127"/>
      <c r="AR288" s="517"/>
      <c r="AS288" s="517"/>
      <c r="AT288" s="517"/>
      <c r="AU288" s="592"/>
      <c r="AV288" s="517"/>
      <c r="AW288" s="517"/>
      <c r="AX288" s="517"/>
      <c r="AY288" s="517"/>
      <c r="AZ288" s="517"/>
      <c r="BA288" s="517"/>
      <c r="BB288" s="517"/>
      <c r="BC288" s="517"/>
      <c r="BD288" s="517"/>
      <c r="BE288" s="517"/>
      <c r="BF288" s="517"/>
      <c r="BG288" s="517"/>
      <c r="BH288" s="517"/>
      <c r="BI288" s="517"/>
      <c r="BJ288" s="517"/>
      <c r="BK288" s="517"/>
      <c r="BL288" s="517"/>
      <c r="BM288" s="517"/>
      <c r="BN288" s="517"/>
      <c r="BO288" s="517"/>
      <c r="BP288" s="517"/>
      <c r="BQ288" s="517"/>
      <c r="BR288" s="517"/>
      <c r="BS288" s="517"/>
      <c r="BT288" s="517"/>
      <c r="BU288" s="517"/>
      <c r="BV288" s="517"/>
      <c r="BW288" s="517"/>
      <c r="BX288" s="517"/>
      <c r="BY288" s="517"/>
      <c r="BZ288" s="517"/>
      <c r="CA288" s="517"/>
      <c r="CB288" s="517"/>
      <c r="CC288" s="517"/>
      <c r="CD288" s="517"/>
      <c r="CE288" s="517"/>
      <c r="CF288" s="517"/>
      <c r="CG288" s="517"/>
      <c r="CH288" s="517"/>
      <c r="CI288" s="517"/>
      <c r="CJ288" s="517"/>
      <c r="CK288" s="517"/>
      <c r="CL288" s="517"/>
      <c r="CM288" s="517"/>
      <c r="CN288" s="517"/>
      <c r="CO288" s="517"/>
      <c r="CP288" s="517"/>
      <c r="CQ288" s="517"/>
      <c r="CR288" s="517"/>
      <c r="CS288" s="517"/>
      <c r="CT288" s="517"/>
      <c r="CU288" s="517"/>
      <c r="CV288" s="517"/>
      <c r="CW288" s="517"/>
      <c r="CX288" s="517"/>
    </row>
    <row r="289" spans="1:102" ht="12" customHeight="1" x14ac:dyDescent="0.2">
      <c r="A289" s="517"/>
      <c r="B289" s="517"/>
      <c r="C289" s="517"/>
      <c r="D289" s="517"/>
      <c r="E289" s="517"/>
      <c r="F289" s="517"/>
      <c r="G289" s="517"/>
      <c r="H289" s="517"/>
      <c r="I289" s="517"/>
      <c r="J289" s="517"/>
      <c r="K289" s="517"/>
      <c r="L289" s="517"/>
      <c r="M289" s="517"/>
      <c r="N289" s="517"/>
      <c r="O289" s="517"/>
      <c r="P289" s="517"/>
      <c r="Q289" s="517"/>
      <c r="R289" s="517"/>
      <c r="S289" s="517"/>
      <c r="T289" s="517"/>
      <c r="U289" s="517"/>
      <c r="V289" s="517"/>
      <c r="W289" s="517"/>
      <c r="X289" s="127"/>
      <c r="Y289" s="127"/>
      <c r="Z289" s="127"/>
      <c r="AA289" s="127"/>
      <c r="AB289" s="127"/>
      <c r="AC289" s="127"/>
      <c r="AD289" s="127"/>
      <c r="AE289" s="127"/>
      <c r="AF289" s="127"/>
      <c r="AG289" s="127"/>
      <c r="AH289" s="127"/>
      <c r="AI289" s="127"/>
      <c r="AJ289" s="127"/>
      <c r="AK289" s="127"/>
      <c r="AL289" s="127"/>
      <c r="AM289" s="127"/>
      <c r="AN289" s="517"/>
      <c r="AO289" s="517"/>
      <c r="AP289" s="517"/>
      <c r="AQ289" s="127"/>
      <c r="AR289" s="517"/>
      <c r="AS289" s="517"/>
      <c r="AT289" s="517"/>
      <c r="AU289" s="592"/>
      <c r="AV289" s="517"/>
      <c r="AW289" s="517"/>
      <c r="AX289" s="517"/>
      <c r="AY289" s="517"/>
      <c r="AZ289" s="517"/>
      <c r="BA289" s="517"/>
      <c r="BB289" s="517"/>
      <c r="BC289" s="517"/>
      <c r="BD289" s="517"/>
      <c r="BE289" s="517"/>
      <c r="BF289" s="517"/>
      <c r="BG289" s="517"/>
      <c r="BH289" s="517"/>
      <c r="BI289" s="517"/>
      <c r="BJ289" s="517"/>
      <c r="BK289" s="517"/>
      <c r="BL289" s="517"/>
      <c r="BM289" s="517"/>
      <c r="BN289" s="517"/>
      <c r="BO289" s="517"/>
      <c r="BP289" s="517"/>
      <c r="BQ289" s="517"/>
      <c r="BR289" s="517"/>
      <c r="BS289" s="517"/>
      <c r="BT289" s="517"/>
      <c r="BU289" s="517"/>
      <c r="BV289" s="517"/>
      <c r="BW289" s="517"/>
      <c r="BX289" s="517"/>
      <c r="BY289" s="517"/>
      <c r="BZ289" s="517"/>
      <c r="CA289" s="517"/>
      <c r="CB289" s="517"/>
      <c r="CC289" s="517"/>
      <c r="CD289" s="517"/>
      <c r="CE289" s="517"/>
      <c r="CF289" s="517"/>
      <c r="CG289" s="517"/>
      <c r="CH289" s="517"/>
      <c r="CI289" s="517"/>
      <c r="CJ289" s="517"/>
      <c r="CK289" s="517"/>
      <c r="CL289" s="517"/>
      <c r="CM289" s="517"/>
      <c r="CN289" s="517"/>
      <c r="CO289" s="517"/>
      <c r="CP289" s="517"/>
      <c r="CQ289" s="517"/>
      <c r="CR289" s="517"/>
      <c r="CS289" s="517"/>
      <c r="CT289" s="517"/>
      <c r="CU289" s="517"/>
      <c r="CV289" s="517"/>
      <c r="CW289" s="517"/>
      <c r="CX289" s="517"/>
    </row>
    <row r="290" spans="1:102" ht="12" customHeight="1" x14ac:dyDescent="0.2">
      <c r="A290" s="517"/>
      <c r="B290" s="517"/>
      <c r="C290" s="517"/>
      <c r="D290" s="517"/>
      <c r="E290" s="517"/>
      <c r="F290" s="517"/>
      <c r="G290" s="517"/>
      <c r="H290" s="517"/>
      <c r="I290" s="517"/>
      <c r="J290" s="517"/>
      <c r="K290" s="517"/>
      <c r="L290" s="517"/>
      <c r="M290" s="517"/>
      <c r="N290" s="517"/>
      <c r="O290" s="517"/>
      <c r="P290" s="517"/>
      <c r="Q290" s="517"/>
      <c r="R290" s="517"/>
      <c r="S290" s="517"/>
      <c r="T290" s="517"/>
      <c r="U290" s="517"/>
      <c r="V290" s="517"/>
      <c r="W290" s="517"/>
      <c r="X290" s="127"/>
      <c r="Y290" s="127"/>
      <c r="Z290" s="127"/>
      <c r="AA290" s="127"/>
      <c r="AB290" s="127"/>
      <c r="AC290" s="127"/>
      <c r="AD290" s="127"/>
      <c r="AE290" s="127"/>
      <c r="AF290" s="127"/>
      <c r="AG290" s="127"/>
      <c r="AH290" s="127"/>
      <c r="AI290" s="127"/>
      <c r="AJ290" s="127"/>
      <c r="AK290" s="127"/>
      <c r="AL290" s="127"/>
      <c r="AM290" s="127"/>
      <c r="AN290" s="517"/>
      <c r="AO290" s="517"/>
      <c r="AP290" s="517"/>
      <c r="AQ290" s="127"/>
      <c r="AR290" s="517"/>
      <c r="AS290" s="517"/>
      <c r="AT290" s="517"/>
      <c r="AU290" s="592"/>
      <c r="AV290" s="517"/>
      <c r="AW290" s="517"/>
      <c r="AX290" s="517"/>
      <c r="AY290" s="517"/>
      <c r="AZ290" s="517"/>
      <c r="BA290" s="517"/>
      <c r="BB290" s="517"/>
      <c r="BC290" s="517"/>
      <c r="BD290" s="517"/>
      <c r="BE290" s="517"/>
      <c r="BF290" s="517"/>
      <c r="BG290" s="517"/>
      <c r="BH290" s="517"/>
      <c r="BI290" s="517"/>
      <c r="BJ290" s="517"/>
      <c r="BK290" s="517"/>
      <c r="BL290" s="517"/>
      <c r="BM290" s="517"/>
      <c r="BN290" s="517"/>
      <c r="BO290" s="517"/>
      <c r="BP290" s="517"/>
      <c r="BQ290" s="517"/>
      <c r="BR290" s="517"/>
      <c r="BS290" s="517"/>
      <c r="BT290" s="517"/>
      <c r="BU290" s="517"/>
      <c r="BV290" s="517"/>
      <c r="BW290" s="517"/>
      <c r="BX290" s="517"/>
      <c r="BY290" s="517"/>
      <c r="BZ290" s="517"/>
      <c r="CA290" s="517"/>
      <c r="CB290" s="517"/>
      <c r="CC290" s="517"/>
      <c r="CD290" s="517"/>
      <c r="CE290" s="517"/>
      <c r="CF290" s="517"/>
      <c r="CG290" s="517"/>
      <c r="CH290" s="517"/>
      <c r="CI290" s="517"/>
      <c r="CJ290" s="517"/>
      <c r="CK290" s="517"/>
      <c r="CL290" s="517"/>
      <c r="CM290" s="517"/>
      <c r="CN290" s="517"/>
      <c r="CO290" s="517"/>
      <c r="CP290" s="517"/>
      <c r="CQ290" s="517"/>
      <c r="CR290" s="517"/>
      <c r="CS290" s="517"/>
      <c r="CT290" s="517"/>
      <c r="CU290" s="517"/>
      <c r="CV290" s="517"/>
      <c r="CW290" s="517"/>
      <c r="CX290" s="517"/>
    </row>
    <row r="291" spans="1:102" ht="12" customHeight="1" x14ac:dyDescent="0.2">
      <c r="A291" s="517"/>
      <c r="B291" s="517"/>
      <c r="C291" s="517"/>
      <c r="D291" s="517"/>
      <c r="E291" s="517"/>
      <c r="F291" s="517"/>
      <c r="G291" s="517"/>
      <c r="H291" s="517"/>
      <c r="I291" s="517"/>
      <c r="J291" s="517"/>
      <c r="K291" s="517"/>
      <c r="L291" s="517"/>
      <c r="M291" s="517"/>
      <c r="N291" s="517"/>
      <c r="O291" s="517"/>
      <c r="P291" s="517"/>
      <c r="Q291" s="517"/>
      <c r="R291" s="517"/>
      <c r="S291" s="517"/>
      <c r="T291" s="517"/>
      <c r="U291" s="517"/>
      <c r="V291" s="517"/>
      <c r="W291" s="517"/>
      <c r="X291" s="127"/>
      <c r="Y291" s="127"/>
      <c r="Z291" s="127"/>
      <c r="AA291" s="127"/>
      <c r="AB291" s="127"/>
      <c r="AC291" s="127"/>
      <c r="AD291" s="127"/>
      <c r="AE291" s="127"/>
      <c r="AF291" s="127"/>
      <c r="AG291" s="127"/>
      <c r="AH291" s="127"/>
      <c r="AI291" s="127"/>
      <c r="AJ291" s="127"/>
      <c r="AK291" s="127"/>
      <c r="AL291" s="127"/>
      <c r="AM291" s="127"/>
      <c r="AN291" s="517"/>
      <c r="AO291" s="517"/>
      <c r="AP291" s="517"/>
      <c r="AQ291" s="127"/>
      <c r="AR291" s="517"/>
      <c r="AS291" s="517"/>
      <c r="AT291" s="517"/>
      <c r="AU291" s="592"/>
      <c r="AV291" s="517"/>
      <c r="AW291" s="517"/>
      <c r="AX291" s="517"/>
      <c r="AY291" s="517"/>
      <c r="AZ291" s="517"/>
      <c r="BA291" s="517"/>
      <c r="BB291" s="517"/>
      <c r="BC291" s="517"/>
      <c r="BD291" s="517"/>
      <c r="BE291" s="517"/>
      <c r="BF291" s="517"/>
      <c r="BG291" s="517"/>
      <c r="BH291" s="517"/>
      <c r="BI291" s="517"/>
      <c r="BJ291" s="517"/>
      <c r="BK291" s="517"/>
      <c r="BL291" s="517"/>
      <c r="BM291" s="517"/>
      <c r="BN291" s="517"/>
      <c r="BO291" s="517"/>
      <c r="BP291" s="517"/>
      <c r="BQ291" s="517"/>
      <c r="BR291" s="517"/>
      <c r="BS291" s="517"/>
      <c r="BT291" s="517"/>
      <c r="BU291" s="517"/>
      <c r="BV291" s="517"/>
      <c r="BW291" s="517"/>
      <c r="BX291" s="517"/>
      <c r="BY291" s="517"/>
      <c r="BZ291" s="517"/>
      <c r="CA291" s="517"/>
      <c r="CB291" s="517"/>
      <c r="CC291" s="517"/>
      <c r="CD291" s="517"/>
      <c r="CE291" s="517"/>
      <c r="CF291" s="517"/>
      <c r="CG291" s="517"/>
      <c r="CH291" s="517"/>
      <c r="CI291" s="517"/>
      <c r="CJ291" s="517"/>
      <c r="CK291" s="517"/>
      <c r="CL291" s="517"/>
      <c r="CM291" s="517"/>
      <c r="CN291" s="517"/>
      <c r="CO291" s="517"/>
      <c r="CP291" s="517"/>
      <c r="CQ291" s="517"/>
      <c r="CR291" s="517"/>
      <c r="CS291" s="517"/>
      <c r="CT291" s="517"/>
      <c r="CU291" s="517"/>
      <c r="CV291" s="517"/>
      <c r="CW291" s="517"/>
      <c r="CX291" s="517"/>
    </row>
    <row r="292" spans="1:102" ht="12" customHeight="1" x14ac:dyDescent="0.2">
      <c r="A292" s="517"/>
      <c r="B292" s="517"/>
      <c r="C292" s="517"/>
      <c r="D292" s="517"/>
      <c r="E292" s="517"/>
      <c r="F292" s="517"/>
      <c r="G292" s="517"/>
      <c r="H292" s="517"/>
      <c r="I292" s="517"/>
      <c r="J292" s="517"/>
      <c r="K292" s="517"/>
      <c r="L292" s="517"/>
      <c r="M292" s="517"/>
      <c r="N292" s="517"/>
      <c r="O292" s="517"/>
      <c r="P292" s="517"/>
      <c r="Q292" s="517"/>
      <c r="R292" s="517"/>
      <c r="S292" s="517"/>
      <c r="T292" s="517"/>
      <c r="U292" s="517"/>
      <c r="V292" s="517"/>
      <c r="W292" s="517"/>
      <c r="X292" s="127"/>
      <c r="Y292" s="127"/>
      <c r="Z292" s="127"/>
      <c r="AA292" s="127"/>
      <c r="AB292" s="127"/>
      <c r="AC292" s="127"/>
      <c r="AD292" s="127"/>
      <c r="AE292" s="127"/>
      <c r="AF292" s="127"/>
      <c r="AG292" s="127"/>
      <c r="AH292" s="127"/>
      <c r="AI292" s="127"/>
      <c r="AJ292" s="127"/>
      <c r="AK292" s="127"/>
      <c r="AL292" s="127"/>
      <c r="AM292" s="127"/>
      <c r="AN292" s="517"/>
      <c r="AO292" s="517"/>
      <c r="AP292" s="517"/>
      <c r="AQ292" s="127"/>
      <c r="AR292" s="517"/>
      <c r="AS292" s="517"/>
      <c r="AT292" s="517"/>
      <c r="AU292" s="592"/>
      <c r="AV292" s="517"/>
      <c r="AW292" s="517"/>
      <c r="AX292" s="517"/>
      <c r="AY292" s="517"/>
      <c r="AZ292" s="517"/>
      <c r="BA292" s="517"/>
      <c r="BB292" s="517"/>
      <c r="BC292" s="517"/>
      <c r="BD292" s="517"/>
      <c r="BE292" s="517"/>
      <c r="BF292" s="517"/>
      <c r="BG292" s="517"/>
      <c r="BH292" s="517"/>
      <c r="BI292" s="517"/>
      <c r="BJ292" s="517"/>
      <c r="BK292" s="517"/>
      <c r="BL292" s="517"/>
      <c r="BM292" s="517"/>
      <c r="BN292" s="517"/>
      <c r="BO292" s="517"/>
      <c r="BP292" s="517"/>
      <c r="BQ292" s="517"/>
      <c r="BR292" s="517"/>
      <c r="BS292" s="517"/>
      <c r="BT292" s="517"/>
      <c r="BU292" s="517"/>
      <c r="BV292" s="517"/>
      <c r="BW292" s="517"/>
      <c r="BX292" s="517"/>
      <c r="BY292" s="517"/>
      <c r="BZ292" s="517"/>
      <c r="CA292" s="517"/>
      <c r="CB292" s="517"/>
      <c r="CC292" s="517"/>
      <c r="CD292" s="517"/>
      <c r="CE292" s="517"/>
      <c r="CF292" s="517"/>
      <c r="CG292" s="517"/>
      <c r="CH292" s="517"/>
      <c r="CI292" s="517"/>
      <c r="CJ292" s="517"/>
      <c r="CK292" s="517"/>
      <c r="CL292" s="517"/>
      <c r="CM292" s="517"/>
      <c r="CN292" s="517"/>
      <c r="CO292" s="517"/>
      <c r="CP292" s="517"/>
      <c r="CQ292" s="517"/>
      <c r="CR292" s="517"/>
      <c r="CS292" s="517"/>
      <c r="CT292" s="517"/>
      <c r="CU292" s="517"/>
      <c r="CV292" s="517"/>
      <c r="CW292" s="517"/>
      <c r="CX292" s="517"/>
    </row>
    <row r="293" spans="1:102" ht="12" customHeight="1" x14ac:dyDescent="0.2">
      <c r="A293" s="517"/>
      <c r="B293" s="517"/>
      <c r="C293" s="517"/>
      <c r="D293" s="517"/>
      <c r="E293" s="517"/>
      <c r="F293" s="517"/>
      <c r="G293" s="517"/>
      <c r="H293" s="517"/>
      <c r="I293" s="517"/>
      <c r="J293" s="517"/>
      <c r="K293" s="517"/>
      <c r="L293" s="517"/>
      <c r="M293" s="517"/>
      <c r="N293" s="517"/>
      <c r="O293" s="517"/>
      <c r="P293" s="517"/>
      <c r="Q293" s="517"/>
      <c r="R293" s="517"/>
      <c r="S293" s="517"/>
      <c r="T293" s="517"/>
      <c r="U293" s="517"/>
      <c r="V293" s="517"/>
      <c r="W293" s="517"/>
      <c r="X293" s="127"/>
      <c r="Y293" s="127"/>
      <c r="Z293" s="127"/>
      <c r="AA293" s="127"/>
      <c r="AB293" s="127"/>
      <c r="AC293" s="127"/>
      <c r="AD293" s="127"/>
      <c r="AE293" s="127"/>
      <c r="AF293" s="127"/>
      <c r="AG293" s="127"/>
      <c r="AH293" s="127"/>
      <c r="AI293" s="127"/>
      <c r="AJ293" s="127"/>
      <c r="AK293" s="127"/>
      <c r="AL293" s="127"/>
      <c r="AM293" s="127"/>
      <c r="AN293" s="517"/>
      <c r="AO293" s="517"/>
      <c r="AP293" s="517"/>
      <c r="AQ293" s="127"/>
      <c r="AR293" s="517"/>
      <c r="AS293" s="517"/>
      <c r="AT293" s="517"/>
      <c r="AU293" s="592"/>
      <c r="AV293" s="517"/>
      <c r="AW293" s="517"/>
      <c r="AX293" s="517"/>
      <c r="AY293" s="517"/>
      <c r="AZ293" s="517"/>
      <c r="BA293" s="517"/>
      <c r="BB293" s="517"/>
      <c r="BC293" s="517"/>
      <c r="BD293" s="517"/>
      <c r="BE293" s="517"/>
      <c r="BF293" s="517"/>
      <c r="BG293" s="517"/>
      <c r="BH293" s="517"/>
      <c r="BI293" s="517"/>
      <c r="BJ293" s="517"/>
      <c r="BK293" s="517"/>
      <c r="BL293" s="517"/>
      <c r="BM293" s="517"/>
      <c r="BN293" s="517"/>
      <c r="BO293" s="517"/>
      <c r="BP293" s="517"/>
      <c r="BQ293" s="517"/>
      <c r="BR293" s="517"/>
      <c r="BS293" s="517"/>
      <c r="BT293" s="517"/>
      <c r="BU293" s="517"/>
      <c r="BV293" s="517"/>
      <c r="BW293" s="517"/>
      <c r="BX293" s="517"/>
      <c r="BY293" s="517"/>
      <c r="BZ293" s="517"/>
      <c r="CA293" s="517"/>
      <c r="CB293" s="517"/>
      <c r="CC293" s="517"/>
      <c r="CD293" s="517"/>
      <c r="CE293" s="517"/>
      <c r="CF293" s="517"/>
      <c r="CG293" s="517"/>
      <c r="CH293" s="517"/>
      <c r="CI293" s="517"/>
      <c r="CJ293" s="517"/>
      <c r="CK293" s="517"/>
      <c r="CL293" s="517"/>
      <c r="CM293" s="517"/>
      <c r="CN293" s="517"/>
      <c r="CO293" s="517"/>
      <c r="CP293" s="517"/>
      <c r="CQ293" s="517"/>
      <c r="CR293" s="517"/>
      <c r="CS293" s="517"/>
      <c r="CT293" s="517"/>
      <c r="CU293" s="517"/>
      <c r="CV293" s="517"/>
      <c r="CW293" s="517"/>
      <c r="CX293" s="517"/>
    </row>
    <row r="294" spans="1:102" ht="12" customHeight="1" x14ac:dyDescent="0.2">
      <c r="A294" s="517"/>
      <c r="B294" s="517"/>
      <c r="C294" s="517"/>
      <c r="D294" s="517"/>
      <c r="E294" s="517"/>
      <c r="F294" s="517"/>
      <c r="G294" s="517"/>
      <c r="H294" s="517"/>
      <c r="I294" s="517"/>
      <c r="J294" s="517"/>
      <c r="K294" s="517"/>
      <c r="L294" s="517"/>
      <c r="M294" s="517"/>
      <c r="N294" s="517"/>
      <c r="O294" s="517"/>
      <c r="P294" s="517"/>
      <c r="Q294" s="517"/>
      <c r="R294" s="517"/>
      <c r="S294" s="517"/>
      <c r="T294" s="517"/>
      <c r="U294" s="517"/>
      <c r="V294" s="517"/>
      <c r="W294" s="517"/>
      <c r="X294" s="127"/>
      <c r="Y294" s="127"/>
      <c r="Z294" s="127"/>
      <c r="AA294" s="127"/>
      <c r="AB294" s="127"/>
      <c r="AC294" s="127"/>
      <c r="AD294" s="127"/>
      <c r="AE294" s="127"/>
      <c r="AF294" s="127"/>
      <c r="AG294" s="127"/>
      <c r="AH294" s="127"/>
      <c r="AI294" s="127"/>
      <c r="AJ294" s="127"/>
      <c r="AK294" s="127"/>
      <c r="AL294" s="127"/>
      <c r="AM294" s="127"/>
      <c r="AN294" s="517"/>
      <c r="AO294" s="517"/>
      <c r="AP294" s="517"/>
      <c r="AQ294" s="127"/>
      <c r="AR294" s="517"/>
      <c r="AS294" s="517"/>
      <c r="AT294" s="517"/>
      <c r="AU294" s="592"/>
      <c r="AV294" s="517"/>
      <c r="AW294" s="517"/>
      <c r="AX294" s="517"/>
      <c r="AY294" s="517"/>
      <c r="AZ294" s="517"/>
      <c r="BA294" s="517"/>
      <c r="BB294" s="517"/>
      <c r="BC294" s="517"/>
      <c r="BD294" s="517"/>
      <c r="BE294" s="517"/>
      <c r="BF294" s="517"/>
      <c r="BG294" s="517"/>
      <c r="BH294" s="517"/>
      <c r="BI294" s="517"/>
      <c r="BJ294" s="517"/>
      <c r="BK294" s="517"/>
      <c r="BL294" s="517"/>
      <c r="BM294" s="517"/>
      <c r="BN294" s="517"/>
      <c r="BO294" s="517"/>
      <c r="BP294" s="517"/>
      <c r="BQ294" s="517"/>
      <c r="BR294" s="517"/>
      <c r="BS294" s="517"/>
      <c r="BT294" s="517"/>
      <c r="BU294" s="517"/>
      <c r="BV294" s="517"/>
      <c r="BW294" s="517"/>
      <c r="BX294" s="517"/>
      <c r="BY294" s="517"/>
      <c r="BZ294" s="517"/>
      <c r="CA294" s="517"/>
      <c r="CB294" s="517"/>
      <c r="CC294" s="517"/>
      <c r="CD294" s="517"/>
      <c r="CE294" s="517"/>
      <c r="CF294" s="517"/>
      <c r="CG294" s="517"/>
      <c r="CH294" s="517"/>
      <c r="CI294" s="517"/>
      <c r="CJ294" s="517"/>
      <c r="CK294" s="517"/>
      <c r="CL294" s="517"/>
      <c r="CM294" s="517"/>
      <c r="CN294" s="517"/>
      <c r="CO294" s="517"/>
      <c r="CP294" s="517"/>
      <c r="CQ294" s="517"/>
      <c r="CR294" s="517"/>
      <c r="CS294" s="517"/>
      <c r="CT294" s="517"/>
      <c r="CU294" s="517"/>
      <c r="CV294" s="517"/>
      <c r="CW294" s="517"/>
      <c r="CX294" s="517"/>
    </row>
    <row r="295" spans="1:102" ht="12" customHeight="1" x14ac:dyDescent="0.2">
      <c r="A295" s="517"/>
      <c r="B295" s="517"/>
      <c r="C295" s="517"/>
      <c r="D295" s="517"/>
      <c r="E295" s="517"/>
      <c r="F295" s="517"/>
      <c r="G295" s="517"/>
      <c r="H295" s="517"/>
      <c r="I295" s="517"/>
      <c r="J295" s="517"/>
      <c r="K295" s="517"/>
      <c r="L295" s="517"/>
      <c r="M295" s="517"/>
      <c r="N295" s="517"/>
      <c r="O295" s="517"/>
      <c r="P295" s="517"/>
      <c r="Q295" s="517"/>
      <c r="R295" s="517"/>
      <c r="S295" s="517"/>
      <c r="T295" s="517"/>
      <c r="U295" s="517"/>
      <c r="V295" s="517"/>
      <c r="W295" s="517"/>
      <c r="X295" s="127"/>
      <c r="Y295" s="127"/>
      <c r="Z295" s="127"/>
      <c r="AA295" s="127"/>
      <c r="AB295" s="127"/>
      <c r="AC295" s="127"/>
      <c r="AD295" s="127"/>
      <c r="AE295" s="127"/>
      <c r="AF295" s="127"/>
      <c r="AG295" s="127"/>
      <c r="AH295" s="127"/>
      <c r="AI295" s="127"/>
      <c r="AJ295" s="127"/>
      <c r="AK295" s="127"/>
      <c r="AL295" s="127"/>
      <c r="AM295" s="127"/>
      <c r="AN295" s="517"/>
      <c r="AO295" s="517"/>
      <c r="AP295" s="517"/>
      <c r="AQ295" s="127"/>
      <c r="AR295" s="517"/>
      <c r="AS295" s="517"/>
      <c r="AT295" s="517"/>
      <c r="AU295" s="592"/>
      <c r="AV295" s="517"/>
      <c r="AW295" s="517"/>
      <c r="AX295" s="517"/>
      <c r="AY295" s="517"/>
      <c r="AZ295" s="517"/>
      <c r="BA295" s="517"/>
      <c r="BB295" s="517"/>
      <c r="BC295" s="517"/>
      <c r="BD295" s="517"/>
      <c r="BE295" s="517"/>
      <c r="BF295" s="517"/>
      <c r="BG295" s="517"/>
      <c r="BH295" s="517"/>
      <c r="BI295" s="517"/>
      <c r="BJ295" s="517"/>
      <c r="BK295" s="517"/>
      <c r="BL295" s="517"/>
      <c r="BM295" s="517"/>
      <c r="BN295" s="517"/>
      <c r="BO295" s="517"/>
      <c r="BP295" s="517"/>
      <c r="BQ295" s="517"/>
      <c r="BR295" s="517"/>
      <c r="BS295" s="517"/>
      <c r="BT295" s="517"/>
      <c r="BU295" s="517"/>
      <c r="BV295" s="517"/>
      <c r="BW295" s="517"/>
      <c r="BX295" s="517"/>
      <c r="BY295" s="517"/>
      <c r="BZ295" s="517"/>
      <c r="CA295" s="517"/>
      <c r="CB295" s="517"/>
      <c r="CC295" s="517"/>
      <c r="CD295" s="517"/>
      <c r="CE295" s="517"/>
      <c r="CF295" s="517"/>
      <c r="CG295" s="517"/>
      <c r="CH295" s="517"/>
      <c r="CI295" s="517"/>
      <c r="CJ295" s="517"/>
      <c r="CK295" s="517"/>
      <c r="CL295" s="517"/>
      <c r="CM295" s="517"/>
      <c r="CN295" s="517"/>
      <c r="CO295" s="517"/>
      <c r="CP295" s="517"/>
      <c r="CQ295" s="517"/>
      <c r="CR295" s="517"/>
      <c r="CS295" s="517"/>
      <c r="CT295" s="517"/>
      <c r="CU295" s="517"/>
      <c r="CV295" s="517"/>
      <c r="CW295" s="517"/>
      <c r="CX295" s="517"/>
    </row>
    <row r="296" spans="1:102" ht="12" customHeight="1" x14ac:dyDescent="0.2">
      <c r="A296" s="517"/>
      <c r="B296" s="517"/>
      <c r="C296" s="517"/>
      <c r="D296" s="517"/>
      <c r="E296" s="517"/>
      <c r="F296" s="517"/>
      <c r="G296" s="517"/>
      <c r="H296" s="517"/>
      <c r="I296" s="517"/>
      <c r="J296" s="517"/>
      <c r="K296" s="517"/>
      <c r="L296" s="517"/>
      <c r="M296" s="517"/>
      <c r="N296" s="517"/>
      <c r="O296" s="517"/>
      <c r="P296" s="517"/>
      <c r="Q296" s="517"/>
      <c r="R296" s="517"/>
      <c r="S296" s="517"/>
      <c r="T296" s="517"/>
      <c r="U296" s="517"/>
      <c r="V296" s="517"/>
      <c r="W296" s="517"/>
      <c r="X296" s="127"/>
      <c r="Y296" s="127"/>
      <c r="Z296" s="127"/>
      <c r="AA296" s="127"/>
      <c r="AB296" s="127"/>
      <c r="AC296" s="127"/>
      <c r="AD296" s="127"/>
      <c r="AE296" s="127"/>
      <c r="AF296" s="127"/>
      <c r="AG296" s="127"/>
      <c r="AH296" s="127"/>
      <c r="AI296" s="127"/>
      <c r="AJ296" s="127"/>
      <c r="AK296" s="127"/>
      <c r="AL296" s="127"/>
      <c r="AM296" s="127"/>
      <c r="AN296" s="517"/>
      <c r="AO296" s="517"/>
      <c r="AP296" s="517"/>
      <c r="AQ296" s="127"/>
      <c r="AR296" s="517"/>
      <c r="AS296" s="517"/>
      <c r="AT296" s="517"/>
      <c r="AU296" s="592"/>
      <c r="AV296" s="517"/>
      <c r="AW296" s="517"/>
      <c r="AX296" s="517"/>
      <c r="AY296" s="517"/>
      <c r="AZ296" s="517"/>
      <c r="BA296" s="517"/>
      <c r="BB296" s="517"/>
      <c r="BC296" s="517"/>
      <c r="BD296" s="517"/>
      <c r="BE296" s="517"/>
      <c r="BF296" s="517"/>
      <c r="BG296" s="517"/>
      <c r="BH296" s="517"/>
      <c r="BI296" s="517"/>
      <c r="BJ296" s="517"/>
      <c r="BK296" s="517"/>
      <c r="BL296" s="517"/>
      <c r="BM296" s="517"/>
      <c r="BN296" s="517"/>
      <c r="BO296" s="517"/>
      <c r="BP296" s="517"/>
      <c r="BQ296" s="517"/>
      <c r="BR296" s="517"/>
      <c r="BS296" s="517"/>
      <c r="BT296" s="517"/>
      <c r="BU296" s="517"/>
      <c r="BV296" s="517"/>
      <c r="BW296" s="517"/>
      <c r="BX296" s="517"/>
      <c r="BY296" s="517"/>
      <c r="BZ296" s="517"/>
      <c r="CA296" s="517"/>
      <c r="CB296" s="517"/>
      <c r="CC296" s="517"/>
      <c r="CD296" s="517"/>
      <c r="CE296" s="517"/>
      <c r="CF296" s="517"/>
      <c r="CG296" s="517"/>
      <c r="CH296" s="517"/>
      <c r="CI296" s="517"/>
      <c r="CJ296" s="517"/>
      <c r="CK296" s="517"/>
      <c r="CL296" s="517"/>
      <c r="CM296" s="517"/>
      <c r="CN296" s="517"/>
      <c r="CO296" s="517"/>
      <c r="CP296" s="517"/>
      <c r="CQ296" s="517"/>
      <c r="CR296" s="517"/>
      <c r="CS296" s="517"/>
      <c r="CT296" s="517"/>
      <c r="CU296" s="517"/>
      <c r="CV296" s="517"/>
      <c r="CW296" s="517"/>
      <c r="CX296" s="517"/>
    </row>
    <row r="297" spans="1:102" ht="12" customHeight="1" x14ac:dyDescent="0.2">
      <c r="A297" s="517"/>
      <c r="B297" s="517"/>
      <c r="C297" s="517"/>
      <c r="D297" s="517"/>
      <c r="E297" s="517"/>
      <c r="F297" s="517"/>
      <c r="G297" s="517"/>
      <c r="H297" s="517"/>
      <c r="I297" s="517"/>
      <c r="J297" s="517"/>
      <c r="K297" s="517"/>
      <c r="L297" s="517"/>
      <c r="M297" s="517"/>
      <c r="N297" s="517"/>
      <c r="O297" s="517"/>
      <c r="P297" s="517"/>
      <c r="Q297" s="517"/>
      <c r="R297" s="517"/>
      <c r="S297" s="517"/>
      <c r="T297" s="517"/>
      <c r="U297" s="517"/>
      <c r="V297" s="517"/>
      <c r="W297" s="517"/>
      <c r="X297" s="127"/>
      <c r="Y297" s="127"/>
      <c r="Z297" s="127"/>
      <c r="AA297" s="127"/>
      <c r="AB297" s="127"/>
      <c r="AC297" s="127"/>
      <c r="AD297" s="127"/>
      <c r="AE297" s="127"/>
      <c r="AF297" s="127"/>
      <c r="AG297" s="127"/>
      <c r="AH297" s="127"/>
      <c r="AI297" s="127"/>
      <c r="AJ297" s="127"/>
      <c r="AK297" s="127"/>
      <c r="AL297" s="127"/>
      <c r="AM297" s="127"/>
      <c r="AN297" s="517"/>
      <c r="AO297" s="517"/>
      <c r="AP297" s="517"/>
      <c r="AQ297" s="127"/>
      <c r="AR297" s="517"/>
      <c r="AS297" s="517"/>
      <c r="AT297" s="517"/>
      <c r="AU297" s="592"/>
      <c r="AV297" s="517"/>
      <c r="AW297" s="517"/>
      <c r="AX297" s="517"/>
      <c r="AY297" s="517"/>
      <c r="AZ297" s="517"/>
      <c r="BA297" s="517"/>
      <c r="BB297" s="517"/>
      <c r="BC297" s="517"/>
      <c r="BD297" s="517"/>
      <c r="BE297" s="517"/>
      <c r="BF297" s="517"/>
      <c r="BG297" s="517"/>
      <c r="BH297" s="517"/>
      <c r="BI297" s="517"/>
      <c r="BJ297" s="517"/>
      <c r="BK297" s="517"/>
      <c r="BL297" s="517"/>
      <c r="BM297" s="517"/>
      <c r="BN297" s="517"/>
      <c r="BO297" s="517"/>
      <c r="BP297" s="517"/>
      <c r="BQ297" s="517"/>
      <c r="BR297" s="517"/>
      <c r="BS297" s="517"/>
      <c r="BT297" s="517"/>
      <c r="BU297" s="517"/>
      <c r="BV297" s="517"/>
      <c r="BW297" s="517"/>
      <c r="BX297" s="517"/>
      <c r="BY297" s="517"/>
      <c r="BZ297" s="517"/>
      <c r="CA297" s="517"/>
      <c r="CB297" s="517"/>
      <c r="CC297" s="517"/>
      <c r="CD297" s="517"/>
      <c r="CE297" s="517"/>
      <c r="CF297" s="517"/>
      <c r="CG297" s="517"/>
      <c r="CH297" s="517"/>
      <c r="CI297" s="517"/>
      <c r="CJ297" s="517"/>
      <c r="CK297" s="517"/>
      <c r="CL297" s="517"/>
      <c r="CM297" s="517"/>
      <c r="CN297" s="517"/>
      <c r="CO297" s="517"/>
      <c r="CP297" s="517"/>
      <c r="CQ297" s="517"/>
      <c r="CR297" s="517"/>
      <c r="CS297" s="517"/>
      <c r="CT297" s="517"/>
      <c r="CU297" s="517"/>
      <c r="CV297" s="517"/>
      <c r="CW297" s="517"/>
      <c r="CX297" s="517"/>
    </row>
    <row r="298" spans="1:102" ht="12" customHeight="1" x14ac:dyDescent="0.2">
      <c r="A298" s="517"/>
      <c r="B298" s="517"/>
      <c r="C298" s="517"/>
      <c r="D298" s="517"/>
      <c r="E298" s="517"/>
      <c r="F298" s="517"/>
      <c r="G298" s="517"/>
      <c r="H298" s="517"/>
      <c r="I298" s="517"/>
      <c r="J298" s="517"/>
      <c r="K298" s="517"/>
      <c r="L298" s="517"/>
      <c r="M298" s="517"/>
      <c r="N298" s="517"/>
      <c r="O298" s="517"/>
      <c r="P298" s="517"/>
      <c r="Q298" s="517"/>
      <c r="R298" s="517"/>
      <c r="S298" s="517"/>
      <c r="T298" s="517"/>
      <c r="U298" s="517"/>
      <c r="V298" s="517"/>
      <c r="W298" s="517"/>
      <c r="X298" s="127"/>
      <c r="Y298" s="127"/>
      <c r="Z298" s="127"/>
      <c r="AA298" s="127"/>
      <c r="AB298" s="127"/>
      <c r="AC298" s="127"/>
      <c r="AD298" s="127"/>
      <c r="AE298" s="127"/>
      <c r="AF298" s="127"/>
      <c r="AG298" s="127"/>
      <c r="AH298" s="127"/>
      <c r="AI298" s="127"/>
      <c r="AJ298" s="127"/>
      <c r="AK298" s="127"/>
      <c r="AL298" s="127"/>
      <c r="AM298" s="127"/>
      <c r="AN298" s="517"/>
      <c r="AO298" s="517"/>
      <c r="AP298" s="517"/>
      <c r="AQ298" s="127"/>
      <c r="AR298" s="517"/>
      <c r="AS298" s="517"/>
      <c r="AT298" s="517"/>
      <c r="AU298" s="592"/>
      <c r="AV298" s="517"/>
      <c r="AW298" s="517"/>
      <c r="AX298" s="517"/>
      <c r="AY298" s="517"/>
      <c r="AZ298" s="517"/>
      <c r="BA298" s="517"/>
      <c r="BB298" s="517"/>
      <c r="BC298" s="517"/>
      <c r="BD298" s="517"/>
      <c r="BE298" s="517"/>
      <c r="BF298" s="517"/>
      <c r="BG298" s="517"/>
      <c r="BH298" s="517"/>
      <c r="BI298" s="517"/>
      <c r="BJ298" s="517"/>
      <c r="BK298" s="517"/>
      <c r="BL298" s="517"/>
      <c r="BM298" s="517"/>
      <c r="BN298" s="517"/>
      <c r="BO298" s="517"/>
      <c r="BP298" s="517"/>
      <c r="BQ298" s="517"/>
      <c r="BR298" s="517"/>
      <c r="BS298" s="517"/>
      <c r="BT298" s="517"/>
      <c r="BU298" s="517"/>
      <c r="BV298" s="517"/>
      <c r="BW298" s="517"/>
      <c r="BX298" s="517"/>
      <c r="BY298" s="517"/>
      <c r="BZ298" s="517"/>
      <c r="CA298" s="517"/>
      <c r="CB298" s="517"/>
      <c r="CC298" s="517"/>
      <c r="CD298" s="517"/>
      <c r="CE298" s="517"/>
      <c r="CF298" s="517"/>
      <c r="CG298" s="517"/>
      <c r="CH298" s="517"/>
      <c r="CI298" s="517"/>
      <c r="CJ298" s="517"/>
      <c r="CK298" s="517"/>
      <c r="CL298" s="517"/>
      <c r="CM298" s="517"/>
      <c r="CN298" s="517"/>
      <c r="CO298" s="517"/>
      <c r="CP298" s="517"/>
      <c r="CQ298" s="517"/>
      <c r="CR298" s="517"/>
      <c r="CS298" s="517"/>
      <c r="CT298" s="517"/>
      <c r="CU298" s="517"/>
      <c r="CV298" s="517"/>
      <c r="CW298" s="517"/>
      <c r="CX298" s="517"/>
    </row>
    <row r="299" spans="1:102" ht="12" customHeight="1" x14ac:dyDescent="0.2">
      <c r="A299" s="517"/>
      <c r="B299" s="517"/>
      <c r="C299" s="517"/>
      <c r="D299" s="517"/>
      <c r="E299" s="517"/>
      <c r="F299" s="517"/>
      <c r="G299" s="517"/>
      <c r="H299" s="517"/>
      <c r="I299" s="517"/>
      <c r="J299" s="517"/>
      <c r="K299" s="517"/>
      <c r="L299" s="517"/>
      <c r="M299" s="517"/>
      <c r="N299" s="517"/>
      <c r="O299" s="517"/>
      <c r="P299" s="517"/>
      <c r="Q299" s="517"/>
      <c r="R299" s="517"/>
      <c r="S299" s="517"/>
      <c r="T299" s="517"/>
      <c r="U299" s="517"/>
      <c r="V299" s="517"/>
      <c r="W299" s="517"/>
      <c r="X299" s="127"/>
      <c r="Y299" s="127"/>
      <c r="Z299" s="127"/>
      <c r="AA299" s="127"/>
      <c r="AB299" s="127"/>
      <c r="AC299" s="127"/>
      <c r="AD299" s="127"/>
      <c r="AE299" s="127"/>
      <c r="AF299" s="127"/>
      <c r="AG299" s="127"/>
      <c r="AH299" s="127"/>
      <c r="AI299" s="127"/>
      <c r="AJ299" s="127"/>
      <c r="AK299" s="127"/>
      <c r="AL299" s="127"/>
      <c r="AM299" s="127"/>
      <c r="AN299" s="517"/>
      <c r="AO299" s="517"/>
      <c r="AP299" s="517"/>
      <c r="AQ299" s="127"/>
      <c r="AR299" s="517"/>
      <c r="AS299" s="517"/>
      <c r="AT299" s="517"/>
      <c r="AU299" s="592"/>
      <c r="AV299" s="517"/>
      <c r="AW299" s="517"/>
      <c r="AX299" s="517"/>
      <c r="AY299" s="517"/>
      <c r="AZ299" s="517"/>
      <c r="BA299" s="517"/>
      <c r="BB299" s="517"/>
      <c r="BC299" s="517"/>
      <c r="BD299" s="517"/>
      <c r="BE299" s="517"/>
      <c r="BF299" s="517"/>
      <c r="BG299" s="517"/>
      <c r="BH299" s="517"/>
      <c r="BI299" s="517"/>
      <c r="BJ299" s="517"/>
      <c r="BK299" s="517"/>
      <c r="BL299" s="517"/>
      <c r="BM299" s="517"/>
      <c r="BN299" s="517"/>
      <c r="BO299" s="517"/>
      <c r="BP299" s="517"/>
      <c r="BQ299" s="517"/>
      <c r="BR299" s="517"/>
      <c r="BS299" s="517"/>
      <c r="BT299" s="517"/>
      <c r="BU299" s="517"/>
      <c r="BV299" s="517"/>
      <c r="BW299" s="517"/>
      <c r="BX299" s="517"/>
      <c r="BY299" s="517"/>
      <c r="BZ299" s="517"/>
      <c r="CA299" s="517"/>
      <c r="CB299" s="517"/>
      <c r="CC299" s="517"/>
      <c r="CD299" s="517"/>
      <c r="CE299" s="517"/>
      <c r="CF299" s="517"/>
      <c r="CG299" s="517"/>
      <c r="CH299" s="517"/>
      <c r="CI299" s="517"/>
      <c r="CJ299" s="517"/>
      <c r="CK299" s="517"/>
      <c r="CL299" s="517"/>
      <c r="CM299" s="517"/>
      <c r="CN299" s="517"/>
      <c r="CO299" s="517"/>
      <c r="CP299" s="517"/>
      <c r="CQ299" s="517"/>
      <c r="CR299" s="517"/>
      <c r="CS299" s="517"/>
      <c r="CT299" s="517"/>
      <c r="CU299" s="517"/>
      <c r="CV299" s="517"/>
      <c r="CW299" s="517"/>
      <c r="CX299" s="517"/>
    </row>
    <row r="300" spans="1:102" ht="12" customHeight="1" x14ac:dyDescent="0.2">
      <c r="A300" s="517"/>
      <c r="B300" s="517"/>
      <c r="C300" s="517"/>
      <c r="D300" s="517"/>
      <c r="E300" s="517"/>
      <c r="F300" s="517"/>
      <c r="G300" s="517"/>
      <c r="H300" s="517"/>
      <c r="I300" s="517"/>
      <c r="J300" s="517"/>
      <c r="K300" s="517"/>
      <c r="L300" s="517"/>
      <c r="M300" s="517"/>
      <c r="N300" s="517"/>
      <c r="O300" s="517"/>
      <c r="P300" s="517"/>
      <c r="Q300" s="517"/>
      <c r="R300" s="517"/>
      <c r="S300" s="517"/>
      <c r="T300" s="517"/>
      <c r="U300" s="517"/>
      <c r="V300" s="517"/>
      <c r="W300" s="517"/>
      <c r="X300" s="127"/>
      <c r="Y300" s="127"/>
      <c r="Z300" s="127"/>
      <c r="AA300" s="127"/>
      <c r="AB300" s="127"/>
      <c r="AC300" s="127"/>
      <c r="AD300" s="127"/>
      <c r="AE300" s="127"/>
      <c r="AF300" s="127"/>
      <c r="AG300" s="127"/>
      <c r="AH300" s="127"/>
      <c r="AI300" s="127"/>
      <c r="AJ300" s="127"/>
      <c r="AK300" s="127"/>
      <c r="AL300" s="127"/>
      <c r="AM300" s="127"/>
      <c r="AN300" s="517"/>
      <c r="AO300" s="517"/>
      <c r="AP300" s="517"/>
      <c r="AQ300" s="127"/>
      <c r="AR300" s="517"/>
      <c r="AS300" s="517"/>
      <c r="AT300" s="517"/>
      <c r="AU300" s="592"/>
      <c r="AV300" s="517"/>
      <c r="AW300" s="517"/>
      <c r="AX300" s="517"/>
      <c r="AY300" s="517"/>
      <c r="AZ300" s="517"/>
      <c r="BA300" s="517"/>
      <c r="BB300" s="517"/>
      <c r="BC300" s="517"/>
      <c r="BD300" s="517"/>
      <c r="BE300" s="517"/>
      <c r="BF300" s="517"/>
      <c r="BG300" s="517"/>
      <c r="BH300" s="517"/>
      <c r="BI300" s="517"/>
      <c r="BJ300" s="517"/>
      <c r="BK300" s="517"/>
      <c r="BL300" s="517"/>
      <c r="BM300" s="517"/>
      <c r="BN300" s="517"/>
      <c r="BO300" s="517"/>
      <c r="BP300" s="517"/>
      <c r="BQ300" s="517"/>
      <c r="BR300" s="517"/>
      <c r="BS300" s="517"/>
      <c r="BT300" s="517"/>
      <c r="BU300" s="517"/>
      <c r="BV300" s="517"/>
      <c r="BW300" s="517"/>
      <c r="BX300" s="517"/>
      <c r="BY300" s="517"/>
      <c r="BZ300" s="517"/>
      <c r="CA300" s="517"/>
      <c r="CB300" s="517"/>
      <c r="CC300" s="517"/>
      <c r="CD300" s="517"/>
      <c r="CE300" s="517"/>
      <c r="CF300" s="517"/>
      <c r="CG300" s="517"/>
      <c r="CH300" s="517"/>
      <c r="CI300" s="517"/>
      <c r="CJ300" s="517"/>
      <c r="CK300" s="517"/>
      <c r="CL300" s="517"/>
      <c r="CM300" s="517"/>
      <c r="CN300" s="517"/>
      <c r="CO300" s="517"/>
      <c r="CP300" s="517"/>
      <c r="CQ300" s="517"/>
      <c r="CR300" s="517"/>
      <c r="CS300" s="517"/>
      <c r="CT300" s="517"/>
      <c r="CU300" s="517"/>
      <c r="CV300" s="517"/>
      <c r="CW300" s="517"/>
      <c r="CX300" s="517"/>
    </row>
    <row r="301" spans="1:102" ht="12" customHeight="1" x14ac:dyDescent="0.2">
      <c r="A301" s="517"/>
      <c r="B301" s="517"/>
      <c r="C301" s="517"/>
      <c r="D301" s="517"/>
      <c r="E301" s="517"/>
      <c r="F301" s="517"/>
      <c r="G301" s="517"/>
      <c r="H301" s="517"/>
      <c r="I301" s="517"/>
      <c r="J301" s="517"/>
      <c r="K301" s="517"/>
      <c r="L301" s="517"/>
      <c r="M301" s="517"/>
      <c r="N301" s="517"/>
      <c r="O301" s="517"/>
      <c r="P301" s="517"/>
      <c r="Q301" s="517"/>
      <c r="R301" s="517"/>
      <c r="S301" s="517"/>
      <c r="T301" s="517"/>
      <c r="U301" s="517"/>
      <c r="V301" s="517"/>
      <c r="W301" s="517"/>
      <c r="X301" s="127"/>
      <c r="Y301" s="127"/>
      <c r="Z301" s="127"/>
      <c r="AA301" s="127"/>
      <c r="AB301" s="127"/>
      <c r="AC301" s="127"/>
      <c r="AD301" s="127"/>
      <c r="AE301" s="127"/>
      <c r="AF301" s="127"/>
      <c r="AG301" s="127"/>
      <c r="AH301" s="127"/>
      <c r="AI301" s="127"/>
      <c r="AJ301" s="127"/>
      <c r="AK301" s="127"/>
      <c r="AL301" s="127"/>
      <c r="AM301" s="127"/>
      <c r="AN301" s="517"/>
      <c r="AO301" s="517"/>
      <c r="AP301" s="517"/>
      <c r="AQ301" s="127"/>
      <c r="AR301" s="517"/>
      <c r="AS301" s="517"/>
      <c r="AT301" s="517"/>
      <c r="AU301" s="592"/>
      <c r="AV301" s="517"/>
      <c r="AW301" s="517"/>
      <c r="AX301" s="517"/>
      <c r="AY301" s="517"/>
      <c r="AZ301" s="517"/>
      <c r="BA301" s="517"/>
      <c r="BB301" s="517"/>
      <c r="BC301" s="517"/>
      <c r="BD301" s="517"/>
      <c r="BE301" s="517"/>
      <c r="BF301" s="517"/>
      <c r="BG301" s="517"/>
      <c r="BH301" s="517"/>
      <c r="BI301" s="517"/>
      <c r="BJ301" s="517"/>
      <c r="BK301" s="517"/>
      <c r="BL301" s="517"/>
      <c r="BM301" s="517"/>
      <c r="BN301" s="517"/>
      <c r="BO301" s="517"/>
      <c r="BP301" s="517"/>
      <c r="BQ301" s="517"/>
      <c r="BR301" s="517"/>
      <c r="BS301" s="517"/>
      <c r="BT301" s="517"/>
      <c r="BU301" s="517"/>
      <c r="BV301" s="517"/>
      <c r="BW301" s="517"/>
      <c r="BX301" s="517"/>
      <c r="BY301" s="517"/>
      <c r="BZ301" s="517"/>
      <c r="CA301" s="517"/>
      <c r="CB301" s="517"/>
      <c r="CC301" s="517"/>
      <c r="CD301" s="517"/>
      <c r="CE301" s="517"/>
      <c r="CF301" s="517"/>
      <c r="CG301" s="517"/>
      <c r="CH301" s="517"/>
      <c r="CI301" s="517"/>
      <c r="CJ301" s="517"/>
      <c r="CK301" s="517"/>
      <c r="CL301" s="517"/>
      <c r="CM301" s="517"/>
      <c r="CN301" s="517"/>
      <c r="CO301" s="517"/>
      <c r="CP301" s="517"/>
      <c r="CQ301" s="517"/>
      <c r="CR301" s="517"/>
      <c r="CS301" s="517"/>
      <c r="CT301" s="517"/>
      <c r="CU301" s="517"/>
      <c r="CV301" s="517"/>
      <c r="CW301" s="517"/>
      <c r="CX301" s="517"/>
    </row>
    <row r="302" spans="1:102" ht="12" customHeight="1" x14ac:dyDescent="0.2">
      <c r="A302" s="517"/>
      <c r="B302" s="517"/>
      <c r="C302" s="517"/>
      <c r="D302" s="517"/>
      <c r="E302" s="517"/>
      <c r="F302" s="517"/>
      <c r="G302" s="517"/>
      <c r="H302" s="517"/>
      <c r="I302" s="517"/>
      <c r="J302" s="517"/>
      <c r="K302" s="517"/>
      <c r="L302" s="517"/>
      <c r="M302" s="517"/>
      <c r="N302" s="517"/>
      <c r="O302" s="517"/>
      <c r="P302" s="517"/>
      <c r="Q302" s="517"/>
      <c r="R302" s="517"/>
      <c r="S302" s="517"/>
      <c r="T302" s="517"/>
      <c r="U302" s="517"/>
      <c r="V302" s="517"/>
      <c r="W302" s="517"/>
      <c r="X302" s="127"/>
      <c r="Y302" s="127"/>
      <c r="Z302" s="127"/>
      <c r="AA302" s="127"/>
      <c r="AB302" s="127"/>
      <c r="AC302" s="127"/>
      <c r="AD302" s="127"/>
      <c r="AE302" s="127"/>
      <c r="AF302" s="127"/>
      <c r="AG302" s="127"/>
      <c r="AH302" s="127"/>
      <c r="AI302" s="127"/>
      <c r="AJ302" s="127"/>
      <c r="AK302" s="127"/>
      <c r="AL302" s="127"/>
      <c r="AM302" s="127"/>
      <c r="AN302" s="517"/>
      <c r="AO302" s="517"/>
      <c r="AP302" s="517"/>
      <c r="AQ302" s="127"/>
      <c r="AR302" s="517"/>
      <c r="AS302" s="517"/>
      <c r="AT302" s="517"/>
      <c r="AU302" s="592"/>
      <c r="AV302" s="517"/>
      <c r="AW302" s="517"/>
      <c r="AX302" s="517"/>
      <c r="AY302" s="517"/>
      <c r="AZ302" s="517"/>
      <c r="BA302" s="517"/>
      <c r="BB302" s="517"/>
      <c r="BC302" s="517"/>
      <c r="BD302" s="517"/>
      <c r="BE302" s="517"/>
      <c r="BF302" s="517"/>
      <c r="BG302" s="517"/>
      <c r="BH302" s="517"/>
      <c r="BI302" s="517"/>
      <c r="BJ302" s="517"/>
      <c r="BK302" s="517"/>
      <c r="BL302" s="517"/>
      <c r="BM302" s="517"/>
      <c r="BN302" s="517"/>
      <c r="BO302" s="517"/>
      <c r="BP302" s="517"/>
      <c r="BQ302" s="517"/>
      <c r="BR302" s="517"/>
      <c r="BS302" s="517"/>
      <c r="BT302" s="517"/>
      <c r="BU302" s="517"/>
      <c r="BV302" s="517"/>
      <c r="BW302" s="517"/>
      <c r="BX302" s="517"/>
      <c r="BY302" s="517"/>
      <c r="BZ302" s="517"/>
      <c r="CA302" s="517"/>
      <c r="CB302" s="517"/>
      <c r="CC302" s="517"/>
      <c r="CD302" s="517"/>
      <c r="CE302" s="517"/>
      <c r="CF302" s="517"/>
      <c r="CG302" s="517"/>
      <c r="CH302" s="517"/>
      <c r="CI302" s="517"/>
      <c r="CJ302" s="517"/>
      <c r="CK302" s="517"/>
      <c r="CL302" s="517"/>
      <c r="CM302" s="517"/>
      <c r="CN302" s="517"/>
      <c r="CO302" s="517"/>
      <c r="CP302" s="517"/>
      <c r="CQ302" s="517"/>
      <c r="CR302" s="517"/>
      <c r="CS302" s="517"/>
      <c r="CT302" s="517"/>
      <c r="CU302" s="517"/>
      <c r="CV302" s="517"/>
      <c r="CW302" s="517"/>
      <c r="CX302" s="517"/>
    </row>
    <row r="303" spans="1:102" ht="12" customHeight="1" x14ac:dyDescent="0.2">
      <c r="A303" s="517"/>
      <c r="B303" s="517"/>
      <c r="C303" s="517"/>
      <c r="D303" s="517"/>
      <c r="E303" s="517"/>
      <c r="F303" s="517"/>
      <c r="G303" s="517"/>
      <c r="H303" s="517"/>
      <c r="I303" s="517"/>
      <c r="J303" s="517"/>
      <c r="K303" s="517"/>
      <c r="L303" s="517"/>
      <c r="M303" s="517"/>
      <c r="N303" s="517"/>
      <c r="O303" s="517"/>
      <c r="P303" s="517"/>
      <c r="Q303" s="517"/>
      <c r="R303" s="517"/>
      <c r="S303" s="517"/>
      <c r="T303" s="517"/>
      <c r="U303" s="517"/>
      <c r="V303" s="517"/>
      <c r="W303" s="517"/>
      <c r="X303" s="127"/>
      <c r="Y303" s="127"/>
      <c r="Z303" s="127"/>
      <c r="AA303" s="127"/>
      <c r="AB303" s="127"/>
      <c r="AC303" s="127"/>
      <c r="AD303" s="127"/>
      <c r="AE303" s="127"/>
      <c r="AF303" s="127"/>
      <c r="AG303" s="127"/>
      <c r="AH303" s="127"/>
      <c r="AI303" s="127"/>
      <c r="AJ303" s="127"/>
      <c r="AK303" s="127"/>
      <c r="AL303" s="127"/>
      <c r="AM303" s="127"/>
      <c r="AN303" s="517"/>
      <c r="AO303" s="517"/>
      <c r="AP303" s="517"/>
      <c r="AQ303" s="127"/>
      <c r="AR303" s="517"/>
      <c r="AS303" s="517"/>
      <c r="AT303" s="517"/>
      <c r="AU303" s="592"/>
      <c r="AV303" s="517"/>
      <c r="AW303" s="517"/>
      <c r="AX303" s="517"/>
      <c r="AY303" s="517"/>
      <c r="AZ303" s="517"/>
      <c r="BA303" s="517"/>
      <c r="BB303" s="517"/>
      <c r="BC303" s="517"/>
      <c r="BD303" s="517"/>
      <c r="BE303" s="517"/>
      <c r="BF303" s="517"/>
      <c r="BG303" s="517"/>
      <c r="BH303" s="517"/>
      <c r="BI303" s="517"/>
      <c r="BJ303" s="517"/>
      <c r="BK303" s="517"/>
      <c r="BL303" s="517"/>
      <c r="BM303" s="517"/>
      <c r="BN303" s="517"/>
      <c r="BO303" s="517"/>
      <c r="BP303" s="517"/>
      <c r="BQ303" s="517"/>
      <c r="BR303" s="517"/>
      <c r="BS303" s="517"/>
      <c r="BT303" s="517"/>
      <c r="BU303" s="517"/>
      <c r="BV303" s="517"/>
      <c r="BW303" s="517"/>
      <c r="BX303" s="517"/>
      <c r="BY303" s="517"/>
      <c r="BZ303" s="517"/>
      <c r="CA303" s="517"/>
      <c r="CB303" s="517"/>
      <c r="CC303" s="517"/>
      <c r="CD303" s="517"/>
      <c r="CE303" s="517"/>
      <c r="CF303" s="517"/>
      <c r="CG303" s="517"/>
      <c r="CH303" s="517"/>
      <c r="CI303" s="517"/>
      <c r="CJ303" s="517"/>
      <c r="CK303" s="517"/>
      <c r="CL303" s="517"/>
      <c r="CM303" s="517"/>
      <c r="CN303" s="517"/>
      <c r="CO303" s="517"/>
      <c r="CP303" s="517"/>
      <c r="CQ303" s="517"/>
      <c r="CR303" s="517"/>
      <c r="CS303" s="517"/>
      <c r="CT303" s="517"/>
      <c r="CU303" s="517"/>
      <c r="CV303" s="517"/>
      <c r="CW303" s="517"/>
      <c r="CX303" s="517"/>
    </row>
    <row r="304" spans="1:102" ht="12" customHeight="1" x14ac:dyDescent="0.2">
      <c r="A304" s="517"/>
      <c r="B304" s="517"/>
      <c r="C304" s="517"/>
      <c r="D304" s="517"/>
      <c r="E304" s="517"/>
      <c r="F304" s="517"/>
      <c r="G304" s="517"/>
      <c r="H304" s="517"/>
      <c r="I304" s="517"/>
      <c r="J304" s="517"/>
      <c r="K304" s="517"/>
      <c r="L304" s="517"/>
      <c r="M304" s="517"/>
      <c r="N304" s="517"/>
      <c r="O304" s="517"/>
      <c r="P304" s="517"/>
      <c r="Q304" s="517"/>
      <c r="R304" s="517"/>
      <c r="S304" s="517"/>
      <c r="T304" s="517"/>
      <c r="U304" s="517"/>
      <c r="V304" s="517"/>
      <c r="W304" s="517"/>
      <c r="X304" s="127"/>
      <c r="Y304" s="127"/>
      <c r="Z304" s="127"/>
      <c r="AA304" s="127"/>
      <c r="AB304" s="127"/>
      <c r="AC304" s="127"/>
      <c r="AD304" s="127"/>
      <c r="AE304" s="127"/>
      <c r="AF304" s="127"/>
      <c r="AG304" s="127"/>
      <c r="AH304" s="127"/>
      <c r="AI304" s="127"/>
      <c r="AJ304" s="127"/>
      <c r="AK304" s="127"/>
      <c r="AL304" s="127"/>
      <c r="AM304" s="127"/>
      <c r="AN304" s="517"/>
      <c r="AO304" s="517"/>
      <c r="AP304" s="517"/>
      <c r="AQ304" s="127"/>
      <c r="AR304" s="517"/>
      <c r="AS304" s="517"/>
      <c r="AT304" s="517"/>
      <c r="AU304" s="592"/>
      <c r="AV304" s="517"/>
      <c r="AW304" s="517"/>
      <c r="AX304" s="517"/>
      <c r="AY304" s="517"/>
      <c r="AZ304" s="517"/>
      <c r="BA304" s="517"/>
      <c r="BB304" s="517"/>
      <c r="BC304" s="517"/>
      <c r="BD304" s="517"/>
      <c r="BE304" s="517"/>
      <c r="BF304" s="517"/>
      <c r="BG304" s="517"/>
      <c r="BH304" s="517"/>
      <c r="BI304" s="517"/>
      <c r="BJ304" s="517"/>
      <c r="BK304" s="517"/>
      <c r="BL304" s="517"/>
      <c r="BM304" s="517"/>
      <c r="BN304" s="517"/>
      <c r="BO304" s="517"/>
      <c r="BP304" s="517"/>
      <c r="BQ304" s="517"/>
      <c r="BR304" s="517"/>
      <c r="BS304" s="517"/>
      <c r="BT304" s="517"/>
      <c r="BU304" s="517"/>
      <c r="BV304" s="517"/>
      <c r="BW304" s="517"/>
      <c r="BX304" s="517"/>
      <c r="BY304" s="517"/>
      <c r="BZ304" s="517"/>
      <c r="CA304" s="517"/>
      <c r="CB304" s="517"/>
      <c r="CC304" s="517"/>
      <c r="CD304" s="517"/>
      <c r="CE304" s="517"/>
      <c r="CF304" s="517"/>
      <c r="CG304" s="517"/>
      <c r="CH304" s="517"/>
      <c r="CI304" s="517"/>
      <c r="CJ304" s="517"/>
      <c r="CK304" s="517"/>
      <c r="CL304" s="517"/>
      <c r="CM304" s="517"/>
      <c r="CN304" s="517"/>
      <c r="CO304" s="517"/>
      <c r="CP304" s="517"/>
      <c r="CQ304" s="517"/>
      <c r="CR304" s="517"/>
      <c r="CS304" s="517"/>
      <c r="CT304" s="517"/>
      <c r="CU304" s="517"/>
      <c r="CV304" s="517"/>
      <c r="CW304" s="517"/>
      <c r="CX304" s="517"/>
    </row>
    <row r="305" spans="1:102" ht="12" customHeight="1" x14ac:dyDescent="0.2">
      <c r="A305" s="517"/>
      <c r="B305" s="517"/>
      <c r="C305" s="517"/>
      <c r="D305" s="517"/>
      <c r="E305" s="517"/>
      <c r="F305" s="517"/>
      <c r="G305" s="517"/>
      <c r="H305" s="517"/>
      <c r="I305" s="517"/>
      <c r="J305" s="517"/>
      <c r="K305" s="517"/>
      <c r="L305" s="517"/>
      <c r="M305" s="517"/>
      <c r="N305" s="517"/>
      <c r="O305" s="517"/>
      <c r="P305" s="517"/>
      <c r="Q305" s="517"/>
      <c r="R305" s="517"/>
      <c r="S305" s="517"/>
      <c r="T305" s="517"/>
      <c r="U305" s="517"/>
      <c r="V305" s="517"/>
      <c r="W305" s="517"/>
      <c r="X305" s="127"/>
      <c r="Y305" s="127"/>
      <c r="Z305" s="127"/>
      <c r="AA305" s="127"/>
      <c r="AB305" s="127"/>
      <c r="AC305" s="127"/>
      <c r="AD305" s="127"/>
      <c r="AE305" s="127"/>
      <c r="AF305" s="127"/>
      <c r="AG305" s="127"/>
      <c r="AH305" s="127"/>
      <c r="AI305" s="127"/>
      <c r="AJ305" s="127"/>
      <c r="AK305" s="127"/>
      <c r="AL305" s="127"/>
      <c r="AM305" s="127"/>
      <c r="AN305" s="517"/>
      <c r="AO305" s="517"/>
      <c r="AP305" s="517"/>
      <c r="AQ305" s="127"/>
      <c r="AR305" s="517"/>
      <c r="AS305" s="517"/>
      <c r="AT305" s="517"/>
      <c r="AU305" s="592"/>
      <c r="AV305" s="517"/>
      <c r="AW305" s="517"/>
      <c r="AX305" s="517"/>
      <c r="AY305" s="517"/>
      <c r="AZ305" s="517"/>
      <c r="BA305" s="517"/>
      <c r="BB305" s="517"/>
      <c r="BC305" s="517"/>
      <c r="BD305" s="517"/>
      <c r="BE305" s="517"/>
      <c r="BF305" s="517"/>
      <c r="BG305" s="517"/>
      <c r="BH305" s="517"/>
      <c r="BI305" s="517"/>
      <c r="BJ305" s="517"/>
      <c r="BK305" s="517"/>
      <c r="BL305" s="517"/>
      <c r="BM305" s="517"/>
      <c r="BN305" s="517"/>
      <c r="BO305" s="517"/>
      <c r="BP305" s="517"/>
      <c r="BQ305" s="517"/>
      <c r="BR305" s="517"/>
      <c r="BS305" s="517"/>
      <c r="BT305" s="517"/>
      <c r="BU305" s="517"/>
      <c r="BV305" s="517"/>
      <c r="BW305" s="517"/>
      <c r="BX305" s="517"/>
      <c r="BY305" s="517"/>
      <c r="BZ305" s="517"/>
      <c r="CA305" s="517"/>
      <c r="CB305" s="517"/>
      <c r="CC305" s="517"/>
      <c r="CD305" s="517"/>
      <c r="CE305" s="517"/>
      <c r="CF305" s="517"/>
      <c r="CG305" s="517"/>
      <c r="CH305" s="517"/>
      <c r="CI305" s="517"/>
      <c r="CJ305" s="517"/>
      <c r="CK305" s="517"/>
      <c r="CL305" s="517"/>
      <c r="CM305" s="517"/>
      <c r="CN305" s="517"/>
      <c r="CO305" s="517"/>
      <c r="CP305" s="517"/>
      <c r="CQ305" s="517"/>
      <c r="CR305" s="517"/>
      <c r="CS305" s="517"/>
      <c r="CT305" s="517"/>
      <c r="CU305" s="517"/>
      <c r="CV305" s="517"/>
      <c r="CW305" s="517"/>
      <c r="CX305" s="517"/>
    </row>
    <row r="306" spans="1:102" ht="12" customHeight="1" x14ac:dyDescent="0.2">
      <c r="A306" s="517"/>
      <c r="B306" s="517"/>
      <c r="C306" s="517"/>
      <c r="D306" s="517"/>
      <c r="E306" s="517"/>
      <c r="F306" s="517"/>
      <c r="G306" s="517"/>
      <c r="H306" s="517"/>
      <c r="I306" s="517"/>
      <c r="J306" s="517"/>
      <c r="K306" s="517"/>
      <c r="L306" s="517"/>
      <c r="M306" s="517"/>
      <c r="N306" s="517"/>
      <c r="O306" s="517"/>
      <c r="P306" s="517"/>
      <c r="Q306" s="517"/>
      <c r="R306" s="517"/>
      <c r="S306" s="517"/>
      <c r="T306" s="517"/>
      <c r="U306" s="517"/>
      <c r="V306" s="517"/>
      <c r="W306" s="517"/>
      <c r="X306" s="127"/>
      <c r="Y306" s="127"/>
      <c r="Z306" s="127"/>
      <c r="AA306" s="127"/>
      <c r="AB306" s="127"/>
      <c r="AC306" s="127"/>
      <c r="AD306" s="127"/>
      <c r="AE306" s="127"/>
      <c r="AF306" s="127"/>
      <c r="AG306" s="127"/>
      <c r="AH306" s="127"/>
      <c r="AI306" s="127"/>
      <c r="AJ306" s="127"/>
      <c r="AK306" s="127"/>
      <c r="AL306" s="127"/>
      <c r="AM306" s="127"/>
      <c r="AN306" s="517"/>
      <c r="AO306" s="517"/>
      <c r="AP306" s="517"/>
      <c r="AQ306" s="127"/>
      <c r="AR306" s="517"/>
      <c r="AS306" s="517"/>
      <c r="AT306" s="517"/>
      <c r="AU306" s="592"/>
      <c r="AV306" s="517"/>
      <c r="AW306" s="517"/>
      <c r="AX306" s="517"/>
      <c r="AY306" s="517"/>
      <c r="AZ306" s="517"/>
      <c r="BA306" s="517"/>
      <c r="BB306" s="517"/>
      <c r="BC306" s="517"/>
      <c r="BD306" s="517"/>
      <c r="BE306" s="517"/>
      <c r="BF306" s="517"/>
      <c r="BG306" s="517"/>
      <c r="BH306" s="517"/>
      <c r="BI306" s="517"/>
      <c r="BJ306" s="517"/>
      <c r="BK306" s="517"/>
      <c r="BL306" s="517"/>
      <c r="BM306" s="517"/>
      <c r="BN306" s="517"/>
      <c r="BO306" s="517"/>
      <c r="BP306" s="517"/>
      <c r="BQ306" s="517"/>
      <c r="BR306" s="517"/>
      <c r="BS306" s="517"/>
      <c r="BT306" s="517"/>
      <c r="BU306" s="517"/>
      <c r="BV306" s="517"/>
      <c r="BW306" s="517"/>
      <c r="BX306" s="517"/>
      <c r="BY306" s="517"/>
      <c r="BZ306" s="517"/>
      <c r="CA306" s="517"/>
      <c r="CB306" s="517"/>
      <c r="CC306" s="517"/>
      <c r="CD306" s="517"/>
      <c r="CE306" s="517"/>
      <c r="CF306" s="517"/>
      <c r="CG306" s="517"/>
      <c r="CH306" s="517"/>
      <c r="CI306" s="517"/>
      <c r="CJ306" s="517"/>
      <c r="CK306" s="517"/>
      <c r="CL306" s="517"/>
      <c r="CM306" s="517"/>
      <c r="CN306" s="517"/>
      <c r="CO306" s="517"/>
      <c r="CP306" s="517"/>
      <c r="CQ306" s="517"/>
      <c r="CR306" s="517"/>
      <c r="CS306" s="517"/>
      <c r="CT306" s="517"/>
      <c r="CU306" s="517"/>
      <c r="CV306" s="517"/>
      <c r="CW306" s="517"/>
      <c r="CX306" s="517"/>
    </row>
    <row r="307" spans="1:102" ht="12" customHeight="1" x14ac:dyDescent="0.2">
      <c r="A307" s="517"/>
      <c r="B307" s="517"/>
      <c r="C307" s="517"/>
      <c r="D307" s="517"/>
      <c r="E307" s="517"/>
      <c r="F307" s="517"/>
      <c r="G307" s="517"/>
      <c r="H307" s="517"/>
      <c r="I307" s="517"/>
      <c r="J307" s="517"/>
      <c r="K307" s="517"/>
      <c r="L307" s="517"/>
      <c r="M307" s="517"/>
      <c r="N307" s="517"/>
      <c r="O307" s="517"/>
      <c r="P307" s="517"/>
      <c r="Q307" s="517"/>
      <c r="R307" s="517"/>
      <c r="S307" s="517"/>
      <c r="T307" s="517"/>
      <c r="U307" s="517"/>
      <c r="V307" s="517"/>
      <c r="W307" s="517"/>
      <c r="X307" s="127"/>
      <c r="Y307" s="127"/>
      <c r="Z307" s="127"/>
      <c r="AA307" s="127"/>
      <c r="AB307" s="127"/>
      <c r="AC307" s="127"/>
      <c r="AD307" s="127"/>
      <c r="AE307" s="127"/>
      <c r="AF307" s="127"/>
      <c r="AG307" s="127"/>
      <c r="AH307" s="127"/>
      <c r="AI307" s="127"/>
      <c r="AJ307" s="127"/>
      <c r="AK307" s="127"/>
      <c r="AL307" s="127"/>
      <c r="AM307" s="127"/>
      <c r="AN307" s="517"/>
      <c r="AO307" s="517"/>
      <c r="AP307" s="517"/>
      <c r="AQ307" s="127"/>
      <c r="AR307" s="517"/>
      <c r="AS307" s="517"/>
      <c r="AT307" s="517"/>
      <c r="AU307" s="592"/>
      <c r="AV307" s="517"/>
      <c r="AW307" s="517"/>
      <c r="AX307" s="517"/>
      <c r="AY307" s="517"/>
      <c r="AZ307" s="517"/>
      <c r="BA307" s="517"/>
      <c r="BB307" s="517"/>
      <c r="BC307" s="517"/>
      <c r="BD307" s="517"/>
      <c r="BE307" s="517"/>
      <c r="BF307" s="517"/>
      <c r="BG307" s="517"/>
      <c r="BH307" s="517"/>
      <c r="BI307" s="517"/>
      <c r="BJ307" s="517"/>
      <c r="BK307" s="517"/>
      <c r="BL307" s="517"/>
      <c r="BM307" s="517"/>
      <c r="BN307" s="517"/>
      <c r="BO307" s="517"/>
      <c r="BP307" s="517"/>
      <c r="BQ307" s="517"/>
      <c r="BR307" s="517"/>
      <c r="BS307" s="517"/>
      <c r="BT307" s="517"/>
      <c r="BU307" s="517"/>
      <c r="BV307" s="517"/>
      <c r="BW307" s="517"/>
      <c r="BX307" s="517"/>
      <c r="BY307" s="517"/>
      <c r="BZ307" s="517"/>
      <c r="CA307" s="517"/>
      <c r="CB307" s="517"/>
      <c r="CC307" s="517"/>
      <c r="CD307" s="517"/>
      <c r="CE307" s="517"/>
      <c r="CF307" s="517"/>
      <c r="CG307" s="517"/>
      <c r="CH307" s="517"/>
      <c r="CI307" s="517"/>
      <c r="CJ307" s="517"/>
      <c r="CK307" s="517"/>
      <c r="CL307" s="517"/>
      <c r="CM307" s="517"/>
      <c r="CN307" s="517"/>
      <c r="CO307" s="517"/>
      <c r="CP307" s="517"/>
      <c r="CQ307" s="517"/>
      <c r="CR307" s="517"/>
      <c r="CS307" s="517"/>
      <c r="CT307" s="517"/>
      <c r="CU307" s="517"/>
      <c r="CV307" s="517"/>
      <c r="CW307" s="517"/>
      <c r="CX307" s="517"/>
    </row>
    <row r="308" spans="1:102" ht="12" customHeight="1" x14ac:dyDescent="0.2">
      <c r="A308" s="517"/>
      <c r="B308" s="517"/>
      <c r="C308" s="517"/>
      <c r="D308" s="517"/>
      <c r="E308" s="517"/>
      <c r="F308" s="517"/>
      <c r="G308" s="517"/>
      <c r="H308" s="517"/>
      <c r="I308" s="517"/>
      <c r="J308" s="517"/>
      <c r="K308" s="517"/>
      <c r="L308" s="517"/>
      <c r="M308" s="517"/>
      <c r="N308" s="517"/>
      <c r="O308" s="517"/>
      <c r="P308" s="517"/>
      <c r="Q308" s="517"/>
      <c r="R308" s="517"/>
      <c r="S308" s="517"/>
      <c r="T308" s="517"/>
      <c r="U308" s="517"/>
      <c r="V308" s="517"/>
      <c r="W308" s="517"/>
      <c r="X308" s="127"/>
      <c r="Y308" s="127"/>
      <c r="Z308" s="127"/>
      <c r="AA308" s="127"/>
      <c r="AB308" s="127"/>
      <c r="AC308" s="127"/>
      <c r="AD308" s="127"/>
      <c r="AE308" s="127"/>
      <c r="AF308" s="127"/>
      <c r="AG308" s="127"/>
      <c r="AH308" s="127"/>
      <c r="AI308" s="127"/>
      <c r="AJ308" s="127"/>
      <c r="AK308" s="127"/>
      <c r="AL308" s="127"/>
      <c r="AM308" s="127"/>
      <c r="AN308" s="517"/>
      <c r="AO308" s="517"/>
      <c r="AP308" s="517"/>
      <c r="AQ308" s="127"/>
      <c r="AR308" s="517"/>
      <c r="AS308" s="517"/>
      <c r="AT308" s="517"/>
      <c r="AU308" s="592"/>
      <c r="AV308" s="517"/>
      <c r="AW308" s="517"/>
      <c r="AX308" s="517"/>
      <c r="AY308" s="517"/>
      <c r="AZ308" s="517"/>
      <c r="BA308" s="517"/>
      <c r="BB308" s="517"/>
      <c r="BC308" s="517"/>
      <c r="BD308" s="517"/>
      <c r="BE308" s="517"/>
      <c r="BF308" s="517"/>
      <c r="BG308" s="517"/>
      <c r="BH308" s="517"/>
      <c r="BI308" s="517"/>
      <c r="BJ308" s="517"/>
      <c r="BK308" s="517"/>
      <c r="BL308" s="517"/>
      <c r="BM308" s="517"/>
      <c r="BN308" s="517"/>
      <c r="BO308" s="517"/>
      <c r="BP308" s="517"/>
      <c r="BQ308" s="517"/>
      <c r="BR308" s="517"/>
      <c r="BS308" s="517"/>
      <c r="BT308" s="517"/>
      <c r="BU308" s="517"/>
      <c r="BV308" s="517"/>
      <c r="BW308" s="517"/>
      <c r="BX308" s="517"/>
      <c r="BY308" s="517"/>
      <c r="BZ308" s="517"/>
      <c r="CA308" s="517"/>
      <c r="CB308" s="517"/>
      <c r="CC308" s="517"/>
      <c r="CD308" s="517"/>
      <c r="CE308" s="517"/>
      <c r="CF308" s="517"/>
      <c r="CG308" s="517"/>
      <c r="CH308" s="517"/>
      <c r="CI308" s="517"/>
      <c r="CJ308" s="517"/>
      <c r="CK308" s="517"/>
      <c r="CL308" s="517"/>
      <c r="CM308" s="517"/>
      <c r="CN308" s="517"/>
      <c r="CO308" s="517"/>
      <c r="CP308" s="517"/>
      <c r="CQ308" s="517"/>
      <c r="CR308" s="517"/>
      <c r="CS308" s="517"/>
      <c r="CT308" s="517"/>
      <c r="CU308" s="517"/>
      <c r="CV308" s="517"/>
      <c r="CW308" s="517"/>
      <c r="CX308" s="517"/>
    </row>
    <row r="309" spans="1:102" ht="12" customHeight="1" x14ac:dyDescent="0.2">
      <c r="A309" s="517"/>
      <c r="B309" s="517"/>
      <c r="C309" s="517"/>
      <c r="D309" s="517"/>
      <c r="E309" s="517"/>
      <c r="F309" s="517"/>
      <c r="G309" s="517"/>
      <c r="H309" s="517"/>
      <c r="I309" s="517"/>
      <c r="J309" s="517"/>
      <c r="K309" s="517"/>
      <c r="L309" s="517"/>
      <c r="M309" s="517"/>
      <c r="N309" s="517"/>
      <c r="O309" s="517"/>
      <c r="P309" s="517"/>
      <c r="Q309" s="517"/>
      <c r="R309" s="517"/>
      <c r="S309" s="517"/>
      <c r="T309" s="517"/>
      <c r="U309" s="517"/>
      <c r="V309" s="517"/>
      <c r="W309" s="517"/>
      <c r="X309" s="127"/>
      <c r="Y309" s="127"/>
      <c r="Z309" s="127"/>
      <c r="AA309" s="127"/>
      <c r="AB309" s="127"/>
      <c r="AC309" s="127"/>
      <c r="AD309" s="127"/>
      <c r="AE309" s="127"/>
      <c r="AF309" s="127"/>
      <c r="AG309" s="127"/>
      <c r="AH309" s="127"/>
      <c r="AI309" s="127"/>
      <c r="AJ309" s="127"/>
      <c r="AK309" s="127"/>
      <c r="AL309" s="127"/>
      <c r="AM309" s="127"/>
      <c r="AN309" s="517"/>
      <c r="AO309" s="517"/>
      <c r="AP309" s="517"/>
      <c r="AQ309" s="127"/>
      <c r="AR309" s="517"/>
      <c r="AS309" s="517"/>
      <c r="AT309" s="517"/>
      <c r="AU309" s="592"/>
      <c r="AV309" s="517"/>
      <c r="AW309" s="517"/>
      <c r="AX309" s="517"/>
      <c r="AY309" s="517"/>
      <c r="AZ309" s="517"/>
      <c r="BA309" s="517"/>
      <c r="BB309" s="517"/>
      <c r="BC309" s="517"/>
      <c r="BD309" s="517"/>
      <c r="BE309" s="517"/>
      <c r="BF309" s="517"/>
      <c r="BG309" s="517"/>
      <c r="BH309" s="517"/>
      <c r="BI309" s="517"/>
      <c r="BJ309" s="517"/>
      <c r="BK309" s="517"/>
      <c r="BL309" s="517"/>
      <c r="BM309" s="517"/>
      <c r="BN309" s="517"/>
      <c r="BO309" s="517"/>
      <c r="BP309" s="517"/>
      <c r="BQ309" s="517"/>
      <c r="BR309" s="517"/>
      <c r="BS309" s="517"/>
      <c r="BT309" s="517"/>
      <c r="BU309" s="517"/>
      <c r="BV309" s="517"/>
      <c r="BW309" s="517"/>
      <c r="BX309" s="517"/>
      <c r="BY309" s="517"/>
      <c r="BZ309" s="517"/>
      <c r="CA309" s="517"/>
      <c r="CB309" s="517"/>
      <c r="CC309" s="517"/>
      <c r="CD309" s="517"/>
      <c r="CE309" s="517"/>
      <c r="CF309" s="517"/>
      <c r="CG309" s="517"/>
      <c r="CH309" s="517"/>
      <c r="CI309" s="517"/>
      <c r="CJ309" s="517"/>
      <c r="CK309" s="517"/>
      <c r="CL309" s="517"/>
      <c r="CM309" s="517"/>
      <c r="CN309" s="517"/>
      <c r="CO309" s="517"/>
      <c r="CP309" s="517"/>
      <c r="CQ309" s="517"/>
      <c r="CR309" s="517"/>
      <c r="CS309" s="517"/>
      <c r="CT309" s="517"/>
      <c r="CU309" s="517"/>
      <c r="CV309" s="517"/>
      <c r="CW309" s="517"/>
      <c r="CX309" s="517"/>
    </row>
    <row r="310" spans="1:102" ht="12" customHeight="1" x14ac:dyDescent="0.2">
      <c r="A310" s="517"/>
      <c r="B310" s="517"/>
      <c r="C310" s="517"/>
      <c r="D310" s="517"/>
      <c r="E310" s="517"/>
      <c r="F310" s="517"/>
      <c r="G310" s="517"/>
      <c r="H310" s="517"/>
      <c r="I310" s="517"/>
      <c r="J310" s="517"/>
      <c r="K310" s="517"/>
      <c r="L310" s="517"/>
      <c r="M310" s="517"/>
      <c r="N310" s="517"/>
      <c r="O310" s="517"/>
      <c r="P310" s="517"/>
      <c r="Q310" s="517"/>
      <c r="R310" s="517"/>
      <c r="S310" s="517"/>
      <c r="T310" s="517"/>
      <c r="U310" s="517"/>
      <c r="V310" s="517"/>
      <c r="W310" s="517"/>
      <c r="X310" s="127"/>
      <c r="Y310" s="127"/>
      <c r="Z310" s="127"/>
      <c r="AA310" s="127"/>
      <c r="AB310" s="127"/>
      <c r="AC310" s="127"/>
      <c r="AD310" s="127"/>
      <c r="AE310" s="127"/>
      <c r="AF310" s="127"/>
      <c r="AG310" s="127"/>
      <c r="AH310" s="127"/>
      <c r="AI310" s="127"/>
      <c r="AJ310" s="127"/>
      <c r="AK310" s="127"/>
      <c r="AL310" s="127"/>
      <c r="AM310" s="127"/>
      <c r="AN310" s="517"/>
      <c r="AO310" s="517"/>
      <c r="AP310" s="517"/>
      <c r="AQ310" s="127"/>
      <c r="AR310" s="517"/>
      <c r="AS310" s="517"/>
      <c r="AT310" s="517"/>
      <c r="AU310" s="592"/>
      <c r="AV310" s="517"/>
      <c r="AW310" s="517"/>
      <c r="AX310" s="517"/>
      <c r="AY310" s="517"/>
      <c r="AZ310" s="517"/>
      <c r="BA310" s="517"/>
      <c r="BB310" s="517"/>
      <c r="BC310" s="517"/>
      <c r="BD310" s="517"/>
      <c r="BE310" s="517"/>
      <c r="BF310" s="517"/>
      <c r="BG310" s="517"/>
      <c r="BH310" s="517"/>
      <c r="BI310" s="517"/>
      <c r="BJ310" s="517"/>
      <c r="BK310" s="517"/>
      <c r="BL310" s="517"/>
      <c r="BM310" s="517"/>
      <c r="BN310" s="517"/>
      <c r="BO310" s="517"/>
      <c r="BP310" s="517"/>
      <c r="BQ310" s="517"/>
      <c r="BR310" s="517"/>
      <c r="BS310" s="517"/>
      <c r="BT310" s="517"/>
      <c r="BU310" s="517"/>
      <c r="BV310" s="517"/>
      <c r="BW310" s="517"/>
      <c r="BX310" s="517"/>
      <c r="BY310" s="517"/>
      <c r="BZ310" s="517"/>
      <c r="CA310" s="517"/>
      <c r="CB310" s="517"/>
      <c r="CC310" s="517"/>
      <c r="CD310" s="517"/>
      <c r="CE310" s="517"/>
      <c r="CF310" s="517"/>
      <c r="CG310" s="517"/>
      <c r="CH310" s="517"/>
      <c r="CI310" s="517"/>
      <c r="CJ310" s="517"/>
      <c r="CK310" s="517"/>
      <c r="CL310" s="517"/>
      <c r="CM310" s="517"/>
      <c r="CN310" s="517"/>
      <c r="CO310" s="517"/>
      <c r="CP310" s="517"/>
      <c r="CQ310" s="517"/>
      <c r="CR310" s="517"/>
      <c r="CS310" s="517"/>
      <c r="CT310" s="517"/>
      <c r="CU310" s="517"/>
      <c r="CV310" s="517"/>
      <c r="CW310" s="517"/>
      <c r="CX310" s="517"/>
    </row>
    <row r="311" spans="1:102" ht="12" customHeight="1" x14ac:dyDescent="0.2">
      <c r="A311" s="517"/>
      <c r="B311" s="517"/>
      <c r="C311" s="517"/>
      <c r="D311" s="517"/>
      <c r="E311" s="517"/>
      <c r="F311" s="517"/>
      <c r="G311" s="517"/>
      <c r="H311" s="517"/>
      <c r="I311" s="517"/>
      <c r="J311" s="517"/>
      <c r="K311" s="517"/>
      <c r="L311" s="517"/>
      <c r="M311" s="517"/>
      <c r="N311" s="517"/>
      <c r="O311" s="517"/>
      <c r="P311" s="517"/>
      <c r="Q311" s="517"/>
      <c r="R311" s="517"/>
      <c r="S311" s="517"/>
      <c r="T311" s="517"/>
      <c r="U311" s="517"/>
      <c r="V311" s="517"/>
      <c r="W311" s="517"/>
      <c r="X311" s="127"/>
      <c r="Y311" s="127"/>
      <c r="Z311" s="127"/>
      <c r="AA311" s="127"/>
      <c r="AB311" s="127"/>
      <c r="AC311" s="127"/>
      <c r="AD311" s="127"/>
      <c r="AE311" s="127"/>
      <c r="AF311" s="127"/>
      <c r="AG311" s="127"/>
      <c r="AH311" s="127"/>
      <c r="AI311" s="127"/>
      <c r="AJ311" s="127"/>
      <c r="AK311" s="127"/>
      <c r="AL311" s="127"/>
      <c r="AM311" s="127"/>
      <c r="AN311" s="517"/>
      <c r="AO311" s="517"/>
      <c r="AP311" s="517"/>
      <c r="AQ311" s="127"/>
      <c r="AR311" s="517"/>
      <c r="AS311" s="517"/>
      <c r="AT311" s="517"/>
      <c r="AU311" s="592"/>
      <c r="AV311" s="517"/>
      <c r="AW311" s="517"/>
      <c r="AX311" s="517"/>
      <c r="AY311" s="517"/>
      <c r="AZ311" s="517"/>
      <c r="BA311" s="517"/>
      <c r="BB311" s="517"/>
      <c r="BC311" s="517"/>
      <c r="BD311" s="517"/>
      <c r="BE311" s="517"/>
      <c r="BF311" s="517"/>
      <c r="BG311" s="517"/>
      <c r="BH311" s="517"/>
      <c r="BI311" s="517"/>
      <c r="BJ311" s="517"/>
      <c r="BK311" s="517"/>
      <c r="BL311" s="517"/>
      <c r="BM311" s="517"/>
      <c r="BN311" s="517"/>
      <c r="BO311" s="517"/>
      <c r="BP311" s="517"/>
      <c r="BQ311" s="517"/>
      <c r="BR311" s="517"/>
      <c r="BS311" s="517"/>
      <c r="BT311" s="517"/>
      <c r="BU311" s="517"/>
      <c r="BV311" s="517"/>
      <c r="BW311" s="517"/>
      <c r="BX311" s="517"/>
      <c r="BY311" s="517"/>
      <c r="BZ311" s="517"/>
      <c r="CA311" s="517"/>
      <c r="CB311" s="517"/>
      <c r="CC311" s="517"/>
      <c r="CD311" s="517"/>
      <c r="CE311" s="517"/>
      <c r="CF311" s="517"/>
      <c r="CG311" s="517"/>
      <c r="CH311" s="517"/>
      <c r="CI311" s="517"/>
      <c r="CJ311" s="517"/>
      <c r="CK311" s="517"/>
      <c r="CL311" s="517"/>
      <c r="CM311" s="517"/>
      <c r="CN311" s="517"/>
      <c r="CO311" s="517"/>
      <c r="CP311" s="517"/>
      <c r="CQ311" s="517"/>
      <c r="CR311" s="517"/>
      <c r="CS311" s="517"/>
      <c r="CT311" s="517"/>
      <c r="CU311" s="517"/>
      <c r="CV311" s="517"/>
      <c r="CW311" s="517"/>
      <c r="CX311" s="517"/>
    </row>
    <row r="312" spans="1:102" ht="12" customHeight="1" x14ac:dyDescent="0.2">
      <c r="A312" s="517"/>
      <c r="B312" s="517"/>
      <c r="C312" s="517"/>
      <c r="D312" s="517"/>
      <c r="E312" s="517"/>
      <c r="F312" s="517"/>
      <c r="G312" s="517"/>
      <c r="H312" s="517"/>
      <c r="I312" s="517"/>
      <c r="J312" s="517"/>
      <c r="K312" s="517"/>
      <c r="L312" s="517"/>
      <c r="M312" s="517"/>
      <c r="N312" s="517"/>
      <c r="O312" s="517"/>
      <c r="P312" s="517"/>
      <c r="Q312" s="517"/>
      <c r="R312" s="517"/>
      <c r="S312" s="517"/>
      <c r="T312" s="517"/>
      <c r="U312" s="517"/>
      <c r="V312" s="517"/>
      <c r="W312" s="517"/>
      <c r="X312" s="127"/>
      <c r="Y312" s="127"/>
      <c r="Z312" s="127"/>
      <c r="AA312" s="127"/>
      <c r="AB312" s="127"/>
      <c r="AC312" s="127"/>
      <c r="AD312" s="127"/>
      <c r="AE312" s="127"/>
      <c r="AF312" s="127"/>
      <c r="AG312" s="127"/>
      <c r="AH312" s="127"/>
      <c r="AI312" s="127"/>
      <c r="AJ312" s="127"/>
      <c r="AK312" s="127"/>
      <c r="AL312" s="127"/>
      <c r="AM312" s="127"/>
      <c r="AN312" s="517"/>
      <c r="AO312" s="517"/>
      <c r="AP312" s="517"/>
      <c r="AQ312" s="127"/>
      <c r="AR312" s="517"/>
      <c r="AS312" s="517"/>
      <c r="AT312" s="517"/>
      <c r="AU312" s="592"/>
      <c r="AV312" s="517"/>
      <c r="AW312" s="517"/>
      <c r="AX312" s="517"/>
      <c r="AY312" s="517"/>
      <c r="AZ312" s="517"/>
      <c r="BA312" s="517"/>
      <c r="BB312" s="517"/>
      <c r="BC312" s="517"/>
      <c r="BD312" s="517"/>
      <c r="BE312" s="517"/>
      <c r="BF312" s="517"/>
      <c r="BG312" s="517"/>
      <c r="BH312" s="517"/>
      <c r="BI312" s="517"/>
      <c r="BJ312" s="517"/>
      <c r="BK312" s="517"/>
      <c r="BL312" s="517"/>
      <c r="BM312" s="517"/>
      <c r="BN312" s="517"/>
      <c r="BO312" s="517"/>
      <c r="BP312" s="517"/>
      <c r="BQ312" s="517"/>
      <c r="BR312" s="517"/>
      <c r="BS312" s="517"/>
      <c r="BT312" s="517"/>
      <c r="BU312" s="517"/>
      <c r="BV312" s="517"/>
      <c r="BW312" s="517"/>
      <c r="BX312" s="517"/>
      <c r="BY312" s="517"/>
      <c r="BZ312" s="517"/>
      <c r="CA312" s="517"/>
      <c r="CB312" s="517"/>
      <c r="CC312" s="517"/>
      <c r="CD312" s="517"/>
      <c r="CE312" s="517"/>
      <c r="CF312" s="517"/>
      <c r="CG312" s="517"/>
      <c r="CH312" s="517"/>
      <c r="CI312" s="517"/>
      <c r="CJ312" s="517"/>
      <c r="CK312" s="517"/>
      <c r="CL312" s="517"/>
      <c r="CM312" s="517"/>
      <c r="CN312" s="517"/>
      <c r="CO312" s="517"/>
      <c r="CP312" s="517"/>
      <c r="CQ312" s="517"/>
      <c r="CR312" s="517"/>
      <c r="CS312" s="517"/>
      <c r="CT312" s="517"/>
      <c r="CU312" s="517"/>
      <c r="CV312" s="517"/>
      <c r="CW312" s="517"/>
      <c r="CX312" s="517"/>
    </row>
    <row r="313" spans="1:102" ht="12" customHeight="1" x14ac:dyDescent="0.2">
      <c r="A313" s="517"/>
      <c r="B313" s="517"/>
      <c r="C313" s="517"/>
      <c r="D313" s="517"/>
      <c r="E313" s="517"/>
      <c r="F313" s="517"/>
      <c r="G313" s="517"/>
      <c r="H313" s="517"/>
      <c r="I313" s="517"/>
      <c r="J313" s="517"/>
      <c r="K313" s="517"/>
      <c r="L313" s="517"/>
      <c r="M313" s="517"/>
      <c r="N313" s="517"/>
      <c r="O313" s="517"/>
      <c r="P313" s="517"/>
      <c r="Q313" s="517"/>
      <c r="R313" s="517"/>
      <c r="S313" s="517"/>
      <c r="T313" s="517"/>
      <c r="U313" s="517"/>
      <c r="V313" s="517"/>
      <c r="W313" s="517"/>
      <c r="X313" s="127"/>
      <c r="Y313" s="127"/>
      <c r="Z313" s="127"/>
      <c r="AA313" s="127"/>
      <c r="AB313" s="127"/>
      <c r="AC313" s="127"/>
      <c r="AD313" s="127"/>
      <c r="AE313" s="127"/>
      <c r="AF313" s="127"/>
      <c r="AG313" s="127"/>
      <c r="AH313" s="127"/>
      <c r="AI313" s="127"/>
      <c r="AJ313" s="127"/>
      <c r="AK313" s="127"/>
      <c r="AL313" s="127"/>
      <c r="AM313" s="127"/>
      <c r="AN313" s="517"/>
      <c r="AO313" s="517"/>
      <c r="AP313" s="517"/>
      <c r="AQ313" s="127"/>
      <c r="AR313" s="517"/>
      <c r="AS313" s="517"/>
      <c r="AT313" s="517"/>
      <c r="AU313" s="592"/>
      <c r="AV313" s="517"/>
      <c r="AW313" s="517"/>
      <c r="AX313" s="517"/>
      <c r="AY313" s="517"/>
      <c r="AZ313" s="517"/>
      <c r="BA313" s="517"/>
      <c r="BB313" s="517"/>
      <c r="BC313" s="517"/>
      <c r="BD313" s="517"/>
      <c r="BE313" s="517"/>
      <c r="BF313" s="517"/>
      <c r="BG313" s="517"/>
      <c r="BH313" s="517"/>
      <c r="BI313" s="517"/>
      <c r="BJ313" s="517"/>
      <c r="BK313" s="517"/>
      <c r="BL313" s="517"/>
      <c r="BM313" s="517"/>
      <c r="BN313" s="517"/>
      <c r="BO313" s="517"/>
      <c r="BP313" s="517"/>
      <c r="BQ313" s="517"/>
      <c r="BR313" s="517"/>
      <c r="BS313" s="517"/>
      <c r="BT313" s="517"/>
      <c r="BU313" s="517"/>
      <c r="BV313" s="517"/>
      <c r="BW313" s="517"/>
      <c r="BX313" s="517"/>
      <c r="BY313" s="517"/>
      <c r="BZ313" s="517"/>
      <c r="CA313" s="517"/>
      <c r="CB313" s="517"/>
      <c r="CC313" s="517"/>
      <c r="CD313" s="517"/>
      <c r="CE313" s="517"/>
      <c r="CF313" s="517"/>
      <c r="CG313" s="517"/>
      <c r="CH313" s="517"/>
      <c r="CI313" s="517"/>
      <c r="CJ313" s="517"/>
      <c r="CK313" s="517"/>
      <c r="CL313" s="517"/>
      <c r="CM313" s="517"/>
      <c r="CN313" s="517"/>
      <c r="CO313" s="517"/>
      <c r="CP313" s="517"/>
      <c r="CQ313" s="517"/>
      <c r="CR313" s="517"/>
      <c r="CS313" s="517"/>
      <c r="CT313" s="517"/>
      <c r="CU313" s="517"/>
      <c r="CV313" s="517"/>
      <c r="CW313" s="517"/>
      <c r="CX313" s="517"/>
    </row>
    <row r="314" spans="1:102" ht="12" customHeight="1" x14ac:dyDescent="0.2">
      <c r="A314" s="517"/>
      <c r="B314" s="517"/>
      <c r="C314" s="517"/>
      <c r="D314" s="517"/>
      <c r="E314" s="517"/>
      <c r="F314" s="517"/>
      <c r="G314" s="517"/>
      <c r="H314" s="517"/>
      <c r="I314" s="517"/>
      <c r="J314" s="517"/>
      <c r="K314" s="517"/>
      <c r="L314" s="517"/>
      <c r="M314" s="517"/>
      <c r="N314" s="517"/>
      <c r="O314" s="517"/>
      <c r="P314" s="517"/>
      <c r="Q314" s="517"/>
      <c r="R314" s="517"/>
      <c r="S314" s="517"/>
      <c r="T314" s="517"/>
      <c r="U314" s="517"/>
      <c r="V314" s="517"/>
      <c r="W314" s="517"/>
      <c r="X314" s="127"/>
      <c r="Y314" s="127"/>
      <c r="Z314" s="127"/>
      <c r="AA314" s="127"/>
      <c r="AB314" s="127"/>
      <c r="AC314" s="127"/>
      <c r="AD314" s="127"/>
      <c r="AE314" s="127"/>
      <c r="AF314" s="127"/>
      <c r="AG314" s="127"/>
      <c r="AH314" s="127"/>
      <c r="AI314" s="127"/>
      <c r="AJ314" s="127"/>
      <c r="AK314" s="127"/>
      <c r="AL314" s="127"/>
      <c r="AM314" s="127"/>
      <c r="AN314" s="517"/>
      <c r="AO314" s="517"/>
      <c r="AP314" s="517"/>
      <c r="AQ314" s="127"/>
      <c r="AR314" s="517"/>
      <c r="AS314" s="517"/>
      <c r="AT314" s="517"/>
      <c r="AU314" s="592"/>
      <c r="AV314" s="517"/>
      <c r="AW314" s="517"/>
      <c r="AX314" s="517"/>
      <c r="AY314" s="517"/>
      <c r="AZ314" s="517"/>
      <c r="BA314" s="517"/>
      <c r="BB314" s="517"/>
      <c r="BC314" s="517"/>
      <c r="BD314" s="517"/>
      <c r="BE314" s="517"/>
      <c r="BF314" s="517"/>
      <c r="BG314" s="517"/>
      <c r="BH314" s="517"/>
      <c r="BI314" s="517"/>
      <c r="BJ314" s="517"/>
      <c r="BK314" s="517"/>
      <c r="BL314" s="517"/>
      <c r="BM314" s="517"/>
      <c r="BN314" s="517"/>
      <c r="BO314" s="517"/>
      <c r="BP314" s="517"/>
      <c r="BQ314" s="517"/>
      <c r="BR314" s="517"/>
      <c r="BS314" s="517"/>
      <c r="BT314" s="517"/>
      <c r="BU314" s="517"/>
      <c r="BV314" s="517"/>
      <c r="BW314" s="517"/>
      <c r="BX314" s="517"/>
      <c r="BY314" s="517"/>
      <c r="BZ314" s="517"/>
      <c r="CA314" s="517"/>
      <c r="CB314" s="517"/>
      <c r="CC314" s="517"/>
      <c r="CD314" s="517"/>
      <c r="CE314" s="517"/>
      <c r="CF314" s="517"/>
      <c r="CG314" s="517"/>
      <c r="CH314" s="517"/>
      <c r="CI314" s="517"/>
      <c r="CJ314" s="517"/>
      <c r="CK314" s="517"/>
      <c r="CL314" s="517"/>
      <c r="CM314" s="517"/>
      <c r="CN314" s="517"/>
      <c r="CO314" s="517"/>
      <c r="CP314" s="517"/>
      <c r="CQ314" s="517"/>
      <c r="CR314" s="517"/>
      <c r="CS314" s="517"/>
      <c r="CT314" s="517"/>
      <c r="CU314" s="517"/>
      <c r="CV314" s="517"/>
      <c r="CW314" s="517"/>
      <c r="CX314" s="517"/>
    </row>
    <row r="315" spans="1:102" ht="12" customHeight="1" x14ac:dyDescent="0.2">
      <c r="A315" s="517"/>
      <c r="B315" s="517"/>
      <c r="C315" s="517"/>
      <c r="D315" s="517"/>
      <c r="E315" s="517"/>
      <c r="F315" s="517"/>
      <c r="G315" s="517"/>
      <c r="H315" s="517"/>
      <c r="I315" s="517"/>
      <c r="J315" s="517"/>
      <c r="K315" s="517"/>
      <c r="L315" s="517"/>
      <c r="M315" s="517"/>
      <c r="N315" s="517"/>
      <c r="O315" s="517"/>
      <c r="P315" s="517"/>
      <c r="Q315" s="517"/>
      <c r="R315" s="517"/>
      <c r="S315" s="517"/>
      <c r="T315" s="517"/>
      <c r="U315" s="517"/>
      <c r="V315" s="517"/>
      <c r="W315" s="517"/>
      <c r="X315" s="127"/>
      <c r="Y315" s="127"/>
      <c r="Z315" s="127"/>
      <c r="AA315" s="127"/>
      <c r="AB315" s="127"/>
      <c r="AC315" s="127"/>
      <c r="AD315" s="127"/>
      <c r="AE315" s="127"/>
      <c r="AF315" s="127"/>
      <c r="AG315" s="127"/>
      <c r="AH315" s="127"/>
      <c r="AI315" s="127"/>
      <c r="AJ315" s="127"/>
      <c r="AK315" s="127"/>
      <c r="AL315" s="127"/>
      <c r="AM315" s="127"/>
      <c r="AN315" s="517"/>
      <c r="AO315" s="517"/>
      <c r="AP315" s="517"/>
      <c r="AQ315" s="127"/>
      <c r="AR315" s="517"/>
      <c r="AS315" s="517"/>
      <c r="AT315" s="517"/>
      <c r="AU315" s="592"/>
      <c r="AV315" s="517"/>
      <c r="AW315" s="517"/>
      <c r="AX315" s="517"/>
      <c r="AY315" s="517"/>
      <c r="AZ315" s="517"/>
      <c r="BA315" s="517"/>
      <c r="BB315" s="517"/>
      <c r="BC315" s="517"/>
      <c r="BD315" s="517"/>
      <c r="BE315" s="517"/>
      <c r="BF315" s="517"/>
      <c r="BG315" s="517"/>
      <c r="BH315" s="517"/>
      <c r="BI315" s="517"/>
      <c r="BJ315" s="517"/>
      <c r="BK315" s="517"/>
      <c r="BL315" s="517"/>
      <c r="BM315" s="517"/>
      <c r="BN315" s="517"/>
      <c r="BO315" s="517"/>
      <c r="BP315" s="517"/>
      <c r="BQ315" s="517"/>
      <c r="BR315" s="517"/>
      <c r="BS315" s="517"/>
      <c r="BT315" s="517"/>
      <c r="BU315" s="517"/>
      <c r="BV315" s="517"/>
      <c r="BW315" s="517"/>
      <c r="BX315" s="517"/>
      <c r="BY315" s="517"/>
      <c r="BZ315" s="517"/>
      <c r="CA315" s="517"/>
      <c r="CB315" s="517"/>
      <c r="CC315" s="517"/>
      <c r="CD315" s="517"/>
      <c r="CE315" s="517"/>
      <c r="CF315" s="517"/>
      <c r="CG315" s="517"/>
      <c r="CH315" s="517"/>
      <c r="CI315" s="517"/>
      <c r="CJ315" s="517"/>
      <c r="CK315" s="517"/>
      <c r="CL315" s="517"/>
      <c r="CM315" s="517"/>
      <c r="CN315" s="517"/>
      <c r="CO315" s="517"/>
      <c r="CP315" s="517"/>
      <c r="CQ315" s="517"/>
      <c r="CR315" s="517"/>
      <c r="CS315" s="517"/>
      <c r="CT315" s="517"/>
      <c r="CU315" s="517"/>
      <c r="CV315" s="517"/>
      <c r="CW315" s="517"/>
      <c r="CX315" s="517"/>
    </row>
    <row r="316" spans="1:102" ht="12" customHeight="1" x14ac:dyDescent="0.2">
      <c r="A316" s="517"/>
      <c r="B316" s="517"/>
      <c r="C316" s="517"/>
      <c r="D316" s="517"/>
      <c r="E316" s="517"/>
      <c r="F316" s="517"/>
      <c r="G316" s="517"/>
      <c r="H316" s="517"/>
      <c r="I316" s="517"/>
      <c r="J316" s="517"/>
      <c r="K316" s="517"/>
      <c r="L316" s="517"/>
      <c r="M316" s="517"/>
      <c r="N316" s="517"/>
      <c r="O316" s="517"/>
      <c r="P316" s="517"/>
      <c r="Q316" s="517"/>
      <c r="R316" s="517"/>
      <c r="S316" s="517"/>
      <c r="T316" s="517"/>
      <c r="U316" s="517"/>
      <c r="V316" s="517"/>
      <c r="W316" s="517"/>
      <c r="X316" s="127"/>
      <c r="Y316" s="127"/>
      <c r="Z316" s="127"/>
      <c r="AA316" s="127"/>
      <c r="AB316" s="127"/>
      <c r="AC316" s="127"/>
      <c r="AD316" s="127"/>
      <c r="AE316" s="127"/>
      <c r="AF316" s="127"/>
      <c r="AG316" s="127"/>
      <c r="AH316" s="127"/>
      <c r="AI316" s="127"/>
      <c r="AJ316" s="127"/>
      <c r="AK316" s="127"/>
      <c r="AL316" s="127"/>
      <c r="AM316" s="127"/>
      <c r="AN316" s="517"/>
      <c r="AO316" s="517"/>
      <c r="AP316" s="517"/>
      <c r="AQ316" s="127"/>
      <c r="AR316" s="517"/>
      <c r="AS316" s="517"/>
      <c r="AT316" s="517"/>
      <c r="AU316" s="592"/>
      <c r="AV316" s="517"/>
      <c r="AW316" s="517"/>
      <c r="AX316" s="517"/>
      <c r="AY316" s="517"/>
      <c r="AZ316" s="517"/>
      <c r="BA316" s="517"/>
      <c r="BB316" s="517"/>
      <c r="BC316" s="517"/>
      <c r="BD316" s="517"/>
      <c r="BE316" s="517"/>
      <c r="BF316" s="517"/>
      <c r="BG316" s="517"/>
      <c r="BH316" s="517"/>
      <c r="BI316" s="517"/>
      <c r="BJ316" s="517"/>
      <c r="BK316" s="517"/>
      <c r="BL316" s="517"/>
      <c r="BM316" s="517"/>
      <c r="BN316" s="517"/>
      <c r="BO316" s="517"/>
      <c r="BP316" s="517"/>
      <c r="BQ316" s="517"/>
      <c r="BR316" s="517"/>
      <c r="BS316" s="517"/>
      <c r="BT316" s="517"/>
      <c r="BU316" s="517"/>
      <c r="BV316" s="517"/>
      <c r="BW316" s="517"/>
      <c r="BX316" s="517"/>
      <c r="BY316" s="517"/>
      <c r="BZ316" s="517"/>
      <c r="CA316" s="517"/>
      <c r="CB316" s="517"/>
      <c r="CC316" s="517"/>
      <c r="CD316" s="517"/>
      <c r="CE316" s="517"/>
      <c r="CF316" s="517"/>
      <c r="CG316" s="517"/>
      <c r="CH316" s="517"/>
      <c r="CI316" s="517"/>
      <c r="CJ316" s="517"/>
      <c r="CK316" s="517"/>
      <c r="CL316" s="517"/>
      <c r="CM316" s="517"/>
      <c r="CN316" s="517"/>
      <c r="CO316" s="517"/>
      <c r="CP316" s="517"/>
      <c r="CQ316" s="517"/>
      <c r="CR316" s="517"/>
      <c r="CS316" s="517"/>
      <c r="CT316" s="517"/>
      <c r="CU316" s="517"/>
      <c r="CV316" s="517"/>
      <c r="CW316" s="517"/>
      <c r="CX316" s="517"/>
    </row>
    <row r="317" spans="1:102" ht="12" customHeight="1" x14ac:dyDescent="0.2">
      <c r="A317" s="517"/>
      <c r="B317" s="517"/>
      <c r="C317" s="517"/>
      <c r="D317" s="517"/>
      <c r="E317" s="517"/>
      <c r="F317" s="517"/>
      <c r="G317" s="517"/>
      <c r="H317" s="517"/>
      <c r="I317" s="517"/>
      <c r="J317" s="517"/>
      <c r="K317" s="517"/>
      <c r="L317" s="517"/>
      <c r="M317" s="517"/>
      <c r="N317" s="517"/>
      <c r="O317" s="517"/>
      <c r="P317" s="517"/>
      <c r="Q317" s="517"/>
      <c r="R317" s="517"/>
      <c r="S317" s="517"/>
      <c r="T317" s="517"/>
      <c r="U317" s="517"/>
      <c r="V317" s="517"/>
      <c r="W317" s="517"/>
      <c r="X317" s="127"/>
      <c r="Y317" s="127"/>
      <c r="Z317" s="127"/>
      <c r="AA317" s="127"/>
      <c r="AB317" s="127"/>
      <c r="AC317" s="127"/>
      <c r="AD317" s="127"/>
      <c r="AE317" s="127"/>
      <c r="AF317" s="127"/>
      <c r="AG317" s="127"/>
      <c r="AH317" s="127"/>
      <c r="AI317" s="127"/>
      <c r="AJ317" s="127"/>
      <c r="AK317" s="127"/>
      <c r="AL317" s="127"/>
      <c r="AM317" s="127"/>
      <c r="AN317" s="517"/>
      <c r="AO317" s="517"/>
      <c r="AP317" s="517"/>
      <c r="AQ317" s="127"/>
      <c r="AR317" s="517"/>
      <c r="AS317" s="517"/>
      <c r="AT317" s="517"/>
      <c r="AU317" s="592"/>
      <c r="AV317" s="517"/>
      <c r="AW317" s="517"/>
      <c r="AX317" s="517"/>
      <c r="AY317" s="517"/>
      <c r="AZ317" s="517"/>
      <c r="BA317" s="517"/>
      <c r="BB317" s="517"/>
      <c r="BC317" s="517"/>
      <c r="BD317" s="517"/>
      <c r="BE317" s="517"/>
      <c r="BF317" s="517"/>
      <c r="BG317" s="517"/>
      <c r="BH317" s="517"/>
      <c r="BI317" s="517"/>
      <c r="BJ317" s="517"/>
      <c r="BK317" s="517"/>
      <c r="BL317" s="517"/>
      <c r="BM317" s="517"/>
      <c r="BN317" s="517"/>
      <c r="BO317" s="517"/>
      <c r="BP317" s="517"/>
      <c r="BQ317" s="517"/>
      <c r="BR317" s="517"/>
      <c r="BS317" s="517"/>
      <c r="BT317" s="517"/>
      <c r="BU317" s="517"/>
      <c r="BV317" s="517"/>
      <c r="BW317" s="517"/>
      <c r="BX317" s="517"/>
      <c r="BY317" s="517"/>
      <c r="BZ317" s="517"/>
      <c r="CA317" s="517"/>
      <c r="CB317" s="517"/>
      <c r="CC317" s="517"/>
      <c r="CD317" s="517"/>
      <c r="CE317" s="517"/>
      <c r="CF317" s="517"/>
      <c r="CG317" s="517"/>
      <c r="CH317" s="517"/>
      <c r="CI317" s="517"/>
      <c r="CJ317" s="517"/>
      <c r="CK317" s="517"/>
      <c r="CL317" s="517"/>
      <c r="CM317" s="517"/>
      <c r="CN317" s="517"/>
      <c r="CO317" s="517"/>
      <c r="CP317" s="517"/>
      <c r="CQ317" s="517"/>
      <c r="CR317" s="517"/>
      <c r="CS317" s="517"/>
      <c r="CT317" s="517"/>
      <c r="CU317" s="517"/>
      <c r="CV317" s="517"/>
      <c r="CW317" s="517"/>
      <c r="CX317" s="517"/>
    </row>
    <row r="318" spans="1:102" ht="12" customHeight="1" x14ac:dyDescent="0.2">
      <c r="A318" s="517"/>
      <c r="B318" s="517"/>
      <c r="C318" s="517"/>
      <c r="D318" s="517"/>
      <c r="E318" s="517"/>
      <c r="F318" s="517"/>
      <c r="G318" s="517"/>
      <c r="H318" s="517"/>
      <c r="I318" s="517"/>
      <c r="J318" s="517"/>
      <c r="K318" s="517"/>
      <c r="L318" s="517"/>
      <c r="M318" s="517"/>
      <c r="N318" s="517"/>
      <c r="O318" s="517"/>
      <c r="P318" s="517"/>
      <c r="Q318" s="517"/>
      <c r="R318" s="517"/>
      <c r="S318" s="517"/>
      <c r="T318" s="517"/>
      <c r="U318" s="517"/>
      <c r="V318" s="517"/>
      <c r="W318" s="517"/>
      <c r="X318" s="127"/>
      <c r="Y318" s="127"/>
      <c r="Z318" s="127"/>
      <c r="AA318" s="127"/>
      <c r="AB318" s="127"/>
      <c r="AC318" s="127"/>
      <c r="AD318" s="127"/>
      <c r="AE318" s="127"/>
      <c r="AF318" s="127"/>
      <c r="AG318" s="127"/>
      <c r="AH318" s="127"/>
      <c r="AI318" s="127"/>
      <c r="AJ318" s="127"/>
      <c r="AK318" s="127"/>
      <c r="AL318" s="127"/>
      <c r="AM318" s="127"/>
      <c r="AN318" s="517"/>
      <c r="AO318" s="517"/>
      <c r="AP318" s="517"/>
      <c r="AQ318" s="127"/>
      <c r="AR318" s="517"/>
      <c r="AS318" s="517"/>
      <c r="AT318" s="517"/>
      <c r="AU318" s="592"/>
      <c r="AV318" s="517"/>
      <c r="AW318" s="517"/>
      <c r="AX318" s="517"/>
      <c r="AY318" s="517"/>
      <c r="AZ318" s="517"/>
      <c r="BA318" s="517"/>
      <c r="BB318" s="517"/>
      <c r="BC318" s="517"/>
      <c r="BD318" s="517"/>
      <c r="BE318" s="517"/>
      <c r="BF318" s="517"/>
      <c r="BG318" s="517"/>
      <c r="BH318" s="517"/>
      <c r="BI318" s="517"/>
      <c r="BJ318" s="517"/>
      <c r="BK318" s="517"/>
      <c r="BL318" s="517"/>
      <c r="BM318" s="517"/>
      <c r="BN318" s="517"/>
      <c r="BO318" s="517"/>
      <c r="BP318" s="517"/>
      <c r="BQ318" s="517"/>
      <c r="BR318" s="517"/>
      <c r="BS318" s="517"/>
      <c r="BT318" s="517"/>
      <c r="BU318" s="517"/>
      <c r="BV318" s="517"/>
      <c r="BW318" s="517"/>
      <c r="BX318" s="517"/>
      <c r="BY318" s="517"/>
      <c r="BZ318" s="517"/>
      <c r="CA318" s="517"/>
      <c r="CB318" s="517"/>
      <c r="CC318" s="517"/>
      <c r="CD318" s="517"/>
      <c r="CE318" s="517"/>
      <c r="CF318" s="517"/>
      <c r="CG318" s="517"/>
      <c r="CH318" s="517"/>
      <c r="CI318" s="517"/>
      <c r="CJ318" s="517"/>
      <c r="CK318" s="517"/>
      <c r="CL318" s="517"/>
      <c r="CM318" s="517"/>
      <c r="CN318" s="517"/>
      <c r="CO318" s="517"/>
      <c r="CP318" s="517"/>
      <c r="CQ318" s="517"/>
      <c r="CR318" s="517"/>
      <c r="CS318" s="517"/>
      <c r="CT318" s="517"/>
      <c r="CU318" s="517"/>
      <c r="CV318" s="517"/>
      <c r="CW318" s="517"/>
      <c r="CX318" s="517"/>
    </row>
    <row r="319" spans="1:102" ht="12" customHeight="1" x14ac:dyDescent="0.2">
      <c r="A319" s="517"/>
      <c r="B319" s="517"/>
      <c r="C319" s="517"/>
      <c r="D319" s="517"/>
      <c r="E319" s="517"/>
      <c r="F319" s="517"/>
      <c r="G319" s="517"/>
      <c r="H319" s="517"/>
      <c r="I319" s="517"/>
      <c r="J319" s="517"/>
      <c r="K319" s="517"/>
      <c r="L319" s="517"/>
      <c r="M319" s="517"/>
      <c r="N319" s="517"/>
      <c r="O319" s="517"/>
      <c r="P319" s="517"/>
      <c r="Q319" s="517"/>
      <c r="R319" s="517"/>
      <c r="S319" s="517"/>
      <c r="T319" s="517"/>
      <c r="U319" s="517"/>
      <c r="V319" s="517"/>
      <c r="W319" s="517"/>
      <c r="X319" s="127"/>
      <c r="Y319" s="127"/>
      <c r="Z319" s="127"/>
      <c r="AA319" s="127"/>
      <c r="AB319" s="127"/>
      <c r="AC319" s="127"/>
      <c r="AD319" s="127"/>
      <c r="AE319" s="127"/>
      <c r="AF319" s="127"/>
      <c r="AG319" s="127"/>
      <c r="AH319" s="127"/>
      <c r="AI319" s="127"/>
      <c r="AJ319" s="127"/>
      <c r="AK319" s="127"/>
      <c r="AL319" s="127"/>
      <c r="AM319" s="127"/>
      <c r="AN319" s="517"/>
      <c r="AO319" s="517"/>
      <c r="AP319" s="517"/>
      <c r="AQ319" s="127"/>
      <c r="AR319" s="517"/>
      <c r="AS319" s="517"/>
      <c r="AT319" s="517"/>
      <c r="AU319" s="592"/>
      <c r="AV319" s="517"/>
      <c r="AW319" s="517"/>
      <c r="AX319" s="517"/>
      <c r="AY319" s="517"/>
      <c r="AZ319" s="517"/>
      <c r="BA319" s="517"/>
      <c r="BB319" s="517"/>
      <c r="BC319" s="517"/>
      <c r="BD319" s="517"/>
      <c r="BE319" s="517"/>
      <c r="BF319" s="517"/>
      <c r="BG319" s="517"/>
      <c r="BH319" s="517"/>
      <c r="BI319" s="517"/>
      <c r="BJ319" s="517"/>
      <c r="BK319" s="517"/>
      <c r="BL319" s="517"/>
      <c r="BM319" s="517"/>
      <c r="BN319" s="517"/>
      <c r="BO319" s="517"/>
      <c r="BP319" s="517"/>
      <c r="BQ319" s="517"/>
      <c r="BR319" s="517"/>
      <c r="BS319" s="517"/>
      <c r="BT319" s="517"/>
      <c r="BU319" s="517"/>
      <c r="BV319" s="517"/>
      <c r="BW319" s="517"/>
      <c r="BX319" s="517"/>
      <c r="BY319" s="517"/>
      <c r="BZ319" s="517"/>
      <c r="CA319" s="517"/>
      <c r="CB319" s="517"/>
      <c r="CC319" s="517"/>
      <c r="CD319" s="517"/>
      <c r="CE319" s="517"/>
      <c r="CF319" s="517"/>
      <c r="CG319" s="517"/>
      <c r="CH319" s="517"/>
      <c r="CI319" s="517"/>
      <c r="CJ319" s="517"/>
      <c r="CK319" s="517"/>
      <c r="CL319" s="517"/>
      <c r="CM319" s="517"/>
      <c r="CN319" s="517"/>
      <c r="CO319" s="517"/>
      <c r="CP319" s="517"/>
      <c r="CQ319" s="517"/>
      <c r="CR319" s="517"/>
      <c r="CS319" s="517"/>
      <c r="CT319" s="517"/>
      <c r="CU319" s="517"/>
      <c r="CV319" s="517"/>
      <c r="CW319" s="517"/>
      <c r="CX319" s="517"/>
    </row>
    <row r="320" spans="1:102" ht="12" customHeight="1" x14ac:dyDescent="0.2">
      <c r="A320" s="517"/>
      <c r="B320" s="517"/>
      <c r="C320" s="517"/>
      <c r="D320" s="517"/>
      <c r="E320" s="517"/>
      <c r="F320" s="517"/>
      <c r="G320" s="517"/>
      <c r="H320" s="517"/>
      <c r="I320" s="517"/>
      <c r="J320" s="517"/>
      <c r="K320" s="517"/>
      <c r="L320" s="517"/>
      <c r="M320" s="517"/>
      <c r="N320" s="517"/>
      <c r="O320" s="517"/>
      <c r="P320" s="517"/>
      <c r="Q320" s="517"/>
      <c r="R320" s="517"/>
      <c r="S320" s="517"/>
      <c r="T320" s="517"/>
      <c r="U320" s="517"/>
      <c r="V320" s="517"/>
      <c r="W320" s="517"/>
      <c r="X320" s="127"/>
      <c r="Y320" s="127"/>
      <c r="Z320" s="127"/>
      <c r="AA320" s="127"/>
      <c r="AB320" s="127"/>
      <c r="AC320" s="127"/>
      <c r="AD320" s="127"/>
      <c r="AE320" s="127"/>
      <c r="AF320" s="127"/>
      <c r="AG320" s="127"/>
      <c r="AH320" s="127"/>
      <c r="AI320" s="127"/>
      <c r="AJ320" s="127"/>
      <c r="AK320" s="127"/>
      <c r="AL320" s="127"/>
      <c r="AM320" s="127"/>
      <c r="AN320" s="517"/>
      <c r="AO320" s="517"/>
      <c r="AP320" s="517"/>
      <c r="AQ320" s="127"/>
      <c r="AR320" s="517"/>
      <c r="AS320" s="517"/>
      <c r="AT320" s="517"/>
      <c r="AU320" s="592"/>
      <c r="AV320" s="517"/>
      <c r="AW320" s="517"/>
      <c r="AX320" s="517"/>
      <c r="AY320" s="517"/>
      <c r="AZ320" s="517"/>
      <c r="BA320" s="517"/>
      <c r="BB320" s="517"/>
      <c r="BC320" s="517"/>
      <c r="BD320" s="517"/>
      <c r="BE320" s="517"/>
      <c r="BF320" s="517"/>
      <c r="BG320" s="517"/>
      <c r="BH320" s="517"/>
      <c r="BI320" s="517"/>
      <c r="BJ320" s="517"/>
      <c r="BK320" s="517"/>
      <c r="BL320" s="517"/>
      <c r="BM320" s="517"/>
      <c r="BN320" s="517"/>
      <c r="BO320" s="517"/>
      <c r="BP320" s="517"/>
      <c r="BQ320" s="517"/>
      <c r="BR320" s="517"/>
      <c r="BS320" s="517"/>
      <c r="BT320" s="517"/>
      <c r="BU320" s="517"/>
      <c r="BV320" s="517"/>
      <c r="BW320" s="517"/>
      <c r="BX320" s="517"/>
      <c r="BY320" s="517"/>
      <c r="BZ320" s="517"/>
      <c r="CA320" s="517"/>
      <c r="CB320" s="517"/>
      <c r="CC320" s="517"/>
      <c r="CD320" s="517"/>
      <c r="CE320" s="517"/>
      <c r="CF320" s="517"/>
      <c r="CG320" s="517"/>
      <c r="CH320" s="517"/>
      <c r="CI320" s="517"/>
      <c r="CJ320" s="517"/>
      <c r="CK320" s="517"/>
      <c r="CL320" s="517"/>
      <c r="CM320" s="517"/>
      <c r="CN320" s="517"/>
      <c r="CO320" s="517"/>
      <c r="CP320" s="517"/>
      <c r="CQ320" s="517"/>
      <c r="CR320" s="517"/>
      <c r="CS320" s="517"/>
      <c r="CT320" s="517"/>
      <c r="CU320" s="517"/>
      <c r="CV320" s="517"/>
      <c r="CW320" s="517"/>
      <c r="CX320" s="517"/>
    </row>
    <row r="321" spans="1:102" ht="12" customHeight="1" x14ac:dyDescent="0.2">
      <c r="A321" s="517"/>
      <c r="B321" s="517"/>
      <c r="C321" s="517"/>
      <c r="D321" s="517"/>
      <c r="E321" s="517"/>
      <c r="F321" s="517"/>
      <c r="G321" s="517"/>
      <c r="H321" s="517"/>
      <c r="I321" s="517"/>
      <c r="J321" s="517"/>
      <c r="K321" s="517"/>
      <c r="L321" s="517"/>
      <c r="M321" s="517"/>
      <c r="N321" s="517"/>
      <c r="O321" s="517"/>
      <c r="P321" s="517"/>
      <c r="Q321" s="517"/>
      <c r="R321" s="517"/>
      <c r="S321" s="517"/>
      <c r="T321" s="517"/>
      <c r="U321" s="517"/>
      <c r="V321" s="517"/>
      <c r="W321" s="517"/>
      <c r="X321" s="127"/>
      <c r="Y321" s="127"/>
      <c r="Z321" s="127"/>
      <c r="AA321" s="127"/>
      <c r="AB321" s="127"/>
      <c r="AC321" s="127"/>
      <c r="AD321" s="127"/>
      <c r="AE321" s="127"/>
      <c r="AF321" s="127"/>
      <c r="AG321" s="127"/>
      <c r="AH321" s="127"/>
      <c r="AI321" s="127"/>
      <c r="AJ321" s="127"/>
      <c r="AK321" s="127"/>
      <c r="AL321" s="127"/>
      <c r="AM321" s="127"/>
      <c r="AN321" s="517"/>
      <c r="AO321" s="517"/>
      <c r="AP321" s="517"/>
      <c r="AQ321" s="127"/>
      <c r="AR321" s="517"/>
      <c r="AS321" s="517"/>
      <c r="AT321" s="517"/>
      <c r="AU321" s="592"/>
      <c r="AV321" s="517"/>
      <c r="AW321" s="517"/>
      <c r="AX321" s="517"/>
      <c r="AY321" s="517"/>
      <c r="AZ321" s="517"/>
      <c r="BA321" s="517"/>
      <c r="BB321" s="517"/>
      <c r="BC321" s="517"/>
      <c r="BD321" s="517"/>
      <c r="BE321" s="517"/>
      <c r="BF321" s="517"/>
      <c r="BG321" s="517"/>
      <c r="BH321" s="517"/>
      <c r="BI321" s="517"/>
      <c r="BJ321" s="517"/>
      <c r="BK321" s="517"/>
      <c r="BL321" s="517"/>
      <c r="BM321" s="517"/>
      <c r="BN321" s="517"/>
      <c r="BO321" s="517"/>
      <c r="BP321" s="517"/>
      <c r="BQ321" s="517"/>
      <c r="BR321" s="517"/>
      <c r="BS321" s="517"/>
      <c r="BT321" s="517"/>
      <c r="BU321" s="517"/>
      <c r="BV321" s="517"/>
      <c r="BW321" s="517"/>
      <c r="BX321" s="517"/>
      <c r="BY321" s="517"/>
      <c r="BZ321" s="517"/>
      <c r="CA321" s="517"/>
      <c r="CB321" s="517"/>
      <c r="CC321" s="517"/>
      <c r="CD321" s="517"/>
      <c r="CE321" s="517"/>
      <c r="CF321" s="517"/>
      <c r="CG321" s="517"/>
      <c r="CH321" s="517"/>
      <c r="CI321" s="517"/>
      <c r="CJ321" s="517"/>
      <c r="CK321" s="517"/>
      <c r="CL321" s="517"/>
      <c r="CM321" s="517"/>
      <c r="CN321" s="517"/>
      <c r="CO321" s="517"/>
      <c r="CP321" s="517"/>
      <c r="CQ321" s="517"/>
      <c r="CR321" s="517"/>
      <c r="CS321" s="517"/>
      <c r="CT321" s="517"/>
      <c r="CU321" s="517"/>
      <c r="CV321" s="517"/>
      <c r="CW321" s="517"/>
      <c r="CX321" s="517"/>
    </row>
    <row r="322" spans="1:102" ht="12" customHeight="1" x14ac:dyDescent="0.2">
      <c r="A322" s="517"/>
      <c r="B322" s="517"/>
      <c r="C322" s="517"/>
      <c r="D322" s="517"/>
      <c r="E322" s="517"/>
      <c r="F322" s="517"/>
      <c r="G322" s="517"/>
      <c r="H322" s="517"/>
      <c r="I322" s="517"/>
      <c r="J322" s="517"/>
      <c r="K322" s="517"/>
      <c r="L322" s="517"/>
      <c r="M322" s="517"/>
      <c r="N322" s="517"/>
      <c r="O322" s="517"/>
      <c r="P322" s="517"/>
      <c r="Q322" s="517"/>
      <c r="R322" s="517"/>
      <c r="S322" s="517"/>
      <c r="T322" s="517"/>
      <c r="U322" s="517"/>
      <c r="V322" s="517"/>
      <c r="W322" s="517"/>
      <c r="X322" s="127"/>
      <c r="Y322" s="127"/>
      <c r="Z322" s="127"/>
      <c r="AA322" s="127"/>
      <c r="AB322" s="127"/>
      <c r="AC322" s="127"/>
      <c r="AD322" s="127"/>
      <c r="AE322" s="127"/>
      <c r="AF322" s="127"/>
      <c r="AG322" s="127"/>
      <c r="AH322" s="127"/>
      <c r="AI322" s="127"/>
      <c r="AJ322" s="127"/>
      <c r="AK322" s="127"/>
      <c r="AL322" s="127"/>
      <c r="AM322" s="127"/>
      <c r="AN322" s="517"/>
      <c r="AO322" s="517"/>
      <c r="AP322" s="517"/>
      <c r="AQ322" s="127"/>
      <c r="AR322" s="517"/>
      <c r="AS322" s="517"/>
      <c r="AT322" s="517"/>
      <c r="AU322" s="592"/>
      <c r="AV322" s="517"/>
      <c r="AW322" s="517"/>
      <c r="AX322" s="517"/>
      <c r="AY322" s="517"/>
      <c r="AZ322" s="517"/>
      <c r="BA322" s="517"/>
      <c r="BB322" s="517"/>
      <c r="BC322" s="517"/>
      <c r="BD322" s="517"/>
      <c r="BE322" s="517"/>
      <c r="BF322" s="517"/>
      <c r="BG322" s="517"/>
      <c r="BH322" s="517"/>
      <c r="BI322" s="517"/>
      <c r="BJ322" s="517"/>
      <c r="BK322" s="517"/>
      <c r="BL322" s="517"/>
      <c r="BM322" s="517"/>
      <c r="BN322" s="517"/>
      <c r="BO322" s="517"/>
      <c r="BP322" s="517"/>
      <c r="BQ322" s="517"/>
      <c r="BR322" s="517"/>
      <c r="BS322" s="517"/>
      <c r="BT322" s="517"/>
      <c r="BU322" s="517"/>
      <c r="BV322" s="517"/>
      <c r="BW322" s="517"/>
      <c r="BX322" s="517"/>
      <c r="BY322" s="517"/>
      <c r="BZ322" s="517"/>
      <c r="CA322" s="517"/>
      <c r="CB322" s="517"/>
      <c r="CC322" s="517"/>
      <c r="CD322" s="517"/>
      <c r="CE322" s="517"/>
      <c r="CF322" s="517"/>
      <c r="CG322" s="517"/>
      <c r="CH322" s="517"/>
      <c r="CI322" s="517"/>
      <c r="CJ322" s="517"/>
      <c r="CK322" s="517"/>
      <c r="CL322" s="517"/>
      <c r="CM322" s="517"/>
      <c r="CN322" s="517"/>
      <c r="CO322" s="517"/>
      <c r="CP322" s="517"/>
      <c r="CQ322" s="517"/>
      <c r="CR322" s="517"/>
      <c r="CS322" s="517"/>
      <c r="CT322" s="517"/>
      <c r="CU322" s="517"/>
      <c r="CV322" s="517"/>
      <c r="CW322" s="517"/>
      <c r="CX322" s="517"/>
    </row>
    <row r="323" spans="1:102" ht="12" customHeight="1" x14ac:dyDescent="0.2">
      <c r="A323" s="517"/>
      <c r="B323" s="517"/>
      <c r="C323" s="517"/>
      <c r="D323" s="517"/>
      <c r="E323" s="517"/>
      <c r="F323" s="517"/>
      <c r="G323" s="517"/>
      <c r="H323" s="517"/>
      <c r="I323" s="517"/>
      <c r="J323" s="517"/>
      <c r="K323" s="517"/>
      <c r="L323" s="517"/>
      <c r="M323" s="517"/>
      <c r="N323" s="517"/>
      <c r="O323" s="517"/>
      <c r="P323" s="517"/>
      <c r="Q323" s="517"/>
      <c r="R323" s="517"/>
      <c r="S323" s="517"/>
      <c r="T323" s="517"/>
      <c r="U323" s="517"/>
      <c r="V323" s="517"/>
      <c r="W323" s="517"/>
      <c r="X323" s="127"/>
      <c r="Y323" s="127"/>
      <c r="Z323" s="127"/>
      <c r="AA323" s="127"/>
      <c r="AB323" s="127"/>
      <c r="AC323" s="127"/>
      <c r="AD323" s="127"/>
      <c r="AE323" s="127"/>
      <c r="AF323" s="127"/>
      <c r="AG323" s="127"/>
      <c r="AH323" s="127"/>
      <c r="AI323" s="127"/>
      <c r="AJ323" s="127"/>
      <c r="AK323" s="127"/>
      <c r="AL323" s="127"/>
      <c r="AM323" s="127"/>
      <c r="AN323" s="517"/>
      <c r="AO323" s="517"/>
      <c r="AP323" s="517"/>
      <c r="AQ323" s="127"/>
      <c r="AR323" s="517"/>
      <c r="AS323" s="517"/>
      <c r="AT323" s="517"/>
      <c r="AU323" s="592"/>
      <c r="AV323" s="517"/>
      <c r="AW323" s="517"/>
      <c r="AX323" s="517"/>
      <c r="AY323" s="517"/>
      <c r="AZ323" s="517"/>
      <c r="BA323" s="517"/>
      <c r="BB323" s="517"/>
      <c r="BC323" s="517"/>
      <c r="BD323" s="517"/>
      <c r="BE323" s="517"/>
      <c r="BF323" s="517"/>
      <c r="BG323" s="517"/>
      <c r="BH323" s="517"/>
      <c r="BI323" s="517"/>
      <c r="BJ323" s="517"/>
      <c r="BK323" s="517"/>
      <c r="BL323" s="517"/>
      <c r="BM323" s="517"/>
      <c r="BN323" s="517"/>
      <c r="BO323" s="517"/>
      <c r="BP323" s="517"/>
      <c r="BQ323" s="517"/>
      <c r="BR323" s="517"/>
      <c r="BS323" s="517"/>
      <c r="BT323" s="517"/>
      <c r="BU323" s="517"/>
      <c r="BV323" s="517"/>
      <c r="BW323" s="517"/>
      <c r="BX323" s="517"/>
      <c r="BY323" s="517"/>
      <c r="BZ323" s="517"/>
      <c r="CA323" s="517"/>
      <c r="CB323" s="517"/>
      <c r="CC323" s="517"/>
      <c r="CD323" s="517"/>
      <c r="CE323" s="517"/>
      <c r="CF323" s="517"/>
      <c r="CG323" s="517"/>
      <c r="CH323" s="517"/>
      <c r="CI323" s="517"/>
      <c r="CJ323" s="517"/>
      <c r="CK323" s="517"/>
      <c r="CL323" s="517"/>
      <c r="CM323" s="517"/>
      <c r="CN323" s="517"/>
      <c r="CO323" s="517"/>
      <c r="CP323" s="517"/>
      <c r="CQ323" s="517"/>
      <c r="CR323" s="517"/>
      <c r="CS323" s="517"/>
      <c r="CT323" s="517"/>
      <c r="CU323" s="517"/>
      <c r="CV323" s="517"/>
      <c r="CW323" s="517"/>
      <c r="CX323" s="517"/>
    </row>
    <row r="324" spans="1:102" ht="12" customHeight="1" x14ac:dyDescent="0.2">
      <c r="A324" s="517"/>
      <c r="B324" s="517"/>
      <c r="C324" s="517"/>
      <c r="D324" s="517"/>
      <c r="E324" s="517"/>
      <c r="F324" s="517"/>
      <c r="G324" s="517"/>
      <c r="H324" s="517"/>
      <c r="I324" s="517"/>
      <c r="J324" s="517"/>
      <c r="K324" s="517"/>
      <c r="L324" s="517"/>
      <c r="M324" s="517"/>
      <c r="N324" s="517"/>
      <c r="O324" s="517"/>
      <c r="P324" s="517"/>
      <c r="Q324" s="517"/>
      <c r="R324" s="517"/>
      <c r="S324" s="517"/>
      <c r="T324" s="517"/>
      <c r="U324" s="517"/>
      <c r="V324" s="517"/>
      <c r="W324" s="517"/>
      <c r="X324" s="127"/>
      <c r="Y324" s="127"/>
      <c r="Z324" s="127"/>
      <c r="AA324" s="127"/>
      <c r="AB324" s="127"/>
      <c r="AC324" s="127"/>
      <c r="AD324" s="127"/>
      <c r="AE324" s="127"/>
      <c r="AF324" s="127"/>
      <c r="AG324" s="127"/>
      <c r="AH324" s="127"/>
      <c r="AI324" s="127"/>
      <c r="AJ324" s="127"/>
      <c r="AK324" s="127"/>
      <c r="AL324" s="127"/>
      <c r="AM324" s="127"/>
      <c r="AN324" s="517"/>
      <c r="AO324" s="517"/>
      <c r="AP324" s="517"/>
      <c r="AQ324" s="127"/>
      <c r="AR324" s="517"/>
      <c r="AS324" s="517"/>
      <c r="AT324" s="517"/>
      <c r="AU324" s="592"/>
      <c r="AV324" s="517"/>
      <c r="AW324" s="517"/>
      <c r="AX324" s="517"/>
      <c r="AY324" s="517"/>
      <c r="AZ324" s="517"/>
      <c r="BA324" s="517"/>
      <c r="BB324" s="517"/>
      <c r="BC324" s="517"/>
      <c r="BD324" s="517"/>
      <c r="BE324" s="517"/>
      <c r="BF324" s="517"/>
      <c r="BG324" s="517"/>
      <c r="BH324" s="517"/>
      <c r="BI324" s="517"/>
      <c r="BJ324" s="517"/>
      <c r="BK324" s="517"/>
      <c r="BL324" s="517"/>
      <c r="BM324" s="517"/>
      <c r="BN324" s="517"/>
      <c r="BO324" s="517"/>
      <c r="BP324" s="517"/>
      <c r="BQ324" s="517"/>
      <c r="BR324" s="517"/>
      <c r="BS324" s="517"/>
      <c r="BT324" s="517"/>
      <c r="BU324" s="517"/>
      <c r="BV324" s="517"/>
      <c r="BW324" s="517"/>
      <c r="BX324" s="517"/>
      <c r="BY324" s="517"/>
      <c r="BZ324" s="517"/>
      <c r="CA324" s="517"/>
      <c r="CB324" s="517"/>
      <c r="CC324" s="517"/>
      <c r="CD324" s="517"/>
      <c r="CE324" s="517"/>
      <c r="CF324" s="517"/>
      <c r="CG324" s="517"/>
      <c r="CH324" s="517"/>
      <c r="CI324" s="517"/>
      <c r="CJ324" s="517"/>
      <c r="CK324" s="517"/>
      <c r="CL324" s="517"/>
      <c r="CM324" s="517"/>
      <c r="CN324" s="517"/>
      <c r="CO324" s="517"/>
      <c r="CP324" s="517"/>
      <c r="CQ324" s="517"/>
      <c r="CR324" s="517"/>
      <c r="CS324" s="517"/>
      <c r="CT324" s="517"/>
      <c r="CU324" s="517"/>
      <c r="CV324" s="517"/>
      <c r="CW324" s="517"/>
      <c r="CX324" s="517"/>
    </row>
    <row r="325" spans="1:102" ht="12" customHeight="1" x14ac:dyDescent="0.2">
      <c r="A325" s="517"/>
      <c r="B325" s="517"/>
      <c r="C325" s="517"/>
      <c r="D325" s="517"/>
      <c r="E325" s="517"/>
      <c r="F325" s="517"/>
      <c r="G325" s="517"/>
      <c r="H325" s="517"/>
      <c r="I325" s="517"/>
      <c r="J325" s="517"/>
      <c r="K325" s="517"/>
      <c r="L325" s="517"/>
      <c r="M325" s="517"/>
      <c r="N325" s="517"/>
      <c r="O325" s="517"/>
      <c r="P325" s="517"/>
      <c r="Q325" s="517"/>
      <c r="R325" s="517"/>
      <c r="S325" s="517"/>
      <c r="T325" s="517"/>
      <c r="U325" s="517"/>
      <c r="V325" s="517"/>
      <c r="W325" s="517"/>
      <c r="X325" s="127"/>
      <c r="Y325" s="127"/>
      <c r="Z325" s="127"/>
      <c r="AA325" s="127"/>
      <c r="AB325" s="127"/>
      <c r="AC325" s="127"/>
      <c r="AD325" s="127"/>
      <c r="AE325" s="127"/>
      <c r="AF325" s="127"/>
      <c r="AG325" s="127"/>
      <c r="AH325" s="127"/>
      <c r="AI325" s="127"/>
      <c r="AJ325" s="127"/>
      <c r="AK325" s="127"/>
      <c r="AL325" s="127"/>
      <c r="AM325" s="127"/>
      <c r="AN325" s="517"/>
      <c r="AO325" s="517"/>
      <c r="AP325" s="517"/>
      <c r="AQ325" s="127"/>
      <c r="AR325" s="517"/>
      <c r="AS325" s="517"/>
      <c r="AT325" s="517"/>
      <c r="AU325" s="592"/>
      <c r="AV325" s="517"/>
      <c r="AW325" s="517"/>
      <c r="AX325" s="517"/>
      <c r="AY325" s="517"/>
      <c r="AZ325" s="517"/>
      <c r="BA325" s="517"/>
      <c r="BB325" s="517"/>
      <c r="BC325" s="517"/>
      <c r="BD325" s="517"/>
      <c r="BE325" s="517"/>
      <c r="BF325" s="517"/>
      <c r="BG325" s="517"/>
      <c r="BH325" s="517"/>
      <c r="BI325" s="517"/>
      <c r="BJ325" s="517"/>
      <c r="BK325" s="517"/>
      <c r="BL325" s="517"/>
      <c r="BM325" s="517"/>
      <c r="BN325" s="517"/>
      <c r="BO325" s="517"/>
      <c r="BP325" s="517"/>
      <c r="BQ325" s="517"/>
      <c r="BR325" s="517"/>
      <c r="BS325" s="517"/>
      <c r="BT325" s="517"/>
      <c r="BU325" s="517"/>
      <c r="BV325" s="517"/>
      <c r="BW325" s="517"/>
      <c r="BX325" s="517"/>
      <c r="BY325" s="517"/>
      <c r="BZ325" s="517"/>
      <c r="CA325" s="517"/>
      <c r="CB325" s="517"/>
      <c r="CC325" s="517"/>
      <c r="CD325" s="517"/>
      <c r="CE325" s="517"/>
      <c r="CF325" s="517"/>
      <c r="CG325" s="517"/>
      <c r="CH325" s="517"/>
      <c r="CI325" s="517"/>
      <c r="CJ325" s="517"/>
      <c r="CK325" s="517"/>
      <c r="CL325" s="517"/>
      <c r="CM325" s="517"/>
      <c r="CN325" s="517"/>
      <c r="CO325" s="517"/>
      <c r="CP325" s="517"/>
      <c r="CQ325" s="517"/>
      <c r="CR325" s="517"/>
      <c r="CS325" s="517"/>
      <c r="CT325" s="517"/>
      <c r="CU325" s="517"/>
      <c r="CV325" s="517"/>
      <c r="CW325" s="517"/>
      <c r="CX325" s="517"/>
    </row>
    <row r="326" spans="1:102" ht="12" customHeight="1" x14ac:dyDescent="0.2">
      <c r="A326" s="517"/>
      <c r="B326" s="517"/>
      <c r="C326" s="517"/>
      <c r="D326" s="517"/>
      <c r="E326" s="517"/>
      <c r="F326" s="517"/>
      <c r="G326" s="517"/>
      <c r="H326" s="517"/>
      <c r="I326" s="517"/>
      <c r="J326" s="517"/>
      <c r="K326" s="517"/>
      <c r="L326" s="517"/>
      <c r="M326" s="517"/>
      <c r="N326" s="517"/>
      <c r="O326" s="517"/>
      <c r="P326" s="517"/>
      <c r="Q326" s="517"/>
      <c r="R326" s="517"/>
      <c r="S326" s="517"/>
      <c r="T326" s="517"/>
      <c r="U326" s="517"/>
      <c r="V326" s="517"/>
      <c r="W326" s="517"/>
      <c r="X326" s="127"/>
      <c r="Y326" s="127"/>
      <c r="Z326" s="127"/>
      <c r="AA326" s="127"/>
      <c r="AB326" s="127"/>
      <c r="AC326" s="127"/>
      <c r="AD326" s="127"/>
      <c r="AE326" s="127"/>
      <c r="AF326" s="127"/>
      <c r="AG326" s="127"/>
      <c r="AH326" s="127"/>
      <c r="AI326" s="127"/>
      <c r="AJ326" s="127"/>
      <c r="AK326" s="127"/>
      <c r="AL326" s="127"/>
      <c r="AM326" s="127"/>
      <c r="AN326" s="517"/>
      <c r="AO326" s="517"/>
      <c r="AP326" s="517"/>
      <c r="AQ326" s="127"/>
      <c r="AR326" s="517"/>
      <c r="AS326" s="517"/>
      <c r="AT326" s="517"/>
      <c r="AU326" s="592"/>
      <c r="AV326" s="517"/>
      <c r="AW326" s="517"/>
      <c r="AX326" s="517"/>
      <c r="AY326" s="517"/>
      <c r="AZ326" s="517"/>
      <c r="BA326" s="517"/>
      <c r="BB326" s="517"/>
      <c r="BC326" s="517"/>
      <c r="BD326" s="517"/>
      <c r="BE326" s="517"/>
      <c r="BF326" s="517"/>
      <c r="BG326" s="517"/>
      <c r="BH326" s="517"/>
      <c r="BI326" s="517"/>
      <c r="BJ326" s="517"/>
      <c r="BK326" s="517"/>
      <c r="BL326" s="517"/>
      <c r="BM326" s="517"/>
      <c r="BN326" s="517"/>
      <c r="BO326" s="517"/>
      <c r="BP326" s="517"/>
      <c r="BQ326" s="517"/>
      <c r="BR326" s="517"/>
      <c r="BS326" s="517"/>
      <c r="BT326" s="517"/>
      <c r="BU326" s="517"/>
      <c r="BV326" s="517"/>
      <c r="BW326" s="517"/>
      <c r="BX326" s="517"/>
      <c r="BY326" s="517"/>
      <c r="BZ326" s="517"/>
      <c r="CA326" s="517"/>
      <c r="CB326" s="517"/>
      <c r="CC326" s="517"/>
      <c r="CD326" s="517"/>
      <c r="CE326" s="517"/>
      <c r="CF326" s="517"/>
      <c r="CG326" s="517"/>
      <c r="CH326" s="517"/>
      <c r="CI326" s="517"/>
      <c r="CJ326" s="517"/>
      <c r="CK326" s="517"/>
      <c r="CL326" s="517"/>
      <c r="CM326" s="517"/>
      <c r="CN326" s="517"/>
      <c r="CO326" s="517"/>
      <c r="CP326" s="517"/>
      <c r="CQ326" s="517"/>
      <c r="CR326" s="517"/>
      <c r="CS326" s="517"/>
      <c r="CT326" s="517"/>
      <c r="CU326" s="517"/>
      <c r="CV326" s="517"/>
      <c r="CW326" s="517"/>
      <c r="CX326" s="517"/>
    </row>
    <row r="327" spans="1:102" ht="12" customHeight="1" x14ac:dyDescent="0.2">
      <c r="A327" s="517"/>
      <c r="B327" s="517"/>
      <c r="C327" s="517"/>
      <c r="D327" s="517"/>
      <c r="E327" s="517"/>
      <c r="F327" s="517"/>
      <c r="G327" s="517"/>
      <c r="H327" s="517"/>
      <c r="I327" s="517"/>
      <c r="J327" s="517"/>
      <c r="K327" s="517"/>
      <c r="L327" s="517"/>
      <c r="M327" s="517"/>
      <c r="N327" s="517"/>
      <c r="O327" s="517"/>
      <c r="P327" s="517"/>
      <c r="Q327" s="517"/>
      <c r="R327" s="517"/>
      <c r="S327" s="517"/>
      <c r="T327" s="517"/>
      <c r="U327" s="517"/>
      <c r="V327" s="517"/>
      <c r="W327" s="517"/>
      <c r="X327" s="127"/>
      <c r="Y327" s="127"/>
      <c r="Z327" s="127"/>
      <c r="AA327" s="127"/>
      <c r="AB327" s="127"/>
      <c r="AC327" s="127"/>
      <c r="AD327" s="127"/>
      <c r="AE327" s="127"/>
      <c r="AF327" s="127"/>
      <c r="AG327" s="127"/>
      <c r="AH327" s="127"/>
      <c r="AI327" s="127"/>
      <c r="AJ327" s="127"/>
      <c r="AK327" s="127"/>
      <c r="AL327" s="127"/>
      <c r="AM327" s="127"/>
      <c r="AN327" s="517"/>
      <c r="AO327" s="517"/>
      <c r="AP327" s="517"/>
      <c r="AQ327" s="127"/>
      <c r="AR327" s="517"/>
      <c r="AS327" s="517"/>
      <c r="AT327" s="517"/>
      <c r="AU327" s="592"/>
      <c r="AV327" s="517"/>
      <c r="AW327" s="517"/>
      <c r="AX327" s="517"/>
      <c r="AY327" s="517"/>
      <c r="AZ327" s="517"/>
      <c r="BA327" s="517"/>
      <c r="BB327" s="517"/>
      <c r="BC327" s="517"/>
      <c r="BD327" s="517"/>
      <c r="BE327" s="517"/>
      <c r="BF327" s="517"/>
      <c r="BG327" s="517"/>
      <c r="BH327" s="517"/>
      <c r="BI327" s="517"/>
      <c r="BJ327" s="517"/>
      <c r="BK327" s="517"/>
      <c r="BL327" s="517"/>
      <c r="BM327" s="517"/>
      <c r="BN327" s="517"/>
      <c r="BO327" s="517"/>
      <c r="BP327" s="517"/>
      <c r="BQ327" s="517"/>
      <c r="BR327" s="517"/>
      <c r="BS327" s="517"/>
      <c r="BT327" s="517"/>
      <c r="BU327" s="517"/>
      <c r="BV327" s="517"/>
      <c r="BW327" s="517"/>
      <c r="BX327" s="517"/>
      <c r="BY327" s="517"/>
      <c r="BZ327" s="517"/>
      <c r="CA327" s="517"/>
      <c r="CB327" s="517"/>
      <c r="CC327" s="517"/>
      <c r="CD327" s="517"/>
      <c r="CE327" s="517"/>
      <c r="CF327" s="517"/>
      <c r="CG327" s="517"/>
      <c r="CH327" s="517"/>
      <c r="CI327" s="517"/>
      <c r="CJ327" s="517"/>
      <c r="CK327" s="517"/>
      <c r="CL327" s="517"/>
      <c r="CM327" s="517"/>
      <c r="CN327" s="517"/>
      <c r="CO327" s="517"/>
      <c r="CP327" s="517"/>
      <c r="CQ327" s="517"/>
      <c r="CR327" s="517"/>
      <c r="CS327" s="517"/>
      <c r="CT327" s="517"/>
      <c r="CU327" s="517"/>
      <c r="CV327" s="517"/>
      <c r="CW327" s="517"/>
      <c r="CX327" s="517"/>
    </row>
    <row r="328" spans="1:102" ht="12" customHeight="1" x14ac:dyDescent="0.2">
      <c r="A328" s="517"/>
      <c r="B328" s="517"/>
      <c r="C328" s="517"/>
      <c r="D328" s="517"/>
      <c r="E328" s="517"/>
      <c r="F328" s="517"/>
      <c r="G328" s="517"/>
      <c r="H328" s="517"/>
      <c r="I328" s="517"/>
      <c r="J328" s="517"/>
      <c r="K328" s="517"/>
      <c r="L328" s="517"/>
      <c r="M328" s="517"/>
      <c r="N328" s="517"/>
      <c r="O328" s="517"/>
      <c r="P328" s="517"/>
      <c r="Q328" s="517"/>
      <c r="R328" s="517"/>
      <c r="S328" s="517"/>
      <c r="T328" s="517"/>
      <c r="U328" s="517"/>
      <c r="V328" s="517"/>
      <c r="W328" s="517"/>
      <c r="X328" s="127"/>
      <c r="Y328" s="127"/>
      <c r="Z328" s="127"/>
      <c r="AA328" s="127"/>
      <c r="AB328" s="127"/>
      <c r="AC328" s="127"/>
      <c r="AD328" s="127"/>
      <c r="AE328" s="127"/>
      <c r="AF328" s="127"/>
      <c r="AG328" s="127"/>
      <c r="AH328" s="127"/>
      <c r="AI328" s="127"/>
      <c r="AJ328" s="127"/>
      <c r="AK328" s="127"/>
      <c r="AL328" s="127"/>
      <c r="AM328" s="127"/>
      <c r="AN328" s="517"/>
      <c r="AO328" s="517"/>
      <c r="AP328" s="517"/>
      <c r="AQ328" s="127"/>
      <c r="AR328" s="517"/>
      <c r="AS328" s="517"/>
      <c r="AT328" s="517"/>
      <c r="AU328" s="592"/>
      <c r="AV328" s="517"/>
      <c r="AW328" s="517"/>
      <c r="AX328" s="517"/>
      <c r="AY328" s="517"/>
      <c r="AZ328" s="517"/>
      <c r="BA328" s="517"/>
      <c r="BB328" s="517"/>
      <c r="BC328" s="517"/>
      <c r="BD328" s="517"/>
      <c r="BE328" s="517"/>
      <c r="BF328" s="517"/>
      <c r="BG328" s="517"/>
      <c r="BH328" s="517"/>
      <c r="BI328" s="517"/>
      <c r="BJ328" s="517"/>
      <c r="BK328" s="517"/>
      <c r="BL328" s="517"/>
      <c r="BM328" s="517"/>
      <c r="BN328" s="517"/>
      <c r="BO328" s="517"/>
      <c r="BP328" s="517"/>
      <c r="BQ328" s="517"/>
      <c r="BR328" s="517"/>
      <c r="BS328" s="517"/>
      <c r="BT328" s="517"/>
      <c r="BU328" s="517"/>
      <c r="BV328" s="517"/>
      <c r="BW328" s="517"/>
      <c r="BX328" s="517"/>
      <c r="BY328" s="517"/>
      <c r="BZ328" s="517"/>
      <c r="CA328" s="517"/>
      <c r="CB328" s="517"/>
      <c r="CC328" s="517"/>
      <c r="CD328" s="517"/>
      <c r="CE328" s="517"/>
      <c r="CF328" s="517"/>
      <c r="CG328" s="517"/>
      <c r="CH328" s="517"/>
      <c r="CI328" s="517"/>
      <c r="CJ328" s="517"/>
      <c r="CK328" s="517"/>
      <c r="CL328" s="517"/>
      <c r="CM328" s="517"/>
      <c r="CN328" s="517"/>
      <c r="CO328" s="517"/>
      <c r="CP328" s="517"/>
      <c r="CQ328" s="517"/>
      <c r="CR328" s="517"/>
      <c r="CS328" s="517"/>
      <c r="CT328" s="517"/>
      <c r="CU328" s="517"/>
      <c r="CV328" s="517"/>
      <c r="CW328" s="517"/>
      <c r="CX328" s="517"/>
    </row>
    <row r="329" spans="1:102" ht="12" customHeight="1" x14ac:dyDescent="0.2">
      <c r="A329" s="517"/>
      <c r="B329" s="517"/>
      <c r="C329" s="517"/>
      <c r="D329" s="517"/>
      <c r="E329" s="517"/>
      <c r="F329" s="517"/>
      <c r="G329" s="517"/>
      <c r="H329" s="517"/>
      <c r="I329" s="517"/>
      <c r="J329" s="517"/>
      <c r="K329" s="517"/>
      <c r="L329" s="517"/>
      <c r="M329" s="517"/>
      <c r="N329" s="517"/>
      <c r="O329" s="517"/>
      <c r="P329" s="517"/>
      <c r="Q329" s="517"/>
      <c r="R329" s="517"/>
      <c r="S329" s="517"/>
      <c r="T329" s="517"/>
      <c r="U329" s="517"/>
      <c r="V329" s="517"/>
      <c r="W329" s="517"/>
      <c r="X329" s="127"/>
      <c r="Y329" s="127"/>
      <c r="Z329" s="127"/>
      <c r="AA329" s="127"/>
      <c r="AB329" s="127"/>
      <c r="AC329" s="127"/>
      <c r="AD329" s="127"/>
      <c r="AE329" s="127"/>
      <c r="AF329" s="127"/>
      <c r="AG329" s="127"/>
      <c r="AH329" s="127"/>
      <c r="AI329" s="127"/>
      <c r="AJ329" s="127"/>
      <c r="AK329" s="127"/>
      <c r="AL329" s="127"/>
      <c r="AM329" s="127"/>
      <c r="AN329" s="517"/>
      <c r="AO329" s="517"/>
      <c r="AP329" s="517"/>
      <c r="AQ329" s="127"/>
      <c r="AR329" s="517"/>
      <c r="AS329" s="517"/>
      <c r="AT329" s="517"/>
      <c r="AU329" s="592"/>
      <c r="AV329" s="517"/>
      <c r="AW329" s="517"/>
      <c r="AX329" s="517"/>
      <c r="AY329" s="517"/>
      <c r="AZ329" s="517"/>
      <c r="BA329" s="517"/>
      <c r="BB329" s="517"/>
      <c r="BC329" s="517"/>
      <c r="BD329" s="517"/>
      <c r="BE329" s="517"/>
      <c r="BF329" s="517"/>
      <c r="BG329" s="517"/>
      <c r="BH329" s="517"/>
      <c r="BI329" s="517"/>
      <c r="BJ329" s="517"/>
      <c r="BK329" s="517"/>
      <c r="BL329" s="517"/>
      <c r="BM329" s="517"/>
      <c r="BN329" s="517"/>
      <c r="BO329" s="517"/>
      <c r="BP329" s="517"/>
      <c r="BQ329" s="517"/>
      <c r="BR329" s="517"/>
      <c r="BS329" s="517"/>
      <c r="BT329" s="517"/>
      <c r="BU329" s="517"/>
      <c r="BV329" s="517"/>
      <c r="BW329" s="517"/>
      <c r="BX329" s="517"/>
      <c r="BY329" s="517"/>
      <c r="BZ329" s="517"/>
      <c r="CA329" s="517"/>
      <c r="CB329" s="517"/>
      <c r="CC329" s="517"/>
      <c r="CD329" s="517"/>
      <c r="CE329" s="517"/>
      <c r="CF329" s="517"/>
      <c r="CG329" s="517"/>
      <c r="CH329" s="517"/>
      <c r="CI329" s="517"/>
      <c r="CJ329" s="517"/>
      <c r="CK329" s="517"/>
      <c r="CL329" s="517"/>
      <c r="CM329" s="517"/>
      <c r="CN329" s="517"/>
      <c r="CO329" s="517"/>
      <c r="CP329" s="517"/>
      <c r="CQ329" s="517"/>
      <c r="CR329" s="517"/>
      <c r="CS329" s="517"/>
      <c r="CT329" s="517"/>
      <c r="CU329" s="517"/>
      <c r="CV329" s="517"/>
      <c r="CW329" s="517"/>
      <c r="CX329" s="517"/>
    </row>
    <row r="330" spans="1:102" ht="12" customHeight="1" x14ac:dyDescent="0.2">
      <c r="A330" s="517"/>
      <c r="B330" s="517"/>
      <c r="C330" s="517"/>
      <c r="D330" s="517"/>
      <c r="E330" s="517"/>
      <c r="F330" s="517"/>
      <c r="G330" s="517"/>
      <c r="H330" s="517"/>
      <c r="I330" s="517"/>
      <c r="J330" s="517"/>
      <c r="K330" s="517"/>
      <c r="L330" s="517"/>
      <c r="M330" s="517"/>
      <c r="N330" s="517"/>
      <c r="O330" s="517"/>
      <c r="P330" s="517"/>
      <c r="Q330" s="517"/>
      <c r="R330" s="517"/>
      <c r="S330" s="517"/>
      <c r="T330" s="517"/>
      <c r="U330" s="517"/>
      <c r="V330" s="517"/>
      <c r="W330" s="517"/>
      <c r="X330" s="127"/>
      <c r="Y330" s="127"/>
      <c r="Z330" s="127"/>
      <c r="AA330" s="127"/>
      <c r="AB330" s="127"/>
      <c r="AC330" s="127"/>
      <c r="AD330" s="127"/>
      <c r="AE330" s="127"/>
      <c r="AF330" s="127"/>
      <c r="AG330" s="127"/>
      <c r="AH330" s="127"/>
      <c r="AI330" s="127"/>
      <c r="AJ330" s="127"/>
      <c r="AK330" s="127"/>
      <c r="AL330" s="127"/>
      <c r="AM330" s="127"/>
      <c r="AN330" s="517"/>
      <c r="AO330" s="517"/>
      <c r="AP330" s="517"/>
      <c r="AQ330" s="127"/>
      <c r="AR330" s="517"/>
      <c r="AS330" s="517"/>
      <c r="AT330" s="517"/>
      <c r="AU330" s="592"/>
      <c r="AV330" s="517"/>
      <c r="AW330" s="517"/>
      <c r="AX330" s="517"/>
      <c r="AY330" s="517"/>
      <c r="AZ330" s="517"/>
      <c r="BA330" s="517"/>
      <c r="BB330" s="517"/>
      <c r="BC330" s="517"/>
      <c r="BD330" s="517"/>
      <c r="BE330" s="517"/>
      <c r="BF330" s="517"/>
      <c r="BG330" s="517"/>
      <c r="BH330" s="517"/>
      <c r="BI330" s="517"/>
      <c r="BJ330" s="517"/>
      <c r="BK330" s="517"/>
      <c r="BL330" s="517"/>
      <c r="BM330" s="517"/>
      <c r="BN330" s="517"/>
      <c r="BO330" s="517"/>
      <c r="BP330" s="517"/>
      <c r="BQ330" s="517"/>
      <c r="BR330" s="517"/>
      <c r="BS330" s="517"/>
      <c r="BT330" s="517"/>
      <c r="BU330" s="517"/>
      <c r="BV330" s="517"/>
      <c r="BW330" s="517"/>
      <c r="BX330" s="517"/>
      <c r="BY330" s="517"/>
      <c r="BZ330" s="517"/>
      <c r="CA330" s="517"/>
      <c r="CB330" s="517"/>
      <c r="CC330" s="517"/>
      <c r="CD330" s="517"/>
      <c r="CE330" s="517"/>
      <c r="CF330" s="517"/>
      <c r="CG330" s="517"/>
      <c r="CH330" s="517"/>
      <c r="CI330" s="517"/>
      <c r="CJ330" s="517"/>
      <c r="CK330" s="517"/>
      <c r="CL330" s="517"/>
      <c r="CM330" s="517"/>
      <c r="CN330" s="517"/>
      <c r="CO330" s="517"/>
      <c r="CP330" s="517"/>
      <c r="CQ330" s="517"/>
      <c r="CR330" s="517"/>
      <c r="CS330" s="517"/>
      <c r="CT330" s="517"/>
      <c r="CU330" s="517"/>
      <c r="CV330" s="517"/>
      <c r="CW330" s="517"/>
      <c r="CX330" s="517"/>
    </row>
    <row r="331" spans="1:102" ht="12" customHeight="1" x14ac:dyDescent="0.2">
      <c r="A331" s="517"/>
      <c r="B331" s="517"/>
      <c r="C331" s="517"/>
      <c r="D331" s="517"/>
      <c r="E331" s="517"/>
      <c r="F331" s="517"/>
      <c r="G331" s="517"/>
      <c r="H331" s="517"/>
      <c r="I331" s="517"/>
      <c r="J331" s="517"/>
      <c r="K331" s="517"/>
      <c r="L331" s="517"/>
      <c r="M331" s="517"/>
      <c r="N331" s="517"/>
      <c r="O331" s="517"/>
      <c r="P331" s="517"/>
      <c r="Q331" s="517"/>
      <c r="R331" s="517"/>
      <c r="S331" s="517"/>
      <c r="T331" s="517"/>
      <c r="U331" s="517"/>
      <c r="V331" s="517"/>
      <c r="W331" s="517"/>
      <c r="X331" s="127"/>
      <c r="Y331" s="127"/>
      <c r="Z331" s="127"/>
      <c r="AA331" s="127"/>
      <c r="AB331" s="127"/>
      <c r="AC331" s="127"/>
      <c r="AD331" s="127"/>
      <c r="AE331" s="127"/>
      <c r="AF331" s="127"/>
      <c r="AG331" s="127"/>
      <c r="AH331" s="127"/>
      <c r="AI331" s="127"/>
      <c r="AJ331" s="127"/>
      <c r="AK331" s="127"/>
      <c r="AL331" s="127"/>
      <c r="AM331" s="127"/>
      <c r="AN331" s="517"/>
      <c r="AO331" s="517"/>
      <c r="AP331" s="517"/>
      <c r="AQ331" s="127"/>
      <c r="AR331" s="517"/>
      <c r="AS331" s="517"/>
      <c r="AT331" s="517"/>
      <c r="AU331" s="592"/>
      <c r="AV331" s="517"/>
      <c r="AW331" s="517"/>
      <c r="AX331" s="517"/>
      <c r="AY331" s="517"/>
      <c r="AZ331" s="517"/>
      <c r="BA331" s="517"/>
      <c r="BB331" s="517"/>
      <c r="BC331" s="517"/>
      <c r="BD331" s="517"/>
      <c r="BE331" s="517"/>
      <c r="BF331" s="517"/>
      <c r="BG331" s="517"/>
      <c r="BH331" s="517"/>
      <c r="BI331" s="517"/>
      <c r="BJ331" s="517"/>
      <c r="BK331" s="517"/>
      <c r="BL331" s="517"/>
      <c r="BM331" s="517"/>
      <c r="BN331" s="517"/>
      <c r="BO331" s="517"/>
      <c r="BP331" s="517"/>
      <c r="BQ331" s="517"/>
      <c r="BR331" s="517"/>
      <c r="BS331" s="517"/>
      <c r="BT331" s="517"/>
      <c r="BU331" s="517"/>
      <c r="BV331" s="517"/>
      <c r="BW331" s="517"/>
      <c r="BX331" s="517"/>
      <c r="BY331" s="517"/>
      <c r="BZ331" s="517"/>
      <c r="CA331" s="517"/>
      <c r="CB331" s="517"/>
      <c r="CC331" s="517"/>
      <c r="CD331" s="517"/>
      <c r="CE331" s="517"/>
      <c r="CF331" s="517"/>
      <c r="CG331" s="517"/>
      <c r="CH331" s="517"/>
      <c r="CI331" s="517"/>
      <c r="CJ331" s="517"/>
      <c r="CK331" s="517"/>
      <c r="CL331" s="517"/>
      <c r="CM331" s="517"/>
      <c r="CN331" s="517"/>
      <c r="CO331" s="517"/>
      <c r="CP331" s="517"/>
      <c r="CQ331" s="517"/>
      <c r="CR331" s="517"/>
      <c r="CS331" s="517"/>
      <c r="CT331" s="517"/>
      <c r="CU331" s="517"/>
      <c r="CV331" s="517"/>
      <c r="CW331" s="517"/>
      <c r="CX331" s="517"/>
    </row>
    <row r="332" spans="1:102" ht="12" customHeight="1" x14ac:dyDescent="0.2">
      <c r="A332" s="517"/>
      <c r="B332" s="517"/>
      <c r="C332" s="517"/>
      <c r="D332" s="517"/>
      <c r="E332" s="517"/>
      <c r="F332" s="517"/>
      <c r="G332" s="517"/>
      <c r="H332" s="517"/>
      <c r="I332" s="517"/>
      <c r="J332" s="517"/>
      <c r="K332" s="517"/>
      <c r="L332" s="517"/>
      <c r="M332" s="517"/>
      <c r="N332" s="517"/>
      <c r="O332" s="517"/>
      <c r="P332" s="517"/>
      <c r="Q332" s="517"/>
      <c r="R332" s="517"/>
      <c r="S332" s="517"/>
      <c r="T332" s="517"/>
      <c r="U332" s="517"/>
      <c r="V332" s="517"/>
      <c r="W332" s="517"/>
      <c r="X332" s="127"/>
      <c r="Y332" s="127"/>
      <c r="Z332" s="127"/>
      <c r="AA332" s="127"/>
      <c r="AB332" s="127"/>
      <c r="AC332" s="127"/>
      <c r="AD332" s="127"/>
      <c r="AE332" s="127"/>
      <c r="AF332" s="127"/>
      <c r="AG332" s="127"/>
      <c r="AH332" s="127"/>
      <c r="AI332" s="127"/>
      <c r="AJ332" s="127"/>
      <c r="AK332" s="127"/>
      <c r="AL332" s="127"/>
      <c r="AM332" s="127"/>
      <c r="AN332" s="517"/>
      <c r="AO332" s="517"/>
      <c r="AP332" s="517"/>
      <c r="AQ332" s="127"/>
      <c r="AR332" s="517"/>
      <c r="AS332" s="517"/>
      <c r="AT332" s="517"/>
      <c r="AU332" s="592"/>
      <c r="AV332" s="517"/>
      <c r="AW332" s="517"/>
      <c r="AX332" s="517"/>
      <c r="AY332" s="517"/>
      <c r="AZ332" s="517"/>
      <c r="BA332" s="517"/>
      <c r="BB332" s="517"/>
      <c r="BC332" s="517"/>
      <c r="BD332" s="517"/>
      <c r="BE332" s="517"/>
      <c r="BF332" s="517"/>
      <c r="BG332" s="517"/>
      <c r="BH332" s="517"/>
      <c r="BI332" s="517"/>
      <c r="BJ332" s="517"/>
      <c r="BK332" s="517"/>
      <c r="BL332" s="517"/>
      <c r="BM332" s="517"/>
      <c r="BN332" s="517"/>
      <c r="BO332" s="517"/>
      <c r="BP332" s="517"/>
      <c r="BQ332" s="517"/>
      <c r="BR332" s="517"/>
      <c r="BS332" s="517"/>
      <c r="BT332" s="517"/>
      <c r="BU332" s="517"/>
      <c r="BV332" s="517"/>
      <c r="BW332" s="517"/>
      <c r="BX332" s="517"/>
      <c r="BY332" s="517"/>
      <c r="BZ332" s="517"/>
      <c r="CA332" s="517"/>
      <c r="CB332" s="517"/>
      <c r="CC332" s="517"/>
      <c r="CD332" s="517"/>
      <c r="CE332" s="517"/>
      <c r="CF332" s="517"/>
      <c r="CG332" s="517"/>
      <c r="CH332" s="517"/>
      <c r="CI332" s="517"/>
      <c r="CJ332" s="517"/>
      <c r="CK332" s="517"/>
      <c r="CL332" s="517"/>
      <c r="CM332" s="517"/>
      <c r="CN332" s="517"/>
      <c r="CO332" s="517"/>
      <c r="CP332" s="517"/>
      <c r="CQ332" s="517"/>
      <c r="CR332" s="517"/>
      <c r="CS332" s="517"/>
      <c r="CT332" s="517"/>
      <c r="CU332" s="517"/>
      <c r="CV332" s="517"/>
      <c r="CW332" s="517"/>
      <c r="CX332" s="517"/>
    </row>
    <row r="333" spans="1:102" ht="12" customHeight="1" x14ac:dyDescent="0.2">
      <c r="A333" s="517"/>
      <c r="B333" s="517"/>
      <c r="C333" s="517"/>
      <c r="D333" s="517"/>
      <c r="E333" s="517"/>
      <c r="F333" s="517"/>
      <c r="G333" s="517"/>
      <c r="H333" s="517"/>
      <c r="I333" s="517"/>
      <c r="J333" s="517"/>
      <c r="K333" s="517"/>
      <c r="L333" s="517"/>
      <c r="M333" s="517"/>
      <c r="N333" s="517"/>
      <c r="O333" s="517"/>
      <c r="P333" s="517"/>
      <c r="Q333" s="517"/>
      <c r="R333" s="517"/>
      <c r="S333" s="517"/>
      <c r="T333" s="517"/>
      <c r="U333" s="517"/>
      <c r="V333" s="517"/>
      <c r="W333" s="517"/>
      <c r="X333" s="127"/>
      <c r="Y333" s="127"/>
      <c r="Z333" s="127"/>
      <c r="AA333" s="127"/>
      <c r="AB333" s="127"/>
      <c r="AC333" s="127"/>
      <c r="AD333" s="127"/>
      <c r="AE333" s="127"/>
      <c r="AF333" s="127"/>
      <c r="AG333" s="127"/>
      <c r="AH333" s="127"/>
      <c r="AI333" s="127"/>
      <c r="AJ333" s="127"/>
      <c r="AK333" s="127"/>
      <c r="AL333" s="127"/>
      <c r="AM333" s="127"/>
      <c r="AN333" s="517"/>
      <c r="AO333" s="517"/>
      <c r="AP333" s="517"/>
      <c r="AQ333" s="127"/>
      <c r="AR333" s="517"/>
      <c r="AS333" s="517"/>
      <c r="AT333" s="517"/>
      <c r="AU333" s="592"/>
      <c r="AV333" s="517"/>
      <c r="AW333" s="517"/>
      <c r="AX333" s="517"/>
      <c r="AY333" s="517"/>
      <c r="AZ333" s="517"/>
      <c r="BA333" s="517"/>
      <c r="BB333" s="517"/>
      <c r="BC333" s="517"/>
      <c r="BD333" s="517"/>
      <c r="BE333" s="517"/>
      <c r="BF333" s="517"/>
      <c r="BG333" s="517"/>
      <c r="BH333" s="517"/>
      <c r="BI333" s="517"/>
      <c r="BJ333" s="517"/>
      <c r="BK333" s="517"/>
      <c r="BL333" s="517"/>
      <c r="BM333" s="517"/>
      <c r="BN333" s="517"/>
      <c r="BO333" s="517"/>
      <c r="BP333" s="517"/>
      <c r="BQ333" s="517"/>
      <c r="BR333" s="517"/>
      <c r="BS333" s="517"/>
      <c r="BT333" s="517"/>
      <c r="BU333" s="517"/>
      <c r="BV333" s="517"/>
      <c r="BW333" s="517"/>
      <c r="BX333" s="517"/>
      <c r="BY333" s="517"/>
      <c r="BZ333" s="517"/>
      <c r="CA333" s="517"/>
      <c r="CB333" s="517"/>
      <c r="CC333" s="517"/>
      <c r="CD333" s="517"/>
      <c r="CE333" s="517"/>
      <c r="CF333" s="517"/>
      <c r="CG333" s="517"/>
      <c r="CH333" s="517"/>
      <c r="CI333" s="517"/>
      <c r="CJ333" s="517"/>
      <c r="CK333" s="517"/>
      <c r="CL333" s="517"/>
      <c r="CM333" s="517"/>
      <c r="CN333" s="517"/>
      <c r="CO333" s="517"/>
      <c r="CP333" s="517"/>
      <c r="CQ333" s="517"/>
      <c r="CR333" s="517"/>
      <c r="CS333" s="517"/>
      <c r="CT333" s="517"/>
      <c r="CU333" s="517"/>
      <c r="CV333" s="517"/>
      <c r="CW333" s="517"/>
      <c r="CX333" s="517"/>
    </row>
    <row r="334" spans="1:102" ht="12" customHeight="1" x14ac:dyDescent="0.2">
      <c r="A334" s="517"/>
      <c r="B334" s="517"/>
      <c r="C334" s="517"/>
      <c r="D334" s="517"/>
      <c r="E334" s="517"/>
      <c r="F334" s="517"/>
      <c r="G334" s="517"/>
      <c r="H334" s="517"/>
      <c r="I334" s="517"/>
      <c r="J334" s="517"/>
      <c r="K334" s="517"/>
      <c r="L334" s="517"/>
      <c r="M334" s="517"/>
      <c r="N334" s="517"/>
      <c r="O334" s="517"/>
      <c r="P334" s="517"/>
      <c r="Q334" s="517"/>
      <c r="R334" s="517"/>
      <c r="S334" s="517"/>
      <c r="T334" s="517"/>
      <c r="U334" s="517"/>
      <c r="V334" s="517"/>
      <c r="W334" s="517"/>
      <c r="X334" s="127"/>
      <c r="Y334" s="127"/>
      <c r="Z334" s="127"/>
      <c r="AA334" s="127"/>
      <c r="AB334" s="127"/>
      <c r="AC334" s="127"/>
      <c r="AD334" s="127"/>
      <c r="AE334" s="127"/>
      <c r="AF334" s="127"/>
      <c r="AG334" s="127"/>
      <c r="AH334" s="127"/>
      <c r="AI334" s="127"/>
      <c r="AJ334" s="127"/>
      <c r="AK334" s="127"/>
      <c r="AL334" s="127"/>
      <c r="AM334" s="127"/>
      <c r="AN334" s="517"/>
      <c r="AO334" s="517"/>
      <c r="AP334" s="517"/>
      <c r="AQ334" s="127"/>
      <c r="AR334" s="517"/>
      <c r="AS334" s="517"/>
      <c r="AT334" s="517"/>
      <c r="AU334" s="592"/>
      <c r="AV334" s="517"/>
      <c r="AW334" s="517"/>
      <c r="AX334" s="517"/>
      <c r="AY334" s="517"/>
      <c r="AZ334" s="517"/>
      <c r="BA334" s="517"/>
      <c r="BB334" s="517"/>
      <c r="BC334" s="517"/>
      <c r="BD334" s="517"/>
      <c r="BE334" s="517"/>
      <c r="BF334" s="517"/>
      <c r="BG334" s="517"/>
      <c r="BH334" s="517"/>
      <c r="BI334" s="517"/>
      <c r="BJ334" s="517"/>
      <c r="BK334" s="517"/>
      <c r="BL334" s="517"/>
      <c r="BM334" s="517"/>
      <c r="BN334" s="517"/>
      <c r="BO334" s="517"/>
      <c r="BP334" s="517"/>
      <c r="BQ334" s="517"/>
      <c r="BR334" s="517"/>
      <c r="BS334" s="517"/>
      <c r="BT334" s="517"/>
      <c r="BU334" s="517"/>
      <c r="BV334" s="517"/>
      <c r="BW334" s="517"/>
      <c r="BX334" s="517"/>
      <c r="BY334" s="517"/>
      <c r="BZ334" s="517"/>
      <c r="CA334" s="517"/>
      <c r="CB334" s="517"/>
      <c r="CC334" s="517"/>
      <c r="CD334" s="517"/>
      <c r="CE334" s="517"/>
      <c r="CF334" s="517"/>
      <c r="CG334" s="517"/>
      <c r="CH334" s="517"/>
      <c r="CI334" s="517"/>
      <c r="CJ334" s="517"/>
      <c r="CK334" s="517"/>
      <c r="CL334" s="517"/>
      <c r="CM334" s="517"/>
      <c r="CN334" s="517"/>
      <c r="CO334" s="517"/>
      <c r="CP334" s="517"/>
      <c r="CQ334" s="517"/>
      <c r="CR334" s="517"/>
      <c r="CS334" s="517"/>
      <c r="CT334" s="517"/>
      <c r="CU334" s="517"/>
      <c r="CV334" s="517"/>
      <c r="CW334" s="517"/>
      <c r="CX334" s="517"/>
    </row>
    <row r="335" spans="1:102" ht="12" customHeight="1" x14ac:dyDescent="0.2">
      <c r="A335" s="517"/>
      <c r="B335" s="517"/>
      <c r="C335" s="517"/>
      <c r="D335" s="517"/>
      <c r="E335" s="517"/>
      <c r="F335" s="517"/>
      <c r="G335" s="517"/>
      <c r="H335" s="517"/>
      <c r="I335" s="517"/>
      <c r="J335" s="517"/>
      <c r="K335" s="517"/>
      <c r="L335" s="517"/>
      <c r="M335" s="517"/>
      <c r="N335" s="517"/>
      <c r="O335" s="517"/>
      <c r="P335" s="517"/>
      <c r="Q335" s="517"/>
      <c r="R335" s="517"/>
      <c r="S335" s="517"/>
      <c r="T335" s="517"/>
      <c r="U335" s="517"/>
      <c r="V335" s="517"/>
      <c r="W335" s="517"/>
      <c r="X335" s="127"/>
      <c r="Y335" s="127"/>
      <c r="Z335" s="127"/>
      <c r="AA335" s="127"/>
      <c r="AB335" s="127"/>
      <c r="AC335" s="127"/>
      <c r="AD335" s="127"/>
      <c r="AE335" s="127"/>
      <c r="AF335" s="127"/>
      <c r="AG335" s="127"/>
      <c r="AH335" s="127"/>
      <c r="AI335" s="127"/>
      <c r="AJ335" s="127"/>
      <c r="AK335" s="127"/>
      <c r="AL335" s="127"/>
      <c r="AM335" s="127"/>
      <c r="AN335" s="517"/>
      <c r="AO335" s="517"/>
      <c r="AP335" s="517"/>
      <c r="AQ335" s="127"/>
      <c r="AR335" s="517"/>
      <c r="AS335" s="517"/>
      <c r="AT335" s="517"/>
      <c r="AU335" s="592"/>
      <c r="AV335" s="517"/>
      <c r="AW335" s="517"/>
      <c r="AX335" s="517"/>
      <c r="AY335" s="517"/>
      <c r="AZ335" s="517"/>
      <c r="BA335" s="517"/>
      <c r="BB335" s="517"/>
      <c r="BC335" s="517"/>
      <c r="BD335" s="517"/>
      <c r="BE335" s="517"/>
      <c r="BF335" s="517"/>
      <c r="BG335" s="517"/>
      <c r="BH335" s="517"/>
      <c r="BI335" s="517"/>
      <c r="BJ335" s="517"/>
      <c r="BK335" s="517"/>
      <c r="BL335" s="517"/>
      <c r="BM335" s="517"/>
      <c r="BN335" s="517"/>
      <c r="BO335" s="517"/>
      <c r="BP335" s="517"/>
      <c r="BQ335" s="517"/>
      <c r="BR335" s="517"/>
      <c r="BS335" s="517"/>
      <c r="BT335" s="517"/>
      <c r="BU335" s="517"/>
      <c r="BV335" s="517"/>
      <c r="BW335" s="517"/>
      <c r="BX335" s="517"/>
      <c r="BY335" s="517"/>
      <c r="BZ335" s="517"/>
      <c r="CA335" s="517"/>
      <c r="CB335" s="517"/>
      <c r="CC335" s="517"/>
      <c r="CD335" s="517"/>
      <c r="CE335" s="517"/>
      <c r="CF335" s="517"/>
      <c r="CG335" s="517"/>
      <c r="CH335" s="517"/>
      <c r="CI335" s="517"/>
      <c r="CJ335" s="517"/>
      <c r="CK335" s="517"/>
      <c r="CL335" s="517"/>
      <c r="CM335" s="517"/>
      <c r="CN335" s="517"/>
      <c r="CO335" s="517"/>
      <c r="CP335" s="517"/>
      <c r="CQ335" s="517"/>
      <c r="CR335" s="517"/>
      <c r="CS335" s="517"/>
      <c r="CT335" s="517"/>
      <c r="CU335" s="517"/>
      <c r="CV335" s="517"/>
      <c r="CW335" s="517"/>
      <c r="CX335" s="517"/>
    </row>
    <row r="336" spans="1:102" ht="12" customHeight="1" x14ac:dyDescent="0.2">
      <c r="A336" s="517"/>
      <c r="B336" s="517"/>
      <c r="C336" s="517"/>
      <c r="D336" s="517"/>
      <c r="E336" s="517"/>
      <c r="F336" s="517"/>
      <c r="G336" s="517"/>
      <c r="H336" s="517"/>
      <c r="I336" s="517"/>
      <c r="J336" s="517"/>
      <c r="K336" s="517"/>
      <c r="L336" s="517"/>
      <c r="M336" s="517"/>
      <c r="N336" s="517"/>
      <c r="O336" s="517"/>
      <c r="P336" s="517"/>
      <c r="Q336" s="517"/>
      <c r="R336" s="517"/>
      <c r="S336" s="517"/>
      <c r="T336" s="517"/>
      <c r="U336" s="517"/>
      <c r="V336" s="517"/>
      <c r="W336" s="517"/>
      <c r="X336" s="127"/>
      <c r="Y336" s="127"/>
      <c r="Z336" s="127"/>
      <c r="AA336" s="127"/>
      <c r="AB336" s="127"/>
      <c r="AC336" s="127"/>
      <c r="AD336" s="127"/>
      <c r="AE336" s="127"/>
      <c r="AF336" s="127"/>
      <c r="AG336" s="127"/>
      <c r="AH336" s="127"/>
      <c r="AI336" s="127"/>
      <c r="AJ336" s="127"/>
      <c r="AK336" s="127"/>
      <c r="AL336" s="127"/>
      <c r="AM336" s="127"/>
      <c r="AN336" s="517"/>
      <c r="AO336" s="517"/>
      <c r="AP336" s="517"/>
      <c r="AQ336" s="127"/>
      <c r="AR336" s="517"/>
      <c r="AS336" s="517"/>
      <c r="AT336" s="517"/>
      <c r="AU336" s="592"/>
      <c r="AV336" s="517"/>
      <c r="AW336" s="517"/>
      <c r="AX336" s="517"/>
      <c r="AY336" s="517"/>
      <c r="AZ336" s="517"/>
      <c r="BA336" s="517"/>
      <c r="BB336" s="517"/>
      <c r="BC336" s="517"/>
      <c r="BD336" s="517"/>
      <c r="BE336" s="517"/>
      <c r="BF336" s="517"/>
      <c r="BG336" s="517"/>
      <c r="BH336" s="517"/>
      <c r="BI336" s="517"/>
      <c r="BJ336" s="517"/>
      <c r="BK336" s="517"/>
      <c r="BL336" s="517"/>
      <c r="BM336" s="517"/>
      <c r="BN336" s="517"/>
      <c r="BO336" s="517"/>
      <c r="BP336" s="517"/>
      <c r="BQ336" s="517"/>
      <c r="BR336" s="517"/>
      <c r="BS336" s="517"/>
      <c r="BT336" s="517"/>
      <c r="BU336" s="517"/>
      <c r="BV336" s="517"/>
      <c r="BW336" s="517"/>
      <c r="BX336" s="517"/>
      <c r="BY336" s="517"/>
      <c r="BZ336" s="517"/>
      <c r="CA336" s="517"/>
      <c r="CB336" s="517"/>
      <c r="CC336" s="517"/>
      <c r="CD336" s="517"/>
      <c r="CE336" s="517"/>
      <c r="CF336" s="517"/>
      <c r="CG336" s="517"/>
      <c r="CH336" s="517"/>
      <c r="CI336" s="517"/>
      <c r="CJ336" s="517"/>
      <c r="CK336" s="517"/>
      <c r="CL336" s="517"/>
      <c r="CM336" s="517"/>
      <c r="CN336" s="517"/>
      <c r="CO336" s="517"/>
      <c r="CP336" s="517"/>
      <c r="CQ336" s="517"/>
      <c r="CR336" s="517"/>
      <c r="CS336" s="517"/>
      <c r="CT336" s="517"/>
      <c r="CU336" s="517"/>
      <c r="CV336" s="517"/>
      <c r="CW336" s="517"/>
      <c r="CX336" s="517"/>
    </row>
    <row r="337" spans="1:102" ht="12" customHeight="1" x14ac:dyDescent="0.2">
      <c r="A337" s="517"/>
      <c r="B337" s="517"/>
      <c r="C337" s="517"/>
      <c r="D337" s="517"/>
      <c r="E337" s="517"/>
      <c r="F337" s="517"/>
      <c r="G337" s="517"/>
      <c r="H337" s="517"/>
      <c r="I337" s="517"/>
      <c r="J337" s="517"/>
      <c r="K337" s="517"/>
      <c r="L337" s="517"/>
      <c r="M337" s="517"/>
      <c r="N337" s="517"/>
      <c r="O337" s="517"/>
      <c r="P337" s="517"/>
      <c r="Q337" s="517"/>
      <c r="R337" s="517"/>
      <c r="S337" s="517"/>
      <c r="T337" s="517"/>
      <c r="U337" s="517"/>
      <c r="V337" s="517"/>
      <c r="W337" s="517"/>
      <c r="X337" s="127"/>
      <c r="Y337" s="127"/>
      <c r="Z337" s="127"/>
      <c r="AA337" s="127"/>
      <c r="AB337" s="127"/>
      <c r="AC337" s="127"/>
      <c r="AD337" s="127"/>
      <c r="AE337" s="127"/>
      <c r="AF337" s="127"/>
      <c r="AG337" s="127"/>
      <c r="AH337" s="127"/>
      <c r="AI337" s="127"/>
      <c r="AJ337" s="127"/>
      <c r="AK337" s="127"/>
      <c r="AL337" s="127"/>
      <c r="AM337" s="127"/>
      <c r="AN337" s="517"/>
      <c r="AO337" s="517"/>
      <c r="AP337" s="517"/>
      <c r="AQ337" s="127"/>
      <c r="AR337" s="517"/>
      <c r="AS337" s="517"/>
      <c r="AT337" s="517"/>
      <c r="AU337" s="592"/>
      <c r="AV337" s="517"/>
      <c r="AW337" s="517"/>
      <c r="AX337" s="517"/>
      <c r="AY337" s="517"/>
      <c r="AZ337" s="517"/>
      <c r="BA337" s="517"/>
      <c r="BB337" s="517"/>
      <c r="BC337" s="517"/>
      <c r="BD337" s="517"/>
      <c r="BE337" s="517"/>
      <c r="BF337" s="517"/>
      <c r="BG337" s="517"/>
      <c r="BH337" s="517"/>
      <c r="BI337" s="517"/>
      <c r="BJ337" s="517"/>
      <c r="BK337" s="517"/>
      <c r="BL337" s="517"/>
      <c r="BM337" s="517"/>
      <c r="BN337" s="517"/>
      <c r="BO337" s="517"/>
      <c r="BP337" s="517"/>
      <c r="BQ337" s="517"/>
      <c r="BR337" s="517"/>
      <c r="BS337" s="517"/>
      <c r="BT337" s="517"/>
      <c r="BU337" s="517"/>
      <c r="BV337" s="517"/>
      <c r="BW337" s="517"/>
      <c r="BX337" s="517"/>
      <c r="BY337" s="517"/>
      <c r="BZ337" s="517"/>
      <c r="CA337" s="517"/>
      <c r="CB337" s="517"/>
      <c r="CC337" s="517"/>
      <c r="CD337" s="517"/>
      <c r="CE337" s="517"/>
      <c r="CF337" s="517"/>
      <c r="CG337" s="517"/>
      <c r="CH337" s="517"/>
      <c r="CI337" s="517"/>
      <c r="CJ337" s="517"/>
      <c r="CK337" s="517"/>
      <c r="CL337" s="517"/>
      <c r="CM337" s="517"/>
      <c r="CN337" s="517"/>
      <c r="CO337" s="517"/>
      <c r="CP337" s="517"/>
      <c r="CQ337" s="517"/>
      <c r="CR337" s="517"/>
      <c r="CS337" s="517"/>
      <c r="CT337" s="517"/>
      <c r="CU337" s="517"/>
      <c r="CV337" s="517"/>
      <c r="CW337" s="517"/>
      <c r="CX337" s="517"/>
    </row>
    <row r="338" spans="1:102" ht="12" customHeight="1" x14ac:dyDescent="0.2">
      <c r="A338" s="517"/>
      <c r="B338" s="517"/>
      <c r="C338" s="517"/>
      <c r="D338" s="517"/>
      <c r="E338" s="517"/>
      <c r="F338" s="517"/>
      <c r="G338" s="517"/>
      <c r="H338" s="517"/>
      <c r="I338" s="517"/>
      <c r="J338" s="517"/>
      <c r="K338" s="517"/>
      <c r="L338" s="517"/>
      <c r="M338" s="517"/>
      <c r="N338" s="517"/>
      <c r="O338" s="517"/>
      <c r="P338" s="517"/>
      <c r="Q338" s="517"/>
      <c r="R338" s="517"/>
      <c r="S338" s="517"/>
      <c r="T338" s="517"/>
      <c r="U338" s="517"/>
      <c r="V338" s="517"/>
      <c r="W338" s="517"/>
      <c r="X338" s="127"/>
      <c r="Y338" s="127"/>
      <c r="Z338" s="127"/>
      <c r="AA338" s="127"/>
      <c r="AB338" s="127"/>
      <c r="AC338" s="127"/>
      <c r="AD338" s="127"/>
      <c r="AE338" s="127"/>
      <c r="AF338" s="127"/>
      <c r="AG338" s="127"/>
      <c r="AH338" s="127"/>
      <c r="AI338" s="127"/>
      <c r="AJ338" s="127"/>
      <c r="AK338" s="127"/>
      <c r="AL338" s="127"/>
      <c r="AM338" s="127"/>
      <c r="AN338" s="517"/>
      <c r="AO338" s="517"/>
      <c r="AP338" s="517"/>
      <c r="AQ338" s="127"/>
      <c r="AR338" s="517"/>
      <c r="AS338" s="517"/>
      <c r="AT338" s="517"/>
      <c r="AU338" s="592"/>
      <c r="AV338" s="517"/>
      <c r="AW338" s="517"/>
      <c r="AX338" s="517"/>
      <c r="AY338" s="517"/>
      <c r="AZ338" s="517"/>
      <c r="BA338" s="517"/>
      <c r="BB338" s="517"/>
      <c r="BC338" s="517"/>
      <c r="BD338" s="517"/>
      <c r="BE338" s="517"/>
      <c r="BF338" s="517"/>
      <c r="BG338" s="517"/>
      <c r="BH338" s="517"/>
      <c r="BI338" s="517"/>
      <c r="BJ338" s="517"/>
      <c r="BK338" s="517"/>
      <c r="BL338" s="517"/>
      <c r="BM338" s="517"/>
      <c r="BN338" s="517"/>
      <c r="BO338" s="517"/>
      <c r="BP338" s="517"/>
      <c r="BQ338" s="517"/>
      <c r="BR338" s="517"/>
      <c r="BS338" s="517"/>
      <c r="BT338" s="517"/>
      <c r="BU338" s="517"/>
      <c r="BV338" s="517"/>
      <c r="BW338" s="517"/>
      <c r="BX338" s="517"/>
      <c r="BY338" s="517"/>
      <c r="BZ338" s="517"/>
      <c r="CA338" s="517"/>
      <c r="CB338" s="517"/>
      <c r="CC338" s="517"/>
      <c r="CD338" s="517"/>
      <c r="CE338" s="517"/>
      <c r="CF338" s="517"/>
      <c r="CG338" s="517"/>
      <c r="CH338" s="517"/>
      <c r="CI338" s="517"/>
      <c r="CJ338" s="517"/>
      <c r="CK338" s="517"/>
      <c r="CL338" s="517"/>
      <c r="CM338" s="517"/>
      <c r="CN338" s="517"/>
      <c r="CO338" s="517"/>
      <c r="CP338" s="517"/>
      <c r="CQ338" s="517"/>
      <c r="CR338" s="517"/>
      <c r="CS338" s="517"/>
      <c r="CT338" s="517"/>
      <c r="CU338" s="517"/>
      <c r="CV338" s="517"/>
      <c r="CW338" s="517"/>
      <c r="CX338" s="517"/>
    </row>
    <row r="339" spans="1:102" ht="12" customHeight="1" x14ac:dyDescent="0.2">
      <c r="A339" s="517"/>
      <c r="B339" s="517"/>
      <c r="C339" s="517"/>
      <c r="D339" s="517"/>
      <c r="E339" s="517"/>
      <c r="F339" s="517"/>
      <c r="G339" s="517"/>
      <c r="H339" s="517"/>
      <c r="I339" s="517"/>
      <c r="J339" s="517"/>
      <c r="K339" s="517"/>
      <c r="L339" s="517"/>
      <c r="M339" s="517"/>
      <c r="N339" s="517"/>
      <c r="O339" s="517"/>
      <c r="P339" s="517"/>
      <c r="Q339" s="517"/>
      <c r="R339" s="517"/>
      <c r="S339" s="517"/>
      <c r="T339" s="517"/>
      <c r="U339" s="517"/>
      <c r="V339" s="517"/>
      <c r="W339" s="517"/>
      <c r="X339" s="127"/>
      <c r="Y339" s="127"/>
      <c r="Z339" s="127"/>
      <c r="AA339" s="127"/>
      <c r="AB339" s="127"/>
      <c r="AC339" s="127"/>
      <c r="AD339" s="127"/>
      <c r="AE339" s="127"/>
      <c r="AF339" s="127"/>
      <c r="AG339" s="127"/>
      <c r="AH339" s="127"/>
      <c r="AI339" s="127"/>
      <c r="AJ339" s="127"/>
      <c r="AK339" s="127"/>
      <c r="AL339" s="127"/>
      <c r="AM339" s="127"/>
      <c r="AN339" s="517"/>
      <c r="AO339" s="517"/>
      <c r="AP339" s="517"/>
      <c r="AQ339" s="127"/>
      <c r="AR339" s="517"/>
      <c r="AS339" s="517"/>
      <c r="AT339" s="517"/>
      <c r="AU339" s="592"/>
      <c r="AV339" s="517"/>
      <c r="AW339" s="517"/>
      <c r="AX339" s="517"/>
      <c r="AY339" s="517"/>
      <c r="AZ339" s="517"/>
      <c r="BA339" s="517"/>
      <c r="BB339" s="517"/>
      <c r="BC339" s="517"/>
      <c r="BD339" s="517"/>
      <c r="BE339" s="517"/>
      <c r="BF339" s="517"/>
      <c r="BG339" s="517"/>
      <c r="BH339" s="517"/>
      <c r="BI339" s="517"/>
      <c r="BJ339" s="517"/>
      <c r="BK339" s="517"/>
      <c r="BL339" s="517"/>
      <c r="BM339" s="517"/>
      <c r="BN339" s="517"/>
      <c r="BO339" s="517"/>
      <c r="BP339" s="517"/>
      <c r="BQ339" s="517"/>
      <c r="BR339" s="517"/>
      <c r="BS339" s="517"/>
      <c r="BT339" s="517"/>
      <c r="BU339" s="517"/>
      <c r="BV339" s="517"/>
      <c r="BW339" s="517"/>
      <c r="BX339" s="517"/>
      <c r="BY339" s="517"/>
      <c r="BZ339" s="517"/>
      <c r="CA339" s="517"/>
      <c r="CB339" s="517"/>
      <c r="CC339" s="517"/>
      <c r="CD339" s="517"/>
      <c r="CE339" s="517"/>
      <c r="CF339" s="517"/>
      <c r="CG339" s="517"/>
      <c r="CH339" s="517"/>
      <c r="CI339" s="517"/>
      <c r="CJ339" s="517"/>
      <c r="CK339" s="517"/>
      <c r="CL339" s="517"/>
      <c r="CM339" s="517"/>
      <c r="CN339" s="517"/>
      <c r="CO339" s="517"/>
      <c r="CP339" s="517"/>
      <c r="CQ339" s="517"/>
      <c r="CR339" s="517"/>
      <c r="CS339" s="517"/>
      <c r="CT339" s="517"/>
      <c r="CU339" s="517"/>
      <c r="CV339" s="517"/>
      <c r="CW339" s="517"/>
      <c r="CX339" s="517"/>
    </row>
    <row r="340" spans="1:102" ht="12" customHeight="1" x14ac:dyDescent="0.2">
      <c r="A340" s="517"/>
      <c r="B340" s="517"/>
      <c r="C340" s="517"/>
      <c r="D340" s="517"/>
      <c r="E340" s="517"/>
      <c r="F340" s="517"/>
      <c r="G340" s="517"/>
      <c r="H340" s="517"/>
      <c r="I340" s="517"/>
      <c r="J340" s="517"/>
      <c r="K340" s="517"/>
      <c r="L340" s="517"/>
      <c r="M340" s="517"/>
      <c r="N340" s="517"/>
      <c r="O340" s="517"/>
      <c r="P340" s="517"/>
      <c r="Q340" s="517"/>
      <c r="R340" s="517"/>
      <c r="S340" s="517"/>
      <c r="T340" s="517"/>
      <c r="U340" s="517"/>
      <c r="V340" s="517"/>
      <c r="W340" s="517"/>
      <c r="X340" s="127"/>
      <c r="Y340" s="127"/>
      <c r="Z340" s="127"/>
      <c r="AA340" s="127"/>
      <c r="AB340" s="127"/>
      <c r="AC340" s="127"/>
      <c r="AD340" s="127"/>
      <c r="AE340" s="127"/>
      <c r="AF340" s="127"/>
      <c r="AG340" s="127"/>
      <c r="AH340" s="127"/>
      <c r="AI340" s="127"/>
      <c r="AJ340" s="127"/>
      <c r="AK340" s="127"/>
      <c r="AL340" s="127"/>
      <c r="AM340" s="127"/>
      <c r="AN340" s="517"/>
      <c r="AO340" s="517"/>
      <c r="AP340" s="517"/>
      <c r="AQ340" s="127"/>
      <c r="AR340" s="517"/>
      <c r="AS340" s="517"/>
      <c r="AT340" s="517"/>
      <c r="AU340" s="592"/>
      <c r="AV340" s="517"/>
      <c r="AW340" s="517"/>
      <c r="AX340" s="517"/>
      <c r="AY340" s="517"/>
      <c r="AZ340" s="517"/>
      <c r="BA340" s="517"/>
      <c r="BB340" s="517"/>
      <c r="BC340" s="517"/>
      <c r="BD340" s="517"/>
      <c r="BE340" s="517"/>
      <c r="BF340" s="517"/>
      <c r="BG340" s="517"/>
      <c r="BH340" s="517"/>
      <c r="BI340" s="517"/>
      <c r="BJ340" s="517"/>
      <c r="BK340" s="517"/>
      <c r="BL340" s="517"/>
      <c r="BM340" s="517"/>
      <c r="BN340" s="517"/>
      <c r="BO340" s="517"/>
      <c r="BP340" s="517"/>
      <c r="BQ340" s="517"/>
      <c r="BR340" s="517"/>
      <c r="BS340" s="517"/>
      <c r="BT340" s="517"/>
      <c r="BU340" s="517"/>
      <c r="BV340" s="517"/>
      <c r="BW340" s="517"/>
      <c r="BX340" s="517"/>
      <c r="BY340" s="517"/>
      <c r="BZ340" s="517"/>
      <c r="CA340" s="517"/>
      <c r="CB340" s="517"/>
      <c r="CC340" s="517"/>
      <c r="CD340" s="517"/>
      <c r="CE340" s="517"/>
      <c r="CF340" s="517"/>
      <c r="CG340" s="517"/>
      <c r="CH340" s="517"/>
      <c r="CI340" s="517"/>
      <c r="CJ340" s="517"/>
      <c r="CK340" s="517"/>
      <c r="CL340" s="517"/>
      <c r="CM340" s="517"/>
      <c r="CN340" s="517"/>
      <c r="CO340" s="517"/>
      <c r="CP340" s="517"/>
      <c r="CQ340" s="517"/>
      <c r="CR340" s="517"/>
      <c r="CS340" s="517"/>
      <c r="CT340" s="517"/>
      <c r="CU340" s="517"/>
      <c r="CV340" s="517"/>
      <c r="CW340" s="517"/>
      <c r="CX340" s="517"/>
    </row>
    <row r="341" spans="1:102" ht="12" customHeight="1" x14ac:dyDescent="0.2">
      <c r="A341" s="517"/>
      <c r="B341" s="517"/>
      <c r="C341" s="517"/>
      <c r="D341" s="517"/>
      <c r="E341" s="517"/>
      <c r="F341" s="517"/>
      <c r="G341" s="517"/>
      <c r="H341" s="517"/>
      <c r="I341" s="517"/>
      <c r="J341" s="517"/>
      <c r="K341" s="517"/>
      <c r="L341" s="517"/>
      <c r="M341" s="517"/>
      <c r="N341" s="517"/>
      <c r="O341" s="517"/>
      <c r="P341" s="517"/>
      <c r="Q341" s="517"/>
      <c r="R341" s="517"/>
      <c r="S341" s="517"/>
      <c r="T341" s="517"/>
      <c r="U341" s="517"/>
      <c r="V341" s="517"/>
      <c r="W341" s="517"/>
      <c r="X341" s="127"/>
      <c r="Y341" s="127"/>
      <c r="Z341" s="127"/>
      <c r="AA341" s="127"/>
      <c r="AB341" s="127"/>
      <c r="AC341" s="127"/>
      <c r="AD341" s="127"/>
      <c r="AE341" s="127"/>
      <c r="AF341" s="127"/>
      <c r="AG341" s="127"/>
      <c r="AH341" s="127"/>
      <c r="AI341" s="127"/>
      <c r="AJ341" s="127"/>
      <c r="AK341" s="127"/>
      <c r="AL341" s="127"/>
      <c r="AM341" s="127"/>
      <c r="AN341" s="517"/>
      <c r="AO341" s="517"/>
      <c r="AP341" s="517"/>
      <c r="AQ341" s="127"/>
      <c r="AR341" s="517"/>
      <c r="AS341" s="517"/>
      <c r="AT341" s="517"/>
      <c r="AU341" s="592"/>
      <c r="AV341" s="517"/>
      <c r="AW341" s="517"/>
      <c r="AX341" s="517"/>
      <c r="AY341" s="517"/>
      <c r="AZ341" s="517"/>
      <c r="BA341" s="517"/>
      <c r="BB341" s="517"/>
      <c r="BC341" s="517"/>
      <c r="BD341" s="517"/>
      <c r="BE341" s="517"/>
      <c r="BF341" s="517"/>
      <c r="BG341" s="517"/>
      <c r="BH341" s="517"/>
      <c r="BI341" s="517"/>
      <c r="BJ341" s="517"/>
      <c r="BK341" s="517"/>
      <c r="BL341" s="517"/>
      <c r="BM341" s="517"/>
      <c r="BN341" s="517"/>
      <c r="BO341" s="517"/>
      <c r="BP341" s="517"/>
      <c r="BQ341" s="517"/>
      <c r="BR341" s="517"/>
      <c r="BS341" s="517"/>
      <c r="BT341" s="517"/>
      <c r="BU341" s="517"/>
      <c r="BV341" s="517"/>
      <c r="BW341" s="517"/>
      <c r="BX341" s="517"/>
      <c r="BY341" s="517"/>
      <c r="BZ341" s="517"/>
      <c r="CA341" s="517"/>
      <c r="CB341" s="517"/>
      <c r="CC341" s="517"/>
      <c r="CD341" s="517"/>
      <c r="CE341" s="517"/>
      <c r="CF341" s="517"/>
      <c r="CG341" s="517"/>
      <c r="CH341" s="517"/>
      <c r="CI341" s="517"/>
      <c r="CJ341" s="517"/>
      <c r="CK341" s="517"/>
      <c r="CL341" s="517"/>
      <c r="CM341" s="517"/>
      <c r="CN341" s="517"/>
      <c r="CO341" s="517"/>
      <c r="CP341" s="517"/>
      <c r="CQ341" s="517"/>
      <c r="CR341" s="517"/>
      <c r="CS341" s="517"/>
      <c r="CT341" s="517"/>
      <c r="CU341" s="517"/>
      <c r="CV341" s="517"/>
      <c r="CW341" s="517"/>
      <c r="CX341" s="517"/>
    </row>
    <row r="342" spans="1:102" ht="12" customHeight="1" x14ac:dyDescent="0.2">
      <c r="A342" s="517"/>
      <c r="B342" s="517"/>
      <c r="C342" s="517"/>
      <c r="D342" s="517"/>
      <c r="E342" s="517"/>
      <c r="F342" s="517"/>
      <c r="G342" s="517"/>
      <c r="H342" s="517"/>
      <c r="I342" s="517"/>
      <c r="J342" s="517"/>
      <c r="K342" s="517"/>
      <c r="L342" s="517"/>
      <c r="M342" s="517"/>
      <c r="N342" s="517"/>
      <c r="O342" s="517"/>
      <c r="P342" s="517"/>
      <c r="Q342" s="517"/>
      <c r="R342" s="517"/>
      <c r="S342" s="517"/>
      <c r="T342" s="517"/>
      <c r="U342" s="517"/>
      <c r="V342" s="517"/>
      <c r="W342" s="517"/>
      <c r="X342" s="127"/>
      <c r="Y342" s="127"/>
      <c r="Z342" s="127"/>
      <c r="AA342" s="127"/>
      <c r="AB342" s="127"/>
      <c r="AC342" s="127"/>
      <c r="AD342" s="127"/>
      <c r="AE342" s="127"/>
      <c r="AF342" s="127"/>
      <c r="AG342" s="127"/>
      <c r="AH342" s="127"/>
      <c r="AI342" s="127"/>
      <c r="AJ342" s="127"/>
      <c r="AK342" s="127"/>
      <c r="AL342" s="127"/>
      <c r="AM342" s="127"/>
      <c r="AN342" s="517"/>
      <c r="AO342" s="517"/>
      <c r="AP342" s="517"/>
      <c r="AQ342" s="127"/>
      <c r="AR342" s="517"/>
      <c r="AS342" s="517"/>
      <c r="AT342" s="517"/>
      <c r="AU342" s="592"/>
      <c r="AV342" s="517"/>
      <c r="AW342" s="517"/>
      <c r="AX342" s="517"/>
      <c r="AY342" s="517"/>
      <c r="AZ342" s="517"/>
      <c r="BA342" s="517"/>
      <c r="BB342" s="517"/>
      <c r="BC342" s="517"/>
      <c r="BD342" s="517"/>
      <c r="BE342" s="517"/>
      <c r="BF342" s="517"/>
      <c r="BG342" s="517"/>
      <c r="BH342" s="517"/>
      <c r="BI342" s="517"/>
      <c r="BJ342" s="517"/>
      <c r="BK342" s="517"/>
      <c r="BL342" s="517"/>
      <c r="BM342" s="517"/>
      <c r="BN342" s="517"/>
      <c r="BO342" s="517"/>
      <c r="BP342" s="517"/>
      <c r="BQ342" s="517"/>
      <c r="BR342" s="517"/>
      <c r="BS342" s="517"/>
      <c r="BT342" s="517"/>
      <c r="BU342" s="517"/>
      <c r="BV342" s="517"/>
      <c r="BW342" s="517"/>
      <c r="BX342" s="517"/>
      <c r="BY342" s="517"/>
      <c r="BZ342" s="517"/>
      <c r="CA342" s="517"/>
      <c r="CB342" s="517"/>
      <c r="CC342" s="517"/>
      <c r="CD342" s="517"/>
      <c r="CE342" s="517"/>
      <c r="CF342" s="517"/>
      <c r="CG342" s="517"/>
      <c r="CH342" s="517"/>
      <c r="CI342" s="517"/>
      <c r="CJ342" s="517"/>
      <c r="CK342" s="517"/>
      <c r="CL342" s="517"/>
      <c r="CM342" s="517"/>
      <c r="CN342" s="517"/>
      <c r="CO342" s="517"/>
      <c r="CP342" s="517"/>
      <c r="CQ342" s="517"/>
      <c r="CR342" s="517"/>
      <c r="CS342" s="517"/>
      <c r="CT342" s="517"/>
      <c r="CU342" s="517"/>
      <c r="CV342" s="517"/>
      <c r="CW342" s="517"/>
      <c r="CX342" s="517"/>
    </row>
    <row r="343" spans="1:102" ht="12" customHeight="1" x14ac:dyDescent="0.2">
      <c r="A343" s="517"/>
      <c r="B343" s="517"/>
      <c r="C343" s="517"/>
      <c r="D343" s="517"/>
      <c r="E343" s="517"/>
      <c r="F343" s="517"/>
      <c r="G343" s="517"/>
      <c r="H343" s="517"/>
      <c r="I343" s="517"/>
      <c r="J343" s="517"/>
      <c r="K343" s="517"/>
      <c r="L343" s="517"/>
      <c r="M343" s="517"/>
      <c r="N343" s="517"/>
      <c r="O343" s="517"/>
      <c r="P343" s="517"/>
      <c r="Q343" s="517"/>
      <c r="R343" s="517"/>
      <c r="S343" s="517"/>
      <c r="T343" s="517"/>
      <c r="U343" s="517"/>
      <c r="V343" s="517"/>
      <c r="W343" s="517"/>
      <c r="X343" s="127"/>
      <c r="Y343" s="127"/>
      <c r="Z343" s="127"/>
      <c r="AA343" s="127"/>
      <c r="AB343" s="127"/>
      <c r="AC343" s="127"/>
      <c r="AD343" s="127"/>
      <c r="AE343" s="127"/>
      <c r="AF343" s="127"/>
      <c r="AG343" s="127"/>
      <c r="AH343" s="127"/>
      <c r="AI343" s="127"/>
      <c r="AJ343" s="127"/>
      <c r="AK343" s="127"/>
      <c r="AL343" s="127"/>
      <c r="AM343" s="127"/>
      <c r="AN343" s="517"/>
      <c r="AO343" s="517"/>
      <c r="AP343" s="517"/>
      <c r="AQ343" s="127"/>
      <c r="AR343" s="517"/>
      <c r="AS343" s="517"/>
      <c r="AT343" s="517"/>
      <c r="AU343" s="592"/>
      <c r="AV343" s="517"/>
      <c r="AW343" s="517"/>
      <c r="AX343" s="517"/>
      <c r="AY343" s="517"/>
      <c r="AZ343" s="517"/>
      <c r="BA343" s="517"/>
      <c r="BB343" s="517"/>
      <c r="BC343" s="517"/>
      <c r="BD343" s="517"/>
      <c r="BE343" s="517"/>
      <c r="BF343" s="517"/>
      <c r="BG343" s="517"/>
      <c r="BH343" s="517"/>
      <c r="BI343" s="517"/>
      <c r="BJ343" s="517"/>
      <c r="BK343" s="517"/>
      <c r="BL343" s="517"/>
      <c r="BM343" s="517"/>
      <c r="BN343" s="517"/>
      <c r="BO343" s="517"/>
      <c r="BP343" s="517"/>
      <c r="BQ343" s="517"/>
      <c r="BR343" s="517"/>
      <c r="BS343" s="517"/>
      <c r="BT343" s="517"/>
      <c r="BU343" s="517"/>
      <c r="BV343" s="517"/>
      <c r="BW343" s="517"/>
      <c r="BX343" s="517"/>
      <c r="BY343" s="517"/>
      <c r="BZ343" s="517"/>
      <c r="CA343" s="517"/>
      <c r="CB343" s="517"/>
      <c r="CC343" s="517"/>
      <c r="CD343" s="517"/>
      <c r="CE343" s="517"/>
      <c r="CF343" s="517"/>
      <c r="CG343" s="517"/>
      <c r="CH343" s="517"/>
      <c r="CI343" s="517"/>
      <c r="CJ343" s="517"/>
      <c r="CK343" s="517"/>
      <c r="CL343" s="517"/>
      <c r="CM343" s="517"/>
      <c r="CN343" s="517"/>
      <c r="CO343" s="517"/>
      <c r="CP343" s="517"/>
      <c r="CQ343" s="517"/>
      <c r="CR343" s="517"/>
      <c r="CS343" s="517"/>
      <c r="CT343" s="517"/>
      <c r="CU343" s="517"/>
      <c r="CV343" s="517"/>
      <c r="CW343" s="517"/>
      <c r="CX343" s="517"/>
    </row>
    <row r="344" spans="1:102" ht="12" customHeight="1" x14ac:dyDescent="0.2">
      <c r="A344" s="517"/>
      <c r="B344" s="517"/>
      <c r="C344" s="517"/>
      <c r="D344" s="517"/>
      <c r="E344" s="517"/>
      <c r="F344" s="517"/>
      <c r="G344" s="517"/>
      <c r="H344" s="517"/>
      <c r="I344" s="517"/>
      <c r="J344" s="517"/>
      <c r="K344" s="517"/>
      <c r="L344" s="517"/>
      <c r="M344" s="517"/>
      <c r="N344" s="517"/>
      <c r="O344" s="517"/>
      <c r="P344" s="517"/>
      <c r="Q344" s="517"/>
      <c r="R344" s="517"/>
      <c r="S344" s="517"/>
      <c r="T344" s="517"/>
      <c r="U344" s="517"/>
      <c r="V344" s="517"/>
      <c r="W344" s="517"/>
      <c r="X344" s="127"/>
      <c r="Y344" s="127"/>
      <c r="Z344" s="127"/>
      <c r="AA344" s="127"/>
      <c r="AB344" s="127"/>
      <c r="AC344" s="127"/>
      <c r="AD344" s="127"/>
      <c r="AE344" s="127"/>
      <c r="AF344" s="127"/>
      <c r="AG344" s="127"/>
      <c r="AH344" s="127"/>
      <c r="AI344" s="127"/>
      <c r="AJ344" s="127"/>
      <c r="AK344" s="127"/>
      <c r="AL344" s="127"/>
      <c r="AM344" s="127"/>
      <c r="AN344" s="517"/>
      <c r="AO344" s="517"/>
      <c r="AP344" s="517"/>
      <c r="AQ344" s="127"/>
      <c r="AR344" s="517"/>
      <c r="AS344" s="517"/>
      <c r="AT344" s="517"/>
      <c r="AU344" s="592"/>
      <c r="AV344" s="517"/>
      <c r="AW344" s="517"/>
      <c r="AX344" s="517"/>
      <c r="AY344" s="517"/>
      <c r="AZ344" s="517"/>
      <c r="BA344" s="517"/>
      <c r="BB344" s="517"/>
      <c r="BC344" s="517"/>
      <c r="BD344" s="517"/>
      <c r="BE344" s="517"/>
      <c r="BF344" s="517"/>
      <c r="BG344" s="517"/>
      <c r="BH344" s="517"/>
      <c r="BI344" s="517"/>
      <c r="BJ344" s="517"/>
      <c r="BK344" s="517"/>
      <c r="BL344" s="517"/>
      <c r="BM344" s="517"/>
      <c r="BN344" s="517"/>
      <c r="BO344" s="517"/>
      <c r="BP344" s="517"/>
      <c r="BQ344" s="517"/>
      <c r="BR344" s="517"/>
      <c r="BS344" s="517"/>
      <c r="BT344" s="517"/>
      <c r="BU344" s="517"/>
      <c r="BV344" s="517"/>
      <c r="BW344" s="517"/>
      <c r="BX344" s="517"/>
      <c r="BY344" s="517"/>
      <c r="BZ344" s="517"/>
      <c r="CA344" s="517"/>
      <c r="CB344" s="517"/>
      <c r="CC344" s="517"/>
      <c r="CD344" s="517"/>
      <c r="CE344" s="517"/>
      <c r="CF344" s="517"/>
      <c r="CG344" s="517"/>
      <c r="CH344" s="517"/>
      <c r="CI344" s="517"/>
      <c r="CJ344" s="517"/>
      <c r="CK344" s="517"/>
      <c r="CL344" s="517"/>
      <c r="CM344" s="517"/>
      <c r="CN344" s="517"/>
      <c r="CO344" s="517"/>
      <c r="CP344" s="517"/>
      <c r="CQ344" s="517"/>
      <c r="CR344" s="517"/>
      <c r="CS344" s="517"/>
      <c r="CT344" s="517"/>
      <c r="CU344" s="517"/>
      <c r="CV344" s="517"/>
      <c r="CW344" s="517"/>
      <c r="CX344" s="517"/>
    </row>
  </sheetData>
  <sheetProtection algorithmName="SHA-512" hashValue="N8XAKuCmB6IqeXaYk7fukyc2YjrbSgn1fvaWMjU5lWZC0ii3N5MNT70BkEtIg6rM6REe9B0QcQH2EVtESCHUgQ==" saltValue="/IF9CO5RYw+AFkGQudnu7g==" spinCount="100000" sheet="1" objects="1" scenarios="1"/>
  <autoFilter ref="A1:CX145"/>
  <mergeCells count="41">
    <mergeCell ref="T93:T94"/>
    <mergeCell ref="T135:T140"/>
    <mergeCell ref="T59:T63"/>
    <mergeCell ref="T68:T75"/>
    <mergeCell ref="T76:T80"/>
    <mergeCell ref="T82:T87"/>
    <mergeCell ref="T88:T91"/>
    <mergeCell ref="T64:T66"/>
    <mergeCell ref="T106:T117"/>
    <mergeCell ref="T118:T127"/>
    <mergeCell ref="T128:T130"/>
    <mergeCell ref="T131:T133"/>
    <mergeCell ref="T95:T96"/>
    <mergeCell ref="T97:T98"/>
    <mergeCell ref="T99:T100"/>
    <mergeCell ref="T101:T102"/>
    <mergeCell ref="T103:T104"/>
    <mergeCell ref="A2:A145"/>
    <mergeCell ref="B106:B134"/>
    <mergeCell ref="B2:B8"/>
    <mergeCell ref="B82:B92"/>
    <mergeCell ref="B93:B105"/>
    <mergeCell ref="B135:B144"/>
    <mergeCell ref="B9:B28"/>
    <mergeCell ref="B29:B67"/>
    <mergeCell ref="B68:B81"/>
    <mergeCell ref="T9:T16"/>
    <mergeCell ref="T5:T7"/>
    <mergeCell ref="T2:T4"/>
    <mergeCell ref="T38:T39"/>
    <mergeCell ref="T56:T58"/>
    <mergeCell ref="T51:T55"/>
    <mergeCell ref="T17:T19"/>
    <mergeCell ref="T40:T44"/>
    <mergeCell ref="T49:T50"/>
    <mergeCell ref="T45:T48"/>
    <mergeCell ref="T20:T22"/>
    <mergeCell ref="T34:T37"/>
    <mergeCell ref="T31:T33"/>
    <mergeCell ref="T29:T30"/>
    <mergeCell ref="T23:T25"/>
  </mergeCells>
  <pageMargins left="0.70866141732283472" right="0.70866141732283472" top="0.74803149606299213" bottom="0.74803149606299213" header="0" footer="0"/>
  <pageSetup paperSize="5" scale="65"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X315"/>
  <sheetViews>
    <sheetView workbookViewId="0">
      <pane xSplit="23" ySplit="1" topLeftCell="BA23" activePane="bottomRight" state="frozen"/>
      <selection pane="topRight" activeCell="X1" sqref="X1"/>
      <selection pane="bottomLeft" activeCell="A2" sqref="A2"/>
      <selection pane="bottomRight" activeCell="BL25" sqref="BL25:BM25"/>
    </sheetView>
  </sheetViews>
  <sheetFormatPr baseColWidth="10" defaultColWidth="12.625" defaultRowHeight="15" customHeight="1" x14ac:dyDescent="0.2"/>
  <cols>
    <col min="1" max="1" width="4.375" customWidth="1"/>
    <col min="2" max="2" width="9.25" hidden="1" customWidth="1"/>
    <col min="3" max="3" width="13.875" hidden="1" customWidth="1"/>
    <col min="4" max="4" width="14.25" hidden="1" customWidth="1"/>
    <col min="5" max="18" width="9.375" hidden="1" customWidth="1"/>
    <col min="19" max="19" width="10" hidden="1" customWidth="1"/>
    <col min="20" max="20" width="13.125" customWidth="1"/>
    <col min="21" max="21" width="0.125" hidden="1" customWidth="1"/>
    <col min="22" max="22" width="6.5" hidden="1" customWidth="1"/>
    <col min="23" max="23" width="18.25" customWidth="1"/>
    <col min="24" max="24" width="9" customWidth="1"/>
    <col min="25" max="25" width="11.25" hidden="1" customWidth="1"/>
    <col min="26" max="26" width="10.25" customWidth="1"/>
    <col min="27" max="27" width="9.375" hidden="1" customWidth="1"/>
    <col min="28" max="29" width="0.375" customWidth="1"/>
    <col min="30" max="30" width="7.375" customWidth="1"/>
    <col min="31" max="33" width="13.375" hidden="1" customWidth="1"/>
    <col min="34" max="34" width="17.5" hidden="1" customWidth="1"/>
    <col min="35" max="35" width="13" hidden="1" customWidth="1"/>
    <col min="36" max="36" width="10.25" hidden="1" customWidth="1"/>
    <col min="37" max="37" width="13.375" hidden="1" customWidth="1"/>
    <col min="38" max="38" width="10.75" hidden="1" customWidth="1"/>
    <col min="39" max="39" width="9.75" hidden="1" customWidth="1"/>
    <col min="40" max="41" width="10" hidden="1" customWidth="1"/>
    <col min="42" max="42" width="0.125" customWidth="1"/>
    <col min="43" max="43" width="8.375" hidden="1" customWidth="1"/>
    <col min="44" max="44" width="0.125" hidden="1" customWidth="1"/>
    <col min="45" max="45" width="9.5" hidden="1" customWidth="1"/>
    <col min="46" max="46" width="0.125" hidden="1" customWidth="1"/>
    <col min="47" max="47" width="12.625" hidden="1" customWidth="1"/>
    <col min="48" max="48" width="12" hidden="1" customWidth="1"/>
    <col min="49" max="49" width="13.25" hidden="1" customWidth="1"/>
    <col min="50" max="50" width="9.5" customWidth="1"/>
    <col min="51" max="51" width="8.75" customWidth="1"/>
    <col min="52" max="52" width="11" customWidth="1"/>
    <col min="53" max="53" width="10.5" customWidth="1"/>
    <col min="54" max="54" width="11.25" customWidth="1"/>
    <col min="55" max="55" width="19.125" hidden="1" customWidth="1"/>
    <col min="56" max="56" width="10" customWidth="1"/>
    <col min="57" max="57" width="10" hidden="1" customWidth="1"/>
    <col min="58" max="58" width="10" customWidth="1"/>
    <col min="59" max="59" width="11" customWidth="1"/>
    <col min="60" max="60" width="10.375" customWidth="1"/>
    <col min="61" max="61" width="12.25" customWidth="1"/>
    <col min="62" max="62" width="10.25" customWidth="1"/>
    <col min="63" max="63" width="10.75" customWidth="1"/>
    <col min="64" max="64" width="8.75" customWidth="1"/>
    <col min="65" max="65" width="11" customWidth="1"/>
    <col min="66" max="102" width="10" hidden="1" customWidth="1"/>
  </cols>
  <sheetData>
    <row r="1" spans="1:102" s="1367" customFormat="1" ht="69.75" customHeight="1" x14ac:dyDescent="0.2">
      <c r="A1" s="1356" t="s">
        <v>92</v>
      </c>
      <c r="B1" s="1356" t="s">
        <v>114</v>
      </c>
      <c r="C1" s="1356" t="s">
        <v>115</v>
      </c>
      <c r="D1" s="1356" t="s">
        <v>116</v>
      </c>
      <c r="E1" s="1356" t="s">
        <v>117</v>
      </c>
      <c r="F1" s="1356" t="s">
        <v>118</v>
      </c>
      <c r="G1" s="1356" t="s">
        <v>119</v>
      </c>
      <c r="H1" s="1356" t="s">
        <v>120</v>
      </c>
      <c r="I1" s="1356" t="s">
        <v>121</v>
      </c>
      <c r="J1" s="1356" t="s">
        <v>122</v>
      </c>
      <c r="K1" s="1356" t="s">
        <v>123</v>
      </c>
      <c r="L1" s="1356" t="s">
        <v>124</v>
      </c>
      <c r="M1" s="1356" t="s">
        <v>12</v>
      </c>
      <c r="N1" s="1356" t="s">
        <v>13</v>
      </c>
      <c r="O1" s="1356" t="s">
        <v>14</v>
      </c>
      <c r="P1" s="1356" t="s">
        <v>15</v>
      </c>
      <c r="Q1" s="1356" t="s">
        <v>16</v>
      </c>
      <c r="R1" s="1356" t="s">
        <v>17</v>
      </c>
      <c r="S1" s="1356" t="s">
        <v>18</v>
      </c>
      <c r="T1" s="1357" t="s">
        <v>125</v>
      </c>
      <c r="U1" s="1357" t="s">
        <v>126</v>
      </c>
      <c r="V1" s="1357" t="s">
        <v>116</v>
      </c>
      <c r="W1" s="1357" t="s">
        <v>127</v>
      </c>
      <c r="X1" s="1356" t="s">
        <v>128</v>
      </c>
      <c r="Y1" s="1356" t="s">
        <v>129</v>
      </c>
      <c r="Z1" s="1356" t="s">
        <v>130</v>
      </c>
      <c r="AA1" s="1358" t="s">
        <v>131</v>
      </c>
      <c r="AB1" s="1356" t="s">
        <v>132</v>
      </c>
      <c r="AC1" s="1356" t="s">
        <v>133</v>
      </c>
      <c r="AD1" s="1358" t="s">
        <v>134</v>
      </c>
      <c r="AE1" s="1356" t="s">
        <v>135</v>
      </c>
      <c r="AF1" s="1356" t="s">
        <v>136</v>
      </c>
      <c r="AG1" s="1356" t="s">
        <v>26</v>
      </c>
      <c r="AH1" s="1359" t="s">
        <v>137</v>
      </c>
      <c r="AI1" s="1356" t="s">
        <v>28</v>
      </c>
      <c r="AJ1" s="1356" t="s">
        <v>29</v>
      </c>
      <c r="AK1" s="1356" t="s">
        <v>30</v>
      </c>
      <c r="AL1" s="1356" t="s">
        <v>31</v>
      </c>
      <c r="AM1" s="1360" t="s">
        <v>32</v>
      </c>
      <c r="AN1" s="1356" t="s">
        <v>130</v>
      </c>
      <c r="AO1" s="1361" t="s">
        <v>138</v>
      </c>
      <c r="AP1" s="1356" t="s">
        <v>26</v>
      </c>
      <c r="AQ1" s="1356" t="s">
        <v>139</v>
      </c>
      <c r="AR1" s="1356" t="s">
        <v>26</v>
      </c>
      <c r="AS1" s="1356" t="s">
        <v>140</v>
      </c>
      <c r="AT1" s="1356" t="s">
        <v>26</v>
      </c>
      <c r="AU1" s="1362" t="s">
        <v>141</v>
      </c>
      <c r="AV1" s="1356" t="s">
        <v>26</v>
      </c>
      <c r="AW1" s="1363" t="s">
        <v>38</v>
      </c>
      <c r="AX1" s="1363" t="s">
        <v>39</v>
      </c>
      <c r="AY1" s="1363" t="s">
        <v>40</v>
      </c>
      <c r="AZ1" s="1364" t="s">
        <v>41</v>
      </c>
      <c r="BA1" s="1365" t="s">
        <v>131</v>
      </c>
      <c r="BB1" s="1365" t="s">
        <v>142</v>
      </c>
      <c r="BC1" s="1365" t="s">
        <v>26</v>
      </c>
      <c r="BD1" s="1365" t="s">
        <v>143</v>
      </c>
      <c r="BE1" s="1365" t="s">
        <v>26</v>
      </c>
      <c r="BF1" s="1365" t="s">
        <v>144</v>
      </c>
      <c r="BG1" s="1657" t="s">
        <v>26</v>
      </c>
      <c r="BH1" s="1658" t="s">
        <v>145</v>
      </c>
      <c r="BI1" s="1658" t="s">
        <v>26</v>
      </c>
      <c r="BJ1" s="1365" t="s">
        <v>47</v>
      </c>
      <c r="BK1" s="1365" t="s">
        <v>48</v>
      </c>
      <c r="BL1" s="1365" t="s">
        <v>49</v>
      </c>
      <c r="BM1" s="1365" t="s">
        <v>50</v>
      </c>
      <c r="BN1" s="1366" t="s">
        <v>146</v>
      </c>
      <c r="BO1" s="1356" t="s">
        <v>147</v>
      </c>
      <c r="BP1" s="1356" t="s">
        <v>26</v>
      </c>
      <c r="BQ1" s="1356" t="s">
        <v>148</v>
      </c>
      <c r="BR1" s="1356" t="s">
        <v>26</v>
      </c>
      <c r="BS1" s="1356" t="s">
        <v>149</v>
      </c>
      <c r="BT1" s="1356" t="s">
        <v>26</v>
      </c>
      <c r="BU1" s="1356" t="s">
        <v>150</v>
      </c>
      <c r="BV1" s="1356" t="s">
        <v>26</v>
      </c>
      <c r="BW1" s="1356" t="s">
        <v>56</v>
      </c>
      <c r="BX1" s="1356" t="s">
        <v>57</v>
      </c>
      <c r="BY1" s="1356" t="s">
        <v>58</v>
      </c>
      <c r="BZ1" s="1356" t="s">
        <v>59</v>
      </c>
      <c r="CA1" s="1356" t="s">
        <v>151</v>
      </c>
      <c r="CB1" s="1356" t="s">
        <v>152</v>
      </c>
      <c r="CC1" s="1356" t="s">
        <v>153</v>
      </c>
      <c r="CD1" s="1356" t="s">
        <v>154</v>
      </c>
      <c r="CE1" s="1356" t="s">
        <v>155</v>
      </c>
      <c r="CF1" s="1357" t="s">
        <v>156</v>
      </c>
      <c r="CG1" s="1357" t="s">
        <v>157</v>
      </c>
      <c r="CH1" s="1356" t="s">
        <v>158</v>
      </c>
      <c r="CI1" s="1356" t="s">
        <v>68</v>
      </c>
      <c r="CJ1" s="1356" t="s">
        <v>159</v>
      </c>
      <c r="CK1" s="1356" t="s">
        <v>70</v>
      </c>
      <c r="CL1" s="1356" t="s">
        <v>71</v>
      </c>
      <c r="CM1" s="1356" t="s">
        <v>72</v>
      </c>
      <c r="CN1" s="1356" t="s">
        <v>73</v>
      </c>
      <c r="CO1" s="1356" t="s">
        <v>160</v>
      </c>
      <c r="CP1" s="1356" t="s">
        <v>161</v>
      </c>
      <c r="CQ1" s="1356" t="s">
        <v>76</v>
      </c>
      <c r="CR1" s="1356" t="s">
        <v>77</v>
      </c>
      <c r="CS1" s="1356" t="s">
        <v>78</v>
      </c>
      <c r="CT1" s="1356" t="s">
        <v>79</v>
      </c>
      <c r="CU1" s="1356" t="s">
        <v>80</v>
      </c>
      <c r="CV1" s="1356" t="s">
        <v>81</v>
      </c>
      <c r="CW1" s="1356" t="s">
        <v>82</v>
      </c>
      <c r="CX1" s="1356" t="s">
        <v>83</v>
      </c>
    </row>
    <row r="2" spans="1:102" ht="42" customHeight="1" x14ac:dyDescent="0.2">
      <c r="A2" s="1869" t="s">
        <v>90</v>
      </c>
      <c r="B2" s="1866" t="s">
        <v>1793</v>
      </c>
      <c r="C2" s="718" t="s">
        <v>1794</v>
      </c>
      <c r="D2" s="719" t="s">
        <v>201</v>
      </c>
      <c r="E2" s="720"/>
      <c r="F2" s="720"/>
      <c r="G2" s="720"/>
      <c r="H2" s="720"/>
      <c r="I2" s="720"/>
      <c r="J2" s="720"/>
      <c r="K2" s="720"/>
      <c r="L2" s="720"/>
      <c r="M2" s="720"/>
      <c r="N2" s="720"/>
      <c r="O2" s="720"/>
      <c r="P2" s="720"/>
      <c r="Q2" s="720"/>
      <c r="R2" s="720"/>
      <c r="S2" s="720"/>
      <c r="T2" s="1838" t="s">
        <v>1795</v>
      </c>
      <c r="U2" s="719" t="s">
        <v>1796</v>
      </c>
      <c r="V2" s="719" t="s">
        <v>1797</v>
      </c>
      <c r="W2" s="1039" t="s">
        <v>1798</v>
      </c>
      <c r="X2" s="1041">
        <v>26</v>
      </c>
      <c r="Y2" s="1041">
        <v>1</v>
      </c>
      <c r="Z2" s="1041">
        <v>8</v>
      </c>
      <c r="AA2" s="1041">
        <v>8</v>
      </c>
      <c r="AB2" s="1042">
        <f>+Y2/X2</f>
        <v>3.8461538461538464E-2</v>
      </c>
      <c r="AC2" s="1042">
        <f>+Z2/X2</f>
        <v>0.30769230769230771</v>
      </c>
      <c r="AD2" s="1042">
        <f>AA2/X2</f>
        <v>0.30769230769230771</v>
      </c>
      <c r="AE2" s="1041">
        <v>0</v>
      </c>
      <c r="AF2" s="1041">
        <v>0</v>
      </c>
      <c r="AG2" s="1040"/>
      <c r="AH2" s="1040">
        <f>+AF2</f>
        <v>0</v>
      </c>
      <c r="AI2" s="1040"/>
      <c r="AJ2" s="1040">
        <f>+AE2</f>
        <v>0</v>
      </c>
      <c r="AK2" s="1043">
        <f>+AJ2/Y2</f>
        <v>0</v>
      </c>
      <c r="AL2" s="1040">
        <f>+AJ2</f>
        <v>0</v>
      </c>
      <c r="AM2" s="1044">
        <f>+AL2/X2</f>
        <v>0</v>
      </c>
      <c r="AN2" s="1040">
        <f>+Z2</f>
        <v>8</v>
      </c>
      <c r="AO2" s="1045">
        <v>0</v>
      </c>
      <c r="AP2" s="1045"/>
      <c r="AQ2" s="1045">
        <v>0</v>
      </c>
      <c r="AR2" s="1045"/>
      <c r="AS2" s="1045">
        <v>0</v>
      </c>
      <c r="AT2" s="1046"/>
      <c r="AU2" s="1045">
        <v>5</v>
      </c>
      <c r="AV2" s="1047"/>
      <c r="AW2" s="1040">
        <f>+AU2</f>
        <v>5</v>
      </c>
      <c r="AX2" s="1044">
        <f>AW2/AN2</f>
        <v>0.625</v>
      </c>
      <c r="AY2" s="1040">
        <f>AW2+AL2</f>
        <v>5</v>
      </c>
      <c r="AZ2" s="1044">
        <f>AY2/X2</f>
        <v>0.19230769230769232</v>
      </c>
      <c r="BA2" s="1045">
        <v>8</v>
      </c>
      <c r="BB2" s="1412">
        <v>0</v>
      </c>
      <c r="BC2" s="1412"/>
      <c r="BD2" s="1412">
        <v>1</v>
      </c>
      <c r="BE2" s="1412"/>
      <c r="BF2" s="1412">
        <v>0</v>
      </c>
      <c r="BG2" s="1412"/>
      <c r="BH2" s="1031">
        <v>2</v>
      </c>
      <c r="BI2" s="1040"/>
      <c r="BJ2" s="1040">
        <f>+BD2+BH2</f>
        <v>3</v>
      </c>
      <c r="BK2" s="1048">
        <f>+BJ2/BA2</f>
        <v>0.375</v>
      </c>
      <c r="BL2" s="1040">
        <f>+BJ2+AY2</f>
        <v>8</v>
      </c>
      <c r="BM2" s="1043">
        <f>+BL2/X2</f>
        <v>0.30769230769230771</v>
      </c>
      <c r="BN2" s="721"/>
      <c r="BO2" s="721"/>
      <c r="BP2" s="721"/>
      <c r="BQ2" s="721"/>
      <c r="BR2" s="721"/>
      <c r="BS2" s="721"/>
      <c r="BT2" s="721"/>
      <c r="BU2" s="721"/>
      <c r="BV2" s="721"/>
      <c r="BW2" s="721"/>
      <c r="BX2" s="721"/>
      <c r="BY2" s="721"/>
      <c r="BZ2" s="721"/>
      <c r="CA2" s="721"/>
      <c r="CB2" s="721"/>
      <c r="CC2" s="721"/>
      <c r="CD2" s="721"/>
      <c r="CE2" s="721"/>
      <c r="CF2" s="721"/>
      <c r="CG2" s="721"/>
      <c r="CH2" s="721"/>
      <c r="CI2" s="721"/>
      <c r="CJ2" s="721"/>
      <c r="CK2" s="721"/>
      <c r="CL2" s="721"/>
      <c r="CM2" s="721"/>
      <c r="CN2" s="721"/>
      <c r="CO2" s="721"/>
      <c r="CP2" s="721"/>
      <c r="CQ2" s="721"/>
      <c r="CR2" s="721"/>
      <c r="CS2" s="721"/>
      <c r="CT2" s="721"/>
      <c r="CU2" s="721"/>
      <c r="CV2" s="721"/>
      <c r="CW2" s="721"/>
      <c r="CX2" s="721"/>
    </row>
    <row r="3" spans="1:102" ht="64.5" customHeight="1" x14ac:dyDescent="0.2">
      <c r="A3" s="1870"/>
      <c r="B3" s="1867"/>
      <c r="C3" s="718"/>
      <c r="D3" s="719"/>
      <c r="E3" s="720"/>
      <c r="F3" s="720"/>
      <c r="G3" s="720"/>
      <c r="H3" s="720"/>
      <c r="I3" s="720"/>
      <c r="J3" s="720"/>
      <c r="K3" s="720"/>
      <c r="L3" s="720"/>
      <c r="M3" s="720"/>
      <c r="N3" s="720"/>
      <c r="O3" s="720"/>
      <c r="P3" s="720"/>
      <c r="Q3" s="720"/>
      <c r="R3" s="720"/>
      <c r="S3" s="720"/>
      <c r="T3" s="1839"/>
      <c r="U3" s="719" t="s">
        <v>1799</v>
      </c>
      <c r="V3" s="719">
        <v>0</v>
      </c>
      <c r="W3" s="1039" t="s">
        <v>1800</v>
      </c>
      <c r="X3" s="1041">
        <v>100</v>
      </c>
      <c r="Y3" s="1041" t="s">
        <v>177</v>
      </c>
      <c r="Z3" s="1041">
        <v>33</v>
      </c>
      <c r="AA3" s="1041">
        <v>33</v>
      </c>
      <c r="AB3" s="1041"/>
      <c r="AC3" s="1042">
        <f>+Z3/X3</f>
        <v>0.33</v>
      </c>
      <c r="AD3" s="1042">
        <v>0.33</v>
      </c>
      <c r="AE3" s="1041"/>
      <c r="AF3" s="1041"/>
      <c r="AG3" s="1040"/>
      <c r="AH3" s="1040"/>
      <c r="AI3" s="1040"/>
      <c r="AJ3" s="1040"/>
      <c r="AK3" s="1040"/>
      <c r="AL3" s="1040"/>
      <c r="AM3" s="1049"/>
      <c r="AN3" s="1040"/>
      <c r="AO3" s="1045">
        <v>0</v>
      </c>
      <c r="AP3" s="1045"/>
      <c r="AQ3" s="1045">
        <v>0</v>
      </c>
      <c r="AR3" s="1045"/>
      <c r="AS3" s="1045"/>
      <c r="AT3" s="1046"/>
      <c r="AU3" s="1045">
        <v>67</v>
      </c>
      <c r="AV3" s="1047"/>
      <c r="AW3" s="1040">
        <f>+AU3</f>
        <v>67</v>
      </c>
      <c r="AX3" s="1044"/>
      <c r="AY3" s="1040">
        <f>AW3+AL3</f>
        <v>67</v>
      </c>
      <c r="AZ3" s="1044">
        <f>+AY3/100</f>
        <v>0.67</v>
      </c>
      <c r="BA3" s="1040">
        <v>33</v>
      </c>
      <c r="BB3" s="1031">
        <v>15</v>
      </c>
      <c r="BC3" s="1031"/>
      <c r="BD3" s="1031">
        <v>0</v>
      </c>
      <c r="BE3" s="1031"/>
      <c r="BF3" s="1031">
        <v>35</v>
      </c>
      <c r="BG3" s="199" t="s">
        <v>2200</v>
      </c>
      <c r="BH3" s="1031">
        <v>0</v>
      </c>
      <c r="BI3" s="1040"/>
      <c r="BJ3" s="1040">
        <f>BB3+BF3</f>
        <v>50</v>
      </c>
      <c r="BK3" s="1048">
        <v>1</v>
      </c>
      <c r="BL3" s="1040">
        <f>+BJ3+AY3</f>
        <v>117</v>
      </c>
      <c r="BM3" s="1043">
        <v>1</v>
      </c>
      <c r="BN3" s="721"/>
      <c r="BO3" s="721"/>
      <c r="BP3" s="721"/>
      <c r="BQ3" s="721"/>
      <c r="BR3" s="721"/>
      <c r="BS3" s="721"/>
      <c r="BT3" s="721"/>
      <c r="BU3" s="721"/>
      <c r="BV3" s="721"/>
      <c r="BW3" s="721"/>
      <c r="BX3" s="721"/>
      <c r="BY3" s="721"/>
      <c r="BZ3" s="721"/>
      <c r="CA3" s="721"/>
      <c r="CB3" s="721"/>
      <c r="CC3" s="721"/>
      <c r="CD3" s="721"/>
      <c r="CE3" s="721"/>
      <c r="CF3" s="721"/>
      <c r="CG3" s="721"/>
      <c r="CH3" s="721"/>
      <c r="CI3" s="721"/>
      <c r="CJ3" s="721"/>
      <c r="CK3" s="721"/>
      <c r="CL3" s="721"/>
      <c r="CM3" s="721"/>
      <c r="CN3" s="721"/>
      <c r="CO3" s="721"/>
      <c r="CP3" s="721"/>
      <c r="CQ3" s="721"/>
      <c r="CR3" s="721"/>
      <c r="CS3" s="721"/>
      <c r="CT3" s="721"/>
      <c r="CU3" s="721"/>
      <c r="CV3" s="721"/>
      <c r="CW3" s="721"/>
      <c r="CX3" s="721"/>
    </row>
    <row r="4" spans="1:102" ht="12" customHeight="1" x14ac:dyDescent="0.2">
      <c r="A4" s="1870"/>
      <c r="B4" s="1867"/>
      <c r="C4" s="718"/>
      <c r="D4" s="719"/>
      <c r="E4" s="720"/>
      <c r="F4" s="720"/>
      <c r="G4" s="720"/>
      <c r="H4" s="720"/>
      <c r="I4" s="720"/>
      <c r="J4" s="720"/>
      <c r="K4" s="720"/>
      <c r="L4" s="720"/>
      <c r="M4" s="720"/>
      <c r="N4" s="720"/>
      <c r="O4" s="720"/>
      <c r="P4" s="720"/>
      <c r="Q4" s="720"/>
      <c r="R4" s="720"/>
      <c r="S4" s="720"/>
      <c r="T4" s="1840"/>
      <c r="U4" s="722"/>
      <c r="V4" s="722"/>
      <c r="W4" s="1050"/>
      <c r="X4" s="1051"/>
      <c r="Y4" s="1051"/>
      <c r="Z4" s="1051"/>
      <c r="AA4" s="1051"/>
      <c r="AB4" s="1038">
        <f>AVERAGE(AB2:AB3)</f>
        <v>3.8461538461538464E-2</v>
      </c>
      <c r="AC4" s="1038">
        <f>AVERAGE(AC2:AC3)</f>
        <v>0.31884615384615389</v>
      </c>
      <c r="AD4" s="1038"/>
      <c r="AE4" s="1051"/>
      <c r="AF4" s="1051"/>
      <c r="AG4" s="1051"/>
      <c r="AH4" s="1051"/>
      <c r="AI4" s="1051"/>
      <c r="AJ4" s="1051"/>
      <c r="AK4" s="1052">
        <f>AVERAGE(AK2:AK3)</f>
        <v>0</v>
      </c>
      <c r="AL4" s="1052"/>
      <c r="AM4" s="1053">
        <f>AVERAGE(AM2:AM3)</f>
        <v>0</v>
      </c>
      <c r="AN4" s="1054"/>
      <c r="AO4" s="1054"/>
      <c r="AP4" s="1055"/>
      <c r="AQ4" s="1055"/>
      <c r="AR4" s="1055"/>
      <c r="AS4" s="1055"/>
      <c r="AT4" s="1055"/>
      <c r="AU4" s="1040"/>
      <c r="AV4" s="1055"/>
      <c r="AW4" s="1054"/>
      <c r="AX4" s="1056">
        <f>AVERAGE(AX2:AX3)</f>
        <v>0.625</v>
      </c>
      <c r="AY4" s="1054"/>
      <c r="AZ4" s="1053">
        <f>AVERAGE(AZ2:AZ3)</f>
        <v>0.43115384615384617</v>
      </c>
      <c r="BA4" s="1040"/>
      <c r="BB4" s="1040"/>
      <c r="BC4" s="1040"/>
      <c r="BD4" s="1040"/>
      <c r="BE4" s="1040"/>
      <c r="BF4" s="1040"/>
      <c r="BG4" s="1040"/>
      <c r="BH4" s="1040"/>
      <c r="BI4" s="1040"/>
      <c r="BJ4" s="1040"/>
      <c r="BK4" s="1053">
        <f>AVERAGE(BK2:BK3)</f>
        <v>0.6875</v>
      </c>
      <c r="BL4" s="1040"/>
      <c r="BM4" s="1053">
        <f>AVERAGE(BM2:BM3)</f>
        <v>0.65384615384615385</v>
      </c>
      <c r="BN4" s="721"/>
      <c r="BO4" s="721"/>
      <c r="BP4" s="721"/>
      <c r="BQ4" s="721"/>
      <c r="BR4" s="721"/>
      <c r="BS4" s="721"/>
      <c r="BT4" s="721"/>
      <c r="BU4" s="721"/>
      <c r="BV4" s="721"/>
      <c r="BW4" s="721"/>
      <c r="BX4" s="721"/>
      <c r="BY4" s="721"/>
      <c r="BZ4" s="721"/>
      <c r="CA4" s="721"/>
      <c r="CB4" s="721"/>
      <c r="CC4" s="721"/>
      <c r="CD4" s="721"/>
      <c r="CE4" s="721"/>
      <c r="CF4" s="721"/>
      <c r="CG4" s="721"/>
      <c r="CH4" s="721"/>
      <c r="CI4" s="721"/>
      <c r="CJ4" s="721"/>
      <c r="CK4" s="721"/>
      <c r="CL4" s="721"/>
      <c r="CM4" s="721"/>
      <c r="CN4" s="721"/>
      <c r="CO4" s="721"/>
      <c r="CP4" s="721"/>
      <c r="CQ4" s="721"/>
      <c r="CR4" s="721"/>
      <c r="CS4" s="721"/>
      <c r="CT4" s="721"/>
      <c r="CU4" s="721"/>
      <c r="CV4" s="721"/>
      <c r="CW4" s="721"/>
      <c r="CX4" s="721"/>
    </row>
    <row r="5" spans="1:102" ht="72" customHeight="1" x14ac:dyDescent="0.2">
      <c r="A5" s="1870"/>
      <c r="B5" s="1867"/>
      <c r="C5" s="718"/>
      <c r="D5" s="719"/>
      <c r="E5" s="720"/>
      <c r="F5" s="720"/>
      <c r="G5" s="720"/>
      <c r="H5" s="720"/>
      <c r="I5" s="720"/>
      <c r="J5" s="720"/>
      <c r="K5" s="720"/>
      <c r="L5" s="720"/>
      <c r="M5" s="720"/>
      <c r="N5" s="720"/>
      <c r="O5" s="720"/>
      <c r="P5" s="720"/>
      <c r="Q5" s="720"/>
      <c r="R5" s="720"/>
      <c r="S5" s="720"/>
      <c r="T5" s="1838" t="s">
        <v>1801</v>
      </c>
      <c r="U5" s="719" t="s">
        <v>1802</v>
      </c>
      <c r="V5" s="719">
        <v>0</v>
      </c>
      <c r="W5" s="1039" t="s">
        <v>1803</v>
      </c>
      <c r="X5" s="1040">
        <v>33</v>
      </c>
      <c r="Y5" s="1040" t="s">
        <v>177</v>
      </c>
      <c r="Z5" s="1031"/>
      <c r="AA5" s="1031">
        <v>17</v>
      </c>
      <c r="AB5" s="1031"/>
      <c r="AC5" s="1031"/>
      <c r="AD5" s="1032">
        <f>AA5/X5</f>
        <v>0.51515151515151514</v>
      </c>
      <c r="AE5" s="1031"/>
      <c r="AF5" s="1031"/>
      <c r="AG5" s="1031"/>
      <c r="AH5" s="1031"/>
      <c r="AI5" s="1031"/>
      <c r="AJ5" s="1031"/>
      <c r="AK5" s="1411"/>
      <c r="AL5" s="1031"/>
      <c r="AM5" s="1379"/>
      <c r="AN5" s="1412">
        <v>11</v>
      </c>
      <c r="AO5" s="1412">
        <v>0</v>
      </c>
      <c r="AP5" s="1189"/>
      <c r="AQ5" s="1031">
        <v>0</v>
      </c>
      <c r="AR5" s="1031"/>
      <c r="AS5" s="1031">
        <v>0</v>
      </c>
      <c r="AT5" s="1189"/>
      <c r="AU5" s="1031">
        <v>0</v>
      </c>
      <c r="AV5" s="1189"/>
      <c r="AW5" s="1031">
        <f>AO5</f>
        <v>0</v>
      </c>
      <c r="AX5" s="1033">
        <f>AW5/AN5</f>
        <v>0</v>
      </c>
      <c r="AY5" s="1031">
        <f>AW5+AL5</f>
        <v>0</v>
      </c>
      <c r="AZ5" s="1033">
        <v>0</v>
      </c>
      <c r="BA5" s="1031">
        <f>AA5</f>
        <v>17</v>
      </c>
      <c r="BB5" s="1031">
        <v>0</v>
      </c>
      <c r="BC5" s="1031"/>
      <c r="BD5" s="1031"/>
      <c r="BE5" s="1031"/>
      <c r="BF5" s="1031">
        <v>1</v>
      </c>
      <c r="BG5" s="1031"/>
      <c r="BH5" s="1031"/>
      <c r="BI5" s="1031"/>
      <c r="BJ5" s="1031">
        <f>+BF5</f>
        <v>1</v>
      </c>
      <c r="BK5" s="1034">
        <f>+BJ5/BA5</f>
        <v>5.8823529411764705E-2</v>
      </c>
      <c r="BL5" s="1031">
        <f>BJ5+AY5</f>
        <v>1</v>
      </c>
      <c r="BM5" s="1032">
        <f>BL5/X5</f>
        <v>3.0303030303030304E-2</v>
      </c>
      <c r="BN5" s="721"/>
      <c r="BO5" s="721"/>
      <c r="BP5" s="721"/>
      <c r="BQ5" s="721"/>
      <c r="BR5" s="721"/>
      <c r="BS5" s="721"/>
      <c r="BT5" s="721"/>
      <c r="BU5" s="721"/>
      <c r="BV5" s="721"/>
      <c r="BW5" s="721"/>
      <c r="BX5" s="721"/>
      <c r="BY5" s="721"/>
      <c r="BZ5" s="721"/>
      <c r="CA5" s="721"/>
      <c r="CB5" s="721"/>
      <c r="CC5" s="721"/>
      <c r="CD5" s="721"/>
      <c r="CE5" s="721"/>
      <c r="CF5" s="721"/>
      <c r="CG5" s="721"/>
      <c r="CH5" s="721"/>
      <c r="CI5" s="721"/>
      <c r="CJ5" s="721"/>
      <c r="CK5" s="721"/>
      <c r="CL5" s="721"/>
      <c r="CM5" s="721"/>
      <c r="CN5" s="721"/>
      <c r="CO5" s="721"/>
      <c r="CP5" s="721"/>
      <c r="CQ5" s="721"/>
      <c r="CR5" s="721"/>
      <c r="CS5" s="721"/>
      <c r="CT5" s="721"/>
      <c r="CU5" s="721"/>
      <c r="CV5" s="721"/>
      <c r="CW5" s="721"/>
      <c r="CX5" s="721"/>
    </row>
    <row r="6" spans="1:102" ht="70.5" customHeight="1" x14ac:dyDescent="0.2">
      <c r="A6" s="1870"/>
      <c r="B6" s="1867"/>
      <c r="C6" s="718"/>
      <c r="D6" s="719"/>
      <c r="E6" s="720"/>
      <c r="F6" s="720"/>
      <c r="G6" s="720"/>
      <c r="H6" s="720"/>
      <c r="I6" s="720"/>
      <c r="J6" s="720"/>
      <c r="K6" s="720"/>
      <c r="L6" s="720"/>
      <c r="M6" s="720"/>
      <c r="N6" s="720"/>
      <c r="O6" s="720"/>
      <c r="P6" s="720"/>
      <c r="Q6" s="720"/>
      <c r="R6" s="720"/>
      <c r="S6" s="720"/>
      <c r="T6" s="1839"/>
      <c r="U6" s="719" t="s">
        <v>1804</v>
      </c>
      <c r="V6" s="719">
        <v>0</v>
      </c>
      <c r="W6" s="1039" t="s">
        <v>1805</v>
      </c>
      <c r="X6" s="1040">
        <v>15</v>
      </c>
      <c r="Y6" s="1040">
        <v>1</v>
      </c>
      <c r="Z6" s="1031">
        <v>4</v>
      </c>
      <c r="AA6" s="1031">
        <v>2.7</v>
      </c>
      <c r="AB6" s="1034">
        <f>+Y6/X6</f>
        <v>6.6666666666666666E-2</v>
      </c>
      <c r="AC6" s="1034">
        <f>+Z6/X6</f>
        <v>0.26666666666666666</v>
      </c>
      <c r="AD6" s="1034">
        <f>AA6/X6</f>
        <v>0.18000000000000002</v>
      </c>
      <c r="AE6" s="1031">
        <v>0</v>
      </c>
      <c r="AF6" s="1034">
        <v>0.5</v>
      </c>
      <c r="AG6" s="1034"/>
      <c r="AH6" s="1034" t="s">
        <v>1806</v>
      </c>
      <c r="AI6" s="1034"/>
      <c r="AJ6" s="1031">
        <v>1.5</v>
      </c>
      <c r="AK6" s="1411">
        <v>1</v>
      </c>
      <c r="AL6" s="1031">
        <f>+AJ6</f>
        <v>1.5</v>
      </c>
      <c r="AM6" s="1379">
        <f>+AL6/X6</f>
        <v>0.1</v>
      </c>
      <c r="AN6" s="1031">
        <f>+Z6</f>
        <v>4</v>
      </c>
      <c r="AO6" s="1031">
        <v>0</v>
      </c>
      <c r="AP6" s="1031"/>
      <c r="AQ6" s="1380">
        <v>0</v>
      </c>
      <c r="AR6" s="1380"/>
      <c r="AS6" s="1380">
        <v>2.8</v>
      </c>
      <c r="AT6" s="1031"/>
      <c r="AU6" s="1380">
        <v>5</v>
      </c>
      <c r="AV6" s="1031"/>
      <c r="AW6" s="1031">
        <f>+AS6+AU6</f>
        <v>7.8</v>
      </c>
      <c r="AX6" s="1034">
        <f>+AW6/AN6</f>
        <v>1.95</v>
      </c>
      <c r="AY6" s="1031">
        <f>+AW6+AL6</f>
        <v>9.3000000000000007</v>
      </c>
      <c r="AZ6" s="1033">
        <f>+AY6/X6</f>
        <v>0.62</v>
      </c>
      <c r="BA6" s="1031">
        <f>AA6</f>
        <v>2.7</v>
      </c>
      <c r="BB6" s="1031">
        <v>0</v>
      </c>
      <c r="BC6" s="1031"/>
      <c r="BD6" s="1031">
        <v>0</v>
      </c>
      <c r="BE6" s="1031"/>
      <c r="BF6" s="1031">
        <v>0</v>
      </c>
      <c r="BG6" s="1031"/>
      <c r="BH6" s="1031">
        <v>2.7</v>
      </c>
      <c r="BI6" s="1031"/>
      <c r="BJ6" s="1031">
        <f>+BH6</f>
        <v>2.7</v>
      </c>
      <c r="BK6" s="1034">
        <v>1</v>
      </c>
      <c r="BL6" s="1031">
        <f>AY6+BJ6</f>
        <v>12</v>
      </c>
      <c r="BM6" s="1032">
        <f>BL6/X6</f>
        <v>0.8</v>
      </c>
      <c r="BN6" s="721"/>
      <c r="BO6" s="721"/>
      <c r="BP6" s="721"/>
      <c r="BQ6" s="721"/>
      <c r="BR6" s="721"/>
      <c r="BS6" s="721"/>
      <c r="BT6" s="721"/>
      <c r="BU6" s="721"/>
      <c r="BV6" s="721"/>
      <c r="BW6" s="721"/>
      <c r="BX6" s="721"/>
      <c r="BY6" s="721"/>
      <c r="BZ6" s="721"/>
      <c r="CA6" s="721"/>
      <c r="CB6" s="721"/>
      <c r="CC6" s="721"/>
      <c r="CD6" s="721"/>
      <c r="CE6" s="721"/>
      <c r="CF6" s="721"/>
      <c r="CG6" s="721"/>
      <c r="CH6" s="721"/>
      <c r="CI6" s="721"/>
      <c r="CJ6" s="721"/>
      <c r="CK6" s="721"/>
      <c r="CL6" s="721"/>
      <c r="CM6" s="721"/>
      <c r="CN6" s="721"/>
      <c r="CO6" s="721"/>
      <c r="CP6" s="721"/>
      <c r="CQ6" s="721"/>
      <c r="CR6" s="721"/>
      <c r="CS6" s="721"/>
      <c r="CT6" s="721"/>
      <c r="CU6" s="721"/>
      <c r="CV6" s="721"/>
      <c r="CW6" s="721"/>
      <c r="CX6" s="721"/>
    </row>
    <row r="7" spans="1:102" ht="12" customHeight="1" x14ac:dyDescent="0.2">
      <c r="A7" s="1870"/>
      <c r="B7" s="1867"/>
      <c r="C7" s="718"/>
      <c r="D7" s="719"/>
      <c r="E7" s="720"/>
      <c r="F7" s="720"/>
      <c r="G7" s="720"/>
      <c r="H7" s="720"/>
      <c r="I7" s="720"/>
      <c r="J7" s="720"/>
      <c r="K7" s="720"/>
      <c r="L7" s="720"/>
      <c r="M7" s="720"/>
      <c r="N7" s="720"/>
      <c r="O7" s="720"/>
      <c r="P7" s="720"/>
      <c r="Q7" s="720"/>
      <c r="R7" s="720"/>
      <c r="S7" s="720"/>
      <c r="T7" s="1840"/>
      <c r="U7" s="722"/>
      <c r="V7" s="722"/>
      <c r="W7" s="1050"/>
      <c r="X7" s="1051"/>
      <c r="Y7" s="1051"/>
      <c r="Z7" s="1051"/>
      <c r="AA7" s="1051"/>
      <c r="AB7" s="1038">
        <f>+AB6</f>
        <v>6.6666666666666666E-2</v>
      </c>
      <c r="AC7" s="1038">
        <f>+AC6</f>
        <v>0.26666666666666666</v>
      </c>
      <c r="AD7" s="1038"/>
      <c r="AE7" s="1051"/>
      <c r="AF7" s="1051"/>
      <c r="AG7" s="1051"/>
      <c r="AH7" s="1051"/>
      <c r="AI7" s="1051"/>
      <c r="AJ7" s="1051"/>
      <c r="AK7" s="1052">
        <f>+AK6</f>
        <v>1</v>
      </c>
      <c r="AL7" s="1051"/>
      <c r="AM7" s="1053">
        <f>+AM6</f>
        <v>0.1</v>
      </c>
      <c r="AN7" s="1040"/>
      <c r="AO7" s="1058"/>
      <c r="AP7" s="1058"/>
      <c r="AQ7" s="1058"/>
      <c r="AR7" s="1058"/>
      <c r="AS7" s="1058"/>
      <c r="AT7" s="1058"/>
      <c r="AU7" s="1058"/>
      <c r="AV7" s="1058"/>
      <c r="AW7" s="1058"/>
      <c r="AX7" s="1059">
        <f>+(AX5+AX6)/2</f>
        <v>0.97499999999999998</v>
      </c>
      <c r="AY7" s="1060"/>
      <c r="AZ7" s="1061">
        <f>AVERAGE(AZ5:AZ6)</f>
        <v>0.31</v>
      </c>
      <c r="BA7" s="1069"/>
      <c r="BB7" s="1069"/>
      <c r="BC7" s="1069"/>
      <c r="BD7" s="1069"/>
      <c r="BE7" s="1069"/>
      <c r="BF7" s="1069"/>
      <c r="BG7" s="1069"/>
      <c r="BH7" s="1069"/>
      <c r="BI7" s="1069"/>
      <c r="BJ7" s="1069"/>
      <c r="BK7" s="1038">
        <f>AVERAGE(BK5:BK6)</f>
        <v>0.52941176470588236</v>
      </c>
      <c r="BL7" s="1069"/>
      <c r="BM7" s="1066">
        <f>AVERAGE(BM5:BM6)</f>
        <v>0.41515151515151516</v>
      </c>
      <c r="BN7" s="721"/>
      <c r="BO7" s="721"/>
      <c r="BP7" s="721"/>
      <c r="BQ7" s="721"/>
      <c r="BR7" s="721"/>
      <c r="BS7" s="721"/>
      <c r="BT7" s="721"/>
      <c r="BU7" s="721"/>
      <c r="BV7" s="721"/>
      <c r="BW7" s="721"/>
      <c r="BX7" s="721"/>
      <c r="BY7" s="721"/>
      <c r="BZ7" s="721"/>
      <c r="CA7" s="721"/>
      <c r="CB7" s="721"/>
      <c r="CC7" s="721"/>
      <c r="CD7" s="721"/>
      <c r="CE7" s="721"/>
      <c r="CF7" s="721"/>
      <c r="CG7" s="721"/>
      <c r="CH7" s="721"/>
      <c r="CI7" s="721"/>
      <c r="CJ7" s="721"/>
      <c r="CK7" s="721"/>
      <c r="CL7" s="721"/>
      <c r="CM7" s="721"/>
      <c r="CN7" s="721"/>
      <c r="CO7" s="721"/>
      <c r="CP7" s="721"/>
      <c r="CQ7" s="721"/>
      <c r="CR7" s="721"/>
      <c r="CS7" s="721"/>
      <c r="CT7" s="721"/>
      <c r="CU7" s="721"/>
      <c r="CV7" s="721"/>
      <c r="CW7" s="721"/>
      <c r="CX7" s="721"/>
    </row>
    <row r="8" spans="1:102" ht="84" customHeight="1" x14ac:dyDescent="0.2">
      <c r="A8" s="1870"/>
      <c r="B8" s="1867"/>
      <c r="C8" s="718"/>
      <c r="D8" s="719"/>
      <c r="E8" s="720"/>
      <c r="F8" s="720"/>
      <c r="G8" s="720"/>
      <c r="H8" s="720"/>
      <c r="I8" s="720"/>
      <c r="J8" s="720"/>
      <c r="K8" s="720"/>
      <c r="L8" s="720"/>
      <c r="M8" s="720"/>
      <c r="N8" s="720"/>
      <c r="O8" s="720"/>
      <c r="P8" s="720"/>
      <c r="Q8" s="720"/>
      <c r="R8" s="720"/>
      <c r="S8" s="720"/>
      <c r="T8" s="1838" t="s">
        <v>1807</v>
      </c>
      <c r="U8" s="724" t="s">
        <v>1808</v>
      </c>
      <c r="V8" s="724">
        <v>0</v>
      </c>
      <c r="W8" s="1039" t="s">
        <v>1809</v>
      </c>
      <c r="X8" s="1040">
        <v>24</v>
      </c>
      <c r="Y8" s="1040" t="s">
        <v>177</v>
      </c>
      <c r="Z8" s="1040">
        <v>8</v>
      </c>
      <c r="AA8" s="1040"/>
      <c r="AB8" s="1040">
        <v>8</v>
      </c>
      <c r="AC8" s="1043">
        <f>+Z8/X8</f>
        <v>0.33333333333333331</v>
      </c>
      <c r="AD8" s="1043">
        <f>AB8/X8</f>
        <v>0.33333333333333331</v>
      </c>
      <c r="AE8" s="1040"/>
      <c r="AF8" s="1040"/>
      <c r="AG8" s="1040"/>
      <c r="AH8" s="1040"/>
      <c r="AI8" s="1040"/>
      <c r="AJ8" s="1040"/>
      <c r="AK8" s="1040"/>
      <c r="AL8" s="1040"/>
      <c r="AM8" s="1049"/>
      <c r="AN8" s="1049">
        <f>+Z8</f>
        <v>8</v>
      </c>
      <c r="AO8" s="1040">
        <v>0</v>
      </c>
      <c r="AP8" s="1040"/>
      <c r="AQ8" s="1040">
        <v>0</v>
      </c>
      <c r="AR8" s="1040"/>
      <c r="AS8" s="1040"/>
      <c r="AT8" s="1040"/>
      <c r="AU8" s="1040">
        <v>0</v>
      </c>
      <c r="AV8" s="1040"/>
      <c r="AW8" s="1040">
        <f>+AU8</f>
        <v>0</v>
      </c>
      <c r="AX8" s="1048">
        <f>+AW8/AN8</f>
        <v>0</v>
      </c>
      <c r="AY8" s="1040">
        <f>+AW8</f>
        <v>0</v>
      </c>
      <c r="AZ8" s="1062">
        <f>+AY8/X8</f>
        <v>0</v>
      </c>
      <c r="BA8" s="1040">
        <f>AB8</f>
        <v>8</v>
      </c>
      <c r="BB8" s="1031">
        <f>BA8</f>
        <v>8</v>
      </c>
      <c r="BC8" s="1040"/>
      <c r="BD8" s="1715">
        <v>0</v>
      </c>
      <c r="BE8" s="1040"/>
      <c r="BF8" s="1040">
        <v>0</v>
      </c>
      <c r="BG8" s="1690"/>
      <c r="BH8" s="1040">
        <v>44</v>
      </c>
      <c r="BI8" s="1040"/>
      <c r="BJ8" s="1040">
        <f>+BH8+BB8</f>
        <v>52</v>
      </c>
      <c r="BK8" s="1223">
        <v>1</v>
      </c>
      <c r="BL8" s="1376">
        <f>BJ8+AY8</f>
        <v>52</v>
      </c>
      <c r="BM8" s="1048">
        <v>1</v>
      </c>
      <c r="BN8" s="721"/>
      <c r="BO8" s="721"/>
      <c r="BP8" s="721"/>
      <c r="BQ8" s="721"/>
      <c r="BR8" s="721"/>
      <c r="BS8" s="721"/>
      <c r="BT8" s="721"/>
      <c r="BU8" s="721"/>
      <c r="BV8" s="721"/>
      <c r="BW8" s="721"/>
      <c r="BX8" s="721"/>
      <c r="BY8" s="721"/>
      <c r="BZ8" s="721"/>
      <c r="CA8" s="721"/>
      <c r="CB8" s="721"/>
      <c r="CC8" s="721"/>
      <c r="CD8" s="721"/>
      <c r="CE8" s="721"/>
      <c r="CF8" s="721"/>
      <c r="CG8" s="721"/>
      <c r="CH8" s="721"/>
      <c r="CI8" s="721"/>
      <c r="CJ8" s="721"/>
      <c r="CK8" s="721"/>
      <c r="CL8" s="721"/>
      <c r="CM8" s="721"/>
      <c r="CN8" s="721"/>
      <c r="CO8" s="721"/>
      <c r="CP8" s="721"/>
      <c r="CQ8" s="721"/>
      <c r="CR8" s="721"/>
      <c r="CS8" s="721"/>
      <c r="CT8" s="721"/>
      <c r="CU8" s="721"/>
      <c r="CV8" s="721"/>
      <c r="CW8" s="721"/>
      <c r="CX8" s="721"/>
    </row>
    <row r="9" spans="1:102" ht="25.5" customHeight="1" x14ac:dyDescent="0.2">
      <c r="A9" s="1870"/>
      <c r="B9" s="1867"/>
      <c r="C9" s="718"/>
      <c r="D9" s="719"/>
      <c r="E9" s="720"/>
      <c r="F9" s="720"/>
      <c r="G9" s="720"/>
      <c r="H9" s="720"/>
      <c r="I9" s="720"/>
      <c r="J9" s="720"/>
      <c r="K9" s="720"/>
      <c r="L9" s="720"/>
      <c r="M9" s="720"/>
      <c r="N9" s="720"/>
      <c r="O9" s="720"/>
      <c r="P9" s="720"/>
      <c r="Q9" s="720"/>
      <c r="R9" s="720"/>
      <c r="S9" s="720"/>
      <c r="T9" s="1840"/>
      <c r="U9" s="725"/>
      <c r="V9" s="725"/>
      <c r="W9" s="1063"/>
      <c r="X9" s="1051"/>
      <c r="Y9" s="1051"/>
      <c r="Z9" s="1051"/>
      <c r="AA9" s="1051"/>
      <c r="AB9" s="1051"/>
      <c r="AC9" s="1064">
        <f>+AC8</f>
        <v>0.33333333333333331</v>
      </c>
      <c r="AD9" s="1125">
        <f>AVERAGE(AD8)</f>
        <v>0.33333333333333331</v>
      </c>
      <c r="AE9" s="1126"/>
      <c r="AF9" s="1126"/>
      <c r="AG9" s="1126"/>
      <c r="AH9" s="1126"/>
      <c r="AI9" s="1126"/>
      <c r="AJ9" s="1126"/>
      <c r="AK9" s="1126"/>
      <c r="AL9" s="1126"/>
      <c r="AM9" s="1127"/>
      <c r="AN9" s="1128"/>
      <c r="AO9" s="1129"/>
      <c r="AP9" s="1129"/>
      <c r="AQ9" s="1129"/>
      <c r="AR9" s="1129"/>
      <c r="AS9" s="1129"/>
      <c r="AT9" s="1129"/>
      <c r="AU9" s="1129"/>
      <c r="AV9" s="1129"/>
      <c r="AW9" s="1129"/>
      <c r="AX9" s="1123">
        <f>AX8</f>
        <v>0</v>
      </c>
      <c r="AY9" s="1123"/>
      <c r="AZ9" s="1124">
        <f>AZ8</f>
        <v>0</v>
      </c>
      <c r="BA9" s="1129"/>
      <c r="BB9" s="1129"/>
      <c r="BC9" s="1129"/>
      <c r="BD9" s="1129"/>
      <c r="BE9" s="1129"/>
      <c r="BF9" s="1129"/>
      <c r="BG9" s="1129"/>
      <c r="BH9" s="1129"/>
      <c r="BI9" s="1129"/>
      <c r="BJ9" s="1129"/>
      <c r="BK9" s="1124">
        <f>BK8</f>
        <v>1</v>
      </c>
      <c r="BL9" s="1129"/>
      <c r="BM9" s="1124">
        <f>BM8</f>
        <v>1</v>
      </c>
      <c r="BN9" s="721"/>
      <c r="BO9" s="721"/>
      <c r="BP9" s="721"/>
      <c r="BQ9" s="721"/>
      <c r="BR9" s="721"/>
      <c r="BS9" s="721"/>
      <c r="BT9" s="721"/>
      <c r="BU9" s="721"/>
      <c r="BV9" s="721"/>
      <c r="BW9" s="721"/>
      <c r="BX9" s="721"/>
      <c r="BY9" s="721"/>
      <c r="BZ9" s="721"/>
      <c r="CA9" s="721"/>
      <c r="CB9" s="721"/>
      <c r="CC9" s="721"/>
      <c r="CD9" s="721"/>
      <c r="CE9" s="721"/>
      <c r="CF9" s="721"/>
      <c r="CG9" s="721"/>
      <c r="CH9" s="721"/>
      <c r="CI9" s="721"/>
      <c r="CJ9" s="721"/>
      <c r="CK9" s="721"/>
      <c r="CL9" s="721"/>
      <c r="CM9" s="721"/>
      <c r="CN9" s="721"/>
      <c r="CO9" s="721"/>
      <c r="CP9" s="721"/>
      <c r="CQ9" s="721"/>
      <c r="CR9" s="721"/>
      <c r="CS9" s="721"/>
      <c r="CT9" s="721"/>
      <c r="CU9" s="721"/>
      <c r="CV9" s="721"/>
      <c r="CW9" s="721"/>
      <c r="CX9" s="721"/>
    </row>
    <row r="10" spans="1:102" ht="114" customHeight="1" x14ac:dyDescent="0.2">
      <c r="A10" s="1870"/>
      <c r="B10" s="1867"/>
      <c r="C10" s="718"/>
      <c r="D10" s="719"/>
      <c r="E10" s="720"/>
      <c r="F10" s="720"/>
      <c r="G10" s="720"/>
      <c r="H10" s="720"/>
      <c r="I10" s="720"/>
      <c r="J10" s="720"/>
      <c r="K10" s="720"/>
      <c r="L10" s="720"/>
      <c r="M10" s="720"/>
      <c r="N10" s="720"/>
      <c r="O10" s="720"/>
      <c r="P10" s="720"/>
      <c r="Q10" s="720"/>
      <c r="R10" s="720"/>
      <c r="S10" s="720"/>
      <c r="T10" s="1838" t="s">
        <v>1810</v>
      </c>
      <c r="U10" s="724" t="s">
        <v>1811</v>
      </c>
      <c r="V10" s="724">
        <v>0</v>
      </c>
      <c r="W10" s="1039" t="s">
        <v>1812</v>
      </c>
      <c r="X10" s="1040">
        <v>1</v>
      </c>
      <c r="Y10" s="1040" t="s">
        <v>177</v>
      </c>
      <c r="Z10" s="1040"/>
      <c r="AA10" s="1040"/>
      <c r="AB10" s="1040"/>
      <c r="AC10" s="1040"/>
      <c r="AD10" s="1040"/>
      <c r="AE10" s="1040"/>
      <c r="AF10" s="1040"/>
      <c r="AG10" s="1040"/>
      <c r="AH10" s="1040"/>
      <c r="AI10" s="1040"/>
      <c r="AJ10" s="1040"/>
      <c r="AK10" s="1040"/>
      <c r="AL10" s="1040"/>
      <c r="AM10" s="1049"/>
      <c r="AN10" s="1049">
        <f>+Z10</f>
        <v>0</v>
      </c>
      <c r="AO10" s="1040"/>
      <c r="AP10" s="1040"/>
      <c r="AQ10" s="1040"/>
      <c r="AR10" s="1040"/>
      <c r="AS10" s="1040"/>
      <c r="AT10" s="1040"/>
      <c r="AU10" s="1040"/>
      <c r="AV10" s="1040"/>
      <c r="AW10" s="1040"/>
      <c r="AX10" s="1040"/>
      <c r="AY10" s="1040"/>
      <c r="AZ10" s="1049"/>
      <c r="BA10" s="1040"/>
      <c r="BB10" s="1040"/>
      <c r="BC10" s="1040"/>
      <c r="BD10" s="1040"/>
      <c r="BE10" s="1040"/>
      <c r="BF10" s="1040"/>
      <c r="BG10" s="1040"/>
      <c r="BH10" s="1040"/>
      <c r="BI10" s="1040"/>
      <c r="BJ10" s="1040"/>
      <c r="BK10" s="1048"/>
      <c r="BL10" s="1040"/>
      <c r="BM10" s="1040"/>
      <c r="BN10" s="721"/>
      <c r="BO10" s="721"/>
      <c r="BP10" s="721"/>
      <c r="BQ10" s="721"/>
      <c r="BR10" s="721"/>
      <c r="BS10" s="721"/>
      <c r="BT10" s="721"/>
      <c r="BU10" s="721"/>
      <c r="BV10" s="721"/>
      <c r="BW10" s="721"/>
      <c r="BX10" s="721"/>
      <c r="BY10" s="721"/>
      <c r="BZ10" s="721"/>
      <c r="CA10" s="721"/>
      <c r="CB10" s="721"/>
      <c r="CC10" s="721"/>
      <c r="CD10" s="721"/>
      <c r="CE10" s="721"/>
      <c r="CF10" s="721"/>
      <c r="CG10" s="721"/>
      <c r="CH10" s="721"/>
      <c r="CI10" s="721"/>
      <c r="CJ10" s="721"/>
      <c r="CK10" s="721"/>
      <c r="CL10" s="721"/>
      <c r="CM10" s="721"/>
      <c r="CN10" s="721"/>
      <c r="CO10" s="721"/>
      <c r="CP10" s="721"/>
      <c r="CQ10" s="721"/>
      <c r="CR10" s="721"/>
      <c r="CS10" s="721"/>
      <c r="CT10" s="721"/>
      <c r="CU10" s="721"/>
      <c r="CV10" s="721"/>
      <c r="CW10" s="721"/>
      <c r="CX10" s="721"/>
    </row>
    <row r="11" spans="1:102" ht="46.5" customHeight="1" x14ac:dyDescent="0.2">
      <c r="A11" s="1870"/>
      <c r="B11" s="1867"/>
      <c r="C11" s="718"/>
      <c r="D11" s="719"/>
      <c r="E11" s="720"/>
      <c r="F11" s="720"/>
      <c r="G11" s="720"/>
      <c r="H11" s="720"/>
      <c r="I11" s="720"/>
      <c r="J11" s="720"/>
      <c r="K11" s="720"/>
      <c r="L11" s="720"/>
      <c r="M11" s="720"/>
      <c r="N11" s="720"/>
      <c r="O11" s="720"/>
      <c r="P11" s="720"/>
      <c r="Q11" s="720"/>
      <c r="R11" s="720"/>
      <c r="S11" s="720"/>
      <c r="T11" s="1839"/>
      <c r="U11" s="724" t="s">
        <v>1813</v>
      </c>
      <c r="V11" s="724">
        <v>0</v>
      </c>
      <c r="W11" s="1631" t="s">
        <v>1814</v>
      </c>
      <c r="X11" s="1040">
        <v>26</v>
      </c>
      <c r="Y11" s="1040" t="s">
        <v>177</v>
      </c>
      <c r="Z11" s="1040"/>
      <c r="AA11" s="1040"/>
      <c r="AB11" s="1040">
        <v>11</v>
      </c>
      <c r="AC11" s="1040"/>
      <c r="AD11" s="1399">
        <f>+AB11/X11</f>
        <v>0.42307692307692307</v>
      </c>
      <c r="AE11" s="1031"/>
      <c r="AF11" s="1031"/>
      <c r="AG11" s="1031"/>
      <c r="AH11" s="1031"/>
      <c r="AI11" s="1031"/>
      <c r="AJ11" s="1031"/>
      <c r="AK11" s="1031"/>
      <c r="AL11" s="1031"/>
      <c r="AM11" s="1194"/>
      <c r="AN11" s="1441">
        <v>8</v>
      </c>
      <c r="AO11" s="1412">
        <v>0</v>
      </c>
      <c r="AP11" s="1031"/>
      <c r="AQ11" s="1031">
        <v>0</v>
      </c>
      <c r="AR11" s="1031"/>
      <c r="AS11" s="1031">
        <v>0</v>
      </c>
      <c r="AT11" s="1031"/>
      <c r="AU11" s="1031">
        <v>4</v>
      </c>
      <c r="AV11" s="1031"/>
      <c r="AW11" s="1031">
        <f>+AU11</f>
        <v>4</v>
      </c>
      <c r="AX11" s="1032">
        <f>AW11/AN11</f>
        <v>0.5</v>
      </c>
      <c r="AY11" s="1031">
        <f>AW11+AL11</f>
        <v>4</v>
      </c>
      <c r="AZ11" s="1030">
        <f>AY11/X11</f>
        <v>0.15384615384615385</v>
      </c>
      <c r="BA11" s="1031">
        <v>11</v>
      </c>
      <c r="BB11" s="1031">
        <v>0</v>
      </c>
      <c r="BC11" s="1031"/>
      <c r="BD11" s="1031">
        <v>2</v>
      </c>
      <c r="BE11" s="1031"/>
      <c r="BF11" s="1031">
        <v>4</v>
      </c>
      <c r="BG11" s="1031"/>
      <c r="BH11" s="1031">
        <v>0</v>
      </c>
      <c r="BI11" s="1031"/>
      <c r="BJ11" s="1031">
        <f>+BD11+BF11</f>
        <v>6</v>
      </c>
      <c r="BK11" s="1032">
        <f>BJ11/BA11</f>
        <v>0.54545454545454541</v>
      </c>
      <c r="BL11" s="1031">
        <f>BJ11+AY11</f>
        <v>10</v>
      </c>
      <c r="BM11" s="1032">
        <f>BL11/X11</f>
        <v>0.38461538461538464</v>
      </c>
      <c r="BN11" s="721"/>
      <c r="BO11" s="721"/>
      <c r="BP11" s="721"/>
      <c r="BQ11" s="721"/>
      <c r="BR11" s="721"/>
      <c r="BS11" s="721"/>
      <c r="BT11" s="721"/>
      <c r="BU11" s="721"/>
      <c r="BV11" s="721"/>
      <c r="BW11" s="721"/>
      <c r="BX11" s="721"/>
      <c r="BY11" s="721"/>
      <c r="BZ11" s="721"/>
      <c r="CA11" s="721"/>
      <c r="CB11" s="721"/>
      <c r="CC11" s="721"/>
      <c r="CD11" s="721"/>
      <c r="CE11" s="721"/>
      <c r="CF11" s="721"/>
      <c r="CG11" s="721"/>
      <c r="CH11" s="721"/>
      <c r="CI11" s="721"/>
      <c r="CJ11" s="721"/>
      <c r="CK11" s="721"/>
      <c r="CL11" s="721"/>
      <c r="CM11" s="721"/>
      <c r="CN11" s="721"/>
      <c r="CO11" s="721"/>
      <c r="CP11" s="721"/>
      <c r="CQ11" s="721"/>
      <c r="CR11" s="721"/>
      <c r="CS11" s="721"/>
      <c r="CT11" s="721"/>
      <c r="CU11" s="721"/>
      <c r="CV11" s="721"/>
      <c r="CW11" s="721"/>
      <c r="CX11" s="721"/>
    </row>
    <row r="12" spans="1:102" ht="37.5" customHeight="1" x14ac:dyDescent="0.2">
      <c r="A12" s="1870"/>
      <c r="B12" s="1867"/>
      <c r="C12" s="718"/>
      <c r="D12" s="719"/>
      <c r="E12" s="720"/>
      <c r="F12" s="720"/>
      <c r="G12" s="720"/>
      <c r="H12" s="720"/>
      <c r="I12" s="720"/>
      <c r="J12" s="720"/>
      <c r="K12" s="720"/>
      <c r="L12" s="720"/>
      <c r="M12" s="720"/>
      <c r="N12" s="720"/>
      <c r="O12" s="720"/>
      <c r="P12" s="720"/>
      <c r="Q12" s="720"/>
      <c r="R12" s="720"/>
      <c r="S12" s="720"/>
      <c r="T12" s="1840"/>
      <c r="U12" s="725"/>
      <c r="V12" s="725"/>
      <c r="W12" s="1063"/>
      <c r="X12" s="1051"/>
      <c r="Y12" s="1051"/>
      <c r="Z12" s="1051"/>
      <c r="AA12" s="1051"/>
      <c r="AB12" s="1051"/>
      <c r="AC12" s="1051"/>
      <c r="AD12" s="1130">
        <f>AVERAGE(AD10:AD11)</f>
        <v>0.42307692307692307</v>
      </c>
      <c r="AE12" s="1051"/>
      <c r="AF12" s="1051"/>
      <c r="AG12" s="1051"/>
      <c r="AH12" s="1051"/>
      <c r="AI12" s="1051"/>
      <c r="AJ12" s="1051"/>
      <c r="AK12" s="1051"/>
      <c r="AL12" s="1051"/>
      <c r="AM12" s="1065"/>
      <c r="AN12" s="1049"/>
      <c r="AO12" s="1040"/>
      <c r="AP12" s="1040"/>
      <c r="AQ12" s="1040"/>
      <c r="AR12" s="1040"/>
      <c r="AS12" s="1040"/>
      <c r="AT12" s="1040"/>
      <c r="AU12" s="1040"/>
      <c r="AV12" s="1040"/>
      <c r="AW12" s="1040"/>
      <c r="AX12" s="1038">
        <f>+AX11</f>
        <v>0.5</v>
      </c>
      <c r="AY12" s="1038"/>
      <c r="AZ12" s="1070">
        <f>+AZ11</f>
        <v>0.15384615384615385</v>
      </c>
      <c r="BA12" s="1066"/>
      <c r="BB12" s="1066"/>
      <c r="BC12" s="1066"/>
      <c r="BD12" s="1066"/>
      <c r="BE12" s="1066"/>
      <c r="BF12" s="1066"/>
      <c r="BG12" s="1066"/>
      <c r="BH12" s="1066"/>
      <c r="BI12" s="1066"/>
      <c r="BJ12" s="1066"/>
      <c r="BK12" s="1066">
        <f>+BK11</f>
        <v>0.54545454545454541</v>
      </c>
      <c r="BL12" s="1066"/>
      <c r="BM12" s="1066">
        <f>+BM11</f>
        <v>0.38461538461538464</v>
      </c>
      <c r="BN12" s="721"/>
      <c r="BO12" s="721"/>
      <c r="BP12" s="721"/>
      <c r="BQ12" s="721"/>
      <c r="BR12" s="721"/>
      <c r="BS12" s="721"/>
      <c r="BT12" s="721"/>
      <c r="BU12" s="721"/>
      <c r="BV12" s="721"/>
      <c r="BW12" s="721"/>
      <c r="BX12" s="721"/>
      <c r="BY12" s="721"/>
      <c r="BZ12" s="721"/>
      <c r="CA12" s="721"/>
      <c r="CB12" s="721"/>
      <c r="CC12" s="721"/>
      <c r="CD12" s="721"/>
      <c r="CE12" s="721"/>
      <c r="CF12" s="721"/>
      <c r="CG12" s="721"/>
      <c r="CH12" s="721"/>
      <c r="CI12" s="721"/>
      <c r="CJ12" s="721"/>
      <c r="CK12" s="721"/>
      <c r="CL12" s="721"/>
      <c r="CM12" s="721"/>
      <c r="CN12" s="721"/>
      <c r="CO12" s="721"/>
      <c r="CP12" s="721"/>
      <c r="CQ12" s="721"/>
      <c r="CR12" s="721"/>
      <c r="CS12" s="721"/>
      <c r="CT12" s="721"/>
      <c r="CU12" s="721"/>
      <c r="CV12" s="721"/>
      <c r="CW12" s="721"/>
      <c r="CX12" s="721"/>
    </row>
    <row r="13" spans="1:102" ht="33.75" customHeight="1" x14ac:dyDescent="0.2">
      <c r="A13" s="1870"/>
      <c r="B13" s="1867"/>
      <c r="C13" s="718"/>
      <c r="D13" s="719"/>
      <c r="E13" s="720"/>
      <c r="F13" s="720"/>
      <c r="G13" s="720"/>
      <c r="H13" s="720"/>
      <c r="I13" s="720"/>
      <c r="J13" s="720"/>
      <c r="K13" s="720"/>
      <c r="L13" s="720"/>
      <c r="M13" s="720"/>
      <c r="N13" s="720"/>
      <c r="O13" s="720"/>
      <c r="P13" s="720"/>
      <c r="Q13" s="720"/>
      <c r="R13" s="720"/>
      <c r="S13" s="720"/>
      <c r="T13" s="1838" t="s">
        <v>1815</v>
      </c>
      <c r="U13" s="719" t="s">
        <v>1816</v>
      </c>
      <c r="V13" s="719">
        <v>0</v>
      </c>
      <c r="W13" s="1039" t="s">
        <v>1817</v>
      </c>
      <c r="X13" s="1040">
        <v>18</v>
      </c>
      <c r="Y13" s="1040" t="s">
        <v>177</v>
      </c>
      <c r="Z13" s="1040"/>
      <c r="AA13" s="1040"/>
      <c r="AB13" s="1040"/>
      <c r="AC13" s="1040"/>
      <c r="AD13" s="1040"/>
      <c r="AE13" s="1040"/>
      <c r="AF13" s="1040"/>
      <c r="AG13" s="1040"/>
      <c r="AH13" s="1040"/>
      <c r="AI13" s="1040"/>
      <c r="AJ13" s="1040"/>
      <c r="AK13" s="1040"/>
      <c r="AL13" s="1040"/>
      <c r="AM13" s="1049"/>
      <c r="AN13" s="1049">
        <f>+Z13</f>
        <v>0</v>
      </c>
      <c r="AO13" s="1040"/>
      <c r="AP13" s="1040"/>
      <c r="AQ13" s="1040"/>
      <c r="AR13" s="1040"/>
      <c r="AS13" s="1040"/>
      <c r="AT13" s="1040"/>
      <c r="AU13" s="1040"/>
      <c r="AV13" s="1040"/>
      <c r="AW13" s="1040"/>
      <c r="AX13" s="1040"/>
      <c r="AY13" s="1040"/>
      <c r="AZ13" s="1049"/>
      <c r="BA13" s="1040"/>
      <c r="BB13" s="1040"/>
      <c r="BC13" s="1040"/>
      <c r="BD13" s="1040"/>
      <c r="BE13" s="1040"/>
      <c r="BF13" s="1040"/>
      <c r="BG13" s="1040"/>
      <c r="BH13" s="1040"/>
      <c r="BI13" s="1040"/>
      <c r="BJ13" s="1040"/>
      <c r="BK13" s="1040"/>
      <c r="BL13" s="1040"/>
      <c r="BM13" s="1040"/>
      <c r="BN13" s="721"/>
      <c r="BO13" s="721"/>
      <c r="BP13" s="721"/>
      <c r="BQ13" s="721"/>
      <c r="BR13" s="721"/>
      <c r="BS13" s="721"/>
      <c r="BT13" s="721"/>
      <c r="BU13" s="721"/>
      <c r="BV13" s="721"/>
      <c r="BW13" s="721"/>
      <c r="BX13" s="721"/>
      <c r="BY13" s="721"/>
      <c r="BZ13" s="721"/>
      <c r="CA13" s="721"/>
      <c r="CB13" s="721"/>
      <c r="CC13" s="721"/>
      <c r="CD13" s="721"/>
      <c r="CE13" s="721"/>
      <c r="CF13" s="721"/>
      <c r="CG13" s="721"/>
      <c r="CH13" s="721"/>
      <c r="CI13" s="721"/>
      <c r="CJ13" s="721"/>
      <c r="CK13" s="721"/>
      <c r="CL13" s="721"/>
      <c r="CM13" s="721"/>
      <c r="CN13" s="721"/>
      <c r="CO13" s="721"/>
      <c r="CP13" s="721"/>
      <c r="CQ13" s="721"/>
      <c r="CR13" s="721"/>
      <c r="CS13" s="721"/>
      <c r="CT13" s="721"/>
      <c r="CU13" s="721"/>
      <c r="CV13" s="721"/>
      <c r="CW13" s="721"/>
      <c r="CX13" s="721"/>
    </row>
    <row r="14" spans="1:102" ht="33.75" customHeight="1" x14ac:dyDescent="0.2">
      <c r="A14" s="1870"/>
      <c r="B14" s="1867"/>
      <c r="C14" s="718"/>
      <c r="D14" s="719"/>
      <c r="E14" s="720"/>
      <c r="F14" s="720"/>
      <c r="G14" s="720"/>
      <c r="H14" s="720"/>
      <c r="I14" s="720"/>
      <c r="J14" s="720"/>
      <c r="K14" s="720"/>
      <c r="L14" s="720"/>
      <c r="M14" s="720"/>
      <c r="N14" s="720"/>
      <c r="O14" s="720"/>
      <c r="P14" s="720"/>
      <c r="Q14" s="720"/>
      <c r="R14" s="720"/>
      <c r="S14" s="720"/>
      <c r="T14" s="1839"/>
      <c r="U14" s="719" t="s">
        <v>1818</v>
      </c>
      <c r="V14" s="719">
        <v>0</v>
      </c>
      <c r="W14" s="1039" t="s">
        <v>1819</v>
      </c>
      <c r="X14" s="1040">
        <v>8</v>
      </c>
      <c r="Y14" s="1040" t="s">
        <v>177</v>
      </c>
      <c r="Z14" s="1040"/>
      <c r="AA14" s="1040"/>
      <c r="AB14" s="1040"/>
      <c r="AC14" s="1040"/>
      <c r="AD14" s="1040"/>
      <c r="AE14" s="1040"/>
      <c r="AF14" s="1040"/>
      <c r="AG14" s="1040"/>
      <c r="AH14" s="1040"/>
      <c r="AI14" s="1040"/>
      <c r="AJ14" s="1040"/>
      <c r="AK14" s="1040"/>
      <c r="AL14" s="1040"/>
      <c r="AM14" s="1049"/>
      <c r="AN14" s="1049">
        <f>+Z14</f>
        <v>0</v>
      </c>
      <c r="AO14" s="1040"/>
      <c r="AP14" s="1040"/>
      <c r="AQ14" s="1040"/>
      <c r="AR14" s="1040"/>
      <c r="AS14" s="1040"/>
      <c r="AT14" s="1040"/>
      <c r="AU14" s="1040"/>
      <c r="AV14" s="1040"/>
      <c r="AW14" s="1040"/>
      <c r="AX14" s="1040"/>
      <c r="AY14" s="1040"/>
      <c r="AZ14" s="1049"/>
      <c r="BA14" s="1040"/>
      <c r="BB14" s="1040"/>
      <c r="BC14" s="1040"/>
      <c r="BD14" s="1040"/>
      <c r="BE14" s="1040"/>
      <c r="BF14" s="1040"/>
      <c r="BG14" s="1040"/>
      <c r="BH14" s="1040"/>
      <c r="BI14" s="1040"/>
      <c r="BJ14" s="1040"/>
      <c r="BK14" s="1040"/>
      <c r="BL14" s="1040"/>
      <c r="BM14" s="1040"/>
      <c r="BN14" s="721"/>
      <c r="BO14" s="721"/>
      <c r="BP14" s="721"/>
      <c r="BQ14" s="721"/>
      <c r="BR14" s="721"/>
      <c r="BS14" s="721"/>
      <c r="BT14" s="721"/>
      <c r="BU14" s="721"/>
      <c r="BV14" s="721"/>
      <c r="BW14" s="721"/>
      <c r="BX14" s="721"/>
      <c r="BY14" s="721"/>
      <c r="BZ14" s="721"/>
      <c r="CA14" s="721"/>
      <c r="CB14" s="721"/>
      <c r="CC14" s="721"/>
      <c r="CD14" s="721"/>
      <c r="CE14" s="721"/>
      <c r="CF14" s="721"/>
      <c r="CG14" s="721"/>
      <c r="CH14" s="721"/>
      <c r="CI14" s="721"/>
      <c r="CJ14" s="721"/>
      <c r="CK14" s="721"/>
      <c r="CL14" s="721"/>
      <c r="CM14" s="721"/>
      <c r="CN14" s="721"/>
      <c r="CO14" s="721"/>
      <c r="CP14" s="721"/>
      <c r="CQ14" s="721"/>
      <c r="CR14" s="721"/>
      <c r="CS14" s="721"/>
      <c r="CT14" s="721"/>
      <c r="CU14" s="721"/>
      <c r="CV14" s="721"/>
      <c r="CW14" s="721"/>
      <c r="CX14" s="721"/>
    </row>
    <row r="15" spans="1:102" ht="12" customHeight="1" x14ac:dyDescent="0.2">
      <c r="A15" s="1870"/>
      <c r="B15" s="1867"/>
      <c r="C15" s="718"/>
      <c r="D15" s="719"/>
      <c r="E15" s="720"/>
      <c r="F15" s="720"/>
      <c r="G15" s="720"/>
      <c r="H15" s="720"/>
      <c r="I15" s="720"/>
      <c r="J15" s="720"/>
      <c r="K15" s="720"/>
      <c r="L15" s="720"/>
      <c r="M15" s="720"/>
      <c r="N15" s="720"/>
      <c r="O15" s="720"/>
      <c r="P15" s="720"/>
      <c r="Q15" s="720"/>
      <c r="R15" s="720"/>
      <c r="S15" s="720"/>
      <c r="T15" s="1840"/>
      <c r="U15" s="722"/>
      <c r="V15" s="722"/>
      <c r="W15" s="1050"/>
      <c r="X15" s="1051"/>
      <c r="Y15" s="1051"/>
      <c r="Z15" s="1051"/>
      <c r="AA15" s="1051"/>
      <c r="AB15" s="1051"/>
      <c r="AC15" s="1051"/>
      <c r="AD15" s="1051"/>
      <c r="AE15" s="1051"/>
      <c r="AF15" s="1051"/>
      <c r="AG15" s="1051"/>
      <c r="AH15" s="1051"/>
      <c r="AI15" s="1051"/>
      <c r="AJ15" s="1051"/>
      <c r="AK15" s="1051"/>
      <c r="AL15" s="1051"/>
      <c r="AM15" s="1065"/>
      <c r="AN15" s="1049"/>
      <c r="AO15" s="1040"/>
      <c r="AP15" s="1040"/>
      <c r="AQ15" s="1040"/>
      <c r="AR15" s="1040"/>
      <c r="AS15" s="1040"/>
      <c r="AT15" s="1040"/>
      <c r="AU15" s="1040"/>
      <c r="AV15" s="1040"/>
      <c r="AW15" s="1040"/>
      <c r="AX15" s="1040"/>
      <c r="AY15" s="1040"/>
      <c r="AZ15" s="1049"/>
      <c r="BA15" s="1040"/>
      <c r="BB15" s="1040"/>
      <c r="BC15" s="1040"/>
      <c r="BD15" s="1040"/>
      <c r="BE15" s="1040"/>
      <c r="BF15" s="1040"/>
      <c r="BG15" s="1040"/>
      <c r="BH15" s="1040"/>
      <c r="BI15" s="1040"/>
      <c r="BJ15" s="1040"/>
      <c r="BK15" s="1136"/>
      <c r="BL15" s="1040"/>
      <c r="BM15" s="1040"/>
      <c r="BN15" s="721"/>
      <c r="BO15" s="721"/>
      <c r="BP15" s="721"/>
      <c r="BQ15" s="721"/>
      <c r="BR15" s="721"/>
      <c r="BS15" s="721"/>
      <c r="BT15" s="721"/>
      <c r="BU15" s="721"/>
      <c r="BV15" s="721"/>
      <c r="BW15" s="721"/>
      <c r="BX15" s="721"/>
      <c r="BY15" s="721"/>
      <c r="BZ15" s="721"/>
      <c r="CA15" s="721"/>
      <c r="CB15" s="721"/>
      <c r="CC15" s="721"/>
      <c r="CD15" s="721"/>
      <c r="CE15" s="721"/>
      <c r="CF15" s="721"/>
      <c r="CG15" s="721"/>
      <c r="CH15" s="721"/>
      <c r="CI15" s="721"/>
      <c r="CJ15" s="721"/>
      <c r="CK15" s="721"/>
      <c r="CL15" s="721"/>
      <c r="CM15" s="721"/>
      <c r="CN15" s="721"/>
      <c r="CO15" s="721"/>
      <c r="CP15" s="721"/>
      <c r="CQ15" s="721"/>
      <c r="CR15" s="721"/>
      <c r="CS15" s="721"/>
      <c r="CT15" s="721"/>
      <c r="CU15" s="721"/>
      <c r="CV15" s="721"/>
      <c r="CW15" s="721"/>
      <c r="CX15" s="721"/>
    </row>
    <row r="16" spans="1:102" ht="40.5" customHeight="1" x14ac:dyDescent="0.2">
      <c r="A16" s="1870"/>
      <c r="B16" s="1867"/>
      <c r="C16" s="718"/>
      <c r="D16" s="719"/>
      <c r="E16" s="720"/>
      <c r="F16" s="720"/>
      <c r="G16" s="720"/>
      <c r="H16" s="720"/>
      <c r="I16" s="720"/>
      <c r="J16" s="720"/>
      <c r="K16" s="720"/>
      <c r="L16" s="720"/>
      <c r="M16" s="720"/>
      <c r="N16" s="720"/>
      <c r="O16" s="720"/>
      <c r="P16" s="720"/>
      <c r="Q16" s="720"/>
      <c r="R16" s="720"/>
      <c r="S16" s="720"/>
      <c r="T16" s="1838" t="s">
        <v>1820</v>
      </c>
      <c r="U16" s="719" t="s">
        <v>1821</v>
      </c>
      <c r="V16" s="724">
        <v>1</v>
      </c>
      <c r="W16" s="1039" t="s">
        <v>1822</v>
      </c>
      <c r="X16" s="1040">
        <v>3</v>
      </c>
      <c r="Y16" s="1040" t="s">
        <v>177</v>
      </c>
      <c r="Z16" s="1040"/>
      <c r="AA16" s="1040"/>
      <c r="AB16" s="1040">
        <v>1</v>
      </c>
      <c r="AC16" s="1040"/>
      <c r="AD16" s="1043">
        <v>0.33</v>
      </c>
      <c r="AE16" s="1040"/>
      <c r="AF16" s="1040"/>
      <c r="AG16" s="1040"/>
      <c r="AH16" s="1040"/>
      <c r="AI16" s="1040"/>
      <c r="AJ16" s="1040"/>
      <c r="AK16" s="1040"/>
      <c r="AL16" s="1040"/>
      <c r="AM16" s="1049"/>
      <c r="AN16" s="1049">
        <f>+Z16</f>
        <v>0</v>
      </c>
      <c r="AO16" s="1040"/>
      <c r="AP16" s="1040"/>
      <c r="AQ16" s="1040"/>
      <c r="AR16" s="1040"/>
      <c r="AS16" s="1040"/>
      <c r="AT16" s="1040"/>
      <c r="AU16" s="1040">
        <v>1</v>
      </c>
      <c r="AV16" s="1040"/>
      <c r="AW16" s="1040">
        <f>+AU16</f>
        <v>1</v>
      </c>
      <c r="AX16" s="1040"/>
      <c r="AY16" s="1040">
        <v>1</v>
      </c>
      <c r="AZ16" s="1044">
        <v>0.33</v>
      </c>
      <c r="BA16" s="1040">
        <f>AB16</f>
        <v>1</v>
      </c>
      <c r="BB16" s="1040">
        <v>0</v>
      </c>
      <c r="BC16" s="1040"/>
      <c r="BD16" s="1040">
        <v>0</v>
      </c>
      <c r="BE16" s="1040"/>
      <c r="BF16" s="1040">
        <v>0</v>
      </c>
      <c r="BG16" s="1040"/>
      <c r="BH16" s="1031">
        <v>0</v>
      </c>
      <c r="BI16" s="1040"/>
      <c r="BJ16" s="1040">
        <v>0</v>
      </c>
      <c r="BK16" s="1043">
        <v>0</v>
      </c>
      <c r="BL16" s="1040">
        <v>1</v>
      </c>
      <c r="BM16" s="1043">
        <v>0.33</v>
      </c>
      <c r="BN16" s="721"/>
      <c r="BO16" s="721"/>
      <c r="BP16" s="721"/>
      <c r="BQ16" s="721"/>
      <c r="BR16" s="721"/>
      <c r="BS16" s="721"/>
      <c r="BT16" s="721"/>
      <c r="BU16" s="721"/>
      <c r="BV16" s="721"/>
      <c r="BW16" s="721"/>
      <c r="BX16" s="721"/>
      <c r="BY16" s="721"/>
      <c r="BZ16" s="721"/>
      <c r="CA16" s="721"/>
      <c r="CB16" s="721"/>
      <c r="CC16" s="721"/>
      <c r="CD16" s="721"/>
      <c r="CE16" s="721"/>
      <c r="CF16" s="721"/>
      <c r="CG16" s="721"/>
      <c r="CH16" s="721"/>
      <c r="CI16" s="721"/>
      <c r="CJ16" s="721"/>
      <c r="CK16" s="721"/>
      <c r="CL16" s="721"/>
      <c r="CM16" s="721"/>
      <c r="CN16" s="721"/>
      <c r="CO16" s="721"/>
      <c r="CP16" s="721"/>
      <c r="CQ16" s="721"/>
      <c r="CR16" s="721"/>
      <c r="CS16" s="721"/>
      <c r="CT16" s="721"/>
      <c r="CU16" s="721"/>
      <c r="CV16" s="721"/>
      <c r="CW16" s="721"/>
      <c r="CX16" s="721"/>
    </row>
    <row r="17" spans="1:102" ht="42.75" customHeight="1" x14ac:dyDescent="0.2">
      <c r="A17" s="1870"/>
      <c r="B17" s="1867"/>
      <c r="C17" s="718"/>
      <c r="D17" s="719"/>
      <c r="E17" s="720"/>
      <c r="F17" s="720"/>
      <c r="G17" s="720"/>
      <c r="H17" s="720"/>
      <c r="I17" s="720"/>
      <c r="J17" s="720"/>
      <c r="K17" s="720"/>
      <c r="L17" s="720"/>
      <c r="M17" s="720"/>
      <c r="N17" s="720"/>
      <c r="O17" s="720"/>
      <c r="P17" s="720"/>
      <c r="Q17" s="720"/>
      <c r="R17" s="720"/>
      <c r="S17" s="720"/>
      <c r="T17" s="1839"/>
      <c r="U17" s="719" t="s">
        <v>1823</v>
      </c>
      <c r="V17" s="724">
        <v>0</v>
      </c>
      <c r="W17" s="1039" t="s">
        <v>1824</v>
      </c>
      <c r="X17" s="1040">
        <v>12</v>
      </c>
      <c r="Y17" s="1040" t="s">
        <v>177</v>
      </c>
      <c r="Z17" s="1040"/>
      <c r="AA17" s="1040"/>
      <c r="AB17" s="1040">
        <v>4</v>
      </c>
      <c r="AC17" s="1040"/>
      <c r="AD17" s="1043">
        <v>0.33</v>
      </c>
      <c r="AE17" s="1040"/>
      <c r="AF17" s="1040"/>
      <c r="AG17" s="1040"/>
      <c r="AH17" s="1040"/>
      <c r="AI17" s="1040"/>
      <c r="AJ17" s="1040"/>
      <c r="AK17" s="1040"/>
      <c r="AL17" s="1040"/>
      <c r="AM17" s="1049"/>
      <c r="AN17" s="1049">
        <f>+Z17</f>
        <v>0</v>
      </c>
      <c r="AO17" s="1040"/>
      <c r="AP17" s="1040"/>
      <c r="AQ17" s="1040"/>
      <c r="AR17" s="1040"/>
      <c r="AS17" s="1040"/>
      <c r="AT17" s="1040"/>
      <c r="AU17" s="1040">
        <v>4</v>
      </c>
      <c r="AV17" s="1040"/>
      <c r="AW17" s="1040">
        <v>4</v>
      </c>
      <c r="AX17" s="1040"/>
      <c r="AY17" s="1040">
        <v>4</v>
      </c>
      <c r="AZ17" s="1044">
        <v>0.33</v>
      </c>
      <c r="BA17" s="1040">
        <v>4</v>
      </c>
      <c r="BB17" s="1040">
        <v>0</v>
      </c>
      <c r="BC17" s="1040"/>
      <c r="BD17" s="1040">
        <v>0</v>
      </c>
      <c r="BE17" s="1040"/>
      <c r="BF17" s="1040">
        <v>0</v>
      </c>
      <c r="BG17" s="1040"/>
      <c r="BH17" s="1031">
        <v>0</v>
      </c>
      <c r="BI17" s="1040"/>
      <c r="BJ17" s="1040">
        <v>0</v>
      </c>
      <c r="BK17" s="1048">
        <v>0</v>
      </c>
      <c r="BL17" s="1040">
        <v>4</v>
      </c>
      <c r="BM17" s="1043">
        <v>0.33</v>
      </c>
      <c r="BN17" s="721"/>
      <c r="BO17" s="721"/>
      <c r="BP17" s="721"/>
      <c r="BQ17" s="721"/>
      <c r="BR17" s="721"/>
      <c r="BS17" s="721"/>
      <c r="BT17" s="721"/>
      <c r="BU17" s="721"/>
      <c r="BV17" s="721"/>
      <c r="BW17" s="721"/>
      <c r="BX17" s="721"/>
      <c r="BY17" s="721"/>
      <c r="BZ17" s="721"/>
      <c r="CA17" s="721"/>
      <c r="CB17" s="721"/>
      <c r="CC17" s="721"/>
      <c r="CD17" s="721"/>
      <c r="CE17" s="721"/>
      <c r="CF17" s="721"/>
      <c r="CG17" s="721"/>
      <c r="CH17" s="721"/>
      <c r="CI17" s="721"/>
      <c r="CJ17" s="721"/>
      <c r="CK17" s="721"/>
      <c r="CL17" s="721"/>
      <c r="CM17" s="721"/>
      <c r="CN17" s="721"/>
      <c r="CO17" s="721"/>
      <c r="CP17" s="721"/>
      <c r="CQ17" s="721"/>
      <c r="CR17" s="721"/>
      <c r="CS17" s="721"/>
      <c r="CT17" s="721"/>
      <c r="CU17" s="721"/>
      <c r="CV17" s="721"/>
      <c r="CW17" s="721"/>
      <c r="CX17" s="721"/>
    </row>
    <row r="18" spans="1:102" ht="20.25" customHeight="1" x14ac:dyDescent="0.2">
      <c r="A18" s="1870"/>
      <c r="B18" s="1867"/>
      <c r="C18" s="718"/>
      <c r="D18" s="719"/>
      <c r="E18" s="720"/>
      <c r="F18" s="720"/>
      <c r="G18" s="720"/>
      <c r="H18" s="720"/>
      <c r="I18" s="720"/>
      <c r="J18" s="720"/>
      <c r="K18" s="720"/>
      <c r="L18" s="720"/>
      <c r="M18" s="720"/>
      <c r="N18" s="720"/>
      <c r="O18" s="720"/>
      <c r="P18" s="720"/>
      <c r="Q18" s="720"/>
      <c r="R18" s="720"/>
      <c r="S18" s="720"/>
      <c r="T18" s="1840"/>
      <c r="U18" s="722"/>
      <c r="V18" s="725"/>
      <c r="W18" s="1050"/>
      <c r="X18" s="1051"/>
      <c r="Y18" s="1051"/>
      <c r="Z18" s="1051"/>
      <c r="AA18" s="1051"/>
      <c r="AB18" s="1051"/>
      <c r="AC18" s="1051"/>
      <c r="AD18" s="1038">
        <f>AVERAGE(AD16:AD17)</f>
        <v>0.33</v>
      </c>
      <c r="AE18" s="1051"/>
      <c r="AF18" s="1051"/>
      <c r="AG18" s="1051"/>
      <c r="AH18" s="1051"/>
      <c r="AI18" s="1051"/>
      <c r="AJ18" s="1051"/>
      <c r="AK18" s="1051"/>
      <c r="AL18" s="1051"/>
      <c r="AM18" s="1065"/>
      <c r="AN18" s="1049"/>
      <c r="AO18" s="1040"/>
      <c r="AP18" s="1040"/>
      <c r="AQ18" s="1040"/>
      <c r="AR18" s="1040"/>
      <c r="AS18" s="1040"/>
      <c r="AT18" s="1040"/>
      <c r="AU18" s="1040"/>
      <c r="AV18" s="1040"/>
      <c r="AW18" s="1040"/>
      <c r="AX18" s="1040"/>
      <c r="AY18" s="1040"/>
      <c r="AZ18" s="1070">
        <f>AVERAGE(AZ16:AZ17)</f>
        <v>0.33</v>
      </c>
      <c r="BA18" s="1069"/>
      <c r="BB18" s="1069"/>
      <c r="BC18" s="1069"/>
      <c r="BD18" s="1069"/>
      <c r="BE18" s="1069"/>
      <c r="BF18" s="1069"/>
      <c r="BG18" s="1069"/>
      <c r="BH18" s="1069"/>
      <c r="BI18" s="1069"/>
      <c r="BJ18" s="1069"/>
      <c r="BK18" s="1038">
        <f>AVERAGE(BK16:BK17)</f>
        <v>0</v>
      </c>
      <c r="BL18" s="1069"/>
      <c r="BM18" s="1066">
        <f>AVERAGE(BM16:BM17)</f>
        <v>0.33</v>
      </c>
      <c r="BN18" s="721"/>
      <c r="BO18" s="721"/>
      <c r="BP18" s="721"/>
      <c r="BQ18" s="721"/>
      <c r="BR18" s="721"/>
      <c r="BS18" s="721"/>
      <c r="BT18" s="721"/>
      <c r="BU18" s="721"/>
      <c r="BV18" s="721"/>
      <c r="BW18" s="721"/>
      <c r="BX18" s="721"/>
      <c r="BY18" s="721"/>
      <c r="BZ18" s="721"/>
      <c r="CA18" s="721"/>
      <c r="CB18" s="721"/>
      <c r="CC18" s="721"/>
      <c r="CD18" s="721"/>
      <c r="CE18" s="721"/>
      <c r="CF18" s="721"/>
      <c r="CG18" s="721"/>
      <c r="CH18" s="721"/>
      <c r="CI18" s="721"/>
      <c r="CJ18" s="721"/>
      <c r="CK18" s="721"/>
      <c r="CL18" s="721"/>
      <c r="CM18" s="721"/>
      <c r="CN18" s="721"/>
      <c r="CO18" s="721"/>
      <c r="CP18" s="721"/>
      <c r="CQ18" s="721"/>
      <c r="CR18" s="721"/>
      <c r="CS18" s="721"/>
      <c r="CT18" s="721"/>
      <c r="CU18" s="721"/>
      <c r="CV18" s="721"/>
      <c r="CW18" s="721"/>
      <c r="CX18" s="721"/>
    </row>
    <row r="19" spans="1:102" ht="72.75" customHeight="1" x14ac:dyDescent="0.2">
      <c r="A19" s="1870"/>
      <c r="B19" s="1867"/>
      <c r="C19" s="718"/>
      <c r="D19" s="719"/>
      <c r="E19" s="720"/>
      <c r="F19" s="720"/>
      <c r="G19" s="720"/>
      <c r="H19" s="720"/>
      <c r="I19" s="720"/>
      <c r="J19" s="720"/>
      <c r="K19" s="720"/>
      <c r="L19" s="720"/>
      <c r="M19" s="720"/>
      <c r="N19" s="720"/>
      <c r="O19" s="720"/>
      <c r="P19" s="720"/>
      <c r="Q19" s="720"/>
      <c r="R19" s="720"/>
      <c r="S19" s="720"/>
      <c r="T19" s="1838" t="s">
        <v>1825</v>
      </c>
      <c r="U19" s="719" t="s">
        <v>1826</v>
      </c>
      <c r="V19" s="719" t="s">
        <v>1827</v>
      </c>
      <c r="W19" s="1039" t="s">
        <v>1828</v>
      </c>
      <c r="X19" s="1040">
        <v>5</v>
      </c>
      <c r="Y19" s="1041">
        <v>1</v>
      </c>
      <c r="Z19" s="1041">
        <v>1</v>
      </c>
      <c r="AA19" s="1041">
        <v>3</v>
      </c>
      <c r="AB19" s="1042">
        <f>+Y19/X19</f>
        <v>0.2</v>
      </c>
      <c r="AC19" s="1042">
        <f>+Z19/X19</f>
        <v>0.2</v>
      </c>
      <c r="AD19" s="1036">
        <f>AA19/X19</f>
        <v>0.6</v>
      </c>
      <c r="AE19" s="1377">
        <v>0</v>
      </c>
      <c r="AF19" s="1377">
        <v>0</v>
      </c>
      <c r="AG19" s="1031"/>
      <c r="AH19" s="1031">
        <v>0</v>
      </c>
      <c r="AI19" s="1031"/>
      <c r="AJ19" s="1031">
        <f>+AH19</f>
        <v>0</v>
      </c>
      <c r="AK19" s="1034">
        <f>+AJ19/Y19</f>
        <v>0</v>
      </c>
      <c r="AL19" s="1031">
        <f>+AJ19</f>
        <v>0</v>
      </c>
      <c r="AM19" s="1033">
        <f>+AL19/X19</f>
        <v>0</v>
      </c>
      <c r="AN19" s="1031">
        <f>+Z19</f>
        <v>1</v>
      </c>
      <c r="AO19" s="1472">
        <v>0</v>
      </c>
      <c r="AP19" s="1472"/>
      <c r="AQ19" s="1472">
        <v>0</v>
      </c>
      <c r="AR19" s="1472"/>
      <c r="AS19" s="1472">
        <v>0</v>
      </c>
      <c r="AT19" s="1472"/>
      <c r="AU19" s="1472">
        <v>1</v>
      </c>
      <c r="AV19" s="1472"/>
      <c r="AW19" s="1380">
        <f>+AU19</f>
        <v>1</v>
      </c>
      <c r="AX19" s="1381">
        <f>AW19/AN19</f>
        <v>1</v>
      </c>
      <c r="AY19" s="1380">
        <f>AW19+AL19</f>
        <v>1</v>
      </c>
      <c r="AZ19" s="1381">
        <f>AY19/X19</f>
        <v>0.2</v>
      </c>
      <c r="BA19" s="1031">
        <v>3</v>
      </c>
      <c r="BB19" s="1031">
        <v>0</v>
      </c>
      <c r="BC19" s="1031"/>
      <c r="BD19" s="1031">
        <v>0</v>
      </c>
      <c r="BE19" s="1031"/>
      <c r="BF19" s="1031">
        <v>0</v>
      </c>
      <c r="BG19" s="1446"/>
      <c r="BH19" s="1031">
        <v>0</v>
      </c>
      <c r="BI19" s="1031"/>
      <c r="BJ19" s="1031">
        <v>0</v>
      </c>
      <c r="BK19" s="1032">
        <v>0</v>
      </c>
      <c r="BL19" s="1031">
        <f>BJ19+AY19</f>
        <v>1</v>
      </c>
      <c r="BM19" s="1032">
        <f>BL19/X19</f>
        <v>0.2</v>
      </c>
      <c r="BN19" s="721"/>
      <c r="BO19" s="721"/>
      <c r="BP19" s="721"/>
      <c r="BQ19" s="721"/>
      <c r="BR19" s="721"/>
      <c r="BS19" s="721"/>
      <c r="BT19" s="721"/>
      <c r="BU19" s="721"/>
      <c r="BV19" s="721"/>
      <c r="BW19" s="721"/>
      <c r="BX19" s="721"/>
      <c r="BY19" s="721"/>
      <c r="BZ19" s="721"/>
      <c r="CA19" s="721"/>
      <c r="CB19" s="721"/>
      <c r="CC19" s="721"/>
      <c r="CD19" s="721"/>
      <c r="CE19" s="721"/>
      <c r="CF19" s="721"/>
      <c r="CG19" s="721"/>
      <c r="CH19" s="721"/>
      <c r="CI19" s="721"/>
      <c r="CJ19" s="721"/>
      <c r="CK19" s="721"/>
      <c r="CL19" s="721"/>
      <c r="CM19" s="721"/>
      <c r="CN19" s="721"/>
      <c r="CO19" s="721"/>
      <c r="CP19" s="721"/>
      <c r="CQ19" s="721"/>
      <c r="CR19" s="721"/>
      <c r="CS19" s="721"/>
      <c r="CT19" s="721"/>
      <c r="CU19" s="721"/>
      <c r="CV19" s="721"/>
      <c r="CW19" s="721"/>
      <c r="CX19" s="721"/>
    </row>
    <row r="20" spans="1:102" ht="70.5" customHeight="1" x14ac:dyDescent="0.2">
      <c r="A20" s="1870"/>
      <c r="B20" s="1867"/>
      <c r="C20" s="718"/>
      <c r="D20" s="719"/>
      <c r="E20" s="720"/>
      <c r="F20" s="720"/>
      <c r="G20" s="720"/>
      <c r="H20" s="720"/>
      <c r="I20" s="720"/>
      <c r="J20" s="720"/>
      <c r="K20" s="720"/>
      <c r="L20" s="720"/>
      <c r="M20" s="720"/>
      <c r="N20" s="720"/>
      <c r="O20" s="720"/>
      <c r="P20" s="720"/>
      <c r="Q20" s="720"/>
      <c r="R20" s="720"/>
      <c r="S20" s="720"/>
      <c r="T20" s="1839"/>
      <c r="U20" s="719" t="s">
        <v>1829</v>
      </c>
      <c r="V20" s="719">
        <v>0</v>
      </c>
      <c r="W20" s="1039" t="s">
        <v>1830</v>
      </c>
      <c r="X20" s="1041">
        <v>4</v>
      </c>
      <c r="Y20" s="1041" t="s">
        <v>177</v>
      </c>
      <c r="Z20" s="1041">
        <v>1</v>
      </c>
      <c r="AA20" s="1041">
        <v>2</v>
      </c>
      <c r="AB20" s="1041"/>
      <c r="AC20" s="1042">
        <f>+Z20/X20</f>
        <v>0.25</v>
      </c>
      <c r="AD20" s="1036">
        <f>AA20/X20</f>
        <v>0.5</v>
      </c>
      <c r="AE20" s="1377"/>
      <c r="AF20" s="1377"/>
      <c r="AG20" s="1031"/>
      <c r="AH20" s="1031"/>
      <c r="AI20" s="1031"/>
      <c r="AJ20" s="1031"/>
      <c r="AK20" s="1031"/>
      <c r="AL20" s="1031"/>
      <c r="AM20" s="1194"/>
      <c r="AN20" s="1031">
        <f>+Z20</f>
        <v>1</v>
      </c>
      <c r="AO20" s="1412">
        <v>0</v>
      </c>
      <c r="AP20" s="1412"/>
      <c r="AQ20" s="1412">
        <v>0</v>
      </c>
      <c r="AR20" s="1412"/>
      <c r="AS20" s="1412">
        <v>0</v>
      </c>
      <c r="AT20" s="1412"/>
      <c r="AU20" s="1412">
        <v>0</v>
      </c>
      <c r="AV20" s="1412"/>
      <c r="AW20" s="1031">
        <f>AO20</f>
        <v>0</v>
      </c>
      <c r="AX20" s="1033">
        <f>AW20/AN20</f>
        <v>0</v>
      </c>
      <c r="AY20" s="1031">
        <f>AW20+AL20</f>
        <v>0</v>
      </c>
      <c r="AZ20" s="1033">
        <f>AY20/X20</f>
        <v>0</v>
      </c>
      <c r="BA20" s="1031">
        <v>2</v>
      </c>
      <c r="BB20" s="1031">
        <v>0</v>
      </c>
      <c r="BC20" s="1031"/>
      <c r="BD20" s="1031">
        <v>0</v>
      </c>
      <c r="BE20" s="1031"/>
      <c r="BF20" s="1031">
        <v>0</v>
      </c>
      <c r="BG20" s="1031"/>
      <c r="BH20" s="1031">
        <v>1</v>
      </c>
      <c r="BI20" s="1031"/>
      <c r="BJ20" s="1031">
        <f>+BH20</f>
        <v>1</v>
      </c>
      <c r="BK20" s="1032">
        <v>0.5</v>
      </c>
      <c r="BL20" s="1031">
        <f>BJ20+AY20</f>
        <v>1</v>
      </c>
      <c r="BM20" s="1032">
        <f>BL20/X20</f>
        <v>0.25</v>
      </c>
      <c r="BN20" s="721"/>
      <c r="BO20" s="721"/>
      <c r="BP20" s="721"/>
      <c r="BQ20" s="721"/>
      <c r="BR20" s="721"/>
      <c r="BS20" s="721"/>
      <c r="BT20" s="721"/>
      <c r="BU20" s="721"/>
      <c r="BV20" s="721"/>
      <c r="BW20" s="721"/>
      <c r="BX20" s="721"/>
      <c r="BY20" s="721"/>
      <c r="BZ20" s="721"/>
      <c r="CA20" s="721"/>
      <c r="CB20" s="721"/>
      <c r="CC20" s="721"/>
      <c r="CD20" s="721"/>
      <c r="CE20" s="721"/>
      <c r="CF20" s="721"/>
      <c r="CG20" s="721"/>
      <c r="CH20" s="721"/>
      <c r="CI20" s="721"/>
      <c r="CJ20" s="721"/>
      <c r="CK20" s="721"/>
      <c r="CL20" s="721"/>
      <c r="CM20" s="721"/>
      <c r="CN20" s="721"/>
      <c r="CO20" s="721"/>
      <c r="CP20" s="721"/>
      <c r="CQ20" s="721"/>
      <c r="CR20" s="721"/>
      <c r="CS20" s="721"/>
      <c r="CT20" s="721"/>
      <c r="CU20" s="721"/>
      <c r="CV20" s="721"/>
      <c r="CW20" s="721"/>
      <c r="CX20" s="721"/>
    </row>
    <row r="21" spans="1:102" ht="48.75" customHeight="1" x14ac:dyDescent="0.2">
      <c r="A21" s="1870"/>
      <c r="B21" s="1867"/>
      <c r="C21" s="718"/>
      <c r="D21" s="719"/>
      <c r="E21" s="720"/>
      <c r="F21" s="720"/>
      <c r="G21" s="720"/>
      <c r="H21" s="720"/>
      <c r="I21" s="720"/>
      <c r="J21" s="720"/>
      <c r="K21" s="720"/>
      <c r="L21" s="720"/>
      <c r="M21" s="720"/>
      <c r="N21" s="720"/>
      <c r="O21" s="720"/>
      <c r="P21" s="720"/>
      <c r="Q21" s="720"/>
      <c r="R21" s="720"/>
      <c r="S21" s="720"/>
      <c r="T21" s="1839"/>
      <c r="U21" s="719" t="s">
        <v>1831</v>
      </c>
      <c r="V21" s="719">
        <v>0</v>
      </c>
      <c r="W21" s="1039" t="s">
        <v>1832</v>
      </c>
      <c r="X21" s="1041">
        <v>1</v>
      </c>
      <c r="Y21" s="1041" t="s">
        <v>177</v>
      </c>
      <c r="Z21" s="1041"/>
      <c r="AA21" s="1041">
        <v>1</v>
      </c>
      <c r="AB21" s="1041"/>
      <c r="AC21" s="1041"/>
      <c r="AD21" s="1036">
        <f>AA21/X21</f>
        <v>1</v>
      </c>
      <c r="AE21" s="1377"/>
      <c r="AF21" s="1377"/>
      <c r="AG21" s="1031"/>
      <c r="AH21" s="1031"/>
      <c r="AI21" s="1031"/>
      <c r="AJ21" s="1031"/>
      <c r="AK21" s="1031"/>
      <c r="AL21" s="1031"/>
      <c r="AM21" s="1194"/>
      <c r="AN21" s="1412">
        <v>1</v>
      </c>
      <c r="AO21" s="1412">
        <v>0</v>
      </c>
      <c r="AP21" s="1412"/>
      <c r="AQ21" s="1412">
        <v>0</v>
      </c>
      <c r="AR21" s="1412"/>
      <c r="AS21" s="1412">
        <v>0</v>
      </c>
      <c r="AT21" s="1412"/>
      <c r="AU21" s="1412">
        <v>0</v>
      </c>
      <c r="AV21" s="1412"/>
      <c r="AW21" s="1031">
        <f>AO21</f>
        <v>0</v>
      </c>
      <c r="AX21" s="1033">
        <f>AW21/AN21</f>
        <v>0</v>
      </c>
      <c r="AY21" s="1031">
        <f>AW21+AL21</f>
        <v>0</v>
      </c>
      <c r="AZ21" s="1033">
        <f>AY21/X21</f>
        <v>0</v>
      </c>
      <c r="BA21" s="1031">
        <v>1</v>
      </c>
      <c r="BB21" s="1031">
        <v>0</v>
      </c>
      <c r="BC21" s="1031"/>
      <c r="BD21" s="1031">
        <v>0</v>
      </c>
      <c r="BE21" s="1031"/>
      <c r="BF21" s="1031">
        <v>0</v>
      </c>
      <c r="BG21" s="1031"/>
      <c r="BH21" s="1031">
        <v>0.5</v>
      </c>
      <c r="BI21" s="1031"/>
      <c r="BJ21" s="1031">
        <f>+BH21</f>
        <v>0.5</v>
      </c>
      <c r="BK21" s="1032">
        <v>0.5</v>
      </c>
      <c r="BL21" s="1031">
        <f>BJ21+AY21</f>
        <v>0.5</v>
      </c>
      <c r="BM21" s="1032">
        <f>BL21/X21</f>
        <v>0.5</v>
      </c>
      <c r="BN21" s="721"/>
      <c r="BO21" s="721"/>
      <c r="BP21" s="721"/>
      <c r="BQ21" s="721"/>
      <c r="BR21" s="721"/>
      <c r="BS21" s="721"/>
      <c r="BT21" s="721"/>
      <c r="BU21" s="721"/>
      <c r="BV21" s="721"/>
      <c r="BW21" s="721"/>
      <c r="BX21" s="721"/>
      <c r="BY21" s="721"/>
      <c r="BZ21" s="721"/>
      <c r="CA21" s="721"/>
      <c r="CB21" s="721"/>
      <c r="CC21" s="721"/>
      <c r="CD21" s="721"/>
      <c r="CE21" s="721"/>
      <c r="CF21" s="721"/>
      <c r="CG21" s="721"/>
      <c r="CH21" s="721"/>
      <c r="CI21" s="721"/>
      <c r="CJ21" s="721"/>
      <c r="CK21" s="721"/>
      <c r="CL21" s="721"/>
      <c r="CM21" s="721"/>
      <c r="CN21" s="721"/>
      <c r="CO21" s="721"/>
      <c r="CP21" s="721"/>
      <c r="CQ21" s="721"/>
      <c r="CR21" s="721"/>
      <c r="CS21" s="721"/>
      <c r="CT21" s="721"/>
      <c r="CU21" s="721"/>
      <c r="CV21" s="721"/>
      <c r="CW21" s="721"/>
      <c r="CX21" s="721"/>
    </row>
    <row r="22" spans="1:102" ht="84" customHeight="1" x14ac:dyDescent="0.2">
      <c r="A22" s="1870"/>
      <c r="B22" s="1867"/>
      <c r="C22" s="718"/>
      <c r="D22" s="719"/>
      <c r="E22" s="720"/>
      <c r="F22" s="720"/>
      <c r="G22" s="720"/>
      <c r="H22" s="720"/>
      <c r="I22" s="720"/>
      <c r="J22" s="720"/>
      <c r="K22" s="720"/>
      <c r="L22" s="720"/>
      <c r="M22" s="720"/>
      <c r="N22" s="720"/>
      <c r="O22" s="720"/>
      <c r="P22" s="720"/>
      <c r="Q22" s="720"/>
      <c r="R22" s="720"/>
      <c r="S22" s="720"/>
      <c r="T22" s="1839"/>
      <c r="U22" s="719" t="s">
        <v>1833</v>
      </c>
      <c r="V22" s="719">
        <v>0</v>
      </c>
      <c r="W22" s="1631" t="s">
        <v>1834</v>
      </c>
      <c r="X22" s="1040">
        <v>2</v>
      </c>
      <c r="Y22" s="1040" t="s">
        <v>177</v>
      </c>
      <c r="Z22" s="1040">
        <v>1</v>
      </c>
      <c r="AA22" s="1040">
        <v>1</v>
      </c>
      <c r="AB22" s="1040"/>
      <c r="AC22" s="1043">
        <v>0.5</v>
      </c>
      <c r="AD22" s="1031" t="s">
        <v>1356</v>
      </c>
      <c r="AE22" s="1040"/>
      <c r="AF22" s="1040"/>
      <c r="AG22" s="1040"/>
      <c r="AH22" s="1040"/>
      <c r="AI22" s="1040"/>
      <c r="AJ22" s="1040"/>
      <c r="AK22" s="1040"/>
      <c r="AL22" s="1040"/>
      <c r="AM22" s="1049"/>
      <c r="AN22" s="1040">
        <f>+Z22</f>
        <v>1</v>
      </c>
      <c r="AO22" s="1067">
        <v>0</v>
      </c>
      <c r="AP22" s="1067"/>
      <c r="AQ22" s="1067">
        <v>0</v>
      </c>
      <c r="AR22" s="1067"/>
      <c r="AS22" s="1067">
        <v>0</v>
      </c>
      <c r="AT22" s="1067"/>
      <c r="AU22" s="1067">
        <v>0</v>
      </c>
      <c r="AV22" s="1067"/>
      <c r="AW22" s="1058">
        <f>AO22</f>
        <v>0</v>
      </c>
      <c r="AX22" s="1068">
        <f>AW22/AN22</f>
        <v>0</v>
      </c>
      <c r="AY22" s="1263">
        <f>AW22+AL22</f>
        <v>0</v>
      </c>
      <c r="AZ22" s="1192">
        <f>AY22/X22</f>
        <v>0</v>
      </c>
      <c r="BA22" s="1031">
        <v>1</v>
      </c>
      <c r="BB22" s="1031">
        <v>0</v>
      </c>
      <c r="BC22" s="1031"/>
      <c r="BD22" s="1031">
        <v>1</v>
      </c>
      <c r="BE22" s="1031"/>
      <c r="BF22" s="1031">
        <v>2</v>
      </c>
      <c r="BG22" s="1031"/>
      <c r="BH22" s="1031"/>
      <c r="BI22" s="1031"/>
      <c r="BJ22" s="1031">
        <f>+BD22+BF22</f>
        <v>3</v>
      </c>
      <c r="BK22" s="1034">
        <v>1</v>
      </c>
      <c r="BL22" s="1031">
        <f>+BJ22+AY22</f>
        <v>3</v>
      </c>
      <c r="BM22" s="1034">
        <v>1</v>
      </c>
      <c r="BN22" s="721"/>
      <c r="BO22" s="721"/>
      <c r="BP22" s="721"/>
      <c r="BQ22" s="721"/>
      <c r="BR22" s="721"/>
      <c r="BS22" s="721"/>
      <c r="BT22" s="721"/>
      <c r="BU22" s="721"/>
      <c r="BV22" s="721"/>
      <c r="BW22" s="721"/>
      <c r="BX22" s="721"/>
      <c r="BY22" s="721"/>
      <c r="BZ22" s="721"/>
      <c r="CA22" s="721"/>
      <c r="CB22" s="721"/>
      <c r="CC22" s="721"/>
      <c r="CD22" s="721"/>
      <c r="CE22" s="721"/>
      <c r="CF22" s="721"/>
      <c r="CG22" s="721"/>
      <c r="CH22" s="721"/>
      <c r="CI22" s="721"/>
      <c r="CJ22" s="721"/>
      <c r="CK22" s="721"/>
      <c r="CL22" s="721"/>
      <c r="CM22" s="721"/>
      <c r="CN22" s="721"/>
      <c r="CO22" s="721"/>
      <c r="CP22" s="721"/>
      <c r="CQ22" s="721"/>
      <c r="CR22" s="721"/>
      <c r="CS22" s="721"/>
      <c r="CT22" s="721"/>
      <c r="CU22" s="721"/>
      <c r="CV22" s="721"/>
      <c r="CW22" s="721"/>
      <c r="CX22" s="721"/>
    </row>
    <row r="23" spans="1:102" ht="58.5" customHeight="1" x14ac:dyDescent="0.2">
      <c r="A23" s="1870"/>
      <c r="B23" s="1867"/>
      <c r="C23" s="718"/>
      <c r="D23" s="719"/>
      <c r="E23" s="720"/>
      <c r="F23" s="720"/>
      <c r="G23" s="720"/>
      <c r="H23" s="720"/>
      <c r="I23" s="720"/>
      <c r="J23" s="720"/>
      <c r="K23" s="720"/>
      <c r="L23" s="720"/>
      <c r="M23" s="720"/>
      <c r="N23" s="720"/>
      <c r="O23" s="720"/>
      <c r="P23" s="720"/>
      <c r="Q23" s="720"/>
      <c r="R23" s="720"/>
      <c r="S23" s="720"/>
      <c r="T23" s="1839"/>
      <c r="U23" s="719" t="s">
        <v>1835</v>
      </c>
      <c r="V23" s="719">
        <v>0</v>
      </c>
      <c r="W23" s="1039" t="s">
        <v>1836</v>
      </c>
      <c r="X23" s="1040">
        <v>1</v>
      </c>
      <c r="Y23" s="1040" t="s">
        <v>177</v>
      </c>
      <c r="Z23" s="1040"/>
      <c r="AA23" s="1040"/>
      <c r="AB23" s="1040"/>
      <c r="AC23" s="1040"/>
      <c r="AD23" s="1031"/>
      <c r="AE23" s="1040"/>
      <c r="AF23" s="1040"/>
      <c r="AG23" s="1040"/>
      <c r="AH23" s="1040"/>
      <c r="AI23" s="1040"/>
      <c r="AJ23" s="1040"/>
      <c r="AK23" s="1040"/>
      <c r="AL23" s="1040"/>
      <c r="AM23" s="1049"/>
      <c r="AN23" s="1049">
        <f>+Z23</f>
        <v>0</v>
      </c>
      <c r="AO23" s="1040"/>
      <c r="AP23" s="1040"/>
      <c r="AQ23" s="1040"/>
      <c r="AR23" s="1040"/>
      <c r="AS23" s="1040"/>
      <c r="AT23" s="1040"/>
      <c r="AU23" s="1040"/>
      <c r="AV23" s="1040"/>
      <c r="AW23" s="1040"/>
      <c r="AX23" s="1045"/>
      <c r="AY23" s="1045"/>
      <c r="AZ23" s="1046"/>
      <c r="BA23" s="1040"/>
      <c r="BB23" s="1040"/>
      <c r="BC23" s="1040"/>
      <c r="BD23" s="1040"/>
      <c r="BE23" s="1040"/>
      <c r="BF23" s="1040"/>
      <c r="BG23" s="1040"/>
      <c r="BH23" s="1040"/>
      <c r="BI23" s="1040"/>
      <c r="BJ23" s="1040"/>
      <c r="BK23" s="1040"/>
      <c r="BL23" s="1040"/>
      <c r="BM23" s="1040"/>
      <c r="BN23" s="721"/>
      <c r="BO23" s="721"/>
      <c r="BP23" s="721"/>
      <c r="BQ23" s="721"/>
      <c r="BR23" s="721"/>
      <c r="BS23" s="721"/>
      <c r="BT23" s="721"/>
      <c r="BU23" s="721"/>
      <c r="BV23" s="721"/>
      <c r="BW23" s="721"/>
      <c r="BX23" s="721"/>
      <c r="BY23" s="721"/>
      <c r="BZ23" s="721"/>
      <c r="CA23" s="721"/>
      <c r="CB23" s="721"/>
      <c r="CC23" s="721"/>
      <c r="CD23" s="721"/>
      <c r="CE23" s="721"/>
      <c r="CF23" s="721"/>
      <c r="CG23" s="721"/>
      <c r="CH23" s="721"/>
      <c r="CI23" s="721"/>
      <c r="CJ23" s="721"/>
      <c r="CK23" s="721"/>
      <c r="CL23" s="721"/>
      <c r="CM23" s="721"/>
      <c r="CN23" s="721"/>
      <c r="CO23" s="721"/>
      <c r="CP23" s="721"/>
      <c r="CQ23" s="721"/>
      <c r="CR23" s="721"/>
      <c r="CS23" s="721"/>
      <c r="CT23" s="721"/>
      <c r="CU23" s="721"/>
      <c r="CV23" s="721"/>
      <c r="CW23" s="721"/>
      <c r="CX23" s="721"/>
    </row>
    <row r="24" spans="1:102" ht="12" customHeight="1" x14ac:dyDescent="0.2">
      <c r="A24" s="1870"/>
      <c r="B24" s="1867"/>
      <c r="C24" s="718"/>
      <c r="D24" s="719"/>
      <c r="E24" s="720"/>
      <c r="F24" s="720"/>
      <c r="G24" s="720"/>
      <c r="H24" s="720"/>
      <c r="I24" s="720"/>
      <c r="J24" s="720"/>
      <c r="K24" s="720"/>
      <c r="L24" s="720"/>
      <c r="M24" s="720"/>
      <c r="N24" s="720"/>
      <c r="O24" s="720"/>
      <c r="P24" s="720"/>
      <c r="Q24" s="720"/>
      <c r="R24" s="720"/>
      <c r="S24" s="720"/>
      <c r="T24" s="1840"/>
      <c r="U24" s="722"/>
      <c r="V24" s="722"/>
      <c r="W24" s="1050"/>
      <c r="X24" s="1051"/>
      <c r="Y24" s="1051"/>
      <c r="Z24" s="1051"/>
      <c r="AA24" s="1051"/>
      <c r="AB24" s="1038">
        <f>+AB19</f>
        <v>0.2</v>
      </c>
      <c r="AC24" s="1038">
        <f>+(AC19+AC20+AC22)/3</f>
        <v>0.31666666666666665</v>
      </c>
      <c r="AD24" s="1037">
        <f>AVERAGE(AD19:AD23)</f>
        <v>0.70000000000000007</v>
      </c>
      <c r="AE24" s="1051"/>
      <c r="AF24" s="1051"/>
      <c r="AG24" s="1051"/>
      <c r="AH24" s="1051"/>
      <c r="AI24" s="1051"/>
      <c r="AJ24" s="1051"/>
      <c r="AK24" s="1038">
        <f>AVERAGE(AK19:AK23)</f>
        <v>0</v>
      </c>
      <c r="AL24" s="1069"/>
      <c r="AM24" s="1070">
        <f>AVERAGE(AM19:AM23)</f>
        <v>0</v>
      </c>
      <c r="AN24" s="1049"/>
      <c r="AO24" s="1040"/>
      <c r="AP24" s="1040"/>
      <c r="AQ24" s="1040"/>
      <c r="AR24" s="1040"/>
      <c r="AS24" s="1040"/>
      <c r="AT24" s="1040"/>
      <c r="AU24" s="1040"/>
      <c r="AV24" s="1040"/>
      <c r="AW24" s="1040"/>
      <c r="AX24" s="1119">
        <f>AVERAGE(AX18:AX22)</f>
        <v>0.25</v>
      </c>
      <c r="AY24" s="1038"/>
      <c r="AZ24" s="1131">
        <f>AVERAGE(AZ19:AZ22)</f>
        <v>0.05</v>
      </c>
      <c r="BA24" s="1051"/>
      <c r="BB24" s="1051"/>
      <c r="BC24" s="1051"/>
      <c r="BD24" s="1051"/>
      <c r="BE24" s="1051"/>
      <c r="BF24" s="1051"/>
      <c r="BG24" s="1051"/>
      <c r="BH24" s="1051"/>
      <c r="BI24" s="1051"/>
      <c r="BJ24" s="1051"/>
      <c r="BK24" s="1066">
        <f>AVERAGE(BK19:BK22)</f>
        <v>0.5</v>
      </c>
      <c r="BL24" s="1051"/>
      <c r="BM24" s="1066">
        <f>AVERAGE(BM19:BM23)</f>
        <v>0.48749999999999999</v>
      </c>
      <c r="BN24" s="721"/>
      <c r="BO24" s="721"/>
      <c r="BP24" s="721"/>
      <c r="BQ24" s="721"/>
      <c r="BR24" s="721"/>
      <c r="BS24" s="721"/>
      <c r="BT24" s="721"/>
      <c r="BU24" s="721"/>
      <c r="BV24" s="721"/>
      <c r="BW24" s="721"/>
      <c r="BX24" s="721"/>
      <c r="BY24" s="721"/>
      <c r="BZ24" s="721"/>
      <c r="CA24" s="721"/>
      <c r="CB24" s="721"/>
      <c r="CC24" s="721"/>
      <c r="CD24" s="721"/>
      <c r="CE24" s="721"/>
      <c r="CF24" s="721"/>
      <c r="CG24" s="721"/>
      <c r="CH24" s="721"/>
      <c r="CI24" s="721"/>
      <c r="CJ24" s="721"/>
      <c r="CK24" s="721"/>
      <c r="CL24" s="721"/>
      <c r="CM24" s="721"/>
      <c r="CN24" s="721"/>
      <c r="CO24" s="721"/>
      <c r="CP24" s="721"/>
      <c r="CQ24" s="721"/>
      <c r="CR24" s="721"/>
      <c r="CS24" s="721"/>
      <c r="CT24" s="721"/>
      <c r="CU24" s="721"/>
      <c r="CV24" s="721"/>
      <c r="CW24" s="721"/>
      <c r="CX24" s="721"/>
    </row>
    <row r="25" spans="1:102" ht="45" customHeight="1" x14ac:dyDescent="0.2">
      <c r="A25" s="1870"/>
      <c r="B25" s="1867"/>
      <c r="C25" s="718"/>
      <c r="D25" s="719"/>
      <c r="E25" s="720"/>
      <c r="F25" s="720"/>
      <c r="G25" s="720"/>
      <c r="H25" s="720"/>
      <c r="I25" s="720"/>
      <c r="J25" s="720"/>
      <c r="K25" s="720"/>
      <c r="L25" s="720"/>
      <c r="M25" s="720"/>
      <c r="N25" s="720"/>
      <c r="O25" s="720"/>
      <c r="P25" s="720"/>
      <c r="Q25" s="720"/>
      <c r="R25" s="720"/>
      <c r="S25" s="720"/>
      <c r="T25" s="1838" t="s">
        <v>1837</v>
      </c>
      <c r="U25" s="724" t="s">
        <v>1838</v>
      </c>
      <c r="V25" s="724">
        <v>0</v>
      </c>
      <c r="W25" s="1039" t="s">
        <v>1839</v>
      </c>
      <c r="X25" s="1040">
        <v>1</v>
      </c>
      <c r="Y25" s="1040" t="s">
        <v>177</v>
      </c>
      <c r="Z25" s="1043">
        <v>0.33</v>
      </c>
      <c r="AA25" s="1043"/>
      <c r="AB25" s="1040"/>
      <c r="AC25" s="1043">
        <v>0.33</v>
      </c>
      <c r="AD25" s="1043"/>
      <c r="AE25" s="1040"/>
      <c r="AF25" s="1040"/>
      <c r="AG25" s="1040"/>
      <c r="AH25" s="1040"/>
      <c r="AI25" s="1040"/>
      <c r="AJ25" s="1040"/>
      <c r="AK25" s="1040"/>
      <c r="AL25" s="1040"/>
      <c r="AM25" s="1049"/>
      <c r="AN25" s="1044">
        <f>+Z25</f>
        <v>0.33</v>
      </c>
      <c r="AO25" s="1040">
        <v>0</v>
      </c>
      <c r="AP25" s="1040"/>
      <c r="AQ25" s="1040">
        <v>0</v>
      </c>
      <c r="AR25" s="1040"/>
      <c r="AS25" s="1040"/>
      <c r="AT25" s="1040"/>
      <c r="AU25" s="1040">
        <v>0</v>
      </c>
      <c r="AV25" s="1040"/>
      <c r="AW25" s="1040">
        <v>0</v>
      </c>
      <c r="AX25" s="1048">
        <v>0</v>
      </c>
      <c r="AY25" s="1040">
        <v>0</v>
      </c>
      <c r="AZ25" s="1062">
        <v>0</v>
      </c>
      <c r="BA25" s="1043">
        <v>0.25</v>
      </c>
      <c r="BB25" s="1040">
        <v>0</v>
      </c>
      <c r="BC25" s="1040"/>
      <c r="BD25" s="1376">
        <v>0</v>
      </c>
      <c r="BE25" s="1040"/>
      <c r="BF25" s="1040">
        <v>0</v>
      </c>
      <c r="BG25" s="1690"/>
      <c r="BH25" s="1043">
        <v>0.15</v>
      </c>
      <c r="BI25" s="1040"/>
      <c r="BJ25" s="1043">
        <f>+BH25</f>
        <v>0.15</v>
      </c>
      <c r="BK25" s="1043">
        <f>+BJ25/BA25</f>
        <v>0.6</v>
      </c>
      <c r="BL25" s="1716">
        <f>+BJ25</f>
        <v>0.15</v>
      </c>
      <c r="BM25" s="1716">
        <f>+BL25</f>
        <v>0.15</v>
      </c>
      <c r="BN25" s="721"/>
      <c r="BO25" s="721"/>
      <c r="BP25" s="721"/>
      <c r="BQ25" s="721"/>
      <c r="BR25" s="721"/>
      <c r="BS25" s="721"/>
      <c r="BT25" s="721"/>
      <c r="BU25" s="721"/>
      <c r="BV25" s="721"/>
      <c r="BW25" s="721"/>
      <c r="BX25" s="721"/>
      <c r="BY25" s="721"/>
      <c r="BZ25" s="721"/>
      <c r="CA25" s="721"/>
      <c r="CB25" s="721"/>
      <c r="CC25" s="721"/>
      <c r="CD25" s="721"/>
      <c r="CE25" s="721"/>
      <c r="CF25" s="721"/>
      <c r="CG25" s="721"/>
      <c r="CH25" s="721"/>
      <c r="CI25" s="721"/>
      <c r="CJ25" s="721"/>
      <c r="CK25" s="721"/>
      <c r="CL25" s="721"/>
      <c r="CM25" s="721"/>
      <c r="CN25" s="721"/>
      <c r="CO25" s="721"/>
      <c r="CP25" s="721"/>
      <c r="CQ25" s="721"/>
      <c r="CR25" s="721"/>
      <c r="CS25" s="721"/>
      <c r="CT25" s="721"/>
      <c r="CU25" s="721"/>
      <c r="CV25" s="721"/>
      <c r="CW25" s="721"/>
      <c r="CX25" s="721"/>
    </row>
    <row r="26" spans="1:102" ht="78" customHeight="1" x14ac:dyDescent="0.2">
      <c r="A26" s="1870"/>
      <c r="B26" s="1867"/>
      <c r="C26" s="718"/>
      <c r="D26" s="719"/>
      <c r="E26" s="720"/>
      <c r="F26" s="720"/>
      <c r="G26" s="720"/>
      <c r="H26" s="720"/>
      <c r="I26" s="720"/>
      <c r="J26" s="720"/>
      <c r="K26" s="720"/>
      <c r="L26" s="720"/>
      <c r="M26" s="720"/>
      <c r="N26" s="720"/>
      <c r="O26" s="720"/>
      <c r="P26" s="720"/>
      <c r="Q26" s="720"/>
      <c r="R26" s="720"/>
      <c r="S26" s="720"/>
      <c r="T26" s="1839"/>
      <c r="U26" s="724" t="s">
        <v>1840</v>
      </c>
      <c r="V26" s="724">
        <v>0</v>
      </c>
      <c r="W26" s="1039" t="s">
        <v>1841</v>
      </c>
      <c r="X26" s="1040">
        <v>36</v>
      </c>
      <c r="Y26" s="1040" t="s">
        <v>177</v>
      </c>
      <c r="Z26" s="1040">
        <v>12</v>
      </c>
      <c r="AA26" s="1040"/>
      <c r="AB26" s="1040">
        <v>12</v>
      </c>
      <c r="AC26" s="1043">
        <f>+Z26/X26</f>
        <v>0.33333333333333331</v>
      </c>
      <c r="AD26" s="1043">
        <f>AB26/X26</f>
        <v>0.33333333333333331</v>
      </c>
      <c r="AE26" s="1040"/>
      <c r="AF26" s="1040"/>
      <c r="AG26" s="1040"/>
      <c r="AH26" s="1040"/>
      <c r="AI26" s="1040"/>
      <c r="AJ26" s="1040"/>
      <c r="AK26" s="1040"/>
      <c r="AL26" s="1040"/>
      <c r="AM26" s="1049"/>
      <c r="AN26" s="1049">
        <f>+Z26</f>
        <v>12</v>
      </c>
      <c r="AO26" s="1040">
        <v>0</v>
      </c>
      <c r="AP26" s="1040"/>
      <c r="AQ26" s="1040">
        <v>0</v>
      </c>
      <c r="AR26" s="1040"/>
      <c r="AS26" s="1040"/>
      <c r="AT26" s="1040"/>
      <c r="AU26" s="1040">
        <v>3</v>
      </c>
      <c r="AV26" s="1040"/>
      <c r="AW26" s="1040">
        <f>+AU26</f>
        <v>3</v>
      </c>
      <c r="AX26" s="1048">
        <f>+AW26/AN26</f>
        <v>0.25</v>
      </c>
      <c r="AY26" s="1040">
        <f>+AW26</f>
        <v>3</v>
      </c>
      <c r="AZ26" s="1062">
        <f>+AY26/X26</f>
        <v>8.3333333333333329E-2</v>
      </c>
      <c r="BA26" s="1040">
        <f>AB26</f>
        <v>12</v>
      </c>
      <c r="BB26" s="1040">
        <v>0</v>
      </c>
      <c r="BC26" s="1040"/>
      <c r="BD26" s="1040">
        <v>0</v>
      </c>
      <c r="BE26" s="1040"/>
      <c r="BF26" s="1040"/>
      <c r="BG26" s="1377" t="s">
        <v>2210</v>
      </c>
      <c r="BH26" s="1040">
        <v>3</v>
      </c>
      <c r="BI26" s="1040"/>
      <c r="BJ26" s="1040">
        <f>+BH26</f>
        <v>3</v>
      </c>
      <c r="BK26" s="1048">
        <f>BJ26/BA26</f>
        <v>0.25</v>
      </c>
      <c r="BL26" s="1040">
        <f>+BJ26</f>
        <v>3</v>
      </c>
      <c r="BM26" s="1048">
        <f>BL26/X26</f>
        <v>8.3333333333333329E-2</v>
      </c>
      <c r="BN26" s="721"/>
      <c r="BO26" s="721"/>
      <c r="BP26" s="721"/>
      <c r="BQ26" s="721"/>
      <c r="BR26" s="721"/>
      <c r="BS26" s="721"/>
      <c r="BT26" s="721"/>
      <c r="BU26" s="721"/>
      <c r="BV26" s="721"/>
      <c r="BW26" s="721"/>
      <c r="BX26" s="721"/>
      <c r="BY26" s="721"/>
      <c r="BZ26" s="721"/>
      <c r="CA26" s="721"/>
      <c r="CB26" s="721"/>
      <c r="CC26" s="721"/>
      <c r="CD26" s="721"/>
      <c r="CE26" s="721"/>
      <c r="CF26" s="721"/>
      <c r="CG26" s="721"/>
      <c r="CH26" s="721"/>
      <c r="CI26" s="721"/>
      <c r="CJ26" s="721"/>
      <c r="CK26" s="721"/>
      <c r="CL26" s="721"/>
      <c r="CM26" s="721"/>
      <c r="CN26" s="721"/>
      <c r="CO26" s="721"/>
      <c r="CP26" s="721"/>
      <c r="CQ26" s="721"/>
      <c r="CR26" s="721"/>
      <c r="CS26" s="721"/>
      <c r="CT26" s="721"/>
      <c r="CU26" s="721"/>
      <c r="CV26" s="721"/>
      <c r="CW26" s="721"/>
      <c r="CX26" s="721"/>
    </row>
    <row r="27" spans="1:102" ht="12" customHeight="1" x14ac:dyDescent="0.2">
      <c r="A27" s="1870"/>
      <c r="B27" s="1867"/>
      <c r="C27" s="718"/>
      <c r="D27" s="719"/>
      <c r="E27" s="720"/>
      <c r="F27" s="720"/>
      <c r="G27" s="720"/>
      <c r="H27" s="720"/>
      <c r="I27" s="720"/>
      <c r="J27" s="720"/>
      <c r="K27" s="720"/>
      <c r="L27" s="720"/>
      <c r="M27" s="720"/>
      <c r="N27" s="720"/>
      <c r="O27" s="720"/>
      <c r="P27" s="720"/>
      <c r="Q27" s="720"/>
      <c r="R27" s="720"/>
      <c r="S27" s="720"/>
      <c r="T27" s="1840"/>
      <c r="U27" s="725"/>
      <c r="V27" s="725"/>
      <c r="W27" s="1063"/>
      <c r="X27" s="1051"/>
      <c r="Y27" s="1051"/>
      <c r="Z27" s="1051"/>
      <c r="AA27" s="1051"/>
      <c r="AB27" s="1051"/>
      <c r="AC27" s="1038">
        <f>AVERAGE(AC25:AC26)</f>
        <v>0.33166666666666667</v>
      </c>
      <c r="AD27" s="1038">
        <f>AVERAGE(AD25:AD26)</f>
        <v>0.33333333333333331</v>
      </c>
      <c r="AE27" s="1051"/>
      <c r="AF27" s="1051"/>
      <c r="AG27" s="1051"/>
      <c r="AH27" s="1051"/>
      <c r="AI27" s="1051"/>
      <c r="AJ27" s="1051"/>
      <c r="AK27" s="1051"/>
      <c r="AL27" s="1051"/>
      <c r="AM27" s="1065"/>
      <c r="AN27" s="1049"/>
      <c r="AO27" s="1040"/>
      <c r="AP27" s="1040"/>
      <c r="AQ27" s="1040"/>
      <c r="AR27" s="1040"/>
      <c r="AS27" s="1040"/>
      <c r="AT27" s="1040"/>
      <c r="AU27" s="1040"/>
      <c r="AV27" s="1040"/>
      <c r="AW27" s="1040"/>
      <c r="AX27" s="1066">
        <f>(AX25+AX26)/2</f>
        <v>0.125</v>
      </c>
      <c r="AY27" s="1066"/>
      <c r="AZ27" s="1071">
        <f>(AZ25+AZ26)/2</f>
        <v>4.1666666666666664E-2</v>
      </c>
      <c r="BA27" s="1040"/>
      <c r="BB27" s="1040"/>
      <c r="BC27" s="1040"/>
      <c r="BD27" s="1040"/>
      <c r="BE27" s="1040"/>
      <c r="BF27" s="1040"/>
      <c r="BG27" s="1040"/>
      <c r="BH27" s="1040"/>
      <c r="BI27" s="1040"/>
      <c r="BJ27" s="1040"/>
      <c r="BK27" s="1071">
        <f>AVERAGE(BK25:BK26)</f>
        <v>0.42499999999999999</v>
      </c>
      <c r="BL27" s="1040"/>
      <c r="BM27" s="1071">
        <f>(BM25+BM26)/2</f>
        <v>0.11666666666666667</v>
      </c>
      <c r="BN27" s="721"/>
      <c r="BO27" s="721"/>
      <c r="BP27" s="721"/>
      <c r="BQ27" s="721"/>
      <c r="BR27" s="721"/>
      <c r="BS27" s="721"/>
      <c r="BT27" s="721"/>
      <c r="BU27" s="721"/>
      <c r="BV27" s="721"/>
      <c r="BW27" s="721"/>
      <c r="BX27" s="721"/>
      <c r="BY27" s="721"/>
      <c r="BZ27" s="721"/>
      <c r="CA27" s="721"/>
      <c r="CB27" s="721"/>
      <c r="CC27" s="721"/>
      <c r="CD27" s="721"/>
      <c r="CE27" s="721"/>
      <c r="CF27" s="721"/>
      <c r="CG27" s="721"/>
      <c r="CH27" s="721"/>
      <c r="CI27" s="721"/>
      <c r="CJ27" s="721"/>
      <c r="CK27" s="721"/>
      <c r="CL27" s="721"/>
      <c r="CM27" s="721"/>
      <c r="CN27" s="721"/>
      <c r="CO27" s="721"/>
      <c r="CP27" s="721"/>
      <c r="CQ27" s="721"/>
      <c r="CR27" s="721"/>
      <c r="CS27" s="721"/>
      <c r="CT27" s="721"/>
      <c r="CU27" s="721"/>
      <c r="CV27" s="721"/>
      <c r="CW27" s="721"/>
      <c r="CX27" s="721"/>
    </row>
    <row r="28" spans="1:102" ht="81" customHeight="1" x14ac:dyDescent="0.2">
      <c r="A28" s="1870"/>
      <c r="B28" s="1867"/>
      <c r="C28" s="718"/>
      <c r="D28" s="719"/>
      <c r="E28" s="720"/>
      <c r="F28" s="720"/>
      <c r="G28" s="720"/>
      <c r="H28" s="720"/>
      <c r="I28" s="720"/>
      <c r="J28" s="720"/>
      <c r="K28" s="720"/>
      <c r="L28" s="720"/>
      <c r="M28" s="720"/>
      <c r="N28" s="720"/>
      <c r="O28" s="720"/>
      <c r="P28" s="720"/>
      <c r="Q28" s="720"/>
      <c r="R28" s="720"/>
      <c r="S28" s="720"/>
      <c r="T28" s="1838" t="s">
        <v>1842</v>
      </c>
      <c r="U28" s="724" t="s">
        <v>1843</v>
      </c>
      <c r="V28" s="724">
        <v>0</v>
      </c>
      <c r="W28" s="1039" t="s">
        <v>1844</v>
      </c>
      <c r="X28" s="1040">
        <v>1</v>
      </c>
      <c r="Y28" s="1040" t="s">
        <v>177</v>
      </c>
      <c r="Z28" s="1040"/>
      <c r="AA28" s="1040"/>
      <c r="AB28" s="1040">
        <v>0.25</v>
      </c>
      <c r="AC28" s="1040"/>
      <c r="AD28" s="1043">
        <v>0.25</v>
      </c>
      <c r="AE28" s="1040"/>
      <c r="AF28" s="1040"/>
      <c r="AG28" s="1040"/>
      <c r="AH28" s="1040"/>
      <c r="AI28" s="1040"/>
      <c r="AJ28" s="1040"/>
      <c r="AK28" s="1040"/>
      <c r="AL28" s="1040"/>
      <c r="AM28" s="1049"/>
      <c r="AN28" s="1049">
        <f>+Z28</f>
        <v>0</v>
      </c>
      <c r="AO28" s="1040"/>
      <c r="AP28" s="1040"/>
      <c r="AQ28" s="1040"/>
      <c r="AR28" s="1040"/>
      <c r="AS28" s="1040"/>
      <c r="AT28" s="1040"/>
      <c r="AU28" s="1040"/>
      <c r="AV28" s="1040"/>
      <c r="AW28" s="1040"/>
      <c r="AX28" s="1040"/>
      <c r="AY28" s="1040">
        <v>0</v>
      </c>
      <c r="AZ28" s="1044">
        <v>0</v>
      </c>
      <c r="BA28" s="1043">
        <f>AD28</f>
        <v>0.25</v>
      </c>
      <c r="BB28" s="1040">
        <v>0</v>
      </c>
      <c r="BC28" s="1040"/>
      <c r="BD28" s="1040"/>
      <c r="BE28" s="1040"/>
      <c r="BF28" s="1040"/>
      <c r="BG28" s="1040"/>
      <c r="BH28" s="1040"/>
      <c r="BI28" s="1040"/>
      <c r="BJ28" s="1040">
        <v>0</v>
      </c>
      <c r="BK28" s="1043">
        <v>0</v>
      </c>
      <c r="BL28" s="1040">
        <f>BJ28</f>
        <v>0</v>
      </c>
      <c r="BM28" s="1043">
        <v>0</v>
      </c>
      <c r="BN28" s="721"/>
      <c r="BO28" s="721"/>
      <c r="BP28" s="721"/>
      <c r="BQ28" s="721"/>
      <c r="BR28" s="721"/>
      <c r="BS28" s="721"/>
      <c r="BT28" s="721"/>
      <c r="BU28" s="721"/>
      <c r="BV28" s="721"/>
      <c r="BW28" s="721"/>
      <c r="BX28" s="721"/>
      <c r="BY28" s="721"/>
      <c r="BZ28" s="721"/>
      <c r="CA28" s="721"/>
      <c r="CB28" s="721"/>
      <c r="CC28" s="721"/>
      <c r="CD28" s="721"/>
      <c r="CE28" s="721"/>
      <c r="CF28" s="721"/>
      <c r="CG28" s="721"/>
      <c r="CH28" s="721"/>
      <c r="CI28" s="721"/>
      <c r="CJ28" s="721"/>
      <c r="CK28" s="721"/>
      <c r="CL28" s="721"/>
      <c r="CM28" s="721"/>
      <c r="CN28" s="721"/>
      <c r="CO28" s="721"/>
      <c r="CP28" s="721"/>
      <c r="CQ28" s="721"/>
      <c r="CR28" s="721"/>
      <c r="CS28" s="721"/>
      <c r="CT28" s="721"/>
      <c r="CU28" s="721"/>
      <c r="CV28" s="721"/>
      <c r="CW28" s="721"/>
      <c r="CX28" s="721"/>
    </row>
    <row r="29" spans="1:102" ht="25.5" customHeight="1" x14ac:dyDescent="0.2">
      <c r="A29" s="1870"/>
      <c r="B29" s="1867"/>
      <c r="C29" s="718"/>
      <c r="D29" s="719"/>
      <c r="E29" s="720"/>
      <c r="F29" s="720"/>
      <c r="G29" s="720"/>
      <c r="H29" s="720"/>
      <c r="I29" s="720"/>
      <c r="J29" s="720"/>
      <c r="K29" s="720"/>
      <c r="L29" s="720"/>
      <c r="M29" s="720"/>
      <c r="N29" s="720"/>
      <c r="O29" s="720"/>
      <c r="P29" s="720"/>
      <c r="Q29" s="720"/>
      <c r="R29" s="720"/>
      <c r="S29" s="720"/>
      <c r="T29" s="1840"/>
      <c r="U29" s="725"/>
      <c r="V29" s="725"/>
      <c r="W29" s="1063"/>
      <c r="X29" s="1051"/>
      <c r="Y29" s="1051"/>
      <c r="Z29" s="1051"/>
      <c r="AA29" s="1051"/>
      <c r="AB29" s="1051"/>
      <c r="AC29" s="1051"/>
      <c r="AD29" s="1038">
        <f>AVERAGE(AD28)</f>
        <v>0.25</v>
      </c>
      <c r="AE29" s="1069"/>
      <c r="AF29" s="1069"/>
      <c r="AG29" s="1069"/>
      <c r="AH29" s="1069"/>
      <c r="AI29" s="1069"/>
      <c r="AJ29" s="1069"/>
      <c r="AK29" s="1069"/>
      <c r="AL29" s="1069"/>
      <c r="AM29" s="1101"/>
      <c r="AN29" s="1101"/>
      <c r="AO29" s="1069"/>
      <c r="AP29" s="1069"/>
      <c r="AQ29" s="1069"/>
      <c r="AR29" s="1069"/>
      <c r="AS29" s="1069"/>
      <c r="AT29" s="1069"/>
      <c r="AU29" s="1069"/>
      <c r="AV29" s="1069"/>
      <c r="AW29" s="1069"/>
      <c r="AX29" s="1069"/>
      <c r="AY29" s="1069"/>
      <c r="AZ29" s="1070">
        <v>0</v>
      </c>
      <c r="BA29" s="1069"/>
      <c r="BB29" s="1069"/>
      <c r="BC29" s="1069"/>
      <c r="BD29" s="1069"/>
      <c r="BE29" s="1069"/>
      <c r="BF29" s="1069"/>
      <c r="BG29" s="1069"/>
      <c r="BH29" s="1069"/>
      <c r="BI29" s="1069"/>
      <c r="BJ29" s="1069"/>
      <c r="BK29" s="1038">
        <v>0</v>
      </c>
      <c r="BL29" s="1069"/>
      <c r="BM29" s="1038">
        <v>0</v>
      </c>
      <c r="BN29" s="721"/>
      <c r="BO29" s="721"/>
      <c r="BP29" s="721"/>
      <c r="BQ29" s="721"/>
      <c r="BR29" s="721"/>
      <c r="BS29" s="721"/>
      <c r="BT29" s="721"/>
      <c r="BU29" s="721"/>
      <c r="BV29" s="721"/>
      <c r="BW29" s="721"/>
      <c r="BX29" s="721"/>
      <c r="BY29" s="721"/>
      <c r="BZ29" s="721"/>
      <c r="CA29" s="721"/>
      <c r="CB29" s="721"/>
      <c r="CC29" s="721"/>
      <c r="CD29" s="721"/>
      <c r="CE29" s="721"/>
      <c r="CF29" s="721"/>
      <c r="CG29" s="721"/>
      <c r="CH29" s="721"/>
      <c r="CI29" s="721"/>
      <c r="CJ29" s="721"/>
      <c r="CK29" s="721"/>
      <c r="CL29" s="721"/>
      <c r="CM29" s="721"/>
      <c r="CN29" s="721"/>
      <c r="CO29" s="721"/>
      <c r="CP29" s="721"/>
      <c r="CQ29" s="721"/>
      <c r="CR29" s="721"/>
      <c r="CS29" s="721"/>
      <c r="CT29" s="721"/>
      <c r="CU29" s="721"/>
      <c r="CV29" s="721"/>
      <c r="CW29" s="721"/>
      <c r="CX29" s="721"/>
    </row>
    <row r="30" spans="1:102" ht="57" customHeight="1" x14ac:dyDescent="0.2">
      <c r="A30" s="1870"/>
      <c r="B30" s="1867"/>
      <c r="C30" s="718"/>
      <c r="D30" s="719"/>
      <c r="E30" s="720"/>
      <c r="F30" s="720"/>
      <c r="G30" s="720"/>
      <c r="H30" s="720"/>
      <c r="I30" s="720"/>
      <c r="J30" s="720"/>
      <c r="K30" s="720"/>
      <c r="L30" s="720"/>
      <c r="M30" s="720"/>
      <c r="N30" s="720"/>
      <c r="O30" s="720"/>
      <c r="P30" s="720"/>
      <c r="Q30" s="720"/>
      <c r="R30" s="720"/>
      <c r="S30" s="720"/>
      <c r="T30" s="1838" t="s">
        <v>1845</v>
      </c>
      <c r="U30" s="719" t="s">
        <v>1846</v>
      </c>
      <c r="V30" s="724">
        <v>0</v>
      </c>
      <c r="W30" s="1039" t="s">
        <v>1847</v>
      </c>
      <c r="X30" s="1041">
        <v>1</v>
      </c>
      <c r="Y30" s="1041" t="s">
        <v>177</v>
      </c>
      <c r="Z30" s="1041">
        <v>1</v>
      </c>
      <c r="AA30" s="1041"/>
      <c r="AB30" s="1041"/>
      <c r="AC30" s="1042">
        <v>1</v>
      </c>
      <c r="AD30" s="1042"/>
      <c r="AE30" s="1041"/>
      <c r="AF30" s="1041"/>
      <c r="AG30" s="1040"/>
      <c r="AH30" s="1040"/>
      <c r="AI30" s="1040"/>
      <c r="AJ30" s="1040"/>
      <c r="AK30" s="1043"/>
      <c r="AL30" s="1040"/>
      <c r="AM30" s="1044"/>
      <c r="AN30" s="1040">
        <f>+Z30</f>
        <v>1</v>
      </c>
      <c r="AO30" s="1072">
        <v>1</v>
      </c>
      <c r="AP30" s="1072"/>
      <c r="AQ30" s="1072">
        <v>1</v>
      </c>
      <c r="AR30" s="1072"/>
      <c r="AS30" s="1072">
        <v>1</v>
      </c>
      <c r="AT30" s="1072"/>
      <c r="AU30" s="1072">
        <v>1</v>
      </c>
      <c r="AV30" s="1072"/>
      <c r="AW30" s="1073">
        <f>AO30</f>
        <v>1</v>
      </c>
      <c r="AX30" s="1074">
        <f>AW30/AN30</f>
        <v>1</v>
      </c>
      <c r="AY30" s="1075">
        <f>AW30+AL30</f>
        <v>1</v>
      </c>
      <c r="AZ30" s="1044">
        <v>1</v>
      </c>
      <c r="BA30" s="1040"/>
      <c r="BB30" s="1040"/>
      <c r="BC30" s="1040"/>
      <c r="BD30" s="1040"/>
      <c r="BE30" s="1040"/>
      <c r="BF30" s="1040"/>
      <c r="BG30" s="200"/>
      <c r="BH30" s="200">
        <v>0.5</v>
      </c>
      <c r="BI30" s="1040"/>
      <c r="BJ30" s="1040">
        <f>+BH30</f>
        <v>0.5</v>
      </c>
      <c r="BK30" s="1043">
        <v>0.5</v>
      </c>
      <c r="BL30" s="1040">
        <f>+BJ30</f>
        <v>0.5</v>
      </c>
      <c r="BM30" s="1043">
        <v>0.5</v>
      </c>
      <c r="BN30" s="721"/>
      <c r="BO30" s="721"/>
      <c r="BP30" s="721"/>
      <c r="BQ30" s="721"/>
      <c r="BR30" s="721"/>
      <c r="BS30" s="721"/>
      <c r="BT30" s="721"/>
      <c r="BU30" s="721"/>
      <c r="BV30" s="721"/>
      <c r="BW30" s="721"/>
      <c r="BX30" s="721"/>
      <c r="BY30" s="721"/>
      <c r="BZ30" s="721"/>
      <c r="CA30" s="721"/>
      <c r="CB30" s="721"/>
      <c r="CC30" s="721"/>
      <c r="CD30" s="721"/>
      <c r="CE30" s="721"/>
      <c r="CF30" s="721"/>
      <c r="CG30" s="721"/>
      <c r="CH30" s="721"/>
      <c r="CI30" s="721"/>
      <c r="CJ30" s="721"/>
      <c r="CK30" s="721"/>
      <c r="CL30" s="721"/>
      <c r="CM30" s="721"/>
      <c r="CN30" s="721"/>
      <c r="CO30" s="721"/>
      <c r="CP30" s="721"/>
      <c r="CQ30" s="721"/>
      <c r="CR30" s="721"/>
      <c r="CS30" s="721"/>
      <c r="CT30" s="721"/>
      <c r="CU30" s="721"/>
      <c r="CV30" s="721"/>
      <c r="CW30" s="721"/>
      <c r="CX30" s="721"/>
    </row>
    <row r="31" spans="1:102" ht="52.5" customHeight="1" x14ac:dyDescent="0.2">
      <c r="A31" s="1870"/>
      <c r="B31" s="1867"/>
      <c r="C31" s="718"/>
      <c r="D31" s="719"/>
      <c r="E31" s="720"/>
      <c r="F31" s="720"/>
      <c r="G31" s="720"/>
      <c r="H31" s="720"/>
      <c r="I31" s="720"/>
      <c r="J31" s="720"/>
      <c r="K31" s="720"/>
      <c r="L31" s="720"/>
      <c r="M31" s="720"/>
      <c r="N31" s="720"/>
      <c r="O31" s="720"/>
      <c r="P31" s="720"/>
      <c r="Q31" s="720"/>
      <c r="R31" s="720"/>
      <c r="S31" s="720"/>
      <c r="T31" s="1839"/>
      <c r="U31" s="719" t="s">
        <v>1848</v>
      </c>
      <c r="V31" s="724">
        <v>0</v>
      </c>
      <c r="W31" s="1039" t="s">
        <v>1849</v>
      </c>
      <c r="X31" s="1040">
        <v>60</v>
      </c>
      <c r="Y31" s="1040" t="s">
        <v>177</v>
      </c>
      <c r="Z31" s="1040"/>
      <c r="AA31" s="1040"/>
      <c r="AB31" s="1040"/>
      <c r="AC31" s="1040"/>
      <c r="AD31" s="1040"/>
      <c r="AE31" s="1040"/>
      <c r="AF31" s="1040"/>
      <c r="AG31" s="1040"/>
      <c r="AH31" s="1040"/>
      <c r="AI31" s="1040"/>
      <c r="AJ31" s="1040"/>
      <c r="AK31" s="1040"/>
      <c r="AL31" s="1040"/>
      <c r="AM31" s="1049"/>
      <c r="AN31" s="1049">
        <f>+Z31</f>
        <v>0</v>
      </c>
      <c r="AO31" s="1040"/>
      <c r="AP31" s="1040"/>
      <c r="AQ31" s="1040"/>
      <c r="AR31" s="1040"/>
      <c r="AS31" s="1040"/>
      <c r="AT31" s="1040"/>
      <c r="AU31" s="1040"/>
      <c r="AV31" s="1040"/>
      <c r="AW31" s="1040"/>
      <c r="AX31" s="1040"/>
      <c r="AY31" s="1040"/>
      <c r="AZ31" s="1049"/>
      <c r="BA31" s="1040"/>
      <c r="BB31" s="1040"/>
      <c r="BC31" s="1040"/>
      <c r="BD31" s="1040"/>
      <c r="BE31" s="1040"/>
      <c r="BF31" s="1040"/>
      <c r="BG31" s="1040"/>
      <c r="BH31" s="1040"/>
      <c r="BI31" s="1040"/>
      <c r="BJ31" s="1040"/>
      <c r="BK31" s="1040"/>
      <c r="BL31" s="1040"/>
      <c r="BM31" s="1040"/>
      <c r="BN31" s="721"/>
      <c r="BO31" s="721"/>
      <c r="BP31" s="721"/>
      <c r="BQ31" s="721"/>
      <c r="BR31" s="721"/>
      <c r="BS31" s="721"/>
      <c r="BT31" s="721"/>
      <c r="BU31" s="721"/>
      <c r="BV31" s="721"/>
      <c r="BW31" s="721"/>
      <c r="BX31" s="721"/>
      <c r="BY31" s="721"/>
      <c r="BZ31" s="721"/>
      <c r="CA31" s="721"/>
      <c r="CB31" s="721"/>
      <c r="CC31" s="721"/>
      <c r="CD31" s="721"/>
      <c r="CE31" s="721"/>
      <c r="CF31" s="721"/>
      <c r="CG31" s="721"/>
      <c r="CH31" s="721"/>
      <c r="CI31" s="721"/>
      <c r="CJ31" s="721"/>
      <c r="CK31" s="721"/>
      <c r="CL31" s="721"/>
      <c r="CM31" s="721"/>
      <c r="CN31" s="721"/>
      <c r="CO31" s="721"/>
      <c r="CP31" s="721"/>
      <c r="CQ31" s="721"/>
      <c r="CR31" s="721"/>
      <c r="CS31" s="721"/>
      <c r="CT31" s="721"/>
      <c r="CU31" s="721"/>
      <c r="CV31" s="721"/>
      <c r="CW31" s="721"/>
      <c r="CX31" s="721"/>
    </row>
    <row r="32" spans="1:102" ht="78" customHeight="1" x14ac:dyDescent="0.2">
      <c r="A32" s="1870"/>
      <c r="B32" s="1867"/>
      <c r="C32" s="718"/>
      <c r="D32" s="719"/>
      <c r="E32" s="720"/>
      <c r="F32" s="720"/>
      <c r="G32" s="720"/>
      <c r="H32" s="720"/>
      <c r="I32" s="720"/>
      <c r="J32" s="720"/>
      <c r="K32" s="720"/>
      <c r="L32" s="720"/>
      <c r="M32" s="720"/>
      <c r="N32" s="720"/>
      <c r="O32" s="720"/>
      <c r="P32" s="720"/>
      <c r="Q32" s="720"/>
      <c r="R32" s="720"/>
      <c r="S32" s="720"/>
      <c r="T32" s="1839"/>
      <c r="U32" s="724" t="s">
        <v>1850</v>
      </c>
      <c r="V32" s="724">
        <v>0</v>
      </c>
      <c r="W32" s="1039" t="s">
        <v>1851</v>
      </c>
      <c r="X32" s="1040">
        <v>1</v>
      </c>
      <c r="Y32" s="1040" t="s">
        <v>177</v>
      </c>
      <c r="Z32" s="1040"/>
      <c r="AA32" s="1040"/>
      <c r="AB32" s="1040"/>
      <c r="AC32" s="1040"/>
      <c r="AD32" s="1040"/>
      <c r="AE32" s="1040"/>
      <c r="AF32" s="1040"/>
      <c r="AG32" s="1040"/>
      <c r="AH32" s="1040"/>
      <c r="AI32" s="1040"/>
      <c r="AJ32" s="1040"/>
      <c r="AK32" s="1040"/>
      <c r="AL32" s="1040"/>
      <c r="AM32" s="1049"/>
      <c r="AN32" s="1049">
        <f>+Z32</f>
        <v>0</v>
      </c>
      <c r="AO32" s="1040"/>
      <c r="AP32" s="1040"/>
      <c r="AQ32" s="1040"/>
      <c r="AR32" s="1040"/>
      <c r="AS32" s="1040"/>
      <c r="AT32" s="1040"/>
      <c r="AU32" s="1040"/>
      <c r="AV32" s="1040"/>
      <c r="AW32" s="1040"/>
      <c r="AX32" s="1040"/>
      <c r="AY32" s="1040"/>
      <c r="AZ32" s="1049"/>
      <c r="BA32" s="1040"/>
      <c r="BB32" s="1040"/>
      <c r="BC32" s="1040"/>
      <c r="BD32" s="1040"/>
      <c r="BE32" s="1040"/>
      <c r="BF32" s="1040"/>
      <c r="BG32" s="1040"/>
      <c r="BH32" s="1040"/>
      <c r="BI32" s="1040"/>
      <c r="BJ32" s="1040"/>
      <c r="BK32" s="1040"/>
      <c r="BL32" s="1040"/>
      <c r="BM32" s="1040"/>
      <c r="BN32" s="721"/>
      <c r="BO32" s="721"/>
      <c r="BP32" s="721"/>
      <c r="BQ32" s="721"/>
      <c r="BR32" s="721"/>
      <c r="BS32" s="721"/>
      <c r="BT32" s="721"/>
      <c r="BU32" s="721"/>
      <c r="BV32" s="721"/>
      <c r="BW32" s="721"/>
      <c r="BX32" s="721"/>
      <c r="BY32" s="721"/>
      <c r="BZ32" s="721"/>
      <c r="CA32" s="721"/>
      <c r="CB32" s="721"/>
      <c r="CC32" s="721"/>
      <c r="CD32" s="721"/>
      <c r="CE32" s="721"/>
      <c r="CF32" s="721"/>
      <c r="CG32" s="721"/>
      <c r="CH32" s="721"/>
      <c r="CI32" s="721"/>
      <c r="CJ32" s="721"/>
      <c r="CK32" s="721"/>
      <c r="CL32" s="721"/>
      <c r="CM32" s="721"/>
      <c r="CN32" s="721"/>
      <c r="CO32" s="721"/>
      <c r="CP32" s="721"/>
      <c r="CQ32" s="721"/>
      <c r="CR32" s="721"/>
      <c r="CS32" s="721"/>
      <c r="CT32" s="721"/>
      <c r="CU32" s="721"/>
      <c r="CV32" s="721"/>
      <c r="CW32" s="721"/>
      <c r="CX32" s="721"/>
    </row>
    <row r="33" spans="1:102" ht="15.75" customHeight="1" x14ac:dyDescent="0.2">
      <c r="A33" s="1870"/>
      <c r="B33" s="1867"/>
      <c r="C33" s="718"/>
      <c r="D33" s="719"/>
      <c r="E33" s="720"/>
      <c r="F33" s="720"/>
      <c r="G33" s="720"/>
      <c r="H33" s="720"/>
      <c r="I33" s="720"/>
      <c r="J33" s="720"/>
      <c r="K33" s="720"/>
      <c r="L33" s="720"/>
      <c r="M33" s="720"/>
      <c r="N33" s="720"/>
      <c r="O33" s="720"/>
      <c r="P33" s="720"/>
      <c r="Q33" s="720"/>
      <c r="R33" s="720"/>
      <c r="S33" s="720"/>
      <c r="T33" s="1840"/>
      <c r="U33" s="725"/>
      <c r="V33" s="725"/>
      <c r="W33" s="1063"/>
      <c r="X33" s="1051"/>
      <c r="Y33" s="1051"/>
      <c r="Z33" s="1051"/>
      <c r="AA33" s="1051"/>
      <c r="AB33" s="1051"/>
      <c r="AC33" s="1038">
        <v>1</v>
      </c>
      <c r="AD33" s="1038">
        <v>0</v>
      </c>
      <c r="AE33" s="1051"/>
      <c r="AF33" s="1051"/>
      <c r="AG33" s="1051"/>
      <c r="AH33" s="1051"/>
      <c r="AI33" s="1051"/>
      <c r="AJ33" s="1051"/>
      <c r="AK33" s="1064"/>
      <c r="AL33" s="1051"/>
      <c r="AM33" s="1076"/>
      <c r="AN33" s="1076"/>
      <c r="AO33" s="1051"/>
      <c r="AP33" s="1051"/>
      <c r="AQ33" s="1051"/>
      <c r="AR33" s="1051"/>
      <c r="AS33" s="1051"/>
      <c r="AT33" s="1051"/>
      <c r="AU33" s="1051"/>
      <c r="AV33" s="1051"/>
      <c r="AW33" s="1051"/>
      <c r="AX33" s="1038">
        <f>+AX30</f>
        <v>1</v>
      </c>
      <c r="AY33" s="1051"/>
      <c r="AZ33" s="1070">
        <f>+AZ30</f>
        <v>1</v>
      </c>
      <c r="BA33" s="1040"/>
      <c r="BB33" s="1040"/>
      <c r="BC33" s="1040"/>
      <c r="BD33" s="1040"/>
      <c r="BE33" s="1040"/>
      <c r="BF33" s="1040"/>
      <c r="BG33" s="1040"/>
      <c r="BH33" s="1040"/>
      <c r="BI33" s="1040"/>
      <c r="BJ33" s="1040"/>
      <c r="BK33" s="1261">
        <f>+BK30</f>
        <v>0.5</v>
      </c>
      <c r="BL33" s="1040"/>
      <c r="BM33" s="1070">
        <f>+BM30</f>
        <v>0.5</v>
      </c>
      <c r="BN33" s="721"/>
      <c r="BO33" s="721"/>
      <c r="BP33" s="721"/>
      <c r="BQ33" s="721"/>
      <c r="BR33" s="721"/>
      <c r="BS33" s="721"/>
      <c r="BT33" s="721"/>
      <c r="BU33" s="721"/>
      <c r="BV33" s="721"/>
      <c r="BW33" s="721"/>
      <c r="BX33" s="721"/>
      <c r="BY33" s="721"/>
      <c r="BZ33" s="721"/>
      <c r="CA33" s="721"/>
      <c r="CB33" s="721"/>
      <c r="CC33" s="721"/>
      <c r="CD33" s="721"/>
      <c r="CE33" s="721"/>
      <c r="CF33" s="721"/>
      <c r="CG33" s="721"/>
      <c r="CH33" s="721"/>
      <c r="CI33" s="721"/>
      <c r="CJ33" s="721"/>
      <c r="CK33" s="721"/>
      <c r="CL33" s="721"/>
      <c r="CM33" s="721"/>
      <c r="CN33" s="721"/>
      <c r="CO33" s="721"/>
      <c r="CP33" s="721"/>
      <c r="CQ33" s="721"/>
      <c r="CR33" s="721"/>
      <c r="CS33" s="721"/>
      <c r="CT33" s="721"/>
      <c r="CU33" s="721"/>
      <c r="CV33" s="721"/>
      <c r="CW33" s="721"/>
      <c r="CX33" s="721"/>
    </row>
    <row r="34" spans="1:102" ht="69" customHeight="1" x14ac:dyDescent="0.2">
      <c r="A34" s="1870"/>
      <c r="B34" s="1867"/>
      <c r="C34" s="718"/>
      <c r="D34" s="719"/>
      <c r="E34" s="720"/>
      <c r="F34" s="720"/>
      <c r="G34" s="720"/>
      <c r="H34" s="720"/>
      <c r="I34" s="720"/>
      <c r="J34" s="720"/>
      <c r="K34" s="720"/>
      <c r="L34" s="720"/>
      <c r="M34" s="720"/>
      <c r="N34" s="720"/>
      <c r="O34" s="720"/>
      <c r="P34" s="720"/>
      <c r="Q34" s="720"/>
      <c r="R34" s="720"/>
      <c r="S34" s="720"/>
      <c r="T34" s="1838" t="s">
        <v>1852</v>
      </c>
      <c r="U34" s="719" t="s">
        <v>1853</v>
      </c>
      <c r="V34" s="724">
        <v>0</v>
      </c>
      <c r="W34" s="1039" t="s">
        <v>1854</v>
      </c>
      <c r="X34" s="1040">
        <v>240</v>
      </c>
      <c r="Y34" s="1040" t="s">
        <v>177</v>
      </c>
      <c r="Z34" s="1040"/>
      <c r="AA34" s="1040"/>
      <c r="AB34" s="1040"/>
      <c r="AC34" s="1040"/>
      <c r="AD34" s="1040"/>
      <c r="AE34" s="1040"/>
      <c r="AF34" s="1040"/>
      <c r="AG34" s="1040"/>
      <c r="AH34" s="1040"/>
      <c r="AI34" s="1040"/>
      <c r="AJ34" s="1040"/>
      <c r="AK34" s="1040"/>
      <c r="AL34" s="1040"/>
      <c r="AM34" s="1049"/>
      <c r="AN34" s="1049">
        <f>+Z34</f>
        <v>0</v>
      </c>
      <c r="AO34" s="1040"/>
      <c r="AP34" s="1040"/>
      <c r="AQ34" s="1040"/>
      <c r="AR34" s="1040"/>
      <c r="AS34" s="1040"/>
      <c r="AT34" s="1040"/>
      <c r="AU34" s="1040"/>
      <c r="AV34" s="1040"/>
      <c r="AW34" s="1040"/>
      <c r="AX34" s="1040"/>
      <c r="AY34" s="1040"/>
      <c r="AZ34" s="1049"/>
      <c r="BA34" s="1040"/>
      <c r="BB34" s="1040"/>
      <c r="BC34" s="1040"/>
      <c r="BD34" s="1040"/>
      <c r="BE34" s="1040"/>
      <c r="BF34" s="1040"/>
      <c r="BG34" s="1040"/>
      <c r="BH34" s="1040"/>
      <c r="BI34" s="1040"/>
      <c r="BJ34" s="1040"/>
      <c r="BK34" s="1040"/>
      <c r="BL34" s="1040"/>
      <c r="BM34" s="1040"/>
      <c r="BN34" s="721"/>
      <c r="BO34" s="721"/>
      <c r="BP34" s="721"/>
      <c r="BQ34" s="721"/>
      <c r="BR34" s="721"/>
      <c r="BS34" s="721"/>
      <c r="BT34" s="721"/>
      <c r="BU34" s="721"/>
      <c r="BV34" s="721"/>
      <c r="BW34" s="721"/>
      <c r="BX34" s="721"/>
      <c r="BY34" s="721"/>
      <c r="BZ34" s="721"/>
      <c r="CA34" s="721"/>
      <c r="CB34" s="721"/>
      <c r="CC34" s="721"/>
      <c r="CD34" s="721"/>
      <c r="CE34" s="721"/>
      <c r="CF34" s="721"/>
      <c r="CG34" s="721"/>
      <c r="CH34" s="721"/>
      <c r="CI34" s="721"/>
      <c r="CJ34" s="721"/>
      <c r="CK34" s="721"/>
      <c r="CL34" s="721"/>
      <c r="CM34" s="721"/>
      <c r="CN34" s="721"/>
      <c r="CO34" s="721"/>
      <c r="CP34" s="721"/>
      <c r="CQ34" s="721"/>
      <c r="CR34" s="721"/>
      <c r="CS34" s="721"/>
      <c r="CT34" s="721"/>
      <c r="CU34" s="721"/>
      <c r="CV34" s="721"/>
      <c r="CW34" s="721"/>
      <c r="CX34" s="721"/>
    </row>
    <row r="35" spans="1:102" ht="35.25" customHeight="1" x14ac:dyDescent="0.2">
      <c r="A35" s="1870"/>
      <c r="B35" s="1867"/>
      <c r="C35" s="718"/>
      <c r="D35" s="719"/>
      <c r="E35" s="720"/>
      <c r="F35" s="720"/>
      <c r="G35" s="720"/>
      <c r="H35" s="720"/>
      <c r="I35" s="720"/>
      <c r="J35" s="720"/>
      <c r="K35" s="720"/>
      <c r="L35" s="720"/>
      <c r="M35" s="720"/>
      <c r="N35" s="720"/>
      <c r="O35" s="720"/>
      <c r="P35" s="720"/>
      <c r="Q35" s="720"/>
      <c r="R35" s="720"/>
      <c r="S35" s="720"/>
      <c r="T35" s="1839"/>
      <c r="U35" s="719" t="s">
        <v>1855</v>
      </c>
      <c r="V35" s="724">
        <v>0</v>
      </c>
      <c r="W35" s="1039" t="s">
        <v>1856</v>
      </c>
      <c r="X35" s="1040">
        <v>120</v>
      </c>
      <c r="Y35" s="1040" t="s">
        <v>177</v>
      </c>
      <c r="Z35" s="1040"/>
      <c r="AA35" s="1040"/>
      <c r="AB35" s="1040"/>
      <c r="AC35" s="1040"/>
      <c r="AD35" s="1040"/>
      <c r="AE35" s="1040"/>
      <c r="AF35" s="1040"/>
      <c r="AG35" s="1040"/>
      <c r="AH35" s="1040"/>
      <c r="AI35" s="1040"/>
      <c r="AJ35" s="1040"/>
      <c r="AK35" s="1040"/>
      <c r="AL35" s="1040"/>
      <c r="AM35" s="1049"/>
      <c r="AN35" s="1049">
        <f>+Z35</f>
        <v>0</v>
      </c>
      <c r="AO35" s="1040"/>
      <c r="AP35" s="1040"/>
      <c r="AQ35" s="1040"/>
      <c r="AR35" s="1040"/>
      <c r="AS35" s="1040"/>
      <c r="AT35" s="1040"/>
      <c r="AU35" s="1040"/>
      <c r="AV35" s="1040"/>
      <c r="AW35" s="1040"/>
      <c r="AX35" s="1040"/>
      <c r="AY35" s="1040"/>
      <c r="AZ35" s="1049"/>
      <c r="BA35" s="1040"/>
      <c r="BB35" s="1040"/>
      <c r="BC35" s="1040"/>
      <c r="BD35" s="1040"/>
      <c r="BE35" s="1040"/>
      <c r="BF35" s="1040"/>
      <c r="BG35" s="1040"/>
      <c r="BH35" s="1040"/>
      <c r="BI35" s="1040"/>
      <c r="BJ35" s="1040"/>
      <c r="BK35" s="1040"/>
      <c r="BL35" s="1040"/>
      <c r="BM35" s="1040"/>
      <c r="BN35" s="721"/>
      <c r="BO35" s="721"/>
      <c r="BP35" s="721"/>
      <c r="BQ35" s="721"/>
      <c r="BR35" s="721"/>
      <c r="BS35" s="721"/>
      <c r="BT35" s="721"/>
      <c r="BU35" s="721"/>
      <c r="BV35" s="721"/>
      <c r="BW35" s="721"/>
      <c r="BX35" s="721"/>
      <c r="BY35" s="721"/>
      <c r="BZ35" s="721"/>
      <c r="CA35" s="721"/>
      <c r="CB35" s="721"/>
      <c r="CC35" s="721"/>
      <c r="CD35" s="721"/>
      <c r="CE35" s="721"/>
      <c r="CF35" s="721"/>
      <c r="CG35" s="721"/>
      <c r="CH35" s="721"/>
      <c r="CI35" s="721"/>
      <c r="CJ35" s="721"/>
      <c r="CK35" s="721"/>
      <c r="CL35" s="721"/>
      <c r="CM35" s="721"/>
      <c r="CN35" s="721"/>
      <c r="CO35" s="721"/>
      <c r="CP35" s="721"/>
      <c r="CQ35" s="721"/>
      <c r="CR35" s="721"/>
      <c r="CS35" s="721"/>
      <c r="CT35" s="721"/>
      <c r="CU35" s="721"/>
      <c r="CV35" s="721"/>
      <c r="CW35" s="721"/>
      <c r="CX35" s="721"/>
    </row>
    <row r="36" spans="1:102" ht="45" customHeight="1" x14ac:dyDescent="0.2">
      <c r="A36" s="1870"/>
      <c r="B36" s="1867"/>
      <c r="C36" s="718"/>
      <c r="D36" s="719"/>
      <c r="E36" s="720"/>
      <c r="F36" s="720"/>
      <c r="G36" s="720"/>
      <c r="H36" s="720"/>
      <c r="I36" s="720"/>
      <c r="J36" s="720"/>
      <c r="K36" s="720"/>
      <c r="L36" s="720"/>
      <c r="M36" s="720"/>
      <c r="N36" s="720"/>
      <c r="O36" s="720"/>
      <c r="P36" s="720"/>
      <c r="Q36" s="720"/>
      <c r="R36" s="720"/>
      <c r="S36" s="720"/>
      <c r="T36" s="1839"/>
      <c r="U36" s="719" t="s">
        <v>1857</v>
      </c>
      <c r="V36" s="724">
        <v>0</v>
      </c>
      <c r="W36" s="1039" t="s">
        <v>1858</v>
      </c>
      <c r="X36" s="1040">
        <v>220</v>
      </c>
      <c r="Y36" s="1040" t="s">
        <v>177</v>
      </c>
      <c r="Z36" s="1040"/>
      <c r="AA36" s="1040"/>
      <c r="AB36" s="1040"/>
      <c r="AC36" s="1040"/>
      <c r="AD36" s="1040"/>
      <c r="AE36" s="1040"/>
      <c r="AF36" s="1040"/>
      <c r="AG36" s="1040"/>
      <c r="AH36" s="1040"/>
      <c r="AI36" s="1040"/>
      <c r="AJ36" s="1040"/>
      <c r="AK36" s="1040"/>
      <c r="AL36" s="1040"/>
      <c r="AM36" s="1049"/>
      <c r="AN36" s="1049">
        <f>+Z36</f>
        <v>0</v>
      </c>
      <c r="AO36" s="1040"/>
      <c r="AP36" s="1040"/>
      <c r="AQ36" s="1040"/>
      <c r="AR36" s="1040"/>
      <c r="AS36" s="1040"/>
      <c r="AT36" s="1040"/>
      <c r="AU36" s="1040"/>
      <c r="AV36" s="1040"/>
      <c r="AW36" s="1040"/>
      <c r="AX36" s="1040"/>
      <c r="AY36" s="1040"/>
      <c r="AZ36" s="1049"/>
      <c r="BA36" s="1040"/>
      <c r="BB36" s="1040"/>
      <c r="BC36" s="1040"/>
      <c r="BD36" s="1040"/>
      <c r="BE36" s="1040"/>
      <c r="BF36" s="1040"/>
      <c r="BG36" s="1040"/>
      <c r="BH36" s="1040"/>
      <c r="BI36" s="1040"/>
      <c r="BJ36" s="1040"/>
      <c r="BK36" s="1040"/>
      <c r="BL36" s="1040"/>
      <c r="BM36" s="1040"/>
      <c r="BN36" s="721"/>
      <c r="BO36" s="721"/>
      <c r="BP36" s="721"/>
      <c r="BQ36" s="721"/>
      <c r="BR36" s="721"/>
      <c r="BS36" s="721"/>
      <c r="BT36" s="721"/>
      <c r="BU36" s="721"/>
      <c r="BV36" s="721"/>
      <c r="BW36" s="721"/>
      <c r="BX36" s="721"/>
      <c r="BY36" s="721"/>
      <c r="BZ36" s="721"/>
      <c r="CA36" s="721"/>
      <c r="CB36" s="721"/>
      <c r="CC36" s="721"/>
      <c r="CD36" s="721"/>
      <c r="CE36" s="721"/>
      <c r="CF36" s="721"/>
      <c r="CG36" s="721"/>
      <c r="CH36" s="721"/>
      <c r="CI36" s="721"/>
      <c r="CJ36" s="721"/>
      <c r="CK36" s="721"/>
      <c r="CL36" s="721"/>
      <c r="CM36" s="721"/>
      <c r="CN36" s="721"/>
      <c r="CO36" s="721"/>
      <c r="CP36" s="721"/>
      <c r="CQ36" s="721"/>
      <c r="CR36" s="721"/>
      <c r="CS36" s="721"/>
      <c r="CT36" s="721"/>
      <c r="CU36" s="721"/>
      <c r="CV36" s="721"/>
      <c r="CW36" s="721"/>
      <c r="CX36" s="721"/>
    </row>
    <row r="37" spans="1:102" ht="63.75" customHeight="1" x14ac:dyDescent="0.2">
      <c r="A37" s="1870"/>
      <c r="B37" s="1867"/>
      <c r="C37" s="718"/>
      <c r="D37" s="719"/>
      <c r="E37" s="720"/>
      <c r="F37" s="720"/>
      <c r="G37" s="720"/>
      <c r="H37" s="720"/>
      <c r="I37" s="720"/>
      <c r="J37" s="720"/>
      <c r="K37" s="720"/>
      <c r="L37" s="720"/>
      <c r="M37" s="720"/>
      <c r="N37" s="720"/>
      <c r="O37" s="720"/>
      <c r="P37" s="720"/>
      <c r="Q37" s="720"/>
      <c r="R37" s="720"/>
      <c r="S37" s="720"/>
      <c r="T37" s="1839"/>
      <c r="U37" s="719" t="s">
        <v>1859</v>
      </c>
      <c r="V37" s="724">
        <v>0</v>
      </c>
      <c r="W37" s="1631" t="s">
        <v>1860</v>
      </c>
      <c r="X37" s="1040">
        <v>48</v>
      </c>
      <c r="Y37" s="1040">
        <v>2</v>
      </c>
      <c r="Z37" s="1031">
        <v>14</v>
      </c>
      <c r="AA37" s="1031">
        <v>3.2</v>
      </c>
      <c r="AB37" s="1034">
        <f>+Y37/X37</f>
        <v>4.1666666666666664E-2</v>
      </c>
      <c r="AC37" s="1034">
        <f>+Z37/X37</f>
        <v>0.29166666666666669</v>
      </c>
      <c r="AD37" s="1034">
        <f>AA37/X37</f>
        <v>6.6666666666666666E-2</v>
      </c>
      <c r="AE37" s="1031"/>
      <c r="AF37" s="1031">
        <v>10</v>
      </c>
      <c r="AG37" s="1031"/>
      <c r="AH37" s="1031">
        <v>20</v>
      </c>
      <c r="AI37" s="1031"/>
      <c r="AJ37" s="1031">
        <f>+AH37</f>
        <v>20</v>
      </c>
      <c r="AK37" s="1034">
        <v>1</v>
      </c>
      <c r="AL37" s="1031">
        <f>+AJ37</f>
        <v>20</v>
      </c>
      <c r="AM37" s="1033">
        <f>+AL37/X37</f>
        <v>0.41666666666666669</v>
      </c>
      <c r="AN37" s="1194">
        <f>+Z37</f>
        <v>14</v>
      </c>
      <c r="AO37" s="1031">
        <v>0</v>
      </c>
      <c r="AP37" s="1031"/>
      <c r="AQ37" s="1031">
        <v>0</v>
      </c>
      <c r="AR37" s="1031"/>
      <c r="AS37" s="1031">
        <v>0.8</v>
      </c>
      <c r="AT37" s="1031"/>
      <c r="AU37" s="1031">
        <v>24</v>
      </c>
      <c r="AV37" s="1031"/>
      <c r="AW37" s="1031">
        <f>+AS37+AO37+AQ37+AU37</f>
        <v>24.8</v>
      </c>
      <c r="AX37" s="1034">
        <f>+AW37/AN37</f>
        <v>1.7714285714285716</v>
      </c>
      <c r="AY37" s="1031">
        <f>+AJ37+AW37</f>
        <v>44.8</v>
      </c>
      <c r="AZ37" s="1033">
        <f>+AY37/X37</f>
        <v>0.93333333333333324</v>
      </c>
      <c r="BA37" s="1031">
        <f>AA37</f>
        <v>3.2</v>
      </c>
      <c r="BB37" s="1031">
        <f>0</f>
        <v>0</v>
      </c>
      <c r="BC37" s="1031"/>
      <c r="BD37" s="1031">
        <v>0</v>
      </c>
      <c r="BE37" s="1031"/>
      <c r="BF37" s="1031">
        <v>0</v>
      </c>
      <c r="BG37" s="1031"/>
      <c r="BH37" s="1031">
        <v>3.2</v>
      </c>
      <c r="BI37" s="1031"/>
      <c r="BJ37" s="1031">
        <f>+BH37</f>
        <v>3.2</v>
      </c>
      <c r="BK37" s="1034">
        <v>1</v>
      </c>
      <c r="BL37" s="1031">
        <f>AY37+BJ37</f>
        <v>48</v>
      </c>
      <c r="BM37" s="1032">
        <f>BL37/X37</f>
        <v>1</v>
      </c>
      <c r="BN37" s="721"/>
      <c r="BO37" s="721"/>
      <c r="BP37" s="721"/>
      <c r="BQ37" s="721"/>
      <c r="BR37" s="721"/>
      <c r="BS37" s="721"/>
      <c r="BT37" s="721"/>
      <c r="BU37" s="721"/>
      <c r="BV37" s="721"/>
      <c r="BW37" s="721"/>
      <c r="BX37" s="721"/>
      <c r="BY37" s="721"/>
      <c r="BZ37" s="721"/>
      <c r="CA37" s="721"/>
      <c r="CB37" s="721"/>
      <c r="CC37" s="721"/>
      <c r="CD37" s="721"/>
      <c r="CE37" s="721"/>
      <c r="CF37" s="721"/>
      <c r="CG37" s="721"/>
      <c r="CH37" s="721"/>
      <c r="CI37" s="721"/>
      <c r="CJ37" s="721"/>
      <c r="CK37" s="721"/>
      <c r="CL37" s="721"/>
      <c r="CM37" s="721"/>
      <c r="CN37" s="721"/>
      <c r="CO37" s="721"/>
      <c r="CP37" s="721"/>
      <c r="CQ37" s="721"/>
      <c r="CR37" s="721"/>
      <c r="CS37" s="721"/>
      <c r="CT37" s="721"/>
      <c r="CU37" s="721"/>
      <c r="CV37" s="721"/>
      <c r="CW37" s="721"/>
      <c r="CX37" s="721"/>
    </row>
    <row r="38" spans="1:102" ht="12" customHeight="1" x14ac:dyDescent="0.2">
      <c r="A38" s="1870"/>
      <c r="B38" s="1867"/>
      <c r="C38" s="718"/>
      <c r="D38" s="718"/>
      <c r="E38" s="720"/>
      <c r="F38" s="720"/>
      <c r="G38" s="720"/>
      <c r="H38" s="720"/>
      <c r="I38" s="720"/>
      <c r="J38" s="720"/>
      <c r="K38" s="720"/>
      <c r="L38" s="720"/>
      <c r="M38" s="720"/>
      <c r="N38" s="720"/>
      <c r="O38" s="720"/>
      <c r="P38" s="720"/>
      <c r="Q38" s="720"/>
      <c r="R38" s="720"/>
      <c r="S38" s="720"/>
      <c r="T38" s="1840"/>
      <c r="U38" s="722"/>
      <c r="V38" s="725"/>
      <c r="W38" s="1050"/>
      <c r="X38" s="1051"/>
      <c r="Y38" s="1051"/>
      <c r="Z38" s="1051"/>
      <c r="AA38" s="1051"/>
      <c r="AB38" s="1038">
        <f>+AB37</f>
        <v>4.1666666666666664E-2</v>
      </c>
      <c r="AC38" s="1038">
        <f>+AC37</f>
        <v>0.29166666666666669</v>
      </c>
      <c r="AD38" s="1038">
        <f>AVERAGE(AD34:AD37)</f>
        <v>6.6666666666666666E-2</v>
      </c>
      <c r="AE38" s="1051"/>
      <c r="AF38" s="1051"/>
      <c r="AG38" s="1051"/>
      <c r="AH38" s="1051"/>
      <c r="AI38" s="1051"/>
      <c r="AJ38" s="1051"/>
      <c r="AK38" s="1064">
        <f>+AK37</f>
        <v>1</v>
      </c>
      <c r="AL38" s="1051"/>
      <c r="AM38" s="1076">
        <f>+AM37</f>
        <v>0.41666666666666669</v>
      </c>
      <c r="AN38" s="1051"/>
      <c r="AO38" s="1051"/>
      <c r="AP38" s="1051"/>
      <c r="AQ38" s="1051"/>
      <c r="AR38" s="1051"/>
      <c r="AS38" s="1051"/>
      <c r="AT38" s="1051"/>
      <c r="AU38" s="1051"/>
      <c r="AV38" s="1051"/>
      <c r="AW38" s="1051"/>
      <c r="AX38" s="1038">
        <f>+AX37</f>
        <v>1.7714285714285716</v>
      </c>
      <c r="AY38" s="1038"/>
      <c r="AZ38" s="1070">
        <f>+AZ37</f>
        <v>0.93333333333333324</v>
      </c>
      <c r="BA38" s="1040"/>
      <c r="BB38" s="1040"/>
      <c r="BC38" s="1040"/>
      <c r="BD38" s="1040"/>
      <c r="BE38" s="1040"/>
      <c r="BF38" s="1040"/>
      <c r="BG38" s="1040"/>
      <c r="BH38" s="1040"/>
      <c r="BI38" s="1040"/>
      <c r="BJ38" s="1040"/>
      <c r="BK38" s="1070">
        <f>+BK37</f>
        <v>1</v>
      </c>
      <c r="BL38" s="1040"/>
      <c r="BM38" s="1070">
        <f>+BM37</f>
        <v>1</v>
      </c>
      <c r="BN38" s="721"/>
      <c r="BO38" s="721"/>
      <c r="BP38" s="721"/>
      <c r="BQ38" s="721"/>
      <c r="BR38" s="721"/>
      <c r="BS38" s="721"/>
      <c r="BT38" s="721"/>
      <c r="BU38" s="721"/>
      <c r="BV38" s="721"/>
      <c r="BW38" s="721"/>
      <c r="BX38" s="721"/>
      <c r="BY38" s="721"/>
      <c r="BZ38" s="721"/>
      <c r="CA38" s="721"/>
      <c r="CB38" s="721"/>
      <c r="CC38" s="721"/>
      <c r="CD38" s="721"/>
      <c r="CE38" s="721"/>
      <c r="CF38" s="721"/>
      <c r="CG38" s="721"/>
      <c r="CH38" s="721"/>
      <c r="CI38" s="721"/>
      <c r="CJ38" s="721"/>
      <c r="CK38" s="721"/>
      <c r="CL38" s="721"/>
      <c r="CM38" s="721"/>
      <c r="CN38" s="721"/>
      <c r="CO38" s="721"/>
      <c r="CP38" s="721"/>
      <c r="CQ38" s="721"/>
      <c r="CR38" s="721"/>
      <c r="CS38" s="721"/>
      <c r="CT38" s="721"/>
      <c r="CU38" s="721"/>
      <c r="CV38" s="721"/>
      <c r="CW38" s="721"/>
      <c r="CX38" s="721"/>
    </row>
    <row r="39" spans="1:102" ht="12" customHeight="1" x14ac:dyDescent="0.2">
      <c r="A39" s="1870"/>
      <c r="B39" s="1868"/>
      <c r="C39" s="726"/>
      <c r="D39" s="726"/>
      <c r="E39" s="727"/>
      <c r="F39" s="727"/>
      <c r="G39" s="727"/>
      <c r="H39" s="727"/>
      <c r="I39" s="727"/>
      <c r="J39" s="727"/>
      <c r="K39" s="727"/>
      <c r="L39" s="727"/>
      <c r="M39" s="727"/>
      <c r="N39" s="727"/>
      <c r="O39" s="727"/>
      <c r="P39" s="727"/>
      <c r="Q39" s="727"/>
      <c r="R39" s="727"/>
      <c r="S39" s="727"/>
      <c r="T39" s="724"/>
      <c r="U39" s="726"/>
      <c r="V39" s="728"/>
      <c r="W39" s="1077"/>
      <c r="X39" s="1078"/>
      <c r="Y39" s="1078"/>
      <c r="Z39" s="1078"/>
      <c r="AA39" s="1078"/>
      <c r="AB39" s="1079">
        <f>+(AB4+AB7+AB9+AB12+AB15+AB18+AB24+AB27+AB29+AB33+AB38)/5</f>
        <v>6.9358974358974368E-2</v>
      </c>
      <c r="AC39" s="1079">
        <f>+(AC4+AC7+AC9+AC12+AC15+AC18+AC24+AC27+AC29+AC33+AC38)/5</f>
        <v>0.57176923076923081</v>
      </c>
      <c r="AD39" s="1079">
        <f>+(AD4+AD7+AD9+AD12+AD15+AD18+AD24+AD27+AD29+AD33+AD38)/9</f>
        <v>0.2707122507122508</v>
      </c>
      <c r="AE39" s="1078"/>
      <c r="AF39" s="1078"/>
      <c r="AG39" s="1078"/>
      <c r="AH39" s="1078"/>
      <c r="AI39" s="1078"/>
      <c r="AJ39" s="1078"/>
      <c r="AK39" s="1080">
        <f>+(AK4+AK7+AK9+AK12+AK15+AK18+AK24+AK27+AK29+AK33+AK38)/5</f>
        <v>0.4</v>
      </c>
      <c r="AL39" s="1078"/>
      <c r="AM39" s="1081">
        <f>+(AM4+AM7+AM9+AM12+AM15+AM18+AM24+AM27+AM29+AM33+AM38)/11</f>
        <v>4.6969696969696974E-2</v>
      </c>
      <c r="AN39" s="1078"/>
      <c r="AO39" s="1078"/>
      <c r="AP39" s="1078"/>
      <c r="AQ39" s="1078"/>
      <c r="AR39" s="1078"/>
      <c r="AS39" s="1078"/>
      <c r="AT39" s="1078"/>
      <c r="AU39" s="1078"/>
      <c r="AV39" s="1078"/>
      <c r="AW39" s="1078"/>
      <c r="AX39" s="1100">
        <f>+(AX4+AX7+AX9+AX12+AX15+AX18+AX24+AX27+AX29+AX33+AX38)/8</f>
        <v>0.65580357142857149</v>
      </c>
      <c r="AY39" s="1100"/>
      <c r="AZ39" s="1097">
        <f>+(AZ4+AZ7+AZ9+AZ12+AZ15+AZ18+AZ24+AZ27+AZ29+AZ33+AZ38)/9</f>
        <v>0.3611111111111111</v>
      </c>
      <c r="BA39" s="1108"/>
      <c r="BB39" s="1108"/>
      <c r="BC39" s="1108"/>
      <c r="BD39" s="1108"/>
      <c r="BE39" s="1108"/>
      <c r="BF39" s="1108"/>
      <c r="BG39" s="1108"/>
      <c r="BH39" s="1108"/>
      <c r="BI39" s="1675"/>
      <c r="BJ39" s="1108"/>
      <c r="BK39" s="1540">
        <f>+(BK4+BK7+BK9+BK12+BK15+BK18+BK24+BK27+BK29+BK33+BK38)/9</f>
        <v>0.57637403446226976</v>
      </c>
      <c r="BL39" s="1108"/>
      <c r="BM39" s="1120">
        <f>+(BM4+BM7+BM9+BM12+BM15+BM18+BM24+BM27+BM29+BM33+BM38)/9</f>
        <v>0.54308663558663561</v>
      </c>
      <c r="BN39" s="721"/>
      <c r="BO39" s="721"/>
      <c r="BP39" s="721"/>
      <c r="BQ39" s="721"/>
      <c r="BR39" s="721"/>
      <c r="BS39" s="721"/>
      <c r="BT39" s="721"/>
      <c r="BU39" s="721"/>
      <c r="BV39" s="721"/>
      <c r="BW39" s="721"/>
      <c r="BX39" s="721"/>
      <c r="BY39" s="721"/>
      <c r="BZ39" s="721"/>
      <c r="CA39" s="721"/>
      <c r="CB39" s="721"/>
      <c r="CC39" s="721"/>
      <c r="CD39" s="721"/>
      <c r="CE39" s="721"/>
      <c r="CF39" s="721"/>
      <c r="CG39" s="721"/>
      <c r="CH39" s="721"/>
      <c r="CI39" s="721"/>
      <c r="CJ39" s="721"/>
      <c r="CK39" s="721"/>
      <c r="CL39" s="721"/>
      <c r="CM39" s="721"/>
      <c r="CN39" s="721"/>
      <c r="CO39" s="721"/>
      <c r="CP39" s="721"/>
      <c r="CQ39" s="721"/>
      <c r="CR39" s="721"/>
      <c r="CS39" s="721"/>
      <c r="CT39" s="721"/>
      <c r="CU39" s="721"/>
      <c r="CV39" s="721"/>
      <c r="CW39" s="721"/>
      <c r="CX39" s="721"/>
    </row>
    <row r="40" spans="1:102" ht="51" customHeight="1" x14ac:dyDescent="0.2">
      <c r="A40" s="1870"/>
      <c r="B40" s="1838" t="s">
        <v>1861</v>
      </c>
      <c r="C40" s="718" t="s">
        <v>1862</v>
      </c>
      <c r="D40" s="718" t="s">
        <v>201</v>
      </c>
      <c r="E40" s="720"/>
      <c r="F40" s="720"/>
      <c r="G40" s="720"/>
      <c r="H40" s="720"/>
      <c r="I40" s="720"/>
      <c r="J40" s="720"/>
      <c r="K40" s="720"/>
      <c r="L40" s="720"/>
      <c r="M40" s="720"/>
      <c r="N40" s="720"/>
      <c r="O40" s="720"/>
      <c r="P40" s="720"/>
      <c r="Q40" s="720"/>
      <c r="R40" s="720"/>
      <c r="S40" s="720"/>
      <c r="T40" s="1838" t="s">
        <v>1863</v>
      </c>
      <c r="U40" s="719" t="s">
        <v>1864</v>
      </c>
      <c r="V40" s="719" t="s">
        <v>1865</v>
      </c>
      <c r="W40" s="1039" t="s">
        <v>1866</v>
      </c>
      <c r="X40" s="1040">
        <v>1000</v>
      </c>
      <c r="Y40" s="1040">
        <v>100</v>
      </c>
      <c r="Z40" s="1031">
        <v>300</v>
      </c>
      <c r="AA40" s="1031">
        <v>250</v>
      </c>
      <c r="AB40" s="1034">
        <f>+Y40/X40</f>
        <v>0.1</v>
      </c>
      <c r="AC40" s="1034">
        <f>+Z40/X40</f>
        <v>0.3</v>
      </c>
      <c r="AD40" s="1034">
        <v>0.25</v>
      </c>
      <c r="AE40" s="1031">
        <v>20</v>
      </c>
      <c r="AF40" s="1031">
        <v>50</v>
      </c>
      <c r="AG40" s="1031"/>
      <c r="AH40" s="1031">
        <v>100</v>
      </c>
      <c r="AI40" s="1031"/>
      <c r="AJ40" s="1031">
        <f>+AH40</f>
        <v>100</v>
      </c>
      <c r="AK40" s="1034">
        <f>+AJ40/Y40</f>
        <v>1</v>
      </c>
      <c r="AL40" s="1031">
        <f>+AJ40</f>
        <v>100</v>
      </c>
      <c r="AM40" s="1033">
        <f>+AL40/X40</f>
        <v>0.1</v>
      </c>
      <c r="AN40" s="1031">
        <f>+Z40</f>
        <v>300</v>
      </c>
      <c r="AO40" s="1380">
        <v>125</v>
      </c>
      <c r="AP40" s="1380"/>
      <c r="AQ40" s="1380">
        <v>170</v>
      </c>
      <c r="AR40" s="1380"/>
      <c r="AS40" s="1380">
        <v>150</v>
      </c>
      <c r="AT40" s="1380"/>
      <c r="AU40" s="1380">
        <v>59</v>
      </c>
      <c r="AV40" s="1380"/>
      <c r="AW40" s="1380">
        <f>+AO40+AQ40+AS40+AU40</f>
        <v>504</v>
      </c>
      <c r="AX40" s="1199">
        <v>1</v>
      </c>
      <c r="AY40" s="1380">
        <f>+AW40+AL40</f>
        <v>604</v>
      </c>
      <c r="AZ40" s="1381">
        <f>+AY40/X40</f>
        <v>0.60399999999999998</v>
      </c>
      <c r="BA40" s="1031">
        <v>250</v>
      </c>
      <c r="BB40" s="1031">
        <v>0</v>
      </c>
      <c r="BC40" s="1031"/>
      <c r="BD40" s="1031">
        <v>0</v>
      </c>
      <c r="BE40" s="1031"/>
      <c r="BF40" s="1031">
        <v>0</v>
      </c>
      <c r="BG40" s="1031"/>
      <c r="BH40" s="1673">
        <v>255</v>
      </c>
      <c r="BI40" s="1676"/>
      <c r="BJ40" s="1674">
        <f>+BH40</f>
        <v>255</v>
      </c>
      <c r="BK40" s="1032">
        <v>1</v>
      </c>
      <c r="BL40" s="1031">
        <f>BJ40+AY40+5</f>
        <v>864</v>
      </c>
      <c r="BM40" s="1032">
        <f>BL40/X40</f>
        <v>0.86399999999999999</v>
      </c>
      <c r="BN40" s="721"/>
      <c r="BO40" s="721"/>
      <c r="BP40" s="721"/>
      <c r="BQ40" s="721"/>
      <c r="BR40" s="721"/>
      <c r="BS40" s="721"/>
      <c r="BT40" s="721"/>
      <c r="BU40" s="721"/>
      <c r="BV40" s="721"/>
      <c r="BW40" s="721"/>
      <c r="BX40" s="721"/>
      <c r="BY40" s="721"/>
      <c r="BZ40" s="721"/>
      <c r="CA40" s="721"/>
      <c r="CB40" s="721"/>
      <c r="CC40" s="721"/>
      <c r="CD40" s="721"/>
      <c r="CE40" s="721"/>
      <c r="CF40" s="721"/>
      <c r="CG40" s="721"/>
      <c r="CH40" s="721"/>
      <c r="CI40" s="721"/>
      <c r="CJ40" s="721"/>
      <c r="CK40" s="721"/>
      <c r="CL40" s="721"/>
      <c r="CM40" s="721"/>
      <c r="CN40" s="721"/>
      <c r="CO40" s="721"/>
      <c r="CP40" s="721"/>
      <c r="CQ40" s="721"/>
      <c r="CR40" s="721"/>
      <c r="CS40" s="721"/>
      <c r="CT40" s="721"/>
      <c r="CU40" s="721"/>
      <c r="CV40" s="721"/>
      <c r="CW40" s="721"/>
      <c r="CX40" s="721"/>
    </row>
    <row r="41" spans="1:102" ht="41.25" customHeight="1" x14ac:dyDescent="0.2">
      <c r="A41" s="1870"/>
      <c r="B41" s="1839"/>
      <c r="C41" s="718"/>
      <c r="D41" s="718"/>
      <c r="E41" s="720"/>
      <c r="F41" s="720"/>
      <c r="G41" s="720"/>
      <c r="H41" s="720"/>
      <c r="I41" s="720"/>
      <c r="J41" s="720"/>
      <c r="K41" s="720"/>
      <c r="L41" s="720"/>
      <c r="M41" s="720"/>
      <c r="N41" s="720"/>
      <c r="O41" s="720"/>
      <c r="P41" s="720"/>
      <c r="Q41" s="720"/>
      <c r="R41" s="720"/>
      <c r="S41" s="720"/>
      <c r="T41" s="1839"/>
      <c r="U41" s="719" t="s">
        <v>1867</v>
      </c>
      <c r="V41" s="719">
        <v>0</v>
      </c>
      <c r="W41" s="1039" t="s">
        <v>1868</v>
      </c>
      <c r="X41" s="1040">
        <v>10</v>
      </c>
      <c r="Y41" s="1040">
        <v>1</v>
      </c>
      <c r="Z41" s="1031">
        <v>3</v>
      </c>
      <c r="AA41" s="1031">
        <v>0</v>
      </c>
      <c r="AB41" s="1034">
        <f>+Y41/X41</f>
        <v>0.1</v>
      </c>
      <c r="AC41" s="1034">
        <f>+Z41/X41</f>
        <v>0.3</v>
      </c>
      <c r="AD41" s="1034"/>
      <c r="AE41" s="1031">
        <v>0.5</v>
      </c>
      <c r="AF41" s="1031">
        <v>0.5</v>
      </c>
      <c r="AG41" s="1031"/>
      <c r="AH41" s="1031">
        <v>1</v>
      </c>
      <c r="AI41" s="1031"/>
      <c r="AJ41" s="1031">
        <f>+AH41</f>
        <v>1</v>
      </c>
      <c r="AK41" s="1034">
        <f>+AJ41/Y41</f>
        <v>1</v>
      </c>
      <c r="AL41" s="1031">
        <f>+AJ41</f>
        <v>1</v>
      </c>
      <c r="AM41" s="1033">
        <f>+AL41/X41</f>
        <v>0.1</v>
      </c>
      <c r="AN41" s="1031">
        <f>+Z41</f>
        <v>3</v>
      </c>
      <c r="AO41" s="1031">
        <v>3</v>
      </c>
      <c r="AP41" s="1031"/>
      <c r="AQ41" s="1031">
        <v>0</v>
      </c>
      <c r="AR41" s="1031"/>
      <c r="AS41" s="1031">
        <v>11</v>
      </c>
      <c r="AT41" s="1031"/>
      <c r="AU41" s="1031">
        <v>0</v>
      </c>
      <c r="AV41" s="1031"/>
      <c r="AW41" s="1031">
        <f>+AO41+AS41</f>
        <v>14</v>
      </c>
      <c r="AX41" s="1034">
        <v>1</v>
      </c>
      <c r="AY41" s="1031">
        <f>+AW41+AL41</f>
        <v>15</v>
      </c>
      <c r="AZ41" s="1033">
        <v>1</v>
      </c>
      <c r="BA41" s="1031"/>
      <c r="BB41" s="1031"/>
      <c r="BC41" s="1031"/>
      <c r="BD41" s="1031"/>
      <c r="BE41" s="1031"/>
      <c r="BF41" s="1031"/>
      <c r="BG41" s="1031"/>
      <c r="BH41" s="1673"/>
      <c r="BI41" s="1676"/>
      <c r="BJ41" s="1674"/>
      <c r="BK41" s="1031"/>
      <c r="BL41" s="1031">
        <v>15</v>
      </c>
      <c r="BM41" s="1034">
        <f>AZ41</f>
        <v>1</v>
      </c>
      <c r="BN41" s="721"/>
      <c r="BO41" s="721"/>
      <c r="BP41" s="721"/>
      <c r="BQ41" s="721"/>
      <c r="BR41" s="721"/>
      <c r="BS41" s="721"/>
      <c r="BT41" s="721"/>
      <c r="BU41" s="721"/>
      <c r="BV41" s="721"/>
      <c r="BW41" s="721"/>
      <c r="BX41" s="721"/>
      <c r="BY41" s="721"/>
      <c r="BZ41" s="721"/>
      <c r="CA41" s="721"/>
      <c r="CB41" s="721"/>
      <c r="CC41" s="721"/>
      <c r="CD41" s="721"/>
      <c r="CE41" s="721"/>
      <c r="CF41" s="721"/>
      <c r="CG41" s="721"/>
      <c r="CH41" s="721"/>
      <c r="CI41" s="721"/>
      <c r="CJ41" s="721"/>
      <c r="CK41" s="721"/>
      <c r="CL41" s="721"/>
      <c r="CM41" s="721"/>
      <c r="CN41" s="721"/>
      <c r="CO41" s="721"/>
      <c r="CP41" s="721"/>
      <c r="CQ41" s="721"/>
      <c r="CR41" s="721"/>
      <c r="CS41" s="721"/>
      <c r="CT41" s="721"/>
      <c r="CU41" s="721"/>
      <c r="CV41" s="721"/>
      <c r="CW41" s="721"/>
      <c r="CX41" s="721"/>
    </row>
    <row r="42" spans="1:102" ht="34.5" customHeight="1" x14ac:dyDescent="0.2">
      <c r="A42" s="1870"/>
      <c r="B42" s="1839"/>
      <c r="C42" s="718"/>
      <c r="D42" s="718"/>
      <c r="E42" s="720"/>
      <c r="F42" s="720"/>
      <c r="G42" s="720"/>
      <c r="H42" s="720"/>
      <c r="I42" s="720"/>
      <c r="J42" s="720"/>
      <c r="K42" s="720"/>
      <c r="L42" s="720"/>
      <c r="M42" s="720"/>
      <c r="N42" s="720"/>
      <c r="O42" s="720"/>
      <c r="P42" s="720"/>
      <c r="Q42" s="720"/>
      <c r="R42" s="720"/>
      <c r="S42" s="720"/>
      <c r="T42" s="1839"/>
      <c r="U42" s="719" t="s">
        <v>1869</v>
      </c>
      <c r="V42" s="719" t="s">
        <v>1870</v>
      </c>
      <c r="W42" s="1039" t="s">
        <v>1871</v>
      </c>
      <c r="X42" s="1040">
        <v>1</v>
      </c>
      <c r="Y42" s="1082" t="s">
        <v>177</v>
      </c>
      <c r="Z42" s="1382">
        <v>0.5</v>
      </c>
      <c r="AA42" s="1382">
        <v>0.1</v>
      </c>
      <c r="AB42" s="1382"/>
      <c r="AC42" s="1034">
        <f>+Z42/X42</f>
        <v>0.5</v>
      </c>
      <c r="AD42" s="1034">
        <f>+AA42</f>
        <v>0.1</v>
      </c>
      <c r="AE42" s="1377"/>
      <c r="AF42" s="1377"/>
      <c r="AG42" s="1031"/>
      <c r="AH42" s="1031"/>
      <c r="AI42" s="1031"/>
      <c r="AJ42" s="1031"/>
      <c r="AK42" s="1031"/>
      <c r="AL42" s="1031"/>
      <c r="AM42" s="1194"/>
      <c r="AN42" s="1035">
        <f>+Z42</f>
        <v>0.5</v>
      </c>
      <c r="AO42" s="1031">
        <v>0</v>
      </c>
      <c r="AP42" s="1031"/>
      <c r="AQ42" s="1031"/>
      <c r="AR42" s="1031"/>
      <c r="AS42" s="1031">
        <v>0.25</v>
      </c>
      <c r="AT42" s="1031"/>
      <c r="AU42" s="1031">
        <v>0.25</v>
      </c>
      <c r="AV42" s="1031"/>
      <c r="AW42" s="1031">
        <f>+AO42+AU42+AS42</f>
        <v>0.5</v>
      </c>
      <c r="AX42" s="1034">
        <f>+AW42/AN42</f>
        <v>1</v>
      </c>
      <c r="AY42" s="1031">
        <f>+AW42+AL42</f>
        <v>0.5</v>
      </c>
      <c r="AZ42" s="1033">
        <f>+AY42</f>
        <v>0.5</v>
      </c>
      <c r="BA42" s="1031"/>
      <c r="BB42" s="1031"/>
      <c r="BC42" s="1031"/>
      <c r="BD42" s="1031"/>
      <c r="BE42" s="1031"/>
      <c r="BF42" s="1031">
        <v>0.1</v>
      </c>
      <c r="BG42" s="1383" t="s">
        <v>2211</v>
      </c>
      <c r="BH42" s="1673">
        <v>0</v>
      </c>
      <c r="BI42" s="1676"/>
      <c r="BJ42" s="1674">
        <f>+BF42</f>
        <v>0.1</v>
      </c>
      <c r="BK42" s="1032"/>
      <c r="BL42" s="1031">
        <f>+BJ42</f>
        <v>0.1</v>
      </c>
      <c r="BM42" s="1032">
        <f>BL42/X42</f>
        <v>0.1</v>
      </c>
      <c r="BN42" s="721"/>
      <c r="BO42" s="721"/>
      <c r="BP42" s="721"/>
      <c r="BQ42" s="721"/>
      <c r="BR42" s="721"/>
      <c r="BS42" s="721"/>
      <c r="BT42" s="721"/>
      <c r="BU42" s="721"/>
      <c r="BV42" s="721"/>
      <c r="BW42" s="721"/>
      <c r="BX42" s="721"/>
      <c r="BY42" s="721"/>
      <c r="BZ42" s="721"/>
      <c r="CA42" s="721"/>
      <c r="CB42" s="721"/>
      <c r="CC42" s="721"/>
      <c r="CD42" s="721"/>
      <c r="CE42" s="721"/>
      <c r="CF42" s="721"/>
      <c r="CG42" s="721"/>
      <c r="CH42" s="721"/>
      <c r="CI42" s="721"/>
      <c r="CJ42" s="721"/>
      <c r="CK42" s="721"/>
      <c r="CL42" s="721"/>
      <c r="CM42" s="721"/>
      <c r="CN42" s="721"/>
      <c r="CO42" s="721"/>
      <c r="CP42" s="721"/>
      <c r="CQ42" s="721"/>
      <c r="CR42" s="721"/>
      <c r="CS42" s="721"/>
      <c r="CT42" s="721"/>
      <c r="CU42" s="721"/>
      <c r="CV42" s="721"/>
      <c r="CW42" s="721"/>
      <c r="CX42" s="721"/>
    </row>
    <row r="43" spans="1:102" ht="42" customHeight="1" x14ac:dyDescent="0.2">
      <c r="A43" s="1870"/>
      <c r="B43" s="1839"/>
      <c r="C43" s="718"/>
      <c r="D43" s="718"/>
      <c r="E43" s="720"/>
      <c r="F43" s="720"/>
      <c r="G43" s="720"/>
      <c r="H43" s="720"/>
      <c r="I43" s="720"/>
      <c r="J43" s="720"/>
      <c r="K43" s="720"/>
      <c r="L43" s="720"/>
      <c r="M43" s="720"/>
      <c r="N43" s="720"/>
      <c r="O43" s="720"/>
      <c r="P43" s="720"/>
      <c r="Q43" s="720"/>
      <c r="R43" s="720"/>
      <c r="S43" s="720"/>
      <c r="T43" s="1839"/>
      <c r="U43" s="719" t="s">
        <v>1872</v>
      </c>
      <c r="V43" s="719">
        <v>0</v>
      </c>
      <c r="W43" s="1039" t="s">
        <v>1873</v>
      </c>
      <c r="X43" s="1040">
        <v>1</v>
      </c>
      <c r="Y43" s="1040" t="s">
        <v>177</v>
      </c>
      <c r="Z43" s="1031">
        <v>1</v>
      </c>
      <c r="AA43" s="1031">
        <v>0.3</v>
      </c>
      <c r="AB43" s="1031"/>
      <c r="AC43" s="1034">
        <f>+Z43/X43</f>
        <v>1</v>
      </c>
      <c r="AD43" s="1034">
        <v>0.3</v>
      </c>
      <c r="AE43" s="1031"/>
      <c r="AF43" s="1031"/>
      <c r="AG43" s="1031"/>
      <c r="AH43" s="1031"/>
      <c r="AI43" s="1031"/>
      <c r="AJ43" s="1031"/>
      <c r="AK43" s="1031"/>
      <c r="AL43" s="1031"/>
      <c r="AM43" s="1194"/>
      <c r="AN43" s="1031">
        <f>+Z43</f>
        <v>1</v>
      </c>
      <c r="AO43" s="1031">
        <v>0</v>
      </c>
      <c r="AP43" s="1031"/>
      <c r="AQ43" s="1031"/>
      <c r="AR43" s="1031"/>
      <c r="AS43" s="1031">
        <v>1</v>
      </c>
      <c r="AT43" s="1031"/>
      <c r="AU43" s="1031">
        <v>0</v>
      </c>
      <c r="AV43" s="1031"/>
      <c r="AW43" s="1031">
        <f>+AS43</f>
        <v>1</v>
      </c>
      <c r="AX43" s="1034">
        <f>+AW43/AN43</f>
        <v>1</v>
      </c>
      <c r="AY43" s="1031">
        <v>0</v>
      </c>
      <c r="AZ43" s="1033">
        <f>+AY43/X43</f>
        <v>0</v>
      </c>
      <c r="BA43" s="1031">
        <v>0.3</v>
      </c>
      <c r="BB43" s="1031">
        <v>0</v>
      </c>
      <c r="BC43" s="1031"/>
      <c r="BD43" s="1031"/>
      <c r="BE43" s="1031"/>
      <c r="BF43" s="1031">
        <v>0</v>
      </c>
      <c r="BG43" s="1031"/>
      <c r="BH43" s="1673">
        <v>1</v>
      </c>
      <c r="BI43" s="1676"/>
      <c r="BJ43" s="1674">
        <f>+BH43</f>
        <v>1</v>
      </c>
      <c r="BK43" s="1032">
        <v>1</v>
      </c>
      <c r="BL43" s="1031">
        <f>+BJ43</f>
        <v>1</v>
      </c>
      <c r="BM43" s="1406">
        <v>1</v>
      </c>
      <c r="BN43" s="721"/>
      <c r="BO43" s="721"/>
      <c r="BP43" s="721"/>
      <c r="BQ43" s="721"/>
      <c r="BR43" s="721"/>
      <c r="BS43" s="721"/>
      <c r="BT43" s="721"/>
      <c r="BU43" s="721"/>
      <c r="BV43" s="721"/>
      <c r="BW43" s="721"/>
      <c r="BX43" s="721"/>
      <c r="BY43" s="721"/>
      <c r="BZ43" s="721"/>
      <c r="CA43" s="721"/>
      <c r="CB43" s="721"/>
      <c r="CC43" s="721"/>
      <c r="CD43" s="721"/>
      <c r="CE43" s="721"/>
      <c r="CF43" s="721"/>
      <c r="CG43" s="721"/>
      <c r="CH43" s="721"/>
      <c r="CI43" s="721"/>
      <c r="CJ43" s="721"/>
      <c r="CK43" s="721"/>
      <c r="CL43" s="721"/>
      <c r="CM43" s="721"/>
      <c r="CN43" s="721"/>
      <c r="CO43" s="721"/>
      <c r="CP43" s="721"/>
      <c r="CQ43" s="721"/>
      <c r="CR43" s="721"/>
      <c r="CS43" s="721"/>
      <c r="CT43" s="721"/>
      <c r="CU43" s="721"/>
      <c r="CV43" s="721"/>
      <c r="CW43" s="721"/>
      <c r="CX43" s="721"/>
    </row>
    <row r="44" spans="1:102" ht="12" customHeight="1" x14ac:dyDescent="0.2">
      <c r="A44" s="1870"/>
      <c r="B44" s="1839"/>
      <c r="C44" s="718"/>
      <c r="D44" s="718"/>
      <c r="E44" s="720"/>
      <c r="F44" s="720"/>
      <c r="G44" s="720"/>
      <c r="H44" s="720"/>
      <c r="I44" s="720"/>
      <c r="J44" s="720"/>
      <c r="K44" s="720"/>
      <c r="L44" s="720"/>
      <c r="M44" s="720"/>
      <c r="N44" s="720"/>
      <c r="O44" s="720"/>
      <c r="P44" s="720"/>
      <c r="Q44" s="720"/>
      <c r="R44" s="720"/>
      <c r="S44" s="720"/>
      <c r="T44" s="1840"/>
      <c r="U44" s="722"/>
      <c r="V44" s="722"/>
      <c r="W44" s="1050"/>
      <c r="X44" s="1051"/>
      <c r="Y44" s="1051"/>
      <c r="Z44" s="1051"/>
      <c r="AA44" s="1051"/>
      <c r="AB44" s="1038">
        <f>AVERAGE(AB40:AB43)</f>
        <v>0.1</v>
      </c>
      <c r="AC44" s="1038">
        <f>AVERAGE(AC40:AC43)</f>
        <v>0.52500000000000002</v>
      </c>
      <c r="AD44" s="1038">
        <f>AVERAGE(AD40:AD43)</f>
        <v>0.21666666666666665</v>
      </c>
      <c r="AE44" s="1051"/>
      <c r="AF44" s="1051"/>
      <c r="AG44" s="1051"/>
      <c r="AH44" s="1051"/>
      <c r="AI44" s="1051"/>
      <c r="AJ44" s="1051"/>
      <c r="AK44" s="1038">
        <f>AVERAGE(AK40:AK43)</f>
        <v>1</v>
      </c>
      <c r="AL44" s="1069"/>
      <c r="AM44" s="1053">
        <f>AVERAGE(AM40:AM43)</f>
        <v>0.1</v>
      </c>
      <c r="AN44" s="1051"/>
      <c r="AO44" s="1051"/>
      <c r="AP44" s="1051"/>
      <c r="AQ44" s="1051"/>
      <c r="AR44" s="1051"/>
      <c r="AS44" s="1051"/>
      <c r="AT44" s="1051"/>
      <c r="AU44" s="1051"/>
      <c r="AV44" s="1051"/>
      <c r="AW44" s="1051"/>
      <c r="AX44" s="1083">
        <f>AVERAGE(AX40:AX43)</f>
        <v>1</v>
      </c>
      <c r="AY44" s="1055"/>
      <c r="AZ44" s="1084">
        <f>AVERAGE(AZ40:AZ43)</f>
        <v>0.52600000000000002</v>
      </c>
      <c r="BA44" s="1069"/>
      <c r="BB44" s="1069"/>
      <c r="BC44" s="1069"/>
      <c r="BD44" s="1069"/>
      <c r="BE44" s="1069"/>
      <c r="BF44" s="1069"/>
      <c r="BG44" s="1069"/>
      <c r="BH44" s="1069"/>
      <c r="BI44" s="1112"/>
      <c r="BJ44" s="1069"/>
      <c r="BK44" s="1066">
        <f>AVERAGE(BK40:BK43)</f>
        <v>1</v>
      </c>
      <c r="BL44" s="1069"/>
      <c r="BM44" s="1066">
        <f>AVERAGE(BM40:BM43)</f>
        <v>0.74099999999999999</v>
      </c>
      <c r="BN44" s="721"/>
      <c r="BO44" s="721"/>
      <c r="BP44" s="721"/>
      <c r="BQ44" s="721"/>
      <c r="BR44" s="721"/>
      <c r="BS44" s="721"/>
      <c r="BT44" s="721"/>
      <c r="BU44" s="721"/>
      <c r="BV44" s="721"/>
      <c r="BW44" s="721"/>
      <c r="BX44" s="721"/>
      <c r="BY44" s="721"/>
      <c r="BZ44" s="721"/>
      <c r="CA44" s="721"/>
      <c r="CB44" s="721"/>
      <c r="CC44" s="721"/>
      <c r="CD44" s="721"/>
      <c r="CE44" s="721"/>
      <c r="CF44" s="721"/>
      <c r="CG44" s="721"/>
      <c r="CH44" s="721"/>
      <c r="CI44" s="721"/>
      <c r="CJ44" s="721"/>
      <c r="CK44" s="721"/>
      <c r="CL44" s="721"/>
      <c r="CM44" s="721"/>
      <c r="CN44" s="721"/>
      <c r="CO44" s="721"/>
      <c r="CP44" s="721"/>
      <c r="CQ44" s="721"/>
      <c r="CR44" s="721"/>
      <c r="CS44" s="721"/>
      <c r="CT44" s="721"/>
      <c r="CU44" s="721"/>
      <c r="CV44" s="721"/>
      <c r="CW44" s="721"/>
      <c r="CX44" s="721"/>
    </row>
    <row r="45" spans="1:102" ht="47.25" customHeight="1" x14ac:dyDescent="0.2">
      <c r="A45" s="1870"/>
      <c r="B45" s="1839"/>
      <c r="C45" s="718"/>
      <c r="D45" s="718"/>
      <c r="E45" s="720"/>
      <c r="F45" s="720"/>
      <c r="G45" s="720"/>
      <c r="H45" s="720"/>
      <c r="I45" s="720"/>
      <c r="J45" s="720"/>
      <c r="K45" s="720"/>
      <c r="L45" s="720"/>
      <c r="M45" s="720"/>
      <c r="N45" s="720"/>
      <c r="O45" s="720"/>
      <c r="P45" s="720"/>
      <c r="Q45" s="720"/>
      <c r="R45" s="720"/>
      <c r="S45" s="720"/>
      <c r="T45" s="1838" t="s">
        <v>1874</v>
      </c>
      <c r="U45" s="719" t="s">
        <v>1875</v>
      </c>
      <c r="V45" s="729" t="s">
        <v>1876</v>
      </c>
      <c r="W45" s="1039" t="s">
        <v>1877</v>
      </c>
      <c r="X45" s="1040">
        <v>4900</v>
      </c>
      <c r="Y45" s="1040">
        <v>700</v>
      </c>
      <c r="Z45" s="1040">
        <v>1400</v>
      </c>
      <c r="AA45" s="1040">
        <v>1400</v>
      </c>
      <c r="AB45" s="1043">
        <f>+Y45/X45</f>
        <v>0.14285714285714285</v>
      </c>
      <c r="AC45" s="1043">
        <f>+Z45/X45</f>
        <v>0.2857142857142857</v>
      </c>
      <c r="AD45" s="1034">
        <f>AA45/X45</f>
        <v>0.2857142857142857</v>
      </c>
      <c r="AE45" s="1031">
        <v>250</v>
      </c>
      <c r="AF45" s="1031">
        <v>450</v>
      </c>
      <c r="AG45" s="1031"/>
      <c r="AH45" s="1031">
        <v>700</v>
      </c>
      <c r="AI45" s="1031"/>
      <c r="AJ45" s="1031">
        <f>+AH45</f>
        <v>700</v>
      </c>
      <c r="AK45" s="1034">
        <f>+AJ45/Y45</f>
        <v>1</v>
      </c>
      <c r="AL45" s="1031">
        <f>+AJ45</f>
        <v>700</v>
      </c>
      <c r="AM45" s="1379">
        <f>+AL45/X45</f>
        <v>0.14285714285714285</v>
      </c>
      <c r="AN45" s="1031">
        <f>+Z45</f>
        <v>1400</v>
      </c>
      <c r="AO45" s="1031">
        <v>130</v>
      </c>
      <c r="AP45" s="1031"/>
      <c r="AQ45" s="1031">
        <v>853</v>
      </c>
      <c r="AR45" s="1031"/>
      <c r="AS45" s="1031">
        <v>390</v>
      </c>
      <c r="AT45" s="1031"/>
      <c r="AU45" s="1031">
        <v>216</v>
      </c>
      <c r="AV45" s="1031"/>
      <c r="AW45" s="1031">
        <f>+AO45+AQ45+AS45+AU45</f>
        <v>1589</v>
      </c>
      <c r="AX45" s="1034">
        <v>1</v>
      </c>
      <c r="AY45" s="1031">
        <f>+AW45+AL45</f>
        <v>2289</v>
      </c>
      <c r="AZ45" s="1033">
        <f>+AY45/X45</f>
        <v>0.46714285714285714</v>
      </c>
      <c r="BA45" s="1031">
        <f>AA45</f>
        <v>1400</v>
      </c>
      <c r="BB45" s="1031">
        <v>185</v>
      </c>
      <c r="BC45" s="1031"/>
      <c r="BD45" s="1031">
        <v>929</v>
      </c>
      <c r="BE45" s="1031"/>
      <c r="BF45" s="1031">
        <v>25</v>
      </c>
      <c r="BG45" s="1031"/>
      <c r="BH45" s="1031">
        <v>840</v>
      </c>
      <c r="BI45" s="1031"/>
      <c r="BJ45" s="1031">
        <f>BB45+BD45+BF45+BH45</f>
        <v>1979</v>
      </c>
      <c r="BK45" s="1032">
        <v>1</v>
      </c>
      <c r="BL45" s="1031">
        <f>BJ45+AY45</f>
        <v>4268</v>
      </c>
      <c r="BM45" s="1032">
        <f>BL45/X45</f>
        <v>0.87102040816326531</v>
      </c>
      <c r="BN45" s="721"/>
      <c r="BO45" s="721"/>
      <c r="BP45" s="721"/>
      <c r="BQ45" s="721"/>
      <c r="BR45" s="721"/>
      <c r="BS45" s="721"/>
      <c r="BT45" s="721"/>
      <c r="BU45" s="721"/>
      <c r="BV45" s="721"/>
      <c r="BW45" s="721"/>
      <c r="BX45" s="721"/>
      <c r="BY45" s="721"/>
      <c r="BZ45" s="721"/>
      <c r="CA45" s="721"/>
      <c r="CB45" s="721"/>
      <c r="CC45" s="721"/>
      <c r="CD45" s="721"/>
      <c r="CE45" s="721"/>
      <c r="CF45" s="721"/>
      <c r="CG45" s="721"/>
      <c r="CH45" s="721"/>
      <c r="CI45" s="721"/>
      <c r="CJ45" s="721"/>
      <c r="CK45" s="721"/>
      <c r="CL45" s="721"/>
      <c r="CM45" s="721"/>
      <c r="CN45" s="721"/>
      <c r="CO45" s="721"/>
      <c r="CP45" s="721"/>
      <c r="CQ45" s="721"/>
      <c r="CR45" s="721"/>
      <c r="CS45" s="721"/>
      <c r="CT45" s="721"/>
      <c r="CU45" s="721"/>
      <c r="CV45" s="721"/>
      <c r="CW45" s="721"/>
      <c r="CX45" s="721"/>
    </row>
    <row r="46" spans="1:102" ht="75" customHeight="1" x14ac:dyDescent="0.2">
      <c r="A46" s="1870"/>
      <c r="B46" s="1839"/>
      <c r="C46" s="718"/>
      <c r="D46" s="718"/>
      <c r="E46" s="720"/>
      <c r="F46" s="720"/>
      <c r="G46" s="720"/>
      <c r="H46" s="720"/>
      <c r="I46" s="720"/>
      <c r="J46" s="720"/>
      <c r="K46" s="720"/>
      <c r="L46" s="720"/>
      <c r="M46" s="720"/>
      <c r="N46" s="720"/>
      <c r="O46" s="720"/>
      <c r="P46" s="720"/>
      <c r="Q46" s="720"/>
      <c r="R46" s="720"/>
      <c r="S46" s="720"/>
      <c r="T46" s="1839"/>
      <c r="U46" s="719" t="s">
        <v>1878</v>
      </c>
      <c r="V46" s="719" t="s">
        <v>1879</v>
      </c>
      <c r="W46" s="1039" t="s">
        <v>1880</v>
      </c>
      <c r="X46" s="1040">
        <v>175</v>
      </c>
      <c r="Y46" s="1040">
        <v>35</v>
      </c>
      <c r="Z46" s="1040">
        <v>47</v>
      </c>
      <c r="AA46" s="1040">
        <v>40</v>
      </c>
      <c r="AB46" s="1043">
        <f>+Y46/X46</f>
        <v>0.2</v>
      </c>
      <c r="AC46" s="1043">
        <f>+Z46/X46</f>
        <v>0.26857142857142857</v>
      </c>
      <c r="AD46" s="1034">
        <f>AA46/X46</f>
        <v>0.22857142857142856</v>
      </c>
      <c r="AE46" s="1031">
        <v>15</v>
      </c>
      <c r="AF46" s="1031">
        <v>8</v>
      </c>
      <c r="AG46" s="1031"/>
      <c r="AH46" s="1031">
        <v>35</v>
      </c>
      <c r="AI46" s="1031"/>
      <c r="AJ46" s="1031">
        <f>+AH46</f>
        <v>35</v>
      </c>
      <c r="AK46" s="1034">
        <f>+AJ46/Y46</f>
        <v>1</v>
      </c>
      <c r="AL46" s="1031">
        <f>+AJ46</f>
        <v>35</v>
      </c>
      <c r="AM46" s="1379">
        <f>+AL46/X46</f>
        <v>0.2</v>
      </c>
      <c r="AN46" s="1031">
        <f>+Z46</f>
        <v>47</v>
      </c>
      <c r="AO46" s="1031">
        <v>25</v>
      </c>
      <c r="AP46" s="1031"/>
      <c r="AQ46" s="1031">
        <v>22</v>
      </c>
      <c r="AR46" s="1031"/>
      <c r="AS46" s="1031">
        <v>8</v>
      </c>
      <c r="AT46" s="1031"/>
      <c r="AU46" s="1031">
        <v>8</v>
      </c>
      <c r="AV46" s="1031"/>
      <c r="AW46" s="1031">
        <f>+AO46+AQ46+AS46+AU46</f>
        <v>63</v>
      </c>
      <c r="AX46" s="1034">
        <v>1</v>
      </c>
      <c r="AY46" s="1031">
        <f>+AW46+AL46</f>
        <v>98</v>
      </c>
      <c r="AZ46" s="1033">
        <f>+AY46/X46</f>
        <v>0.56000000000000005</v>
      </c>
      <c r="BA46" s="1031">
        <v>40</v>
      </c>
      <c r="BB46" s="1031">
        <v>0</v>
      </c>
      <c r="BC46" s="1031"/>
      <c r="BD46" s="1031">
        <v>5</v>
      </c>
      <c r="BE46" s="1031"/>
      <c r="BF46" s="1031">
        <v>12</v>
      </c>
      <c r="BG46" s="324" t="s">
        <v>2224</v>
      </c>
      <c r="BH46" s="1031">
        <v>26</v>
      </c>
      <c r="BI46" s="1031"/>
      <c r="BJ46" s="1031">
        <f>+BD46+BF46+BH46</f>
        <v>43</v>
      </c>
      <c r="BK46" s="1032">
        <v>1</v>
      </c>
      <c r="BL46" s="1031">
        <f>BJ46+AY46</f>
        <v>141</v>
      </c>
      <c r="BM46" s="1032">
        <f>BL46/X46</f>
        <v>0.80571428571428572</v>
      </c>
      <c r="BN46" s="721"/>
      <c r="BO46" s="721"/>
      <c r="BP46" s="721"/>
      <c r="BQ46" s="721"/>
      <c r="BR46" s="721"/>
      <c r="BS46" s="721"/>
      <c r="BT46" s="721"/>
      <c r="BU46" s="721"/>
      <c r="BV46" s="721"/>
      <c r="BW46" s="721"/>
      <c r="BX46" s="721"/>
      <c r="BY46" s="721"/>
      <c r="BZ46" s="721"/>
      <c r="CA46" s="721"/>
      <c r="CB46" s="721"/>
      <c r="CC46" s="721"/>
      <c r="CD46" s="721"/>
      <c r="CE46" s="721"/>
      <c r="CF46" s="721"/>
      <c r="CG46" s="721"/>
      <c r="CH46" s="721"/>
      <c r="CI46" s="721"/>
      <c r="CJ46" s="721"/>
      <c r="CK46" s="721"/>
      <c r="CL46" s="721"/>
      <c r="CM46" s="721"/>
      <c r="CN46" s="721"/>
      <c r="CO46" s="721"/>
      <c r="CP46" s="721"/>
      <c r="CQ46" s="721"/>
      <c r="CR46" s="721"/>
      <c r="CS46" s="721"/>
      <c r="CT46" s="721"/>
      <c r="CU46" s="721"/>
      <c r="CV46" s="721"/>
      <c r="CW46" s="721"/>
      <c r="CX46" s="721"/>
    </row>
    <row r="47" spans="1:102" ht="51.75" customHeight="1" x14ac:dyDescent="0.2">
      <c r="A47" s="1870"/>
      <c r="B47" s="1839"/>
      <c r="C47" s="718"/>
      <c r="D47" s="718"/>
      <c r="E47" s="720"/>
      <c r="F47" s="720"/>
      <c r="G47" s="720"/>
      <c r="H47" s="720"/>
      <c r="I47" s="720"/>
      <c r="J47" s="720"/>
      <c r="K47" s="720"/>
      <c r="L47" s="720"/>
      <c r="M47" s="720"/>
      <c r="N47" s="720"/>
      <c r="O47" s="720"/>
      <c r="P47" s="720"/>
      <c r="Q47" s="720"/>
      <c r="R47" s="720"/>
      <c r="S47" s="720"/>
      <c r="T47" s="1839"/>
      <c r="U47" s="719" t="s">
        <v>1881</v>
      </c>
      <c r="V47" s="719" t="s">
        <v>1882</v>
      </c>
      <c r="W47" s="1039" t="s">
        <v>1883</v>
      </c>
      <c r="X47" s="1040">
        <v>14</v>
      </c>
      <c r="Y47" s="1040" t="s">
        <v>177</v>
      </c>
      <c r="Z47" s="1040">
        <v>5</v>
      </c>
      <c r="AA47" s="1040">
        <v>5</v>
      </c>
      <c r="AB47" s="1040"/>
      <c r="AC47" s="1043">
        <f>+Z47/X47</f>
        <v>0.35714285714285715</v>
      </c>
      <c r="AD47" s="1034"/>
      <c r="AE47" s="1031"/>
      <c r="AF47" s="1031"/>
      <c r="AG47" s="1031"/>
      <c r="AH47" s="1031"/>
      <c r="AI47" s="1031"/>
      <c r="AJ47" s="1031"/>
      <c r="AK47" s="1034"/>
      <c r="AL47" s="1031"/>
      <c r="AM47" s="1379"/>
      <c r="AN47" s="1031">
        <f>+Z47</f>
        <v>5</v>
      </c>
      <c r="AO47" s="1031">
        <v>6</v>
      </c>
      <c r="AP47" s="1031"/>
      <c r="AQ47" s="1031">
        <v>5</v>
      </c>
      <c r="AR47" s="1031"/>
      <c r="AS47" s="1031">
        <v>5</v>
      </c>
      <c r="AT47" s="1031"/>
      <c r="AU47" s="1031">
        <v>0</v>
      </c>
      <c r="AV47" s="1031"/>
      <c r="AW47" s="1031">
        <f>+AO47+AQ47+AS47</f>
        <v>16</v>
      </c>
      <c r="AX47" s="1034">
        <v>1</v>
      </c>
      <c r="AY47" s="1031">
        <f>+AW47+AL47</f>
        <v>16</v>
      </c>
      <c r="AZ47" s="1033">
        <v>1</v>
      </c>
      <c r="BA47" s="1031">
        <v>5</v>
      </c>
      <c r="BB47" s="1031">
        <v>0</v>
      </c>
      <c r="BC47" s="1031"/>
      <c r="BD47" s="1031">
        <v>3</v>
      </c>
      <c r="BE47" s="1031"/>
      <c r="BF47" s="1031">
        <v>4</v>
      </c>
      <c r="BG47" s="1031"/>
      <c r="BH47" s="1031">
        <v>0</v>
      </c>
      <c r="BI47" s="1031"/>
      <c r="BJ47" s="1031">
        <f>+BD47+BF47</f>
        <v>7</v>
      </c>
      <c r="BK47" s="1032">
        <v>1</v>
      </c>
      <c r="BL47" s="1031">
        <f>BJ47+AY47</f>
        <v>23</v>
      </c>
      <c r="BM47" s="1032">
        <v>1</v>
      </c>
      <c r="BN47" s="721"/>
      <c r="BO47" s="721"/>
      <c r="BP47" s="721"/>
      <c r="BQ47" s="721"/>
      <c r="BR47" s="721"/>
      <c r="BS47" s="721"/>
      <c r="BT47" s="721"/>
      <c r="BU47" s="721"/>
      <c r="BV47" s="721"/>
      <c r="BW47" s="721"/>
      <c r="BX47" s="721"/>
      <c r="BY47" s="721"/>
      <c r="BZ47" s="721"/>
      <c r="CA47" s="721"/>
      <c r="CB47" s="721"/>
      <c r="CC47" s="721"/>
      <c r="CD47" s="721"/>
      <c r="CE47" s="721"/>
      <c r="CF47" s="721"/>
      <c r="CG47" s="721"/>
      <c r="CH47" s="721"/>
      <c r="CI47" s="721"/>
      <c r="CJ47" s="721"/>
      <c r="CK47" s="721"/>
      <c r="CL47" s="721"/>
      <c r="CM47" s="721"/>
      <c r="CN47" s="721"/>
      <c r="CO47" s="721"/>
      <c r="CP47" s="721"/>
      <c r="CQ47" s="721"/>
      <c r="CR47" s="721"/>
      <c r="CS47" s="721"/>
      <c r="CT47" s="721"/>
      <c r="CU47" s="721"/>
      <c r="CV47" s="721"/>
      <c r="CW47" s="721"/>
      <c r="CX47" s="721"/>
    </row>
    <row r="48" spans="1:102" ht="56.25" customHeight="1" x14ac:dyDescent="0.2">
      <c r="A48" s="1870"/>
      <c r="B48" s="1839"/>
      <c r="C48" s="718"/>
      <c r="D48" s="718"/>
      <c r="E48" s="720"/>
      <c r="F48" s="720"/>
      <c r="G48" s="720"/>
      <c r="H48" s="720"/>
      <c r="I48" s="720"/>
      <c r="J48" s="720"/>
      <c r="K48" s="720"/>
      <c r="L48" s="720"/>
      <c r="M48" s="720"/>
      <c r="N48" s="720"/>
      <c r="O48" s="720"/>
      <c r="P48" s="720"/>
      <c r="Q48" s="720"/>
      <c r="R48" s="720"/>
      <c r="S48" s="720"/>
      <c r="T48" s="1839"/>
      <c r="U48" s="719" t="s">
        <v>1884</v>
      </c>
      <c r="V48" s="719" t="s">
        <v>1885</v>
      </c>
      <c r="W48" s="1039" t="s">
        <v>1886</v>
      </c>
      <c r="X48" s="1040">
        <v>700</v>
      </c>
      <c r="Y48" s="1040">
        <v>150</v>
      </c>
      <c r="Z48" s="1040">
        <v>183</v>
      </c>
      <c r="AA48" s="1040">
        <v>80</v>
      </c>
      <c r="AB48" s="1043">
        <f>+Y48/X48</f>
        <v>0.21428571428571427</v>
      </c>
      <c r="AC48" s="1043">
        <f>+Z48/X48</f>
        <v>0.26142857142857145</v>
      </c>
      <c r="AD48" s="1034">
        <f>AA48/X48</f>
        <v>0.11428571428571428</v>
      </c>
      <c r="AE48" s="1031">
        <v>150</v>
      </c>
      <c r="AF48" s="1031">
        <v>150</v>
      </c>
      <c r="AG48" s="1031"/>
      <c r="AH48" s="1031">
        <v>150</v>
      </c>
      <c r="AI48" s="1031"/>
      <c r="AJ48" s="1031">
        <f>+AH48</f>
        <v>150</v>
      </c>
      <c r="AK48" s="1034">
        <f>+AJ48/Y48</f>
        <v>1</v>
      </c>
      <c r="AL48" s="1031">
        <f>+AJ48</f>
        <v>150</v>
      </c>
      <c r="AM48" s="1379">
        <f>+AL48/X48</f>
        <v>0.21428571428571427</v>
      </c>
      <c r="AN48" s="1031">
        <f>+Z48</f>
        <v>183</v>
      </c>
      <c r="AO48" s="1031">
        <v>58</v>
      </c>
      <c r="AP48" s="1031"/>
      <c r="AQ48" s="1031">
        <v>102</v>
      </c>
      <c r="AR48" s="1031"/>
      <c r="AS48" s="1031">
        <v>147</v>
      </c>
      <c r="AT48" s="1031"/>
      <c r="AU48" s="1031">
        <v>96</v>
      </c>
      <c r="AV48" s="1031"/>
      <c r="AW48" s="1031">
        <f>+AO48+AQ48+AS48+AU48</f>
        <v>403</v>
      </c>
      <c r="AX48" s="1034">
        <v>1</v>
      </c>
      <c r="AY48" s="1031">
        <f>+AW48+AL48</f>
        <v>553</v>
      </c>
      <c r="AZ48" s="1033">
        <f>+AY48/X48</f>
        <v>0.79</v>
      </c>
      <c r="BA48" s="1031">
        <v>80</v>
      </c>
      <c r="BB48" s="1031">
        <v>40</v>
      </c>
      <c r="BC48" s="1031"/>
      <c r="BD48" s="1031">
        <v>45</v>
      </c>
      <c r="BE48" s="1031"/>
      <c r="BF48" s="1031">
        <v>55</v>
      </c>
      <c r="BG48" s="1031"/>
      <c r="BH48" s="1031"/>
      <c r="BI48" s="1031"/>
      <c r="BJ48" s="1031">
        <f>BB48+BD48+BF48</f>
        <v>140</v>
      </c>
      <c r="BK48" s="1032">
        <v>1</v>
      </c>
      <c r="BL48" s="1031">
        <f>BJ48+AY48</f>
        <v>693</v>
      </c>
      <c r="BM48" s="1032">
        <f>BL48/X48</f>
        <v>0.99</v>
      </c>
      <c r="BN48" s="721"/>
      <c r="BO48" s="721"/>
      <c r="BP48" s="721"/>
      <c r="BQ48" s="721"/>
      <c r="BR48" s="721"/>
      <c r="BS48" s="721"/>
      <c r="BT48" s="721"/>
      <c r="BU48" s="721"/>
      <c r="BV48" s="721"/>
      <c r="BW48" s="721"/>
      <c r="BX48" s="721"/>
      <c r="BY48" s="721"/>
      <c r="BZ48" s="721"/>
      <c r="CA48" s="721"/>
      <c r="CB48" s="721"/>
      <c r="CC48" s="721"/>
      <c r="CD48" s="721"/>
      <c r="CE48" s="721"/>
      <c r="CF48" s="721"/>
      <c r="CG48" s="721"/>
      <c r="CH48" s="721"/>
      <c r="CI48" s="721"/>
      <c r="CJ48" s="721"/>
      <c r="CK48" s="721"/>
      <c r="CL48" s="721"/>
      <c r="CM48" s="721"/>
      <c r="CN48" s="721"/>
      <c r="CO48" s="721"/>
      <c r="CP48" s="721"/>
      <c r="CQ48" s="721"/>
      <c r="CR48" s="721"/>
      <c r="CS48" s="721"/>
      <c r="CT48" s="721"/>
      <c r="CU48" s="721"/>
      <c r="CV48" s="721"/>
      <c r="CW48" s="721"/>
      <c r="CX48" s="721"/>
    </row>
    <row r="49" spans="1:102" ht="12" customHeight="1" x14ac:dyDescent="0.2">
      <c r="A49" s="1870"/>
      <c r="B49" s="1839"/>
      <c r="C49" s="718"/>
      <c r="D49" s="718"/>
      <c r="E49" s="720"/>
      <c r="F49" s="720"/>
      <c r="G49" s="720"/>
      <c r="H49" s="720"/>
      <c r="I49" s="720"/>
      <c r="J49" s="720"/>
      <c r="K49" s="720"/>
      <c r="L49" s="720"/>
      <c r="M49" s="720"/>
      <c r="N49" s="720"/>
      <c r="O49" s="720"/>
      <c r="P49" s="720"/>
      <c r="Q49" s="720"/>
      <c r="R49" s="720"/>
      <c r="S49" s="720"/>
      <c r="T49" s="1840"/>
      <c r="U49" s="722"/>
      <c r="V49" s="722"/>
      <c r="W49" s="1050"/>
      <c r="X49" s="1051"/>
      <c r="Y49" s="1051"/>
      <c r="Z49" s="1051"/>
      <c r="AA49" s="1051"/>
      <c r="AB49" s="1038">
        <f>AVERAGE(AB45:AB48)</f>
        <v>0.18571428571428572</v>
      </c>
      <c r="AC49" s="1038">
        <f>AVERAGE(AC45:AC48)</f>
        <v>0.29321428571428576</v>
      </c>
      <c r="AD49" s="1038">
        <f>AVERAGE(AD46:AD48)</f>
        <v>0.17142857142857143</v>
      </c>
      <c r="AE49" s="1051"/>
      <c r="AF49" s="1051"/>
      <c r="AG49" s="1051"/>
      <c r="AH49" s="1051"/>
      <c r="AI49" s="1051"/>
      <c r="AJ49" s="1051"/>
      <c r="AK49" s="1038">
        <f>AVERAGE(AK45:AK48)</f>
        <v>1</v>
      </c>
      <c r="AL49" s="1051"/>
      <c r="AM49" s="1070">
        <f>AVERAGE(AM45:AM48)</f>
        <v>0.18571428571428572</v>
      </c>
      <c r="AN49" s="1051"/>
      <c r="AO49" s="1051"/>
      <c r="AP49" s="1051"/>
      <c r="AQ49" s="1051"/>
      <c r="AR49" s="1051"/>
      <c r="AS49" s="1051"/>
      <c r="AT49" s="1051"/>
      <c r="AU49" s="1051"/>
      <c r="AV49" s="1051"/>
      <c r="AW49" s="1051"/>
      <c r="AX49" s="1083">
        <f>AVERAGE(AX45:AX48)</f>
        <v>1</v>
      </c>
      <c r="AY49" s="1055"/>
      <c r="AZ49" s="1084">
        <f>AVERAGE(AZ45:AZ48)</f>
        <v>0.70428571428571429</v>
      </c>
      <c r="BA49" s="1069"/>
      <c r="BB49" s="1069"/>
      <c r="BC49" s="1069"/>
      <c r="BD49" s="1069"/>
      <c r="BE49" s="1069"/>
      <c r="BF49" s="1069"/>
      <c r="BG49" s="1069"/>
      <c r="BH49" s="1069"/>
      <c r="BI49" s="1069"/>
      <c r="BJ49" s="1069"/>
      <c r="BK49" s="1066">
        <f>AVERAGE(BK45:BK48)</f>
        <v>1</v>
      </c>
      <c r="BL49" s="1069"/>
      <c r="BM49" s="1066">
        <f>AVERAGE(BM45:BM48)</f>
        <v>0.91668367346938773</v>
      </c>
      <c r="BN49" s="721"/>
      <c r="BO49" s="721"/>
      <c r="BP49" s="721"/>
      <c r="BQ49" s="721"/>
      <c r="BR49" s="721"/>
      <c r="BS49" s="721"/>
      <c r="BT49" s="721"/>
      <c r="BU49" s="721"/>
      <c r="BV49" s="721"/>
      <c r="BW49" s="721"/>
      <c r="BX49" s="721"/>
      <c r="BY49" s="721"/>
      <c r="BZ49" s="721"/>
      <c r="CA49" s="721"/>
      <c r="CB49" s="721"/>
      <c r="CC49" s="721"/>
      <c r="CD49" s="721"/>
      <c r="CE49" s="721"/>
      <c r="CF49" s="721"/>
      <c r="CG49" s="721"/>
      <c r="CH49" s="721"/>
      <c r="CI49" s="721"/>
      <c r="CJ49" s="721"/>
      <c r="CK49" s="721"/>
      <c r="CL49" s="721"/>
      <c r="CM49" s="721"/>
      <c r="CN49" s="721"/>
      <c r="CO49" s="721"/>
      <c r="CP49" s="721"/>
      <c r="CQ49" s="721"/>
      <c r="CR49" s="721"/>
      <c r="CS49" s="721"/>
      <c r="CT49" s="721"/>
      <c r="CU49" s="721"/>
      <c r="CV49" s="721"/>
      <c r="CW49" s="721"/>
      <c r="CX49" s="721"/>
    </row>
    <row r="50" spans="1:102" ht="47.25" customHeight="1" x14ac:dyDescent="0.2">
      <c r="A50" s="1870"/>
      <c r="B50" s="1839"/>
      <c r="C50" s="718"/>
      <c r="D50" s="718"/>
      <c r="E50" s="720"/>
      <c r="F50" s="720"/>
      <c r="G50" s="720"/>
      <c r="H50" s="720"/>
      <c r="I50" s="720"/>
      <c r="J50" s="720"/>
      <c r="K50" s="720"/>
      <c r="L50" s="720"/>
      <c r="M50" s="720"/>
      <c r="N50" s="720"/>
      <c r="O50" s="720"/>
      <c r="P50" s="720"/>
      <c r="Q50" s="720"/>
      <c r="R50" s="720"/>
      <c r="S50" s="720"/>
      <c r="T50" s="1838" t="s">
        <v>1887</v>
      </c>
      <c r="U50" s="719" t="s">
        <v>1888</v>
      </c>
      <c r="V50" s="719">
        <v>0</v>
      </c>
      <c r="W50" s="1039" t="s">
        <v>1889</v>
      </c>
      <c r="X50" s="1040">
        <v>1</v>
      </c>
      <c r="Y50" s="1040">
        <v>1</v>
      </c>
      <c r="Z50" s="1031">
        <v>1</v>
      </c>
      <c r="AA50" s="1031"/>
      <c r="AB50" s="1034">
        <v>0.25</v>
      </c>
      <c r="AC50" s="1034">
        <v>0.25</v>
      </c>
      <c r="AD50" s="1034">
        <v>0.25</v>
      </c>
      <c r="AE50" s="1031">
        <v>1</v>
      </c>
      <c r="AF50" s="1031">
        <v>1</v>
      </c>
      <c r="AG50" s="1031"/>
      <c r="AH50" s="1031">
        <v>1</v>
      </c>
      <c r="AI50" s="1031"/>
      <c r="AJ50" s="1031">
        <f>+AH50</f>
        <v>1</v>
      </c>
      <c r="AK50" s="1034">
        <v>1</v>
      </c>
      <c r="AL50" s="1031">
        <v>1</v>
      </c>
      <c r="AM50" s="1033">
        <v>0.25</v>
      </c>
      <c r="AN50" s="1031">
        <f>+Z50</f>
        <v>1</v>
      </c>
      <c r="AO50" s="1031">
        <v>0.25</v>
      </c>
      <c r="AP50" s="1031"/>
      <c r="AQ50" s="1031">
        <v>0.75</v>
      </c>
      <c r="AR50" s="1031"/>
      <c r="AS50" s="1031">
        <v>0</v>
      </c>
      <c r="AT50" s="1031"/>
      <c r="AU50" s="1031">
        <v>1</v>
      </c>
      <c r="AV50" s="1031"/>
      <c r="AW50" s="1031">
        <f>0.25+AQ50</f>
        <v>1</v>
      </c>
      <c r="AX50" s="1034">
        <f>+AW50</f>
        <v>1</v>
      </c>
      <c r="AY50" s="1034">
        <v>1</v>
      </c>
      <c r="AZ50" s="1033">
        <v>1</v>
      </c>
      <c r="BA50" s="1034">
        <v>1</v>
      </c>
      <c r="BB50" s="1031">
        <v>0</v>
      </c>
      <c r="BC50" s="1031"/>
      <c r="BD50" s="1031">
        <v>0.05</v>
      </c>
      <c r="BE50" s="1031"/>
      <c r="BF50" s="1031">
        <v>0.05</v>
      </c>
      <c r="BG50" s="324" t="s">
        <v>2224</v>
      </c>
      <c r="BH50" s="1031">
        <v>0.9</v>
      </c>
      <c r="BI50" s="1031"/>
      <c r="BJ50" s="1031">
        <f>+BD50+BF50+BH50</f>
        <v>1</v>
      </c>
      <c r="BK50" s="1034">
        <f>+BJ50</f>
        <v>1</v>
      </c>
      <c r="BL50" s="1031"/>
      <c r="BM50" s="1034">
        <v>1</v>
      </c>
      <c r="BN50" s="721"/>
      <c r="BO50" s="721"/>
      <c r="BP50" s="721"/>
      <c r="BQ50" s="721"/>
      <c r="BR50" s="721"/>
      <c r="BS50" s="721"/>
      <c r="BT50" s="721"/>
      <c r="BU50" s="721"/>
      <c r="BV50" s="721"/>
      <c r="BW50" s="721"/>
      <c r="BX50" s="721"/>
      <c r="BY50" s="721"/>
      <c r="BZ50" s="721"/>
      <c r="CA50" s="721"/>
      <c r="CB50" s="721"/>
      <c r="CC50" s="721"/>
      <c r="CD50" s="721"/>
      <c r="CE50" s="721"/>
      <c r="CF50" s="721"/>
      <c r="CG50" s="721"/>
      <c r="CH50" s="721"/>
      <c r="CI50" s="721"/>
      <c r="CJ50" s="721"/>
      <c r="CK50" s="721"/>
      <c r="CL50" s="721"/>
      <c r="CM50" s="721"/>
      <c r="CN50" s="721"/>
      <c r="CO50" s="721"/>
      <c r="CP50" s="721"/>
      <c r="CQ50" s="721"/>
      <c r="CR50" s="721"/>
      <c r="CS50" s="721"/>
      <c r="CT50" s="721"/>
      <c r="CU50" s="721"/>
      <c r="CV50" s="721"/>
      <c r="CW50" s="721"/>
      <c r="CX50" s="721"/>
    </row>
    <row r="51" spans="1:102" ht="12" customHeight="1" x14ac:dyDescent="0.2">
      <c r="A51" s="1870"/>
      <c r="B51" s="1839"/>
      <c r="C51" s="718"/>
      <c r="D51" s="718"/>
      <c r="E51" s="720"/>
      <c r="F51" s="720"/>
      <c r="G51" s="720"/>
      <c r="H51" s="720"/>
      <c r="I51" s="720"/>
      <c r="J51" s="720"/>
      <c r="K51" s="720"/>
      <c r="L51" s="720"/>
      <c r="M51" s="720"/>
      <c r="N51" s="720"/>
      <c r="O51" s="720"/>
      <c r="P51" s="720"/>
      <c r="Q51" s="720"/>
      <c r="R51" s="720"/>
      <c r="S51" s="720"/>
      <c r="T51" s="1840"/>
      <c r="U51" s="722"/>
      <c r="V51" s="722"/>
      <c r="W51" s="1050"/>
      <c r="X51" s="1051"/>
      <c r="Y51" s="1085"/>
      <c r="Z51" s="1384"/>
      <c r="AA51" s="1384"/>
      <c r="AB51" s="1037">
        <v>0.25</v>
      </c>
      <c r="AC51" s="1037">
        <v>0.25</v>
      </c>
      <c r="AD51" s="1037">
        <v>0.25</v>
      </c>
      <c r="AE51" s="1385"/>
      <c r="AF51" s="1385"/>
      <c r="AG51" s="1386"/>
      <c r="AH51" s="1386"/>
      <c r="AI51" s="1386"/>
      <c r="AJ51" s="1386"/>
      <c r="AK51" s="1037">
        <f>AVERAGE(AK50)</f>
        <v>1</v>
      </c>
      <c r="AL51" s="1387"/>
      <c r="AM51" s="1388">
        <f>AVERAGE(AM50)</f>
        <v>0.25</v>
      </c>
      <c r="AN51" s="1386"/>
      <c r="AO51" s="1386"/>
      <c r="AP51" s="1386"/>
      <c r="AQ51" s="1386"/>
      <c r="AR51" s="1386"/>
      <c r="AS51" s="1386"/>
      <c r="AT51" s="1386"/>
      <c r="AU51" s="1386"/>
      <c r="AV51" s="1386"/>
      <c r="AW51" s="1386"/>
      <c r="AX51" s="1389">
        <f>AVERAGE(AX50)</f>
        <v>1</v>
      </c>
      <c r="AY51" s="1189"/>
      <c r="AZ51" s="1390">
        <f>AVERAGE(AZ50)</f>
        <v>1</v>
      </c>
      <c r="BA51" s="1031"/>
      <c r="BB51" s="1031"/>
      <c r="BC51" s="1031"/>
      <c r="BD51" s="1031"/>
      <c r="BE51" s="1031"/>
      <c r="BF51" s="1031"/>
      <c r="BG51" s="1031"/>
      <c r="BH51" s="1031"/>
      <c r="BI51" s="1031"/>
      <c r="BJ51" s="1031"/>
      <c r="BK51" s="1390">
        <f>+BK50</f>
        <v>1</v>
      </c>
      <c r="BL51" s="1031"/>
      <c r="BM51" s="1390">
        <v>1</v>
      </c>
      <c r="BN51" s="721"/>
      <c r="BO51" s="721"/>
      <c r="BP51" s="721"/>
      <c r="BQ51" s="721"/>
      <c r="BR51" s="721"/>
      <c r="BS51" s="721"/>
      <c r="BT51" s="721"/>
      <c r="BU51" s="721"/>
      <c r="BV51" s="721"/>
      <c r="BW51" s="721"/>
      <c r="BX51" s="721"/>
      <c r="BY51" s="721"/>
      <c r="BZ51" s="721"/>
      <c r="CA51" s="721"/>
      <c r="CB51" s="721"/>
      <c r="CC51" s="721"/>
      <c r="CD51" s="721"/>
      <c r="CE51" s="721"/>
      <c r="CF51" s="721"/>
      <c r="CG51" s="721"/>
      <c r="CH51" s="721"/>
      <c r="CI51" s="721"/>
      <c r="CJ51" s="721"/>
      <c r="CK51" s="721"/>
      <c r="CL51" s="721"/>
      <c r="CM51" s="721"/>
      <c r="CN51" s="721"/>
      <c r="CO51" s="721"/>
      <c r="CP51" s="721"/>
      <c r="CQ51" s="721"/>
      <c r="CR51" s="721"/>
      <c r="CS51" s="721"/>
      <c r="CT51" s="721"/>
      <c r="CU51" s="721"/>
      <c r="CV51" s="721"/>
      <c r="CW51" s="721"/>
      <c r="CX51" s="721"/>
    </row>
    <row r="52" spans="1:102" ht="56.25" customHeight="1" x14ac:dyDescent="0.2">
      <c r="A52" s="1870"/>
      <c r="B52" s="1839"/>
      <c r="C52" s="718"/>
      <c r="D52" s="718"/>
      <c r="E52" s="720"/>
      <c r="F52" s="720"/>
      <c r="G52" s="720"/>
      <c r="H52" s="720"/>
      <c r="I52" s="720"/>
      <c r="J52" s="720"/>
      <c r="K52" s="720"/>
      <c r="L52" s="720"/>
      <c r="M52" s="720"/>
      <c r="N52" s="720"/>
      <c r="O52" s="720"/>
      <c r="P52" s="720"/>
      <c r="Q52" s="720"/>
      <c r="R52" s="720"/>
      <c r="S52" s="720"/>
      <c r="T52" s="1838" t="s">
        <v>1890</v>
      </c>
      <c r="U52" s="719" t="s">
        <v>1891</v>
      </c>
      <c r="V52" s="719" t="s">
        <v>1892</v>
      </c>
      <c r="W52" s="1039" t="s">
        <v>1893</v>
      </c>
      <c r="X52" s="1040">
        <v>55</v>
      </c>
      <c r="Y52" s="1040">
        <v>5</v>
      </c>
      <c r="Z52" s="1031">
        <v>17</v>
      </c>
      <c r="AA52" s="1031">
        <v>25</v>
      </c>
      <c r="AB52" s="1034">
        <f>+Y52/X52</f>
        <v>9.0909090909090912E-2</v>
      </c>
      <c r="AC52" s="1034">
        <f>+Z52/X52</f>
        <v>0.30909090909090908</v>
      </c>
      <c r="AD52" s="1034">
        <f>AA52/X52</f>
        <v>0.45454545454545453</v>
      </c>
      <c r="AE52" s="1031">
        <v>0</v>
      </c>
      <c r="AF52" s="1031">
        <v>0</v>
      </c>
      <c r="AG52" s="1031"/>
      <c r="AH52" s="1031">
        <v>0</v>
      </c>
      <c r="AI52" s="1031"/>
      <c r="AJ52" s="1031">
        <f>+AH52</f>
        <v>0</v>
      </c>
      <c r="AK52" s="1034">
        <v>0</v>
      </c>
      <c r="AL52" s="1031">
        <v>0</v>
      </c>
      <c r="AM52" s="1033">
        <v>0</v>
      </c>
      <c r="AN52" s="1031">
        <f>+Z52</f>
        <v>17</v>
      </c>
      <c r="AO52" s="1031">
        <v>0</v>
      </c>
      <c r="AP52" s="1031"/>
      <c r="AQ52" s="1031">
        <v>0</v>
      </c>
      <c r="AR52" s="1031"/>
      <c r="AS52" s="1031">
        <v>0</v>
      </c>
      <c r="AT52" s="1031"/>
      <c r="AU52" s="1031">
        <v>5</v>
      </c>
      <c r="AV52" s="1031"/>
      <c r="AW52" s="1031">
        <f>+AU52</f>
        <v>5</v>
      </c>
      <c r="AX52" s="1034">
        <f>AW52/AN52</f>
        <v>0.29411764705882354</v>
      </c>
      <c r="AY52" s="1031">
        <f>+AW52+AL52</f>
        <v>5</v>
      </c>
      <c r="AZ52" s="1033">
        <f>+AY52/X52</f>
        <v>9.0909090909090912E-2</v>
      </c>
      <c r="BA52" s="1031">
        <v>25</v>
      </c>
      <c r="BB52" s="1031">
        <v>2</v>
      </c>
      <c r="BC52" s="1031"/>
      <c r="BD52" s="1031">
        <v>14</v>
      </c>
      <c r="BE52" s="1031"/>
      <c r="BF52" s="1031">
        <v>2</v>
      </c>
      <c r="BG52" s="1031"/>
      <c r="BH52" s="1031">
        <v>5</v>
      </c>
      <c r="BI52" s="1031"/>
      <c r="BJ52" s="1031">
        <f>BB52+BD52+BF52+BH52</f>
        <v>23</v>
      </c>
      <c r="BK52" s="1032">
        <f>BJ52/BA52</f>
        <v>0.92</v>
      </c>
      <c r="BL52" s="1031">
        <f>BJ52+AY52</f>
        <v>28</v>
      </c>
      <c r="BM52" s="1032">
        <f>BL52/X52</f>
        <v>0.50909090909090904</v>
      </c>
      <c r="BN52" s="721"/>
      <c r="BO52" s="721"/>
      <c r="BP52" s="721"/>
      <c r="BQ52" s="721"/>
      <c r="BR52" s="721"/>
      <c r="BS52" s="721"/>
      <c r="BT52" s="721"/>
      <c r="BU52" s="721"/>
      <c r="BV52" s="721"/>
      <c r="BW52" s="721"/>
      <c r="BX52" s="721"/>
      <c r="BY52" s="721"/>
      <c r="BZ52" s="721"/>
      <c r="CA52" s="721"/>
      <c r="CB52" s="721"/>
      <c r="CC52" s="721"/>
      <c r="CD52" s="721"/>
      <c r="CE52" s="721"/>
      <c r="CF52" s="721"/>
      <c r="CG52" s="721"/>
      <c r="CH52" s="721"/>
      <c r="CI52" s="721"/>
      <c r="CJ52" s="721"/>
      <c r="CK52" s="721"/>
      <c r="CL52" s="721"/>
      <c r="CM52" s="721"/>
      <c r="CN52" s="721"/>
      <c r="CO52" s="721"/>
      <c r="CP52" s="721"/>
      <c r="CQ52" s="721"/>
      <c r="CR52" s="721"/>
      <c r="CS52" s="721"/>
      <c r="CT52" s="721"/>
      <c r="CU52" s="721"/>
      <c r="CV52" s="721"/>
      <c r="CW52" s="721"/>
      <c r="CX52" s="721"/>
    </row>
    <row r="53" spans="1:102" ht="48.75" customHeight="1" x14ac:dyDescent="0.2">
      <c r="A53" s="1870"/>
      <c r="B53" s="1839"/>
      <c r="C53" s="718"/>
      <c r="D53" s="718"/>
      <c r="E53" s="720"/>
      <c r="F53" s="720"/>
      <c r="G53" s="720"/>
      <c r="H53" s="720"/>
      <c r="I53" s="720"/>
      <c r="J53" s="720"/>
      <c r="K53" s="720"/>
      <c r="L53" s="720"/>
      <c r="M53" s="720"/>
      <c r="N53" s="720"/>
      <c r="O53" s="720"/>
      <c r="P53" s="720"/>
      <c r="Q53" s="720"/>
      <c r="R53" s="720"/>
      <c r="S53" s="720"/>
      <c r="T53" s="1839"/>
      <c r="U53" s="719" t="s">
        <v>1894</v>
      </c>
      <c r="V53" s="719">
        <v>0</v>
      </c>
      <c r="W53" s="1039" t="s">
        <v>1895</v>
      </c>
      <c r="X53" s="1040">
        <v>4</v>
      </c>
      <c r="Y53" s="1040">
        <v>1</v>
      </c>
      <c r="Z53" s="1031">
        <v>1</v>
      </c>
      <c r="AA53" s="1031">
        <v>1</v>
      </c>
      <c r="AB53" s="1034">
        <f>+Y53/X53</f>
        <v>0.25</v>
      </c>
      <c r="AC53" s="1034">
        <f>+Z53/X53</f>
        <v>0.25</v>
      </c>
      <c r="AD53" s="1034">
        <f>AA53/X53</f>
        <v>0.25</v>
      </c>
      <c r="AE53" s="1031">
        <v>1</v>
      </c>
      <c r="AF53" s="1031">
        <v>1</v>
      </c>
      <c r="AG53" s="1031"/>
      <c r="AH53" s="1031">
        <v>1</v>
      </c>
      <c r="AI53" s="1031"/>
      <c r="AJ53" s="1031">
        <f>+AH53</f>
        <v>1</v>
      </c>
      <c r="AK53" s="1034">
        <f>+AJ53/Y53</f>
        <v>1</v>
      </c>
      <c r="AL53" s="1031">
        <f>+AJ53</f>
        <v>1</v>
      </c>
      <c r="AM53" s="1033">
        <f>+AL53/X53</f>
        <v>0.25</v>
      </c>
      <c r="AN53" s="1031">
        <f>+Z53</f>
        <v>1</v>
      </c>
      <c r="AO53" s="1263">
        <v>0</v>
      </c>
      <c r="AP53" s="1263"/>
      <c r="AQ53" s="1263">
        <v>1</v>
      </c>
      <c r="AR53" s="1263"/>
      <c r="AS53" s="1263">
        <v>0</v>
      </c>
      <c r="AT53" s="1263"/>
      <c r="AU53" s="1263">
        <v>1</v>
      </c>
      <c r="AV53" s="1263"/>
      <c r="AW53" s="1263">
        <f>+AQ53</f>
        <v>1</v>
      </c>
      <c r="AX53" s="1034">
        <v>1</v>
      </c>
      <c r="AY53" s="1031">
        <f>+AW53+AL53</f>
        <v>2</v>
      </c>
      <c r="AZ53" s="1033">
        <f>+AY53/X53</f>
        <v>0.5</v>
      </c>
      <c r="BA53" s="1031">
        <v>1</v>
      </c>
      <c r="BB53" s="1031">
        <v>0</v>
      </c>
      <c r="BC53" s="1031"/>
      <c r="BD53" s="1031">
        <v>0.05</v>
      </c>
      <c r="BE53" s="1031"/>
      <c r="BF53" s="1031">
        <v>0.25</v>
      </c>
      <c r="BG53" s="1031"/>
      <c r="BH53" s="1031">
        <v>0.7</v>
      </c>
      <c r="BI53" s="1031"/>
      <c r="BJ53" s="1031">
        <f>BB53+BD53+BF53+BH53</f>
        <v>1</v>
      </c>
      <c r="BK53" s="1032">
        <f>BJ53/BA53</f>
        <v>1</v>
      </c>
      <c r="BL53" s="1031">
        <f>BJ53+AY53+1</f>
        <v>4</v>
      </c>
      <c r="BM53" s="1032">
        <f>BL53/X53</f>
        <v>1</v>
      </c>
      <c r="BN53" s="721"/>
      <c r="BO53" s="721"/>
      <c r="BP53" s="721"/>
      <c r="BQ53" s="721"/>
      <c r="BR53" s="721"/>
      <c r="BS53" s="721"/>
      <c r="BT53" s="721"/>
      <c r="BU53" s="721"/>
      <c r="BV53" s="721"/>
      <c r="BW53" s="721"/>
      <c r="BX53" s="721"/>
      <c r="BY53" s="721"/>
      <c r="BZ53" s="721"/>
      <c r="CA53" s="721"/>
      <c r="CB53" s="721"/>
      <c r="CC53" s="721"/>
      <c r="CD53" s="721"/>
      <c r="CE53" s="721"/>
      <c r="CF53" s="721"/>
      <c r="CG53" s="721"/>
      <c r="CH53" s="721"/>
      <c r="CI53" s="721"/>
      <c r="CJ53" s="721"/>
      <c r="CK53" s="721"/>
      <c r="CL53" s="721"/>
      <c r="CM53" s="721"/>
      <c r="CN53" s="721"/>
      <c r="CO53" s="721"/>
      <c r="CP53" s="721"/>
      <c r="CQ53" s="721"/>
      <c r="CR53" s="721"/>
      <c r="CS53" s="721"/>
      <c r="CT53" s="721"/>
      <c r="CU53" s="721"/>
      <c r="CV53" s="721"/>
      <c r="CW53" s="721"/>
      <c r="CX53" s="721"/>
    </row>
    <row r="54" spans="1:102" ht="12" customHeight="1" x14ac:dyDescent="0.2">
      <c r="A54" s="1870"/>
      <c r="B54" s="1839"/>
      <c r="C54" s="718"/>
      <c r="D54" s="718"/>
      <c r="E54" s="720"/>
      <c r="F54" s="720"/>
      <c r="G54" s="720"/>
      <c r="H54" s="720"/>
      <c r="I54" s="720"/>
      <c r="J54" s="720"/>
      <c r="K54" s="720"/>
      <c r="L54" s="720"/>
      <c r="M54" s="720"/>
      <c r="N54" s="720"/>
      <c r="O54" s="720"/>
      <c r="P54" s="720"/>
      <c r="Q54" s="720"/>
      <c r="R54" s="720"/>
      <c r="S54" s="720"/>
      <c r="T54" s="1840"/>
      <c r="U54" s="722"/>
      <c r="V54" s="722"/>
      <c r="W54" s="1050"/>
      <c r="X54" s="1051"/>
      <c r="Y54" s="1051"/>
      <c r="Z54" s="1051"/>
      <c r="AA54" s="1051"/>
      <c r="AB54" s="1038">
        <f>AVERAGE(AB52:AB53)</f>
        <v>0.17045454545454547</v>
      </c>
      <c r="AC54" s="1038">
        <f>AVERAGE(AC52:AC53)</f>
        <v>0.27954545454545454</v>
      </c>
      <c r="AD54" s="1038">
        <f>AVERAGE(AD52:AD53)</f>
        <v>0.35227272727272729</v>
      </c>
      <c r="AE54" s="1051"/>
      <c r="AF54" s="1051"/>
      <c r="AG54" s="1051"/>
      <c r="AH54" s="1051"/>
      <c r="AI54" s="1051"/>
      <c r="AJ54" s="1051"/>
      <c r="AK54" s="1038">
        <f>AVERAGE(AK52:AK53)</f>
        <v>0.5</v>
      </c>
      <c r="AL54" s="1069"/>
      <c r="AM54" s="1070">
        <f>AVERAGE(AM52:AM53)</f>
        <v>0.125</v>
      </c>
      <c r="AN54" s="1049"/>
      <c r="AO54" s="1040"/>
      <c r="AP54" s="1040"/>
      <c r="AQ54" s="1040"/>
      <c r="AR54" s="1040"/>
      <c r="AS54" s="1040"/>
      <c r="AT54" s="1040"/>
      <c r="AU54" s="1040"/>
      <c r="AV54" s="1040"/>
      <c r="AW54" s="1040"/>
      <c r="AX54" s="1086">
        <f>AVERAGE(AX52:AX53)</f>
        <v>0.6470588235294118</v>
      </c>
      <c r="AY54" s="1069"/>
      <c r="AZ54" s="1070">
        <f>AVERAGE(AZ52:AZ53)</f>
        <v>0.29545454545454547</v>
      </c>
      <c r="BA54" s="1070"/>
      <c r="BB54" s="1070"/>
      <c r="BC54" s="1070"/>
      <c r="BD54" s="1070"/>
      <c r="BE54" s="1070"/>
      <c r="BF54" s="1070"/>
      <c r="BG54" s="1070"/>
      <c r="BH54" s="1070"/>
      <c r="BI54" s="1070"/>
      <c r="BJ54" s="1070"/>
      <c r="BK54" s="1070">
        <f>AVERAGE(BK52:BK53)</f>
        <v>0.96</v>
      </c>
      <c r="BL54" s="1070"/>
      <c r="BM54" s="1070">
        <f>AVERAGE(BM52:BM53)</f>
        <v>0.75454545454545452</v>
      </c>
      <c r="BN54" s="721"/>
      <c r="BO54" s="721"/>
      <c r="BP54" s="721"/>
      <c r="BQ54" s="721"/>
      <c r="BR54" s="721"/>
      <c r="BS54" s="721"/>
      <c r="BT54" s="721"/>
      <c r="BU54" s="721"/>
      <c r="BV54" s="721"/>
      <c r="BW54" s="721"/>
      <c r="BX54" s="721"/>
      <c r="BY54" s="721"/>
      <c r="BZ54" s="721"/>
      <c r="CA54" s="721"/>
      <c r="CB54" s="721"/>
      <c r="CC54" s="721"/>
      <c r="CD54" s="721"/>
      <c r="CE54" s="721"/>
      <c r="CF54" s="721"/>
      <c r="CG54" s="721"/>
      <c r="CH54" s="721"/>
      <c r="CI54" s="721"/>
      <c r="CJ54" s="721"/>
      <c r="CK54" s="721"/>
      <c r="CL54" s="721"/>
      <c r="CM54" s="721"/>
      <c r="CN54" s="721"/>
      <c r="CO54" s="721"/>
      <c r="CP54" s="721"/>
      <c r="CQ54" s="721"/>
      <c r="CR54" s="721"/>
      <c r="CS54" s="721"/>
      <c r="CT54" s="721"/>
      <c r="CU54" s="721"/>
      <c r="CV54" s="721"/>
      <c r="CW54" s="721"/>
      <c r="CX54" s="721"/>
    </row>
    <row r="55" spans="1:102" ht="17.25" customHeight="1" x14ac:dyDescent="0.2">
      <c r="A55" s="1870"/>
      <c r="B55" s="1840"/>
      <c r="C55" s="726"/>
      <c r="D55" s="726"/>
      <c r="E55" s="727"/>
      <c r="F55" s="727"/>
      <c r="G55" s="727"/>
      <c r="H55" s="727"/>
      <c r="I55" s="727"/>
      <c r="J55" s="727"/>
      <c r="K55" s="727"/>
      <c r="L55" s="727"/>
      <c r="M55" s="727"/>
      <c r="N55" s="727"/>
      <c r="O55" s="727"/>
      <c r="P55" s="727"/>
      <c r="Q55" s="727"/>
      <c r="R55" s="727"/>
      <c r="S55" s="727"/>
      <c r="T55" s="724"/>
      <c r="U55" s="726"/>
      <c r="V55" s="726"/>
      <c r="W55" s="1077"/>
      <c r="X55" s="1078"/>
      <c r="Y55" s="1078"/>
      <c r="Z55" s="1078"/>
      <c r="AA55" s="1078"/>
      <c r="AB55" s="1079">
        <f>+(AB44+AB49+AB51+AB54)/4</f>
        <v>0.17654220779220781</v>
      </c>
      <c r="AC55" s="1079">
        <f>+(AC44+AC49+AC51+AC54)/4</f>
        <v>0.33693993506493508</v>
      </c>
      <c r="AD55" s="1079">
        <f>+(AD44+AD49+AD51+AD54)/4</f>
        <v>0.24759199134199134</v>
      </c>
      <c r="AE55" s="1078"/>
      <c r="AF55" s="1078"/>
      <c r="AG55" s="1078"/>
      <c r="AH55" s="1078"/>
      <c r="AI55" s="1078"/>
      <c r="AJ55" s="1078"/>
      <c r="AK55" s="1079">
        <f>+(AK44+AK49+AK51+AK54)/4</f>
        <v>0.875</v>
      </c>
      <c r="AL55" s="1079"/>
      <c r="AM55" s="1087">
        <f>+(AM44+AM49+AM51+AM54)/4</f>
        <v>0.16517857142857142</v>
      </c>
      <c r="AN55" s="1049"/>
      <c r="AO55" s="1040"/>
      <c r="AP55" s="1040"/>
      <c r="AQ55" s="1040"/>
      <c r="AR55" s="1040"/>
      <c r="AS55" s="1058"/>
      <c r="AT55" s="1058"/>
      <c r="AU55" s="1058"/>
      <c r="AV55" s="1058"/>
      <c r="AW55" s="1058"/>
      <c r="AX55" s="1088">
        <f>+(AX44+AX49+AX51+AX54)/4</f>
        <v>0.91176470588235292</v>
      </c>
      <c r="AY55" s="1089"/>
      <c r="AZ55" s="1090">
        <f>+(AZ44+AZ49+AZ51+AZ54)/4</f>
        <v>0.63143506493506496</v>
      </c>
      <c r="BA55" s="1132"/>
      <c r="BB55" s="1132"/>
      <c r="BC55" s="1132"/>
      <c r="BD55" s="1132"/>
      <c r="BE55" s="1132"/>
      <c r="BF55" s="1132"/>
      <c r="BG55" s="1132"/>
      <c r="BH55" s="1132"/>
      <c r="BI55" s="1132"/>
      <c r="BJ55" s="1132"/>
      <c r="BK55" s="1672">
        <f>+(BK44+BK49+BK51+BK54)/4</f>
        <v>0.99</v>
      </c>
      <c r="BL55" s="1672"/>
      <c r="BM55" s="1672">
        <f>+(BM44+BM49+BM51+BM54)/4</f>
        <v>0.85305728200371056</v>
      </c>
      <c r="BN55" s="721"/>
      <c r="BO55" s="721"/>
      <c r="BP55" s="721"/>
      <c r="BQ55" s="721"/>
      <c r="BR55" s="721"/>
      <c r="BS55" s="721"/>
      <c r="BT55" s="721"/>
      <c r="BU55" s="721"/>
      <c r="BV55" s="721"/>
      <c r="BW55" s="721"/>
      <c r="BX55" s="721"/>
      <c r="BY55" s="721"/>
      <c r="BZ55" s="721"/>
      <c r="CA55" s="721"/>
      <c r="CB55" s="721"/>
      <c r="CC55" s="721"/>
      <c r="CD55" s="721"/>
      <c r="CE55" s="721"/>
      <c r="CF55" s="721"/>
      <c r="CG55" s="721"/>
      <c r="CH55" s="721"/>
      <c r="CI55" s="721"/>
      <c r="CJ55" s="721"/>
      <c r="CK55" s="721"/>
      <c r="CL55" s="721"/>
      <c r="CM55" s="721"/>
      <c r="CN55" s="721"/>
      <c r="CO55" s="721"/>
      <c r="CP55" s="721"/>
      <c r="CQ55" s="721"/>
      <c r="CR55" s="721"/>
      <c r="CS55" s="721"/>
      <c r="CT55" s="721"/>
      <c r="CU55" s="721"/>
      <c r="CV55" s="721"/>
      <c r="CW55" s="721"/>
      <c r="CX55" s="721"/>
    </row>
    <row r="56" spans="1:102" ht="83.25" customHeight="1" x14ac:dyDescent="0.2">
      <c r="A56" s="1870"/>
      <c r="B56" s="1863" t="s">
        <v>1896</v>
      </c>
      <c r="C56" s="730" t="s">
        <v>1897</v>
      </c>
      <c r="D56" s="718" t="s">
        <v>1898</v>
      </c>
      <c r="E56" s="720"/>
      <c r="F56" s="720"/>
      <c r="G56" s="720"/>
      <c r="H56" s="720"/>
      <c r="I56" s="720"/>
      <c r="J56" s="720"/>
      <c r="K56" s="720"/>
      <c r="L56" s="720"/>
      <c r="M56" s="720"/>
      <c r="N56" s="720"/>
      <c r="O56" s="720"/>
      <c r="P56" s="720"/>
      <c r="Q56" s="720"/>
      <c r="R56" s="720"/>
      <c r="S56" s="720"/>
      <c r="T56" s="1872" t="s">
        <v>1899</v>
      </c>
      <c r="U56" s="719" t="s">
        <v>1900</v>
      </c>
      <c r="V56" s="731" t="s">
        <v>1901</v>
      </c>
      <c r="W56" s="1039" t="s">
        <v>1902</v>
      </c>
      <c r="X56" s="1043">
        <v>0.15</v>
      </c>
      <c r="Y56" s="1040" t="s">
        <v>177</v>
      </c>
      <c r="Z56" s="1031"/>
      <c r="AA56" s="1031"/>
      <c r="AB56" s="1034"/>
      <c r="AC56" s="1034"/>
      <c r="AD56" s="1034"/>
      <c r="AE56" s="1031"/>
      <c r="AF56" s="1031"/>
      <c r="AG56" s="1031"/>
      <c r="AH56" s="1031"/>
      <c r="AI56" s="1031"/>
      <c r="AJ56" s="1031"/>
      <c r="AK56" s="1031"/>
      <c r="AL56" s="1031"/>
      <c r="AM56" s="1194"/>
      <c r="AN56" s="1194">
        <f>+Z56</f>
        <v>0</v>
      </c>
      <c r="AO56" s="1031"/>
      <c r="AP56" s="1031"/>
      <c r="AQ56" s="1031"/>
      <c r="AR56" s="1031"/>
      <c r="AS56" s="1031"/>
      <c r="AT56" s="1031"/>
      <c r="AU56" s="1031"/>
      <c r="AV56" s="1031"/>
      <c r="AW56" s="1031"/>
      <c r="AX56" s="1031"/>
      <c r="AY56" s="1031"/>
      <c r="AZ56" s="1194"/>
      <c r="BA56" s="1031"/>
      <c r="BB56" s="1031"/>
      <c r="BC56" s="1031"/>
      <c r="BD56" s="1031"/>
      <c r="BE56" s="1031"/>
      <c r="BF56" s="1031"/>
      <c r="BG56" s="1031"/>
      <c r="BH56" s="1031"/>
      <c r="BI56" s="1031"/>
      <c r="BJ56" s="1031"/>
      <c r="BK56" s="1031"/>
      <c r="BL56" s="1031"/>
      <c r="BM56" s="1031"/>
      <c r="BN56" s="721"/>
      <c r="BO56" s="721"/>
      <c r="BP56" s="721"/>
      <c r="BQ56" s="721"/>
      <c r="BR56" s="721"/>
      <c r="BS56" s="721"/>
      <c r="BT56" s="721"/>
      <c r="BU56" s="721"/>
      <c r="BV56" s="721"/>
      <c r="BW56" s="721"/>
      <c r="BX56" s="721"/>
      <c r="BY56" s="721"/>
      <c r="BZ56" s="721"/>
      <c r="CA56" s="721"/>
      <c r="CB56" s="721"/>
      <c r="CC56" s="721"/>
      <c r="CD56" s="721"/>
      <c r="CE56" s="721"/>
      <c r="CF56" s="721"/>
      <c r="CG56" s="721"/>
      <c r="CH56" s="721"/>
      <c r="CI56" s="721"/>
      <c r="CJ56" s="721"/>
      <c r="CK56" s="721"/>
      <c r="CL56" s="721"/>
      <c r="CM56" s="721"/>
      <c r="CN56" s="721"/>
      <c r="CO56" s="721"/>
      <c r="CP56" s="721"/>
      <c r="CQ56" s="721"/>
      <c r="CR56" s="721"/>
      <c r="CS56" s="721"/>
      <c r="CT56" s="721"/>
      <c r="CU56" s="721"/>
      <c r="CV56" s="721"/>
      <c r="CW56" s="721"/>
      <c r="CX56" s="721"/>
    </row>
    <row r="57" spans="1:102" ht="58.5" customHeight="1" x14ac:dyDescent="0.2">
      <c r="A57" s="1870"/>
      <c r="B57" s="1864"/>
      <c r="C57" s="730" t="s">
        <v>1903</v>
      </c>
      <c r="D57" s="732" t="s">
        <v>1904</v>
      </c>
      <c r="E57" s="720"/>
      <c r="F57" s="720"/>
      <c r="G57" s="720"/>
      <c r="H57" s="720"/>
      <c r="I57" s="720"/>
      <c r="J57" s="720"/>
      <c r="K57" s="720"/>
      <c r="L57" s="720"/>
      <c r="M57" s="720"/>
      <c r="N57" s="720"/>
      <c r="O57" s="720"/>
      <c r="P57" s="720"/>
      <c r="Q57" s="720"/>
      <c r="R57" s="720"/>
      <c r="S57" s="720"/>
      <c r="T57" s="1873"/>
      <c r="U57" s="719" t="s">
        <v>1905</v>
      </c>
      <c r="V57" s="729" t="s">
        <v>1906</v>
      </c>
      <c r="W57" s="1039" t="s">
        <v>1907</v>
      </c>
      <c r="X57" s="1040">
        <v>14000</v>
      </c>
      <c r="Y57" s="1040">
        <v>1000</v>
      </c>
      <c r="Z57" s="1031">
        <v>4500</v>
      </c>
      <c r="AA57" s="1031">
        <v>4500</v>
      </c>
      <c r="AB57" s="1034">
        <f>+Y57/X57</f>
        <v>7.1428571428571425E-2</v>
      </c>
      <c r="AC57" s="1034">
        <f>+Z57/X57</f>
        <v>0.32142857142857145</v>
      </c>
      <c r="AD57" s="1034">
        <f>AA57/X57</f>
        <v>0.32142857142857145</v>
      </c>
      <c r="AE57" s="1031">
        <v>262</v>
      </c>
      <c r="AF57" s="1031">
        <v>81</v>
      </c>
      <c r="AG57" s="1031"/>
      <c r="AH57" s="1031">
        <v>1000</v>
      </c>
      <c r="AI57" s="1031"/>
      <c r="AJ57" s="1031">
        <f>+AH57</f>
        <v>1000</v>
      </c>
      <c r="AK57" s="1034">
        <f>+AJ57/Y57</f>
        <v>1</v>
      </c>
      <c r="AL57" s="1031">
        <f>+AJ57</f>
        <v>1000</v>
      </c>
      <c r="AM57" s="1379">
        <f>+AL57/X57</f>
        <v>7.1428571428571425E-2</v>
      </c>
      <c r="AN57" s="1194">
        <f>+Z57</f>
        <v>4500</v>
      </c>
      <c r="AO57" s="1031">
        <v>819</v>
      </c>
      <c r="AP57" s="1031"/>
      <c r="AQ57" s="1263">
        <v>2614</v>
      </c>
      <c r="AR57" s="1263"/>
      <c r="AS57" s="1392">
        <v>1238</v>
      </c>
      <c r="AT57" s="1392"/>
      <c r="AU57" s="1392">
        <v>162</v>
      </c>
      <c r="AV57" s="1392"/>
      <c r="AW57" s="1392">
        <f>+AO57+AQ57+AS57+AU57</f>
        <v>4833</v>
      </c>
      <c r="AX57" s="1393">
        <v>1</v>
      </c>
      <c r="AY57" s="1392">
        <f>+AW57+AL57</f>
        <v>5833</v>
      </c>
      <c r="AZ57" s="1394">
        <f>+AY57/X57</f>
        <v>0.41664285714285715</v>
      </c>
      <c r="BA57" s="1031">
        <v>4500</v>
      </c>
      <c r="BB57" s="1031">
        <v>714</v>
      </c>
      <c r="BC57" s="1031"/>
      <c r="BD57" s="1031">
        <v>2339</v>
      </c>
      <c r="BE57" s="1031"/>
      <c r="BF57" s="1031">
        <v>1235</v>
      </c>
      <c r="BG57" s="1031"/>
      <c r="BH57" s="1031">
        <v>1289</v>
      </c>
      <c r="BI57" s="1031"/>
      <c r="BJ57" s="1031">
        <f>BB57+BD57+BF57+BH57</f>
        <v>5577</v>
      </c>
      <c r="BK57" s="1032">
        <v>1</v>
      </c>
      <c r="BL57" s="1031">
        <f>BJ57+AY57</f>
        <v>11410</v>
      </c>
      <c r="BM57" s="1032">
        <f>BL57/X57</f>
        <v>0.81499999999999995</v>
      </c>
      <c r="BN57" s="721"/>
      <c r="BO57" s="721"/>
      <c r="BP57" s="721"/>
      <c r="BQ57" s="721"/>
      <c r="BR57" s="721"/>
      <c r="BS57" s="721"/>
      <c r="BT57" s="721"/>
      <c r="BU57" s="721"/>
      <c r="BV57" s="721"/>
      <c r="BW57" s="721"/>
      <c r="BX57" s="721"/>
      <c r="BY57" s="721"/>
      <c r="BZ57" s="721"/>
      <c r="CA57" s="721"/>
      <c r="CB57" s="721"/>
      <c r="CC57" s="721"/>
      <c r="CD57" s="721"/>
      <c r="CE57" s="721"/>
      <c r="CF57" s="721"/>
      <c r="CG57" s="721"/>
      <c r="CH57" s="721"/>
      <c r="CI57" s="721"/>
      <c r="CJ57" s="721"/>
      <c r="CK57" s="721"/>
      <c r="CL57" s="721"/>
      <c r="CM57" s="721"/>
      <c r="CN57" s="721"/>
      <c r="CO57" s="721"/>
      <c r="CP57" s="721"/>
      <c r="CQ57" s="721"/>
      <c r="CR57" s="721"/>
      <c r="CS57" s="721"/>
      <c r="CT57" s="721"/>
      <c r="CU57" s="721"/>
      <c r="CV57" s="721"/>
      <c r="CW57" s="721"/>
      <c r="CX57" s="721"/>
    </row>
    <row r="58" spans="1:102" ht="60.75" customHeight="1" x14ac:dyDescent="0.2">
      <c r="A58" s="1870"/>
      <c r="B58" s="1864"/>
      <c r="C58" s="730" t="s">
        <v>1908</v>
      </c>
      <c r="D58" s="718" t="s">
        <v>1909</v>
      </c>
      <c r="E58" s="720"/>
      <c r="F58" s="720"/>
      <c r="G58" s="720"/>
      <c r="H58" s="720"/>
      <c r="I58" s="720"/>
      <c r="J58" s="720"/>
      <c r="K58" s="720"/>
      <c r="L58" s="720"/>
      <c r="M58" s="720"/>
      <c r="N58" s="720"/>
      <c r="O58" s="720"/>
      <c r="P58" s="720"/>
      <c r="Q58" s="720"/>
      <c r="R58" s="720"/>
      <c r="S58" s="720"/>
      <c r="T58" s="1873"/>
      <c r="U58" s="719" t="s">
        <v>1910</v>
      </c>
      <c r="V58" s="719">
        <v>0</v>
      </c>
      <c r="W58" s="1039" t="s">
        <v>1911</v>
      </c>
      <c r="X58" s="1040">
        <v>1</v>
      </c>
      <c r="Y58" s="1040">
        <v>1</v>
      </c>
      <c r="Z58" s="1031">
        <v>1</v>
      </c>
      <c r="AA58" s="1031">
        <v>1</v>
      </c>
      <c r="AB58" s="1034">
        <v>0.25</v>
      </c>
      <c r="AC58" s="1034">
        <v>0.25</v>
      </c>
      <c r="AD58" s="1034"/>
      <c r="AE58" s="1031">
        <v>0</v>
      </c>
      <c r="AF58" s="1031">
        <v>0</v>
      </c>
      <c r="AG58" s="1031"/>
      <c r="AH58" s="1031">
        <v>1</v>
      </c>
      <c r="AI58" s="1031"/>
      <c r="AJ58" s="1031">
        <f>+AH58</f>
        <v>1</v>
      </c>
      <c r="AK58" s="1034">
        <f>+AJ58/Y58</f>
        <v>1</v>
      </c>
      <c r="AL58" s="1031">
        <f>+AJ58</f>
        <v>1</v>
      </c>
      <c r="AM58" s="1379">
        <v>1</v>
      </c>
      <c r="AN58" s="1194">
        <f>+Z58</f>
        <v>1</v>
      </c>
      <c r="AO58" s="1031">
        <v>1</v>
      </c>
      <c r="AP58" s="1031"/>
      <c r="AQ58" s="1031">
        <v>1</v>
      </c>
      <c r="AR58" s="1031"/>
      <c r="AS58" s="1031">
        <v>1</v>
      </c>
      <c r="AT58" s="1031"/>
      <c r="AU58" s="1031">
        <v>1</v>
      </c>
      <c r="AV58" s="1031"/>
      <c r="AW58" s="1031">
        <f>+AO58+AQ58</f>
        <v>2</v>
      </c>
      <c r="AX58" s="1034">
        <v>1</v>
      </c>
      <c r="AY58" s="1034">
        <v>1</v>
      </c>
      <c r="AZ58" s="1033">
        <v>1</v>
      </c>
      <c r="BA58" s="1031">
        <v>1</v>
      </c>
      <c r="BB58" s="1031">
        <v>0.25</v>
      </c>
      <c r="BC58" s="1031"/>
      <c r="BD58" s="1031">
        <v>0</v>
      </c>
      <c r="BE58" s="1031"/>
      <c r="BF58" s="1031">
        <v>0.6</v>
      </c>
      <c r="BG58" s="1031"/>
      <c r="BH58" s="1031">
        <v>0.15</v>
      </c>
      <c r="BI58" s="1031"/>
      <c r="BJ58" s="1031">
        <f>BB58+BF58+BH58</f>
        <v>1</v>
      </c>
      <c r="BK58" s="1032">
        <f>BJ58/BA58</f>
        <v>1</v>
      </c>
      <c r="BL58" s="1031">
        <v>1</v>
      </c>
      <c r="BM58" s="1034">
        <v>1</v>
      </c>
      <c r="BN58" s="721"/>
      <c r="BO58" s="721"/>
      <c r="BP58" s="721"/>
      <c r="BQ58" s="721"/>
      <c r="BR58" s="721"/>
      <c r="BS58" s="721"/>
      <c r="BT58" s="721"/>
      <c r="BU58" s="721"/>
      <c r="BV58" s="721"/>
      <c r="BW58" s="721"/>
      <c r="BX58" s="721"/>
      <c r="BY58" s="721"/>
      <c r="BZ58" s="721"/>
      <c r="CA58" s="721"/>
      <c r="CB58" s="721"/>
      <c r="CC58" s="721"/>
      <c r="CD58" s="721"/>
      <c r="CE58" s="721"/>
      <c r="CF58" s="721"/>
      <c r="CG58" s="721"/>
      <c r="CH58" s="721"/>
      <c r="CI58" s="721"/>
      <c r="CJ58" s="721"/>
      <c r="CK58" s="721"/>
      <c r="CL58" s="721"/>
      <c r="CM58" s="721"/>
      <c r="CN58" s="721"/>
      <c r="CO58" s="721"/>
      <c r="CP58" s="721"/>
      <c r="CQ58" s="721"/>
      <c r="CR58" s="721"/>
      <c r="CS58" s="721"/>
      <c r="CT58" s="721"/>
      <c r="CU58" s="721"/>
      <c r="CV58" s="721"/>
      <c r="CW58" s="721"/>
      <c r="CX58" s="721"/>
    </row>
    <row r="59" spans="1:102" ht="12" customHeight="1" x14ac:dyDescent="0.2">
      <c r="A59" s="1870"/>
      <c r="B59" s="1864"/>
      <c r="C59" s="730"/>
      <c r="D59" s="718"/>
      <c r="E59" s="720"/>
      <c r="F59" s="720"/>
      <c r="G59" s="720"/>
      <c r="H59" s="720"/>
      <c r="I59" s="720"/>
      <c r="J59" s="720"/>
      <c r="K59" s="720"/>
      <c r="L59" s="720"/>
      <c r="M59" s="720"/>
      <c r="N59" s="720"/>
      <c r="O59" s="720"/>
      <c r="P59" s="720"/>
      <c r="Q59" s="720"/>
      <c r="R59" s="720"/>
      <c r="S59" s="720"/>
      <c r="T59" s="1874"/>
      <c r="U59" s="722"/>
      <c r="V59" s="722"/>
      <c r="W59" s="1050"/>
      <c r="X59" s="1051"/>
      <c r="Y59" s="1051"/>
      <c r="Z59" s="1051"/>
      <c r="AA59" s="1051"/>
      <c r="AB59" s="1038">
        <f>AVERAGE(AB56:AB58)</f>
        <v>0.1607142857142857</v>
      </c>
      <c r="AC59" s="1038">
        <f>AVERAGE(AC56:AC58)</f>
        <v>0.2857142857142857</v>
      </c>
      <c r="AD59" s="1038">
        <f>AVERAGE(AD56:AD58)</f>
        <v>0.32142857142857145</v>
      </c>
      <c r="AE59" s="1051"/>
      <c r="AF59" s="1051"/>
      <c r="AG59" s="1051"/>
      <c r="AH59" s="1051"/>
      <c r="AI59" s="1051"/>
      <c r="AJ59" s="1051"/>
      <c r="AK59" s="1038">
        <f>AVERAGE(AK56:AK58)</f>
        <v>1</v>
      </c>
      <c r="AL59" s="1051"/>
      <c r="AM59" s="1053">
        <f>AVERAGE(AM56:AM58)</f>
        <v>0.5357142857142857</v>
      </c>
      <c r="AN59" s="1092"/>
      <c r="AO59" s="1058"/>
      <c r="AP59" s="1058"/>
      <c r="AQ59" s="1040"/>
      <c r="AR59" s="1040"/>
      <c r="AS59" s="1040"/>
      <c r="AT59" s="1040"/>
      <c r="AU59" s="1040"/>
      <c r="AV59" s="1040"/>
      <c r="AW59" s="1040"/>
      <c r="AX59" s="1038">
        <f>AVERAGE(AX56:AX58)</f>
        <v>1</v>
      </c>
      <c r="AY59" s="1051"/>
      <c r="AZ59" s="1053">
        <f>AVERAGE(AZ56:AZ58)</f>
        <v>0.70832142857142855</v>
      </c>
      <c r="BA59" s="1053"/>
      <c r="BB59" s="1053"/>
      <c r="BC59" s="1053"/>
      <c r="BD59" s="1053"/>
      <c r="BE59" s="1053"/>
      <c r="BF59" s="1053"/>
      <c r="BG59" s="1053"/>
      <c r="BH59" s="1053"/>
      <c r="BI59" s="1053"/>
      <c r="BJ59" s="1053"/>
      <c r="BK59" s="1053">
        <f>AVERAGE(BK56:BK58)</f>
        <v>1</v>
      </c>
      <c r="BL59" s="1053"/>
      <c r="BM59" s="1053">
        <f>AVERAGE(BM56:BM58)</f>
        <v>0.90749999999999997</v>
      </c>
      <c r="BN59" s="721"/>
      <c r="BO59" s="721"/>
      <c r="BP59" s="721"/>
      <c r="BQ59" s="721"/>
      <c r="BR59" s="721"/>
      <c r="BS59" s="721"/>
      <c r="BT59" s="721"/>
      <c r="BU59" s="721"/>
      <c r="BV59" s="721"/>
      <c r="BW59" s="721"/>
      <c r="BX59" s="721"/>
      <c r="BY59" s="721"/>
      <c r="BZ59" s="721"/>
      <c r="CA59" s="721"/>
      <c r="CB59" s="721"/>
      <c r="CC59" s="721"/>
      <c r="CD59" s="721"/>
      <c r="CE59" s="721"/>
      <c r="CF59" s="721"/>
      <c r="CG59" s="721"/>
      <c r="CH59" s="721"/>
      <c r="CI59" s="721"/>
      <c r="CJ59" s="721"/>
      <c r="CK59" s="721"/>
      <c r="CL59" s="721"/>
      <c r="CM59" s="721"/>
      <c r="CN59" s="721"/>
      <c r="CO59" s="721"/>
      <c r="CP59" s="721"/>
      <c r="CQ59" s="721"/>
      <c r="CR59" s="721"/>
      <c r="CS59" s="721"/>
      <c r="CT59" s="721"/>
      <c r="CU59" s="721"/>
      <c r="CV59" s="721"/>
      <c r="CW59" s="721"/>
      <c r="CX59" s="721"/>
    </row>
    <row r="60" spans="1:102" ht="111" customHeight="1" x14ac:dyDescent="0.2">
      <c r="A60" s="1870"/>
      <c r="B60" s="1864"/>
      <c r="C60" s="730" t="s">
        <v>1912</v>
      </c>
      <c r="D60" s="718" t="s">
        <v>1909</v>
      </c>
      <c r="E60" s="720"/>
      <c r="F60" s="720"/>
      <c r="G60" s="720"/>
      <c r="H60" s="720"/>
      <c r="I60" s="720"/>
      <c r="J60" s="720"/>
      <c r="K60" s="720"/>
      <c r="L60" s="720"/>
      <c r="M60" s="720"/>
      <c r="N60" s="720"/>
      <c r="O60" s="720"/>
      <c r="P60" s="720"/>
      <c r="Q60" s="720"/>
      <c r="R60" s="720"/>
      <c r="S60" s="720"/>
      <c r="T60" s="1838" t="s">
        <v>1913</v>
      </c>
      <c r="U60" s="719" t="s">
        <v>1914</v>
      </c>
      <c r="V60" s="719">
        <v>475</v>
      </c>
      <c r="W60" s="1039" t="s">
        <v>1915</v>
      </c>
      <c r="X60" s="1040">
        <v>700</v>
      </c>
      <c r="Y60" s="1040">
        <v>60</v>
      </c>
      <c r="Z60" s="1031">
        <v>200</v>
      </c>
      <c r="AA60" s="1031">
        <v>200</v>
      </c>
      <c r="AB60" s="1034">
        <f>+Y60/X60</f>
        <v>8.5714285714285715E-2</v>
      </c>
      <c r="AC60" s="1034">
        <f>+Z60/X60</f>
        <v>0.2857142857142857</v>
      </c>
      <c r="AD60" s="1034">
        <f>AA60/X60</f>
        <v>0.2857142857142857</v>
      </c>
      <c r="AE60" s="1031">
        <v>41</v>
      </c>
      <c r="AF60" s="1031">
        <v>21</v>
      </c>
      <c r="AG60" s="1031"/>
      <c r="AH60" s="1031">
        <v>62</v>
      </c>
      <c r="AI60" s="1031"/>
      <c r="AJ60" s="1031">
        <f>+AH60</f>
        <v>62</v>
      </c>
      <c r="AK60" s="1395">
        <v>1</v>
      </c>
      <c r="AL60" s="1031">
        <f>+AJ60</f>
        <v>62</v>
      </c>
      <c r="AM60" s="1396">
        <f>+AL60/X60</f>
        <v>8.8571428571428565E-2</v>
      </c>
      <c r="AN60" s="1031">
        <f>+Z60</f>
        <v>200</v>
      </c>
      <c r="AO60" s="1031">
        <v>0</v>
      </c>
      <c r="AP60" s="1031"/>
      <c r="AQ60" s="1380">
        <v>0</v>
      </c>
      <c r="AR60" s="1380"/>
      <c r="AS60" s="1380">
        <v>102</v>
      </c>
      <c r="AT60" s="1380"/>
      <c r="AU60" s="1380">
        <v>54</v>
      </c>
      <c r="AV60" s="1380"/>
      <c r="AW60" s="1380">
        <f>+AS60+AU60</f>
        <v>156</v>
      </c>
      <c r="AX60" s="1397">
        <f>+AW60/AN60</f>
        <v>0.78</v>
      </c>
      <c r="AY60" s="1380">
        <f>+AW60+AL60</f>
        <v>218</v>
      </c>
      <c r="AZ60" s="1381">
        <f>+AY60/X60</f>
        <v>0.31142857142857144</v>
      </c>
      <c r="BA60" s="1031">
        <f>AA60</f>
        <v>200</v>
      </c>
      <c r="BB60" s="1031">
        <v>47</v>
      </c>
      <c r="BC60" s="1031"/>
      <c r="BD60" s="1031">
        <v>46</v>
      </c>
      <c r="BE60" s="1031"/>
      <c r="BF60" s="1031">
        <v>6</v>
      </c>
      <c r="BG60" s="1031"/>
      <c r="BH60" s="1031">
        <v>5</v>
      </c>
      <c r="BI60" s="1031"/>
      <c r="BJ60" s="1031">
        <f>+BD60+BB60+BF60+BH60</f>
        <v>104</v>
      </c>
      <c r="BK60" s="1032">
        <f>BJ60/BA60</f>
        <v>0.52</v>
      </c>
      <c r="BL60" s="1031">
        <f>BJ60+AY60</f>
        <v>322</v>
      </c>
      <c r="BM60" s="1032">
        <f>BL60/X60</f>
        <v>0.46</v>
      </c>
      <c r="BN60" s="721"/>
      <c r="BO60" s="721"/>
      <c r="BP60" s="721"/>
      <c r="BQ60" s="721"/>
      <c r="BR60" s="721"/>
      <c r="BS60" s="721"/>
      <c r="BT60" s="721"/>
      <c r="BU60" s="721"/>
      <c r="BV60" s="721"/>
      <c r="BW60" s="721"/>
      <c r="BX60" s="721"/>
      <c r="BY60" s="721"/>
      <c r="BZ60" s="721"/>
      <c r="CA60" s="721"/>
      <c r="CB60" s="721"/>
      <c r="CC60" s="721"/>
      <c r="CD60" s="721"/>
      <c r="CE60" s="721"/>
      <c r="CF60" s="721"/>
      <c r="CG60" s="721"/>
      <c r="CH60" s="721"/>
      <c r="CI60" s="721"/>
      <c r="CJ60" s="721"/>
      <c r="CK60" s="721"/>
      <c r="CL60" s="721"/>
      <c r="CM60" s="721"/>
      <c r="CN60" s="721"/>
      <c r="CO60" s="721"/>
      <c r="CP60" s="721"/>
      <c r="CQ60" s="721"/>
      <c r="CR60" s="721"/>
      <c r="CS60" s="721"/>
      <c r="CT60" s="721"/>
      <c r="CU60" s="721"/>
      <c r="CV60" s="721"/>
      <c r="CW60" s="721"/>
      <c r="CX60" s="721"/>
    </row>
    <row r="61" spans="1:102" ht="94.5" customHeight="1" x14ac:dyDescent="0.2">
      <c r="A61" s="1870"/>
      <c r="B61" s="1864"/>
      <c r="C61" s="730" t="s">
        <v>1916</v>
      </c>
      <c r="D61" s="733" t="s">
        <v>1917</v>
      </c>
      <c r="E61" s="720"/>
      <c r="F61" s="720"/>
      <c r="G61" s="720"/>
      <c r="H61" s="720"/>
      <c r="I61" s="720"/>
      <c r="J61" s="720"/>
      <c r="K61" s="720"/>
      <c r="L61" s="720"/>
      <c r="M61" s="720"/>
      <c r="N61" s="720"/>
      <c r="O61" s="720"/>
      <c r="P61" s="720"/>
      <c r="Q61" s="720"/>
      <c r="R61" s="720"/>
      <c r="S61" s="720"/>
      <c r="T61" s="1839"/>
      <c r="U61" s="719" t="s">
        <v>1918</v>
      </c>
      <c r="V61" s="719">
        <v>440</v>
      </c>
      <c r="W61" s="1039" t="s">
        <v>1919</v>
      </c>
      <c r="X61" s="1040">
        <v>800</v>
      </c>
      <c r="Y61" s="1040" t="s">
        <v>177</v>
      </c>
      <c r="Z61" s="1031">
        <v>100</v>
      </c>
      <c r="AA61" s="1031">
        <v>100</v>
      </c>
      <c r="AB61" s="1031"/>
      <c r="AC61" s="1034">
        <f>+Z61/X61</f>
        <v>0.125</v>
      </c>
      <c r="AD61" s="1034">
        <f>AA61/X61</f>
        <v>0.125</v>
      </c>
      <c r="AE61" s="1031"/>
      <c r="AF61" s="1031"/>
      <c r="AG61" s="1031"/>
      <c r="AH61" s="1031"/>
      <c r="AI61" s="1031"/>
      <c r="AJ61" s="1031"/>
      <c r="AK61" s="1395"/>
      <c r="AL61" s="1031"/>
      <c r="AM61" s="1396"/>
      <c r="AN61" s="1031">
        <f>+Z61</f>
        <v>100</v>
      </c>
      <c r="AO61" s="1031">
        <v>0</v>
      </c>
      <c r="AP61" s="1031"/>
      <c r="AQ61" s="1031">
        <v>0</v>
      </c>
      <c r="AR61" s="1031"/>
      <c r="AS61" s="1031">
        <v>0</v>
      </c>
      <c r="AT61" s="1031"/>
      <c r="AU61" s="1031">
        <v>0</v>
      </c>
      <c r="AV61" s="1031"/>
      <c r="AW61" s="1031">
        <f>+AO61</f>
        <v>0</v>
      </c>
      <c r="AX61" s="1198">
        <f>+AW61/AN61</f>
        <v>0</v>
      </c>
      <c r="AY61" s="1031">
        <f>+AW61+AL61</f>
        <v>0</v>
      </c>
      <c r="AZ61" s="1398">
        <v>0</v>
      </c>
      <c r="BA61" s="1196">
        <f>AA61</f>
        <v>100</v>
      </c>
      <c r="BB61" s="1031">
        <v>0</v>
      </c>
      <c r="BC61" s="1031"/>
      <c r="BD61" s="1031">
        <v>0</v>
      </c>
      <c r="BE61" s="1031"/>
      <c r="BF61" s="1031">
        <v>0</v>
      </c>
      <c r="BG61" s="1031"/>
      <c r="BH61" s="1031">
        <v>120</v>
      </c>
      <c r="BI61" s="1031"/>
      <c r="BJ61" s="1031">
        <f>BB61+BH61</f>
        <v>120</v>
      </c>
      <c r="BK61" s="1399">
        <v>1</v>
      </c>
      <c r="BL61" s="1031">
        <f>BJ61+AY61</f>
        <v>120</v>
      </c>
      <c r="BM61" s="1032">
        <f>BL61/X61</f>
        <v>0.15</v>
      </c>
      <c r="BN61" s="721"/>
      <c r="BO61" s="721"/>
      <c r="BP61" s="721"/>
      <c r="BQ61" s="721"/>
      <c r="BR61" s="721"/>
      <c r="BS61" s="721"/>
      <c r="BT61" s="721"/>
      <c r="BU61" s="721"/>
      <c r="BV61" s="721"/>
      <c r="BW61" s="721"/>
      <c r="BX61" s="721"/>
      <c r="BY61" s="721"/>
      <c r="BZ61" s="721"/>
      <c r="CA61" s="721"/>
      <c r="CB61" s="721"/>
      <c r="CC61" s="721"/>
      <c r="CD61" s="721"/>
      <c r="CE61" s="721"/>
      <c r="CF61" s="721"/>
      <c r="CG61" s="721"/>
      <c r="CH61" s="721"/>
      <c r="CI61" s="721"/>
      <c r="CJ61" s="721"/>
      <c r="CK61" s="721"/>
      <c r="CL61" s="721"/>
      <c r="CM61" s="721"/>
      <c r="CN61" s="721"/>
      <c r="CO61" s="721"/>
      <c r="CP61" s="721"/>
      <c r="CQ61" s="721"/>
      <c r="CR61" s="721"/>
      <c r="CS61" s="721"/>
      <c r="CT61" s="721"/>
      <c r="CU61" s="721"/>
      <c r="CV61" s="721"/>
      <c r="CW61" s="721"/>
      <c r="CX61" s="721"/>
    </row>
    <row r="62" spans="1:102" ht="84.75" customHeight="1" x14ac:dyDescent="0.2">
      <c r="A62" s="1870"/>
      <c r="B62" s="1864"/>
      <c r="C62" s="734"/>
      <c r="D62" s="734"/>
      <c r="E62" s="720"/>
      <c r="F62" s="720"/>
      <c r="G62" s="720"/>
      <c r="H62" s="720"/>
      <c r="I62" s="720"/>
      <c r="J62" s="720"/>
      <c r="K62" s="720"/>
      <c r="L62" s="720"/>
      <c r="M62" s="720"/>
      <c r="N62" s="720"/>
      <c r="O62" s="720"/>
      <c r="P62" s="720"/>
      <c r="Q62" s="720"/>
      <c r="R62" s="720"/>
      <c r="S62" s="720"/>
      <c r="T62" s="1839"/>
      <c r="U62" s="719" t="s">
        <v>1920</v>
      </c>
      <c r="V62" s="729">
        <v>22423</v>
      </c>
      <c r="W62" s="1039" t="s">
        <v>1921</v>
      </c>
      <c r="X62" s="1040">
        <v>23000</v>
      </c>
      <c r="Y62" s="1040">
        <v>2000</v>
      </c>
      <c r="Z62" s="1031">
        <v>7000</v>
      </c>
      <c r="AA62" s="1031">
        <v>7000</v>
      </c>
      <c r="AB62" s="1034">
        <f>+Y62/X62</f>
        <v>8.6956521739130432E-2</v>
      </c>
      <c r="AC62" s="1034">
        <f>+Z62/X62</f>
        <v>0.30434782608695654</v>
      </c>
      <c r="AD62" s="1034">
        <f>AA62/X62</f>
        <v>0.30434782608695654</v>
      </c>
      <c r="AE62" s="1031">
        <v>145</v>
      </c>
      <c r="AF62" s="1031">
        <v>186</v>
      </c>
      <c r="AG62" s="1031"/>
      <c r="AH62" s="1031">
        <v>2000</v>
      </c>
      <c r="AI62" s="1031"/>
      <c r="AJ62" s="1031">
        <f>+AH62</f>
        <v>2000</v>
      </c>
      <c r="AK62" s="1395">
        <f>+AJ62/Y62</f>
        <v>1</v>
      </c>
      <c r="AL62" s="1031">
        <f>+AJ62</f>
        <v>2000</v>
      </c>
      <c r="AM62" s="1396">
        <f>+AL62/X62</f>
        <v>8.6956521739130432E-2</v>
      </c>
      <c r="AN62" s="1031">
        <f>+Z62</f>
        <v>7000</v>
      </c>
      <c r="AO62" s="1031">
        <v>603</v>
      </c>
      <c r="AP62" s="1194"/>
      <c r="AQ62" s="1031">
        <v>2949</v>
      </c>
      <c r="AR62" s="1195"/>
      <c r="AS62" s="1031">
        <v>991</v>
      </c>
      <c r="AT62" s="1031"/>
      <c r="AU62" s="1031">
        <v>2462</v>
      </c>
      <c r="AV62" s="1031"/>
      <c r="AW62" s="1031">
        <f>+AO62+AQ62+AS62+AU62</f>
        <v>7005</v>
      </c>
      <c r="AX62" s="1198">
        <f>+AW62/AN62</f>
        <v>1.0007142857142857</v>
      </c>
      <c r="AY62" s="1031">
        <f>+AW62+AL62</f>
        <v>9005</v>
      </c>
      <c r="AZ62" s="1033">
        <f>+AY62/X62</f>
        <v>0.39152173913043481</v>
      </c>
      <c r="BA62" s="1031">
        <f>AA62</f>
        <v>7000</v>
      </c>
      <c r="BB62" s="1031">
        <v>968</v>
      </c>
      <c r="BC62" s="1031"/>
      <c r="BD62" s="1031">
        <v>3036</v>
      </c>
      <c r="BE62" s="1031"/>
      <c r="BF62" s="1031">
        <v>1828</v>
      </c>
      <c r="BG62" s="1031"/>
      <c r="BH62" s="1031">
        <v>1498</v>
      </c>
      <c r="BI62" s="1031"/>
      <c r="BJ62" s="1031">
        <f>+BD62+BB62+BF62+BH62</f>
        <v>7330</v>
      </c>
      <c r="BK62" s="1032">
        <v>1</v>
      </c>
      <c r="BL62" s="1031">
        <f>BJ62+AY62</f>
        <v>16335</v>
      </c>
      <c r="BM62" s="1032">
        <f>BL62/X62</f>
        <v>0.7102173913043478</v>
      </c>
      <c r="BN62" s="721"/>
      <c r="BO62" s="721"/>
      <c r="BP62" s="721"/>
      <c r="BQ62" s="721"/>
      <c r="BR62" s="721"/>
      <c r="BS62" s="721"/>
      <c r="BT62" s="721"/>
      <c r="BU62" s="721"/>
      <c r="BV62" s="721"/>
      <c r="BW62" s="721"/>
      <c r="BX62" s="721"/>
      <c r="BY62" s="721"/>
      <c r="BZ62" s="721"/>
      <c r="CA62" s="721"/>
      <c r="CB62" s="721"/>
      <c r="CC62" s="721"/>
      <c r="CD62" s="721"/>
      <c r="CE62" s="721"/>
      <c r="CF62" s="721"/>
      <c r="CG62" s="721"/>
      <c r="CH62" s="721"/>
      <c r="CI62" s="721"/>
      <c r="CJ62" s="721"/>
      <c r="CK62" s="721"/>
      <c r="CL62" s="721"/>
      <c r="CM62" s="721"/>
      <c r="CN62" s="721"/>
      <c r="CO62" s="721"/>
      <c r="CP62" s="721"/>
      <c r="CQ62" s="721"/>
      <c r="CR62" s="721"/>
      <c r="CS62" s="721"/>
      <c r="CT62" s="721"/>
      <c r="CU62" s="721"/>
      <c r="CV62" s="721"/>
      <c r="CW62" s="721"/>
      <c r="CX62" s="721"/>
    </row>
    <row r="63" spans="1:102" ht="102" customHeight="1" x14ac:dyDescent="0.2">
      <c r="A63" s="1870"/>
      <c r="B63" s="1864"/>
      <c r="C63" s="734"/>
      <c r="D63" s="734"/>
      <c r="E63" s="720"/>
      <c r="F63" s="720"/>
      <c r="G63" s="720"/>
      <c r="H63" s="720"/>
      <c r="I63" s="720"/>
      <c r="J63" s="720"/>
      <c r="K63" s="720"/>
      <c r="L63" s="720"/>
      <c r="M63" s="720"/>
      <c r="N63" s="720"/>
      <c r="O63" s="720"/>
      <c r="P63" s="720"/>
      <c r="Q63" s="720"/>
      <c r="R63" s="720"/>
      <c r="S63" s="720"/>
      <c r="T63" s="1839"/>
      <c r="U63" s="719" t="s">
        <v>1922</v>
      </c>
      <c r="V63" s="719">
        <v>4</v>
      </c>
      <c r="W63" s="1039" t="s">
        <v>1923</v>
      </c>
      <c r="X63" s="1040">
        <v>4</v>
      </c>
      <c r="Y63" s="1040">
        <v>1</v>
      </c>
      <c r="Z63" s="1031">
        <v>1</v>
      </c>
      <c r="AA63" s="1031">
        <v>1</v>
      </c>
      <c r="AB63" s="1034">
        <f>+Y63/X63</f>
        <v>0.25</v>
      </c>
      <c r="AC63" s="1034">
        <f>+Z63/X63</f>
        <v>0.25</v>
      </c>
      <c r="AD63" s="1034">
        <f>AA63/X63</f>
        <v>0.25</v>
      </c>
      <c r="AE63" s="1031">
        <v>1</v>
      </c>
      <c r="AF63" s="1031">
        <v>1</v>
      </c>
      <c r="AG63" s="1031"/>
      <c r="AH63" s="1031">
        <v>1</v>
      </c>
      <c r="AI63" s="1031"/>
      <c r="AJ63" s="1031">
        <f>+AH63</f>
        <v>1</v>
      </c>
      <c r="AK63" s="1395">
        <f>+AJ63/Y63</f>
        <v>1</v>
      </c>
      <c r="AL63" s="1031">
        <f>+AJ63</f>
        <v>1</v>
      </c>
      <c r="AM63" s="1396">
        <f>+AL63/X63</f>
        <v>0.25</v>
      </c>
      <c r="AN63" s="1031">
        <f>+Z63</f>
        <v>1</v>
      </c>
      <c r="AO63" s="1031">
        <v>0</v>
      </c>
      <c r="AP63" s="1194"/>
      <c r="AQ63" s="1031">
        <v>0</v>
      </c>
      <c r="AR63" s="1195"/>
      <c r="AS63" s="1031">
        <v>0</v>
      </c>
      <c r="AT63" s="1031"/>
      <c r="AU63" s="1031">
        <v>1</v>
      </c>
      <c r="AV63" s="1031"/>
      <c r="AW63" s="1031">
        <f>+AU63</f>
        <v>1</v>
      </c>
      <c r="AX63" s="1198">
        <f>+AW63/AN63</f>
        <v>1</v>
      </c>
      <c r="AY63" s="1031">
        <f>+AW63+AL63</f>
        <v>2</v>
      </c>
      <c r="AZ63" s="1033">
        <f>+AY63/X63</f>
        <v>0.5</v>
      </c>
      <c r="BA63" s="1031">
        <f>AA63</f>
        <v>1</v>
      </c>
      <c r="BB63" s="1031">
        <v>0.25</v>
      </c>
      <c r="BC63" s="1031"/>
      <c r="BD63" s="1031">
        <v>0.25</v>
      </c>
      <c r="BE63" s="1031"/>
      <c r="BF63" s="1031">
        <v>0</v>
      </c>
      <c r="BG63" s="1031"/>
      <c r="BH63" s="1031">
        <v>0.5</v>
      </c>
      <c r="BI63" s="1031"/>
      <c r="BJ63" s="1031">
        <f>BB63+BD63+BH63</f>
        <v>1</v>
      </c>
      <c r="BK63" s="1032">
        <f>BJ63/BA63</f>
        <v>1</v>
      </c>
      <c r="BL63" s="1031">
        <f>BJ63+AY63</f>
        <v>3</v>
      </c>
      <c r="BM63" s="1032">
        <f>BL63/X63</f>
        <v>0.75</v>
      </c>
      <c r="BN63" s="721"/>
      <c r="BO63" s="721"/>
      <c r="BP63" s="721"/>
      <c r="BQ63" s="721"/>
      <c r="BR63" s="721"/>
      <c r="BS63" s="721"/>
      <c r="BT63" s="721"/>
      <c r="BU63" s="721"/>
      <c r="BV63" s="721"/>
      <c r="BW63" s="721"/>
      <c r="BX63" s="721"/>
      <c r="BY63" s="721"/>
      <c r="BZ63" s="721"/>
      <c r="CA63" s="721"/>
      <c r="CB63" s="721"/>
      <c r="CC63" s="721"/>
      <c r="CD63" s="721"/>
      <c r="CE63" s="721"/>
      <c r="CF63" s="721"/>
      <c r="CG63" s="721"/>
      <c r="CH63" s="721"/>
      <c r="CI63" s="721"/>
      <c r="CJ63" s="721"/>
      <c r="CK63" s="721"/>
      <c r="CL63" s="721"/>
      <c r="CM63" s="721"/>
      <c r="CN63" s="721"/>
      <c r="CO63" s="721"/>
      <c r="CP63" s="721"/>
      <c r="CQ63" s="721"/>
      <c r="CR63" s="721"/>
      <c r="CS63" s="721"/>
      <c r="CT63" s="721"/>
      <c r="CU63" s="721"/>
      <c r="CV63" s="721"/>
      <c r="CW63" s="721"/>
      <c r="CX63" s="721"/>
    </row>
    <row r="64" spans="1:102" ht="69.75" customHeight="1" x14ac:dyDescent="0.2">
      <c r="A64" s="1870"/>
      <c r="B64" s="1864"/>
      <c r="C64" s="734"/>
      <c r="D64" s="734"/>
      <c r="E64" s="720"/>
      <c r="F64" s="720"/>
      <c r="G64" s="720"/>
      <c r="H64" s="720"/>
      <c r="I64" s="720"/>
      <c r="J64" s="720"/>
      <c r="K64" s="720"/>
      <c r="L64" s="720"/>
      <c r="M64" s="720"/>
      <c r="N64" s="720"/>
      <c r="O64" s="720"/>
      <c r="P64" s="720"/>
      <c r="Q64" s="720"/>
      <c r="R64" s="720"/>
      <c r="S64" s="720"/>
      <c r="T64" s="1839"/>
      <c r="U64" s="719" t="s">
        <v>1924</v>
      </c>
      <c r="V64" s="719">
        <v>4</v>
      </c>
      <c r="W64" s="1039" t="s">
        <v>1925</v>
      </c>
      <c r="X64" s="1040">
        <v>4</v>
      </c>
      <c r="Y64" s="1040">
        <v>1</v>
      </c>
      <c r="Z64" s="1031">
        <v>1</v>
      </c>
      <c r="AA64" s="1031">
        <v>4</v>
      </c>
      <c r="AB64" s="1034">
        <f>+Y64/X64</f>
        <v>0.25</v>
      </c>
      <c r="AC64" s="1034">
        <f>+Z64/X64</f>
        <v>0.25</v>
      </c>
      <c r="AD64" s="1034"/>
      <c r="AE64" s="1031">
        <f>1/2</f>
        <v>0.5</v>
      </c>
      <c r="AF64" s="1031">
        <v>0.5</v>
      </c>
      <c r="AG64" s="1031"/>
      <c r="AH64" s="1031">
        <v>1</v>
      </c>
      <c r="AI64" s="1031"/>
      <c r="AJ64" s="1031">
        <f>+AH64</f>
        <v>1</v>
      </c>
      <c r="AK64" s="1395">
        <f>+AJ64/Y64</f>
        <v>1</v>
      </c>
      <c r="AL64" s="1031">
        <f>+AJ64</f>
        <v>1</v>
      </c>
      <c r="AM64" s="1396">
        <f>+AL64/X64</f>
        <v>0.25</v>
      </c>
      <c r="AN64" s="1031">
        <f>+Z64</f>
        <v>1</v>
      </c>
      <c r="AO64" s="1031">
        <v>0</v>
      </c>
      <c r="AP64" s="1194"/>
      <c r="AQ64" s="1031">
        <v>1</v>
      </c>
      <c r="AR64" s="1195"/>
      <c r="AS64" s="1031">
        <v>2</v>
      </c>
      <c r="AT64" s="1194"/>
      <c r="AU64" s="1031">
        <v>1</v>
      </c>
      <c r="AV64" s="1195"/>
      <c r="AW64" s="1031">
        <v>1</v>
      </c>
      <c r="AX64" s="1198">
        <f>+AW64/AN64</f>
        <v>1</v>
      </c>
      <c r="AY64" s="1031">
        <f>+AW64+AL64</f>
        <v>2</v>
      </c>
      <c r="AZ64" s="1033">
        <f>+AY64/X64</f>
        <v>0.5</v>
      </c>
      <c r="BA64" s="1031">
        <f>AA64</f>
        <v>4</v>
      </c>
      <c r="BB64" s="1031">
        <v>0</v>
      </c>
      <c r="BC64" s="1031"/>
      <c r="BD64" s="1031">
        <v>1</v>
      </c>
      <c r="BE64" s="1031"/>
      <c r="BF64" s="1031">
        <v>2</v>
      </c>
      <c r="BG64" s="324" t="s">
        <v>2212</v>
      </c>
      <c r="BH64" s="1031">
        <v>1</v>
      </c>
      <c r="BI64" s="1031"/>
      <c r="BJ64" s="1034">
        <v>1</v>
      </c>
      <c r="BK64" s="1034">
        <v>1</v>
      </c>
      <c r="BL64" s="1031">
        <v>1</v>
      </c>
      <c r="BM64" s="1034">
        <v>1</v>
      </c>
      <c r="BN64" s="721"/>
      <c r="BO64" s="721"/>
      <c r="BP64" s="721"/>
      <c r="BQ64" s="721"/>
      <c r="BR64" s="721"/>
      <c r="BS64" s="721"/>
      <c r="BT64" s="721"/>
      <c r="BU64" s="721"/>
      <c r="BV64" s="721"/>
      <c r="BW64" s="721"/>
      <c r="BX64" s="721"/>
      <c r="BY64" s="721"/>
      <c r="BZ64" s="721"/>
      <c r="CA64" s="721"/>
      <c r="CB64" s="721"/>
      <c r="CC64" s="721"/>
      <c r="CD64" s="721"/>
      <c r="CE64" s="721"/>
      <c r="CF64" s="721"/>
      <c r="CG64" s="721"/>
      <c r="CH64" s="721"/>
      <c r="CI64" s="721"/>
      <c r="CJ64" s="721"/>
      <c r="CK64" s="721"/>
      <c r="CL64" s="721"/>
      <c r="CM64" s="721"/>
      <c r="CN64" s="721"/>
      <c r="CO64" s="721"/>
      <c r="CP64" s="721"/>
      <c r="CQ64" s="721"/>
      <c r="CR64" s="721"/>
      <c r="CS64" s="721"/>
      <c r="CT64" s="721"/>
      <c r="CU64" s="721"/>
      <c r="CV64" s="721"/>
      <c r="CW64" s="721"/>
      <c r="CX64" s="721"/>
    </row>
    <row r="65" spans="1:102" ht="12" customHeight="1" x14ac:dyDescent="0.2">
      <c r="A65" s="1870"/>
      <c r="B65" s="1864"/>
      <c r="C65" s="734"/>
      <c r="D65" s="734"/>
      <c r="E65" s="720"/>
      <c r="F65" s="720"/>
      <c r="G65" s="720"/>
      <c r="H65" s="720"/>
      <c r="I65" s="720"/>
      <c r="J65" s="720"/>
      <c r="K65" s="720"/>
      <c r="L65" s="720"/>
      <c r="M65" s="720"/>
      <c r="N65" s="720"/>
      <c r="O65" s="720"/>
      <c r="P65" s="720"/>
      <c r="Q65" s="720"/>
      <c r="R65" s="720"/>
      <c r="S65" s="720"/>
      <c r="T65" s="1840"/>
      <c r="U65" s="722"/>
      <c r="V65" s="722"/>
      <c r="W65" s="1050"/>
      <c r="X65" s="1051"/>
      <c r="Y65" s="1051"/>
      <c r="Z65" s="1051"/>
      <c r="AA65" s="1051"/>
      <c r="AB65" s="1038">
        <f>AVERAGE(AB60:AB64)</f>
        <v>0.16816770186335403</v>
      </c>
      <c r="AC65" s="1038">
        <f>AVERAGE(AC60:AC64)</f>
        <v>0.24301242236024842</v>
      </c>
      <c r="AD65" s="1038">
        <f>AVERAGE(AD60:AD64)</f>
        <v>0.24126552795031056</v>
      </c>
      <c r="AE65" s="1051"/>
      <c r="AF65" s="1051"/>
      <c r="AG65" s="1051"/>
      <c r="AH65" s="1051"/>
      <c r="AI65" s="1051"/>
      <c r="AJ65" s="1051"/>
      <c r="AK65" s="1038">
        <f>AVERAGE(AK60:AK64)</f>
        <v>1</v>
      </c>
      <c r="AL65" s="1051"/>
      <c r="AM65" s="1070">
        <f>AVERAGE(AM60:AM64)</f>
        <v>0.16888198757763975</v>
      </c>
      <c r="AN65" s="1121"/>
      <c r="AO65" s="1057"/>
      <c r="AP65" s="1055"/>
      <c r="AQ65" s="1040"/>
      <c r="AR65" s="1055"/>
      <c r="AS65" s="1055"/>
      <c r="AT65" s="1055"/>
      <c r="AU65" s="1040"/>
      <c r="AV65" s="1055"/>
      <c r="AW65" s="1055"/>
      <c r="AX65" s="1083">
        <f>AVERAGE(AX60:AX64)</f>
        <v>0.75614285714285712</v>
      </c>
      <c r="AY65" s="1091"/>
      <c r="AZ65" s="1084">
        <f>AVERAGE(AZ60:AZ64)</f>
        <v>0.34059006211180126</v>
      </c>
      <c r="BA65" s="1084"/>
      <c r="BB65" s="1084"/>
      <c r="BC65" s="1084"/>
      <c r="BD65" s="1084"/>
      <c r="BE65" s="1084"/>
      <c r="BF65" s="1084"/>
      <c r="BG65" s="1084"/>
      <c r="BH65" s="1084"/>
      <c r="BI65" s="1084"/>
      <c r="BJ65" s="1066"/>
      <c r="BK65" s="1066">
        <f>AVERAGE(BK60:BK64)</f>
        <v>0.90399999999999991</v>
      </c>
      <c r="BL65" s="1066"/>
      <c r="BM65" s="1066">
        <f>AVERAGE(BM60:BM64)</f>
        <v>0.61404347826086947</v>
      </c>
      <c r="BN65" s="721"/>
      <c r="BO65" s="721"/>
      <c r="BP65" s="721"/>
      <c r="BQ65" s="721"/>
      <c r="BR65" s="721"/>
      <c r="BS65" s="721"/>
      <c r="BT65" s="721"/>
      <c r="BU65" s="721"/>
      <c r="BV65" s="721"/>
      <c r="BW65" s="721"/>
      <c r="BX65" s="721"/>
      <c r="BY65" s="721"/>
      <c r="BZ65" s="721"/>
      <c r="CA65" s="721"/>
      <c r="CB65" s="721"/>
      <c r="CC65" s="721"/>
      <c r="CD65" s="721"/>
      <c r="CE65" s="721"/>
      <c r="CF65" s="721"/>
      <c r="CG65" s="721"/>
      <c r="CH65" s="721"/>
      <c r="CI65" s="721"/>
      <c r="CJ65" s="721"/>
      <c r="CK65" s="721"/>
      <c r="CL65" s="721"/>
      <c r="CM65" s="721"/>
      <c r="CN65" s="721"/>
      <c r="CO65" s="721"/>
      <c r="CP65" s="721"/>
      <c r="CQ65" s="721"/>
      <c r="CR65" s="721"/>
      <c r="CS65" s="721"/>
      <c r="CT65" s="721"/>
      <c r="CU65" s="721"/>
      <c r="CV65" s="721"/>
      <c r="CW65" s="721"/>
      <c r="CX65" s="721"/>
    </row>
    <row r="66" spans="1:102" ht="83.25" customHeight="1" x14ac:dyDescent="0.2">
      <c r="A66" s="1870"/>
      <c r="B66" s="1864"/>
      <c r="C66" s="734"/>
      <c r="D66" s="734"/>
      <c r="E66" s="720"/>
      <c r="F66" s="720"/>
      <c r="G66" s="720"/>
      <c r="H66" s="720"/>
      <c r="I66" s="720"/>
      <c r="J66" s="720"/>
      <c r="K66" s="720"/>
      <c r="L66" s="720"/>
      <c r="M66" s="720"/>
      <c r="N66" s="720"/>
      <c r="O66" s="720"/>
      <c r="P66" s="720"/>
      <c r="Q66" s="720"/>
      <c r="R66" s="720"/>
      <c r="S66" s="720"/>
      <c r="T66" s="1838" t="s">
        <v>1926</v>
      </c>
      <c r="U66" s="719" t="s">
        <v>1927</v>
      </c>
      <c r="V66" s="729">
        <v>46553</v>
      </c>
      <c r="W66" s="1039" t="s">
        <v>1928</v>
      </c>
      <c r="X66" s="1040">
        <v>47000</v>
      </c>
      <c r="Y66" s="1040">
        <v>2000</v>
      </c>
      <c r="Z66" s="1031">
        <v>15000</v>
      </c>
      <c r="AA66" s="1031">
        <v>15000</v>
      </c>
      <c r="AB66" s="1034">
        <f>+Y66/X66</f>
        <v>4.2553191489361701E-2</v>
      </c>
      <c r="AC66" s="1034">
        <f>+Z66/X66</f>
        <v>0.31914893617021278</v>
      </c>
      <c r="AD66" s="1034">
        <f>AA66/X66</f>
        <v>0.31914893617021278</v>
      </c>
      <c r="AE66" s="1031">
        <v>200</v>
      </c>
      <c r="AF66" s="1031">
        <v>531</v>
      </c>
      <c r="AG66" s="1031"/>
      <c r="AH66" s="1031">
        <v>2000</v>
      </c>
      <c r="AI66" s="1031"/>
      <c r="AJ66" s="1031">
        <f>+AH66</f>
        <v>2000</v>
      </c>
      <c r="AK66" s="1034">
        <f>+AJ66/Y66</f>
        <v>1</v>
      </c>
      <c r="AL66" s="1031">
        <f>+AJ66</f>
        <v>2000</v>
      </c>
      <c r="AM66" s="1379">
        <f>+AL66/X66</f>
        <v>4.2553191489361701E-2</v>
      </c>
      <c r="AN66" s="1194">
        <f>+Z66</f>
        <v>15000</v>
      </c>
      <c r="AO66" s="1031">
        <v>830</v>
      </c>
      <c r="AP66" s="1189"/>
      <c r="AQ66" s="1031">
        <v>7428</v>
      </c>
      <c r="AR66" s="1189"/>
      <c r="AS66" s="1031">
        <v>4402</v>
      </c>
      <c r="AT66" s="1189"/>
      <c r="AU66" s="1031">
        <v>3324</v>
      </c>
      <c r="AV66" s="1189"/>
      <c r="AW66" s="1263">
        <f>+AO66+AQ66+AS66+AU66</f>
        <v>15984</v>
      </c>
      <c r="AX66" s="1190">
        <v>1</v>
      </c>
      <c r="AY66" s="1263">
        <f>+AW66+AL66</f>
        <v>17984</v>
      </c>
      <c r="AZ66" s="1192">
        <f>+AY66/X66</f>
        <v>0.38263829787234044</v>
      </c>
      <c r="BA66" s="1031">
        <v>15000</v>
      </c>
      <c r="BB66" s="1031">
        <v>1099</v>
      </c>
      <c r="BC66" s="1031"/>
      <c r="BD66" s="1031">
        <v>6523</v>
      </c>
      <c r="BE66" s="1031"/>
      <c r="BF66" s="1031">
        <v>3310</v>
      </c>
      <c r="BG66" s="1031"/>
      <c r="BH66" s="1031">
        <v>4908</v>
      </c>
      <c r="BI66" s="1031"/>
      <c r="BJ66" s="1031">
        <f>BB66+BD66+BF66+BH66</f>
        <v>15840</v>
      </c>
      <c r="BK66" s="1032">
        <v>1</v>
      </c>
      <c r="BL66" s="1031">
        <f>BJ66+AY66</f>
        <v>33824</v>
      </c>
      <c r="BM66" s="1032">
        <f>BL66/X66</f>
        <v>0.71965957446808515</v>
      </c>
      <c r="BN66" s="721"/>
      <c r="BO66" s="721"/>
      <c r="BP66" s="721"/>
      <c r="BQ66" s="721"/>
      <c r="BR66" s="721"/>
      <c r="BS66" s="721"/>
      <c r="BT66" s="721"/>
      <c r="BU66" s="721"/>
      <c r="BV66" s="721"/>
      <c r="BW66" s="721"/>
      <c r="BX66" s="721"/>
      <c r="BY66" s="721"/>
      <c r="BZ66" s="721"/>
      <c r="CA66" s="721"/>
      <c r="CB66" s="721"/>
      <c r="CC66" s="721"/>
      <c r="CD66" s="721"/>
      <c r="CE66" s="721"/>
      <c r="CF66" s="721"/>
      <c r="CG66" s="721"/>
      <c r="CH66" s="721"/>
      <c r="CI66" s="721"/>
      <c r="CJ66" s="721"/>
      <c r="CK66" s="721"/>
      <c r="CL66" s="721"/>
      <c r="CM66" s="721"/>
      <c r="CN66" s="721"/>
      <c r="CO66" s="721"/>
      <c r="CP66" s="721"/>
      <c r="CQ66" s="721"/>
      <c r="CR66" s="721"/>
      <c r="CS66" s="721"/>
      <c r="CT66" s="721"/>
      <c r="CU66" s="721"/>
      <c r="CV66" s="721"/>
      <c r="CW66" s="721"/>
      <c r="CX66" s="721"/>
    </row>
    <row r="67" spans="1:102" ht="68.25" customHeight="1" x14ac:dyDescent="0.2">
      <c r="A67" s="1870"/>
      <c r="B67" s="1864"/>
      <c r="C67" s="734"/>
      <c r="D67" s="734"/>
      <c r="E67" s="720"/>
      <c r="F67" s="720"/>
      <c r="G67" s="720"/>
      <c r="H67" s="720"/>
      <c r="I67" s="720"/>
      <c r="J67" s="720"/>
      <c r="K67" s="720"/>
      <c r="L67" s="720"/>
      <c r="M67" s="720"/>
      <c r="N67" s="720"/>
      <c r="O67" s="720"/>
      <c r="P67" s="720"/>
      <c r="Q67" s="720"/>
      <c r="R67" s="720"/>
      <c r="S67" s="720"/>
      <c r="T67" s="1839"/>
      <c r="U67" s="719" t="s">
        <v>1929</v>
      </c>
      <c r="V67" s="729">
        <v>1594</v>
      </c>
      <c r="W67" s="1039" t="s">
        <v>1930</v>
      </c>
      <c r="X67" s="1040">
        <v>1600</v>
      </c>
      <c r="Y67" s="1040">
        <v>100</v>
      </c>
      <c r="Z67" s="1031">
        <v>700</v>
      </c>
      <c r="AA67" s="1031">
        <v>550</v>
      </c>
      <c r="AB67" s="1034">
        <f>+Y67/X67</f>
        <v>6.25E-2</v>
      </c>
      <c r="AC67" s="1034">
        <f>+Z67/X67</f>
        <v>0.4375</v>
      </c>
      <c r="AD67" s="1034">
        <f>AA67/X67</f>
        <v>0.34375</v>
      </c>
      <c r="AE67" s="1031">
        <v>19</v>
      </c>
      <c r="AF67" s="1031">
        <v>19</v>
      </c>
      <c r="AG67" s="1031"/>
      <c r="AH67" s="1031">
        <v>100</v>
      </c>
      <c r="AI67" s="1031"/>
      <c r="AJ67" s="1031">
        <f>+AH67</f>
        <v>100</v>
      </c>
      <c r="AK67" s="1034">
        <f>+AJ67/Y67</f>
        <v>1</v>
      </c>
      <c r="AL67" s="1031">
        <f>+AJ67</f>
        <v>100</v>
      </c>
      <c r="AM67" s="1379">
        <f>+AL67/X67</f>
        <v>6.25E-2</v>
      </c>
      <c r="AN67" s="1194">
        <f>+Z67</f>
        <v>700</v>
      </c>
      <c r="AO67" s="1031">
        <v>0</v>
      </c>
      <c r="AP67" s="1195"/>
      <c r="AQ67" s="1380">
        <v>39</v>
      </c>
      <c r="AR67" s="1031"/>
      <c r="AS67" s="1380">
        <v>212</v>
      </c>
      <c r="AT67" s="1031"/>
      <c r="AU67" s="1380">
        <v>178</v>
      </c>
      <c r="AV67" s="1031"/>
      <c r="AW67" s="1263">
        <f>+AO67+AQ67+AS67+AU67</f>
        <v>429</v>
      </c>
      <c r="AX67" s="1034">
        <f>+AW67/AN67</f>
        <v>0.61285714285714288</v>
      </c>
      <c r="AY67" s="1031">
        <f>+AW67+AL67</f>
        <v>529</v>
      </c>
      <c r="AZ67" s="1379">
        <f>+AY67/X67</f>
        <v>0.330625</v>
      </c>
      <c r="BA67" s="1031">
        <f>AA67</f>
        <v>550</v>
      </c>
      <c r="BB67" s="1031">
        <v>161</v>
      </c>
      <c r="BC67" s="1031"/>
      <c r="BD67" s="1031">
        <v>85</v>
      </c>
      <c r="BE67" s="1031"/>
      <c r="BF67" s="1031">
        <v>220</v>
      </c>
      <c r="BG67" s="1031"/>
      <c r="BH67" s="1031">
        <v>316</v>
      </c>
      <c r="BI67" s="1031"/>
      <c r="BJ67" s="1031">
        <f>BB67+BD67+BF67+BH67</f>
        <v>782</v>
      </c>
      <c r="BK67" s="1032">
        <v>1</v>
      </c>
      <c r="BL67" s="1031">
        <f>BJ67+AY67</f>
        <v>1311</v>
      </c>
      <c r="BM67" s="1032">
        <f>BL67/X67</f>
        <v>0.81937499999999996</v>
      </c>
      <c r="BN67" s="721"/>
      <c r="BO67" s="721"/>
      <c r="BP67" s="721"/>
      <c r="BQ67" s="721"/>
      <c r="BR67" s="721"/>
      <c r="BS67" s="721"/>
      <c r="BT67" s="721"/>
      <c r="BU67" s="721"/>
      <c r="BV67" s="721"/>
      <c r="BW67" s="721"/>
      <c r="BX67" s="721"/>
      <c r="BY67" s="721"/>
      <c r="BZ67" s="721"/>
      <c r="CA67" s="721"/>
      <c r="CB67" s="721"/>
      <c r="CC67" s="721"/>
      <c r="CD67" s="721"/>
      <c r="CE67" s="721"/>
      <c r="CF67" s="721"/>
      <c r="CG67" s="721"/>
      <c r="CH67" s="721"/>
      <c r="CI67" s="721"/>
      <c r="CJ67" s="721"/>
      <c r="CK67" s="721"/>
      <c r="CL67" s="721"/>
      <c r="CM67" s="721"/>
      <c r="CN67" s="721"/>
      <c r="CO67" s="721"/>
      <c r="CP67" s="721"/>
      <c r="CQ67" s="721"/>
      <c r="CR67" s="721"/>
      <c r="CS67" s="721"/>
      <c r="CT67" s="721"/>
      <c r="CU67" s="721"/>
      <c r="CV67" s="721"/>
      <c r="CW67" s="721"/>
      <c r="CX67" s="721"/>
    </row>
    <row r="68" spans="1:102" ht="57.75" customHeight="1" x14ac:dyDescent="0.2">
      <c r="A68" s="1870"/>
      <c r="B68" s="1864"/>
      <c r="C68" s="734"/>
      <c r="D68" s="734"/>
      <c r="E68" s="720"/>
      <c r="F68" s="720"/>
      <c r="G68" s="720"/>
      <c r="H68" s="720"/>
      <c r="I68" s="720"/>
      <c r="J68" s="720"/>
      <c r="K68" s="720"/>
      <c r="L68" s="720"/>
      <c r="M68" s="720"/>
      <c r="N68" s="720"/>
      <c r="O68" s="720"/>
      <c r="P68" s="720"/>
      <c r="Q68" s="720"/>
      <c r="R68" s="720"/>
      <c r="S68" s="720"/>
      <c r="T68" s="1839"/>
      <c r="U68" s="719" t="s">
        <v>1931</v>
      </c>
      <c r="V68" s="719">
        <v>1</v>
      </c>
      <c r="W68" s="1039" t="s">
        <v>1932</v>
      </c>
      <c r="X68" s="1040">
        <v>1</v>
      </c>
      <c r="Y68" s="1040" t="s">
        <v>177</v>
      </c>
      <c r="Z68" s="1031">
        <v>1</v>
      </c>
      <c r="AA68" s="1031">
        <v>0.1</v>
      </c>
      <c r="AB68" s="1031"/>
      <c r="AC68" s="1034">
        <f>+Z68/X68</f>
        <v>1</v>
      </c>
      <c r="AD68" s="1034">
        <f>AA68/X68</f>
        <v>0.1</v>
      </c>
      <c r="AE68" s="1031"/>
      <c r="AF68" s="1031"/>
      <c r="AG68" s="1031"/>
      <c r="AH68" s="1031"/>
      <c r="AI68" s="1031"/>
      <c r="AJ68" s="1031"/>
      <c r="AK68" s="1031"/>
      <c r="AL68" s="1031"/>
      <c r="AM68" s="1194"/>
      <c r="AN68" s="1400">
        <f>+Z68</f>
        <v>1</v>
      </c>
      <c r="AO68" s="1031">
        <v>0</v>
      </c>
      <c r="AP68" s="1401"/>
      <c r="AQ68" s="1263">
        <v>0</v>
      </c>
      <c r="AR68" s="1263"/>
      <c r="AS68" s="1263">
        <v>0.7</v>
      </c>
      <c r="AT68" s="1263"/>
      <c r="AU68" s="1263">
        <v>0</v>
      </c>
      <c r="AV68" s="1263"/>
      <c r="AW68" s="1263">
        <f>+AO68+AQ68+AS68+AU68</f>
        <v>0.7</v>
      </c>
      <c r="AX68" s="1190">
        <f>+AW68/AN68</f>
        <v>0.7</v>
      </c>
      <c r="AY68" s="1402">
        <v>0</v>
      </c>
      <c r="AZ68" s="1379">
        <f>+AY68/X68</f>
        <v>0</v>
      </c>
      <c r="BA68" s="1031">
        <f>AA68</f>
        <v>0.1</v>
      </c>
      <c r="BB68" s="1031">
        <v>0</v>
      </c>
      <c r="BC68" s="1031"/>
      <c r="BD68" s="1031"/>
      <c r="BE68" s="1031"/>
      <c r="BF68" s="1391">
        <v>0.25</v>
      </c>
      <c r="BG68" s="324" t="s">
        <v>2209</v>
      </c>
      <c r="BH68" s="1031">
        <v>0</v>
      </c>
      <c r="BI68" s="1031"/>
      <c r="BJ68" s="1031">
        <f>+BF68</f>
        <v>0.25</v>
      </c>
      <c r="BK68" s="1032">
        <v>1</v>
      </c>
      <c r="BL68" s="1031">
        <f>BJ68+AY68</f>
        <v>0.25</v>
      </c>
      <c r="BM68" s="1224">
        <f>BL68/X68</f>
        <v>0.25</v>
      </c>
      <c r="BN68" s="721"/>
      <c r="BO68" s="721"/>
      <c r="BP68" s="721"/>
      <c r="BQ68" s="721"/>
      <c r="BR68" s="721"/>
      <c r="BS68" s="721"/>
      <c r="BT68" s="721"/>
      <c r="BU68" s="721"/>
      <c r="BV68" s="721"/>
      <c r="BW68" s="721"/>
      <c r="BX68" s="721"/>
      <c r="BY68" s="721"/>
      <c r="BZ68" s="721"/>
      <c r="CA68" s="721"/>
      <c r="CB68" s="721"/>
      <c r="CC68" s="721"/>
      <c r="CD68" s="721"/>
      <c r="CE68" s="721"/>
      <c r="CF68" s="721"/>
      <c r="CG68" s="721"/>
      <c r="CH68" s="721"/>
      <c r="CI68" s="721"/>
      <c r="CJ68" s="721"/>
      <c r="CK68" s="721"/>
      <c r="CL68" s="721"/>
      <c r="CM68" s="721"/>
      <c r="CN68" s="721"/>
      <c r="CO68" s="721"/>
      <c r="CP68" s="721"/>
      <c r="CQ68" s="721"/>
      <c r="CR68" s="721"/>
      <c r="CS68" s="721"/>
      <c r="CT68" s="721"/>
      <c r="CU68" s="721"/>
      <c r="CV68" s="721"/>
      <c r="CW68" s="721"/>
      <c r="CX68" s="721"/>
    </row>
    <row r="69" spans="1:102" ht="78" customHeight="1" x14ac:dyDescent="0.2">
      <c r="A69" s="1870"/>
      <c r="B69" s="1864"/>
      <c r="C69" s="734"/>
      <c r="D69" s="734"/>
      <c r="E69" s="720"/>
      <c r="F69" s="720"/>
      <c r="G69" s="720"/>
      <c r="H69" s="720"/>
      <c r="I69" s="720"/>
      <c r="J69" s="720"/>
      <c r="K69" s="720"/>
      <c r="L69" s="720"/>
      <c r="M69" s="720"/>
      <c r="N69" s="720"/>
      <c r="O69" s="720"/>
      <c r="P69" s="720"/>
      <c r="Q69" s="720"/>
      <c r="R69" s="720"/>
      <c r="S69" s="720"/>
      <c r="T69" s="1839"/>
      <c r="U69" s="719" t="s">
        <v>1933</v>
      </c>
      <c r="V69" s="719">
        <v>0</v>
      </c>
      <c r="W69" s="1039" t="s">
        <v>1934</v>
      </c>
      <c r="X69" s="1040">
        <v>1</v>
      </c>
      <c r="Y69" s="1040" t="s">
        <v>177</v>
      </c>
      <c r="Z69" s="1040">
        <v>1</v>
      </c>
      <c r="AA69" s="1040"/>
      <c r="AB69" s="1040"/>
      <c r="AC69" s="1043">
        <f>+Z69/X69</f>
        <v>1</v>
      </c>
      <c r="AD69" s="1043"/>
      <c r="AE69" s="1040"/>
      <c r="AF69" s="1040"/>
      <c r="AG69" s="1040"/>
      <c r="AH69" s="1040"/>
      <c r="AI69" s="1040"/>
      <c r="AJ69" s="1040"/>
      <c r="AK69" s="1040"/>
      <c r="AL69" s="1040"/>
      <c r="AM69" s="1049"/>
      <c r="AN69" s="1049">
        <f>+Z69</f>
        <v>1</v>
      </c>
      <c r="AO69" s="1040">
        <v>1</v>
      </c>
      <c r="AP69" s="1105"/>
      <c r="AQ69" s="1040">
        <v>0</v>
      </c>
      <c r="AR69" s="1040"/>
      <c r="AS69" s="1040">
        <v>0</v>
      </c>
      <c r="AT69" s="1040"/>
      <c r="AU69" s="1040">
        <v>0</v>
      </c>
      <c r="AV69" s="1040"/>
      <c r="AW69" s="1040">
        <f>+AO69</f>
        <v>1</v>
      </c>
      <c r="AX69" s="1043">
        <f>+AW69/AN69</f>
        <v>1</v>
      </c>
      <c r="AY69" s="1040">
        <f>+AW69+AL69</f>
        <v>1</v>
      </c>
      <c r="AZ69" s="1093">
        <f>+AY69/X69</f>
        <v>1</v>
      </c>
      <c r="BA69" s="1040">
        <f>AA69</f>
        <v>0</v>
      </c>
      <c r="BB69" s="1040"/>
      <c r="BC69" s="1040"/>
      <c r="BD69" s="1040"/>
      <c r="BE69" s="1040"/>
      <c r="BF69" s="1040"/>
      <c r="BG69" s="199" t="s">
        <v>2200</v>
      </c>
      <c r="BH69" s="1040"/>
      <c r="BI69" s="1040"/>
      <c r="BJ69" s="1040"/>
      <c r="BK69" s="1048"/>
      <c r="BL69" s="1040"/>
      <c r="BM69" s="1048">
        <v>1</v>
      </c>
      <c r="BN69" s="721"/>
      <c r="BO69" s="721"/>
      <c r="BP69" s="721"/>
      <c r="BQ69" s="721"/>
      <c r="BR69" s="721"/>
      <c r="BS69" s="721"/>
      <c r="BT69" s="721"/>
      <c r="BU69" s="721"/>
      <c r="BV69" s="721"/>
      <c r="BW69" s="721"/>
      <c r="BX69" s="721"/>
      <c r="BY69" s="721"/>
      <c r="BZ69" s="721"/>
      <c r="CA69" s="721"/>
      <c r="CB69" s="721"/>
      <c r="CC69" s="721"/>
      <c r="CD69" s="721"/>
      <c r="CE69" s="721"/>
      <c r="CF69" s="721"/>
      <c r="CG69" s="721"/>
      <c r="CH69" s="721"/>
      <c r="CI69" s="721"/>
      <c r="CJ69" s="721"/>
      <c r="CK69" s="721"/>
      <c r="CL69" s="721"/>
      <c r="CM69" s="721"/>
      <c r="CN69" s="721"/>
      <c r="CO69" s="721"/>
      <c r="CP69" s="721"/>
      <c r="CQ69" s="721"/>
      <c r="CR69" s="721"/>
      <c r="CS69" s="721"/>
      <c r="CT69" s="721"/>
      <c r="CU69" s="721"/>
      <c r="CV69" s="721"/>
      <c r="CW69" s="721"/>
      <c r="CX69" s="721"/>
    </row>
    <row r="70" spans="1:102" ht="12" customHeight="1" x14ac:dyDescent="0.2">
      <c r="A70" s="1870"/>
      <c r="B70" s="1864"/>
      <c r="C70" s="734"/>
      <c r="D70" s="734"/>
      <c r="E70" s="720"/>
      <c r="F70" s="720"/>
      <c r="G70" s="720"/>
      <c r="H70" s="720"/>
      <c r="I70" s="720"/>
      <c r="J70" s="720"/>
      <c r="K70" s="720"/>
      <c r="L70" s="720"/>
      <c r="M70" s="720"/>
      <c r="N70" s="720"/>
      <c r="O70" s="720"/>
      <c r="P70" s="720"/>
      <c r="Q70" s="720"/>
      <c r="R70" s="720"/>
      <c r="S70" s="720"/>
      <c r="T70" s="1840"/>
      <c r="U70" s="722"/>
      <c r="V70" s="722"/>
      <c r="W70" s="1050"/>
      <c r="X70" s="1051"/>
      <c r="Y70" s="1051"/>
      <c r="Z70" s="1051"/>
      <c r="AA70" s="1051"/>
      <c r="AB70" s="1038">
        <f>AVERAGE(AB66:AB69)</f>
        <v>5.2526595744680854E-2</v>
      </c>
      <c r="AC70" s="1038">
        <f>AVERAGE(AC66:AC69)</f>
        <v>0.68916223404255317</v>
      </c>
      <c r="AD70" s="1038">
        <f>AVERAGE(AD66:AD69)</f>
        <v>0.25429964539007094</v>
      </c>
      <c r="AE70" s="1051"/>
      <c r="AF70" s="1051"/>
      <c r="AG70" s="1051"/>
      <c r="AH70" s="1051"/>
      <c r="AI70" s="1051"/>
      <c r="AJ70" s="1051"/>
      <c r="AK70" s="1038">
        <f>AVERAGE(AK66:AK69)</f>
        <v>1</v>
      </c>
      <c r="AL70" s="1069"/>
      <c r="AM70" s="1053">
        <f>AVERAGE(AM66:AM69)</f>
        <v>5.2526595744680854E-2</v>
      </c>
      <c r="AN70" s="1051"/>
      <c r="AO70" s="1051"/>
      <c r="AP70" s="1051"/>
      <c r="AQ70" s="1051"/>
      <c r="AR70" s="1051"/>
      <c r="AS70" s="1051"/>
      <c r="AT70" s="1051"/>
      <c r="AU70" s="1051"/>
      <c r="AV70" s="1051"/>
      <c r="AW70" s="1051"/>
      <c r="AX70" s="1038">
        <f>AVERAGE(AX66:AX69)</f>
        <v>0.82821428571428579</v>
      </c>
      <c r="AY70" s="1069"/>
      <c r="AZ70" s="1094">
        <f>AVERAGE(AZ66:AZ69)</f>
        <v>0.42831582446808514</v>
      </c>
      <c r="BA70" s="1094"/>
      <c r="BB70" s="1094"/>
      <c r="BC70" s="1094"/>
      <c r="BD70" s="1094"/>
      <c r="BE70" s="1094"/>
      <c r="BF70" s="1094"/>
      <c r="BG70" s="1094"/>
      <c r="BH70" s="1094"/>
      <c r="BI70" s="1094"/>
      <c r="BJ70" s="1095"/>
      <c r="BK70" s="1052">
        <f>AVERAGE(BK66:BK69)</f>
        <v>1</v>
      </c>
      <c r="BL70" s="1096"/>
      <c r="BM70" s="1052">
        <f>AVERAGE(BM66:BM69)</f>
        <v>0.69725864361702128</v>
      </c>
      <c r="BN70" s="721"/>
      <c r="BO70" s="721"/>
      <c r="BP70" s="721"/>
      <c r="BQ70" s="721"/>
      <c r="BR70" s="721"/>
      <c r="BS70" s="721"/>
      <c r="BT70" s="721"/>
      <c r="BU70" s="721"/>
      <c r="BV70" s="721"/>
      <c r="BW70" s="721"/>
      <c r="BX70" s="721"/>
      <c r="BY70" s="721"/>
      <c r="BZ70" s="721"/>
      <c r="CA70" s="721"/>
      <c r="CB70" s="721"/>
      <c r="CC70" s="721"/>
      <c r="CD70" s="721"/>
      <c r="CE70" s="721"/>
      <c r="CF70" s="721"/>
      <c r="CG70" s="721"/>
      <c r="CH70" s="721"/>
      <c r="CI70" s="721"/>
      <c r="CJ70" s="721"/>
      <c r="CK70" s="721"/>
      <c r="CL70" s="721"/>
      <c r="CM70" s="721"/>
      <c r="CN70" s="721"/>
      <c r="CO70" s="721"/>
      <c r="CP70" s="721"/>
      <c r="CQ70" s="721"/>
      <c r="CR70" s="721"/>
      <c r="CS70" s="721"/>
      <c r="CT70" s="721"/>
      <c r="CU70" s="721"/>
      <c r="CV70" s="721"/>
      <c r="CW70" s="721"/>
      <c r="CX70" s="721"/>
    </row>
    <row r="71" spans="1:102" ht="80.25" customHeight="1" x14ac:dyDescent="0.2">
      <c r="A71" s="1870"/>
      <c r="B71" s="1864"/>
      <c r="C71" s="734"/>
      <c r="D71" s="734"/>
      <c r="E71" s="720"/>
      <c r="F71" s="720"/>
      <c r="G71" s="720"/>
      <c r="H71" s="720"/>
      <c r="I71" s="720"/>
      <c r="J71" s="720"/>
      <c r="K71" s="720"/>
      <c r="L71" s="720"/>
      <c r="M71" s="720"/>
      <c r="N71" s="720"/>
      <c r="O71" s="720"/>
      <c r="P71" s="720"/>
      <c r="Q71" s="720"/>
      <c r="R71" s="720"/>
      <c r="S71" s="720"/>
      <c r="T71" s="1838" t="s">
        <v>1935</v>
      </c>
      <c r="U71" s="719" t="s">
        <v>1936</v>
      </c>
      <c r="V71" s="729" t="s">
        <v>1937</v>
      </c>
      <c r="W71" s="1039" t="s">
        <v>1938</v>
      </c>
      <c r="X71" s="1040">
        <v>2812</v>
      </c>
      <c r="Y71" s="1040">
        <v>112</v>
      </c>
      <c r="Z71" s="1031">
        <v>950</v>
      </c>
      <c r="AA71" s="1031">
        <v>150</v>
      </c>
      <c r="AB71" s="1034">
        <f>+Y71/X71</f>
        <v>3.9829302987197723E-2</v>
      </c>
      <c r="AC71" s="1034">
        <f>+Z71/X71</f>
        <v>0.33783783783783783</v>
      </c>
      <c r="AD71" s="1034">
        <f>+AA71/X71</f>
        <v>5.3342816500711238E-2</v>
      </c>
      <c r="AE71" s="1031">
        <v>112</v>
      </c>
      <c r="AF71" s="1031">
        <v>622</v>
      </c>
      <c r="AG71" s="1031"/>
      <c r="AH71" s="1031">
        <v>1461</v>
      </c>
      <c r="AI71" s="1031"/>
      <c r="AJ71" s="1031">
        <f>+AH71</f>
        <v>1461</v>
      </c>
      <c r="AK71" s="1034">
        <v>1</v>
      </c>
      <c r="AL71" s="1031">
        <f>+AJ71</f>
        <v>1461</v>
      </c>
      <c r="AM71" s="1033">
        <f>+AL71/X71</f>
        <v>0.51955903271692749</v>
      </c>
      <c r="AN71" s="1031">
        <f>+Z71</f>
        <v>950</v>
      </c>
      <c r="AO71" s="1031">
        <v>459</v>
      </c>
      <c r="AP71" s="1031"/>
      <c r="AQ71" s="1031">
        <v>491</v>
      </c>
      <c r="AR71" s="1031"/>
      <c r="AS71" s="1031">
        <v>0</v>
      </c>
      <c r="AT71" s="1031"/>
      <c r="AU71" s="1031">
        <v>158</v>
      </c>
      <c r="AV71" s="1031"/>
      <c r="AW71" s="1187">
        <f>+AO71+AQ71+AU71</f>
        <v>1108</v>
      </c>
      <c r="AX71" s="1034">
        <v>1</v>
      </c>
      <c r="AY71" s="1187">
        <f>AJ71+AW71</f>
        <v>2569</v>
      </c>
      <c r="AZ71" s="1033">
        <f>+AY71/2812</f>
        <v>0.91358463726884775</v>
      </c>
      <c r="BA71" s="1031">
        <v>150</v>
      </c>
      <c r="BB71" s="1031">
        <v>233</v>
      </c>
      <c r="BC71" s="1031"/>
      <c r="BD71" s="1031">
        <v>141</v>
      </c>
      <c r="BE71" s="1031"/>
      <c r="BF71" s="1031">
        <v>172</v>
      </c>
      <c r="BG71" s="199" t="s">
        <v>2200</v>
      </c>
      <c r="BH71" s="1031">
        <v>125</v>
      </c>
      <c r="BI71" s="1031"/>
      <c r="BJ71" s="1031">
        <f>BB71+BD71+BF71+BH71</f>
        <v>671</v>
      </c>
      <c r="BK71" s="1034">
        <v>1</v>
      </c>
      <c r="BL71" s="1187">
        <f>BJ71+AY71</f>
        <v>3240</v>
      </c>
      <c r="BM71" s="1032">
        <v>1</v>
      </c>
      <c r="BN71" s="721"/>
      <c r="BO71" s="721"/>
      <c r="BP71" s="721"/>
      <c r="BQ71" s="721"/>
      <c r="BR71" s="721"/>
      <c r="BS71" s="721"/>
      <c r="BT71" s="721"/>
      <c r="BU71" s="721"/>
      <c r="BV71" s="721"/>
      <c r="BW71" s="721"/>
      <c r="BX71" s="721"/>
      <c r="BY71" s="721"/>
      <c r="BZ71" s="721"/>
      <c r="CA71" s="721"/>
      <c r="CB71" s="721"/>
      <c r="CC71" s="721"/>
      <c r="CD71" s="721"/>
      <c r="CE71" s="721"/>
      <c r="CF71" s="721"/>
      <c r="CG71" s="721"/>
      <c r="CH71" s="721"/>
      <c r="CI71" s="721"/>
      <c r="CJ71" s="721"/>
      <c r="CK71" s="721"/>
      <c r="CL71" s="721"/>
      <c r="CM71" s="721"/>
      <c r="CN71" s="721"/>
      <c r="CO71" s="721"/>
      <c r="CP71" s="721"/>
      <c r="CQ71" s="721"/>
      <c r="CR71" s="721"/>
      <c r="CS71" s="721"/>
      <c r="CT71" s="721"/>
      <c r="CU71" s="721"/>
      <c r="CV71" s="721"/>
      <c r="CW71" s="721"/>
      <c r="CX71" s="721"/>
    </row>
    <row r="72" spans="1:102" ht="72.75" customHeight="1" x14ac:dyDescent="0.2">
      <c r="A72" s="1870"/>
      <c r="B72" s="1864"/>
      <c r="C72" s="734"/>
      <c r="D72" s="734"/>
      <c r="E72" s="720"/>
      <c r="F72" s="720"/>
      <c r="G72" s="720"/>
      <c r="H72" s="720"/>
      <c r="I72" s="720"/>
      <c r="J72" s="720"/>
      <c r="K72" s="720"/>
      <c r="L72" s="720"/>
      <c r="M72" s="720"/>
      <c r="N72" s="720"/>
      <c r="O72" s="720"/>
      <c r="P72" s="720"/>
      <c r="Q72" s="720"/>
      <c r="R72" s="720"/>
      <c r="S72" s="720"/>
      <c r="T72" s="1839"/>
      <c r="U72" s="719" t="s">
        <v>1939</v>
      </c>
      <c r="V72" s="719" t="s">
        <v>1940</v>
      </c>
      <c r="W72" s="1039" t="s">
        <v>1941</v>
      </c>
      <c r="X72" s="1040">
        <v>20</v>
      </c>
      <c r="Y72" s="1040">
        <v>2</v>
      </c>
      <c r="Z72" s="1031">
        <v>6</v>
      </c>
      <c r="AA72" s="1031">
        <v>6</v>
      </c>
      <c r="AB72" s="1034">
        <f>+Y72/X72</f>
        <v>0.1</v>
      </c>
      <c r="AC72" s="1034">
        <f>+Z72/X72</f>
        <v>0.3</v>
      </c>
      <c r="AD72" s="1034">
        <f>+AA72/X72</f>
        <v>0.3</v>
      </c>
      <c r="AE72" s="1031">
        <v>0</v>
      </c>
      <c r="AF72" s="1031">
        <v>0</v>
      </c>
      <c r="AG72" s="1031"/>
      <c r="AH72" s="1031">
        <v>2</v>
      </c>
      <c r="AI72" s="1031"/>
      <c r="AJ72" s="1031">
        <f>+AH72</f>
        <v>2</v>
      </c>
      <c r="AK72" s="1034">
        <f>+AJ72/Y72</f>
        <v>1</v>
      </c>
      <c r="AL72" s="1031">
        <f>+AJ72</f>
        <v>2</v>
      </c>
      <c r="AM72" s="1033">
        <f>+AL72/X72</f>
        <v>0.1</v>
      </c>
      <c r="AN72" s="1031">
        <f>+Z72</f>
        <v>6</v>
      </c>
      <c r="AO72" s="1031">
        <v>3</v>
      </c>
      <c r="AP72" s="1031"/>
      <c r="AQ72" s="1031">
        <v>3</v>
      </c>
      <c r="AR72" s="1031"/>
      <c r="AS72" s="1031">
        <v>4</v>
      </c>
      <c r="AT72" s="1031"/>
      <c r="AU72" s="1031">
        <v>0</v>
      </c>
      <c r="AV72" s="1031"/>
      <c r="AW72" s="1187">
        <f>+AO72+AQ72+AS72</f>
        <v>10</v>
      </c>
      <c r="AX72" s="1034">
        <v>1</v>
      </c>
      <c r="AY72" s="1187">
        <f>+AW72+AL72</f>
        <v>12</v>
      </c>
      <c r="AZ72" s="1033">
        <f>+AY72/X72</f>
        <v>0.6</v>
      </c>
      <c r="BA72" s="1031">
        <v>6</v>
      </c>
      <c r="BB72" s="1031">
        <v>1</v>
      </c>
      <c r="BC72" s="1031"/>
      <c r="BD72" s="1031">
        <v>2</v>
      </c>
      <c r="BE72" s="1031"/>
      <c r="BF72" s="1031">
        <v>3</v>
      </c>
      <c r="BG72" s="1031"/>
      <c r="BH72" s="1031">
        <v>3</v>
      </c>
      <c r="BI72" s="1031"/>
      <c r="BJ72" s="1031">
        <f>BB72+BD72+BF72+BH72</f>
        <v>9</v>
      </c>
      <c r="BK72" s="1032">
        <v>1</v>
      </c>
      <c r="BL72" s="1187">
        <f>BJ72+AY72</f>
        <v>21</v>
      </c>
      <c r="BM72" s="1032">
        <v>1</v>
      </c>
      <c r="BN72" s="721"/>
      <c r="BO72" s="721"/>
      <c r="BP72" s="721"/>
      <c r="BQ72" s="721"/>
      <c r="BR72" s="721"/>
      <c r="BS72" s="721"/>
      <c r="BT72" s="721"/>
      <c r="BU72" s="721"/>
      <c r="BV72" s="721"/>
      <c r="BW72" s="721"/>
      <c r="BX72" s="721"/>
      <c r="BY72" s="721"/>
      <c r="BZ72" s="721"/>
      <c r="CA72" s="721"/>
      <c r="CB72" s="721"/>
      <c r="CC72" s="721"/>
      <c r="CD72" s="721"/>
      <c r="CE72" s="721"/>
      <c r="CF72" s="721"/>
      <c r="CG72" s="721"/>
      <c r="CH72" s="721"/>
      <c r="CI72" s="721"/>
      <c r="CJ72" s="721"/>
      <c r="CK72" s="721"/>
      <c r="CL72" s="721"/>
      <c r="CM72" s="721"/>
      <c r="CN72" s="721"/>
      <c r="CO72" s="721"/>
      <c r="CP72" s="721"/>
      <c r="CQ72" s="721"/>
      <c r="CR72" s="721"/>
      <c r="CS72" s="721"/>
      <c r="CT72" s="721"/>
      <c r="CU72" s="721"/>
      <c r="CV72" s="721"/>
      <c r="CW72" s="721"/>
      <c r="CX72" s="721"/>
    </row>
    <row r="73" spans="1:102" ht="65.25" customHeight="1" x14ac:dyDescent="0.2">
      <c r="A73" s="1870"/>
      <c r="B73" s="1864"/>
      <c r="C73" s="734"/>
      <c r="D73" s="734"/>
      <c r="E73" s="720"/>
      <c r="F73" s="720"/>
      <c r="G73" s="720"/>
      <c r="H73" s="720"/>
      <c r="I73" s="720"/>
      <c r="J73" s="720"/>
      <c r="K73" s="720"/>
      <c r="L73" s="720"/>
      <c r="M73" s="720"/>
      <c r="N73" s="720"/>
      <c r="O73" s="720"/>
      <c r="P73" s="720"/>
      <c r="Q73" s="720"/>
      <c r="R73" s="720"/>
      <c r="S73" s="720"/>
      <c r="T73" s="1839"/>
      <c r="U73" s="719" t="s">
        <v>1942</v>
      </c>
      <c r="V73" s="719" t="s">
        <v>1943</v>
      </c>
      <c r="W73" s="1039" t="s">
        <v>1944</v>
      </c>
      <c r="X73" s="1040">
        <v>200</v>
      </c>
      <c r="Y73" s="1040">
        <v>30</v>
      </c>
      <c r="Z73" s="1031">
        <v>60</v>
      </c>
      <c r="AA73" s="1031">
        <v>55</v>
      </c>
      <c r="AB73" s="1034">
        <f>+Y73/X73</f>
        <v>0.15</v>
      </c>
      <c r="AC73" s="1034">
        <f>+Z73/X73</f>
        <v>0.3</v>
      </c>
      <c r="AD73" s="1034">
        <v>6.5000000000000002E-2</v>
      </c>
      <c r="AE73" s="1031">
        <v>0</v>
      </c>
      <c r="AF73" s="1031">
        <v>0</v>
      </c>
      <c r="AG73" s="1031"/>
      <c r="AH73" s="1031">
        <v>30</v>
      </c>
      <c r="AI73" s="1031"/>
      <c r="AJ73" s="1031">
        <f>+AH73</f>
        <v>30</v>
      </c>
      <c r="AK73" s="1034">
        <f>+AJ73/Y73</f>
        <v>1</v>
      </c>
      <c r="AL73" s="1031">
        <f>+AJ73</f>
        <v>30</v>
      </c>
      <c r="AM73" s="1033">
        <f>+AL73/X73</f>
        <v>0.15</v>
      </c>
      <c r="AN73" s="1031">
        <f>+Z73</f>
        <v>60</v>
      </c>
      <c r="AO73" s="1031">
        <v>0</v>
      </c>
      <c r="AP73" s="1031"/>
      <c r="AQ73" s="1031">
        <v>0</v>
      </c>
      <c r="AR73" s="1031"/>
      <c r="AS73" s="1031">
        <v>60</v>
      </c>
      <c r="AT73" s="1031"/>
      <c r="AU73" s="1031">
        <v>0</v>
      </c>
      <c r="AV73" s="1031"/>
      <c r="AW73" s="1187">
        <f>+AS73</f>
        <v>60</v>
      </c>
      <c r="AX73" s="1034">
        <f>+AW73/AN73</f>
        <v>1</v>
      </c>
      <c r="AY73" s="1187">
        <f>+AW73+AL73</f>
        <v>90</v>
      </c>
      <c r="AZ73" s="1033">
        <f>+AY73/X73</f>
        <v>0.45</v>
      </c>
      <c r="BA73" s="1031">
        <v>55</v>
      </c>
      <c r="BB73" s="1031">
        <v>97</v>
      </c>
      <c r="BC73" s="1031"/>
      <c r="BD73" s="1031">
        <v>24</v>
      </c>
      <c r="BE73" s="1031"/>
      <c r="BF73" s="1031">
        <v>6</v>
      </c>
      <c r="BG73" s="324" t="s">
        <v>2212</v>
      </c>
      <c r="BH73" s="1031">
        <v>56</v>
      </c>
      <c r="BI73" s="1031"/>
      <c r="BJ73" s="1031">
        <f>BB73+BD73+BH73</f>
        <v>177</v>
      </c>
      <c r="BK73" s="1034">
        <v>1</v>
      </c>
      <c r="BL73" s="1187">
        <f>BJ73+AY73</f>
        <v>267</v>
      </c>
      <c r="BM73" s="1032">
        <v>1</v>
      </c>
      <c r="BN73" s="721"/>
      <c r="BO73" s="721"/>
      <c r="BP73" s="721"/>
      <c r="BQ73" s="721"/>
      <c r="BR73" s="721"/>
      <c r="BS73" s="721"/>
      <c r="BT73" s="721"/>
      <c r="BU73" s="721"/>
      <c r="BV73" s="721"/>
      <c r="BW73" s="721"/>
      <c r="BX73" s="721"/>
      <c r="BY73" s="721"/>
      <c r="BZ73" s="721"/>
      <c r="CA73" s="721"/>
      <c r="CB73" s="721"/>
      <c r="CC73" s="721"/>
      <c r="CD73" s="721"/>
      <c r="CE73" s="721"/>
      <c r="CF73" s="721"/>
      <c r="CG73" s="721"/>
      <c r="CH73" s="721"/>
      <c r="CI73" s="721"/>
      <c r="CJ73" s="721"/>
      <c r="CK73" s="721"/>
      <c r="CL73" s="721"/>
      <c r="CM73" s="721"/>
      <c r="CN73" s="721"/>
      <c r="CO73" s="721"/>
      <c r="CP73" s="721"/>
      <c r="CQ73" s="721"/>
      <c r="CR73" s="721"/>
      <c r="CS73" s="721"/>
      <c r="CT73" s="721"/>
      <c r="CU73" s="721"/>
      <c r="CV73" s="721"/>
      <c r="CW73" s="721"/>
      <c r="CX73" s="721"/>
    </row>
    <row r="74" spans="1:102" ht="64.5" customHeight="1" x14ac:dyDescent="0.2">
      <c r="A74" s="1870"/>
      <c r="B74" s="1864"/>
      <c r="C74" s="734"/>
      <c r="D74" s="734"/>
      <c r="E74" s="720"/>
      <c r="F74" s="720"/>
      <c r="G74" s="720"/>
      <c r="H74" s="720"/>
      <c r="I74" s="720"/>
      <c r="J74" s="720"/>
      <c r="K74" s="720"/>
      <c r="L74" s="720"/>
      <c r="M74" s="720"/>
      <c r="N74" s="720"/>
      <c r="O74" s="720"/>
      <c r="P74" s="720"/>
      <c r="Q74" s="720"/>
      <c r="R74" s="720"/>
      <c r="S74" s="720"/>
      <c r="T74" s="1839"/>
      <c r="U74" s="719" t="s">
        <v>1945</v>
      </c>
      <c r="V74" s="719" t="s">
        <v>1943</v>
      </c>
      <c r="W74" s="1039" t="s">
        <v>1946</v>
      </c>
      <c r="X74" s="1040">
        <v>1</v>
      </c>
      <c r="Y74" s="1040">
        <v>1</v>
      </c>
      <c r="Z74" s="1034">
        <v>0.75</v>
      </c>
      <c r="AA74" s="1031">
        <v>1</v>
      </c>
      <c r="AB74" s="1034">
        <v>0.25</v>
      </c>
      <c r="AC74" s="1034">
        <f>+Z74/X74</f>
        <v>0.75</v>
      </c>
      <c r="AD74" s="1034"/>
      <c r="AE74" s="1031">
        <v>0</v>
      </c>
      <c r="AF74" s="1031">
        <v>0</v>
      </c>
      <c r="AG74" s="1031"/>
      <c r="AH74" s="1031">
        <v>1</v>
      </c>
      <c r="AI74" s="1031"/>
      <c r="AJ74" s="1031">
        <f>+AH74</f>
        <v>1</v>
      </c>
      <c r="AK74" s="1034">
        <f>+AJ74/Y74</f>
        <v>1</v>
      </c>
      <c r="AL74" s="1031">
        <f>+AJ74</f>
        <v>1</v>
      </c>
      <c r="AM74" s="1033">
        <v>1</v>
      </c>
      <c r="AN74" s="1034">
        <f>+Z74</f>
        <v>0.75</v>
      </c>
      <c r="AO74" s="1031">
        <v>1</v>
      </c>
      <c r="AP74" s="1031"/>
      <c r="AQ74" s="1031">
        <v>0</v>
      </c>
      <c r="AR74" s="1031"/>
      <c r="AS74" s="1031">
        <v>0</v>
      </c>
      <c r="AT74" s="1031"/>
      <c r="AU74" s="1031">
        <v>0</v>
      </c>
      <c r="AV74" s="1031"/>
      <c r="AW74" s="1187">
        <f>+AO74</f>
        <v>1</v>
      </c>
      <c r="AX74" s="1034">
        <v>0.75</v>
      </c>
      <c r="AY74" s="1034">
        <v>0.5</v>
      </c>
      <c r="AZ74" s="1033">
        <v>1</v>
      </c>
      <c r="BA74" s="1031">
        <v>1</v>
      </c>
      <c r="BB74" s="1031">
        <v>0.25</v>
      </c>
      <c r="BC74" s="1031"/>
      <c r="BD74" s="1031">
        <v>0.25</v>
      </c>
      <c r="BE74" s="1031"/>
      <c r="BF74" s="1031">
        <v>0.25</v>
      </c>
      <c r="BG74" s="324" t="s">
        <v>2212</v>
      </c>
      <c r="BH74" s="1031">
        <v>0.25</v>
      </c>
      <c r="BI74" s="1031"/>
      <c r="BJ74" s="1031">
        <f>BB74+BD74+BF74+BH74</f>
        <v>1</v>
      </c>
      <c r="BK74" s="1032">
        <f>BJ74/BA74</f>
        <v>1</v>
      </c>
      <c r="BL74" s="1034">
        <f>BJ74+AY74</f>
        <v>1.5</v>
      </c>
      <c r="BM74" s="1034">
        <v>1</v>
      </c>
      <c r="BN74" s="721"/>
      <c r="BO74" s="721"/>
      <c r="BP74" s="721"/>
      <c r="BQ74" s="721"/>
      <c r="BR74" s="721"/>
      <c r="BS74" s="721"/>
      <c r="BT74" s="721"/>
      <c r="BU74" s="721"/>
      <c r="BV74" s="721"/>
      <c r="BW74" s="721"/>
      <c r="BX74" s="721"/>
      <c r="BY74" s="721"/>
      <c r="BZ74" s="721"/>
      <c r="CA74" s="721"/>
      <c r="CB74" s="721"/>
      <c r="CC74" s="721"/>
      <c r="CD74" s="721"/>
      <c r="CE74" s="721"/>
      <c r="CF74" s="721"/>
      <c r="CG74" s="721"/>
      <c r="CH74" s="721"/>
      <c r="CI74" s="721"/>
      <c r="CJ74" s="721"/>
      <c r="CK74" s="721"/>
      <c r="CL74" s="721"/>
      <c r="CM74" s="721"/>
      <c r="CN74" s="721"/>
      <c r="CO74" s="721"/>
      <c r="CP74" s="721"/>
      <c r="CQ74" s="721"/>
      <c r="CR74" s="721"/>
      <c r="CS74" s="721"/>
      <c r="CT74" s="721"/>
      <c r="CU74" s="721"/>
      <c r="CV74" s="721"/>
      <c r="CW74" s="721"/>
      <c r="CX74" s="721"/>
    </row>
    <row r="75" spans="1:102" ht="30" customHeight="1" x14ac:dyDescent="0.2">
      <c r="A75" s="1870"/>
      <c r="B75" s="1864"/>
      <c r="C75" s="734"/>
      <c r="D75" s="734"/>
      <c r="E75" s="720"/>
      <c r="F75" s="720"/>
      <c r="G75" s="720"/>
      <c r="H75" s="720"/>
      <c r="I75" s="720"/>
      <c r="J75" s="720"/>
      <c r="K75" s="720"/>
      <c r="L75" s="720"/>
      <c r="M75" s="720"/>
      <c r="N75" s="720"/>
      <c r="O75" s="720"/>
      <c r="P75" s="720"/>
      <c r="Q75" s="720"/>
      <c r="R75" s="720"/>
      <c r="S75" s="720"/>
      <c r="T75" s="1840"/>
      <c r="U75" s="719"/>
      <c r="V75" s="719"/>
      <c r="W75" s="1039"/>
      <c r="X75" s="1051"/>
      <c r="Y75" s="1051"/>
      <c r="Z75" s="1051"/>
      <c r="AA75" s="1051"/>
      <c r="AB75" s="1038">
        <f>AVERAGE(AB71:AB74)</f>
        <v>0.13495732574679942</v>
      </c>
      <c r="AC75" s="1038">
        <f>AVERAGE(AC71:AC74)</f>
        <v>0.42195945945945945</v>
      </c>
      <c r="AD75" s="1038">
        <f>AVERAGE(AD71:AD74)</f>
        <v>0.13944760550023708</v>
      </c>
      <c r="AE75" s="1051"/>
      <c r="AF75" s="1051"/>
      <c r="AG75" s="1051"/>
      <c r="AH75" s="1051"/>
      <c r="AI75" s="1051"/>
      <c r="AJ75" s="1051"/>
      <c r="AK75" s="1038">
        <f>AVERAGE(AK71:AK74)</f>
        <v>1</v>
      </c>
      <c r="AL75" s="1069"/>
      <c r="AM75" s="1053">
        <f>AVERAGE(AM71:AM74)</f>
        <v>0.44238975817923187</v>
      </c>
      <c r="AN75" s="1040"/>
      <c r="AO75" s="1040"/>
      <c r="AP75" s="1049"/>
      <c r="AQ75" s="1040"/>
      <c r="AR75" s="1105"/>
      <c r="AS75" s="1040"/>
      <c r="AT75" s="1040"/>
      <c r="AU75" s="1040"/>
      <c r="AV75" s="1040"/>
      <c r="AW75" s="1040"/>
      <c r="AX75" s="1038">
        <f>AVERAGE(AX71:AX74)</f>
        <v>0.9375</v>
      </c>
      <c r="AY75" s="1069"/>
      <c r="AZ75" s="1053">
        <f>AVERAGE(AZ71:AZ74)</f>
        <v>0.74089615931721187</v>
      </c>
      <c r="BA75" s="1136"/>
      <c r="BB75" s="1136"/>
      <c r="BC75" s="1136"/>
      <c r="BD75" s="1136"/>
      <c r="BE75" s="1136"/>
      <c r="BF75" s="1136"/>
      <c r="BG75" s="1136"/>
      <c r="BH75" s="1136"/>
      <c r="BI75" s="1136"/>
      <c r="BJ75" s="1136"/>
      <c r="BK75" s="1066">
        <f>AVERAGE(BK71:BK74)</f>
        <v>1</v>
      </c>
      <c r="BL75" s="1066"/>
      <c r="BM75" s="1066">
        <f>AVERAGE(BM71:BM74)</f>
        <v>1</v>
      </c>
      <c r="BN75" s="721"/>
      <c r="BO75" s="721"/>
      <c r="BP75" s="721"/>
      <c r="BQ75" s="721"/>
      <c r="BR75" s="721"/>
      <c r="BS75" s="721"/>
      <c r="BT75" s="721"/>
      <c r="BU75" s="721"/>
      <c r="BV75" s="721"/>
      <c r="BW75" s="721"/>
      <c r="BX75" s="721"/>
      <c r="BY75" s="721"/>
      <c r="BZ75" s="721"/>
      <c r="CA75" s="721"/>
      <c r="CB75" s="721"/>
      <c r="CC75" s="721"/>
      <c r="CD75" s="721"/>
      <c r="CE75" s="721"/>
      <c r="CF75" s="721"/>
      <c r="CG75" s="721"/>
      <c r="CH75" s="721"/>
      <c r="CI75" s="721"/>
      <c r="CJ75" s="721"/>
      <c r="CK75" s="721"/>
      <c r="CL75" s="721"/>
      <c r="CM75" s="721"/>
      <c r="CN75" s="721"/>
      <c r="CO75" s="721"/>
      <c r="CP75" s="721"/>
      <c r="CQ75" s="721"/>
      <c r="CR75" s="721"/>
      <c r="CS75" s="721"/>
      <c r="CT75" s="721"/>
      <c r="CU75" s="721"/>
      <c r="CV75" s="721"/>
      <c r="CW75" s="721"/>
      <c r="CX75" s="721"/>
    </row>
    <row r="76" spans="1:102" ht="12" customHeight="1" x14ac:dyDescent="0.2">
      <c r="A76" s="1870"/>
      <c r="B76" s="1865"/>
      <c r="C76" s="735"/>
      <c r="D76" s="735"/>
      <c r="E76" s="727"/>
      <c r="F76" s="727"/>
      <c r="G76" s="727"/>
      <c r="H76" s="727"/>
      <c r="I76" s="727"/>
      <c r="J76" s="727"/>
      <c r="K76" s="727"/>
      <c r="L76" s="727"/>
      <c r="M76" s="727"/>
      <c r="N76" s="727"/>
      <c r="O76" s="727"/>
      <c r="P76" s="727"/>
      <c r="Q76" s="727"/>
      <c r="R76" s="727"/>
      <c r="S76" s="727"/>
      <c r="T76" s="724"/>
      <c r="U76" s="726"/>
      <c r="V76" s="726"/>
      <c r="W76" s="1077"/>
      <c r="X76" s="1078"/>
      <c r="Y76" s="1078"/>
      <c r="Z76" s="1078"/>
      <c r="AA76" s="1078"/>
      <c r="AB76" s="1079">
        <f>+(AB75+AB70+AB65+AB59)/4</f>
        <v>0.12909147726727999</v>
      </c>
      <c r="AC76" s="1079">
        <f>+(AC75+AC70+AC65+AC59)/4</f>
        <v>0.40996210039413661</v>
      </c>
      <c r="AD76" s="1079">
        <f>+(AD75+AD70+AD65+AD59)/4</f>
        <v>0.23911033756729749</v>
      </c>
      <c r="AE76" s="1078"/>
      <c r="AF76" s="1078"/>
      <c r="AG76" s="1078"/>
      <c r="AH76" s="1078"/>
      <c r="AI76" s="1078"/>
      <c r="AJ76" s="1078"/>
      <c r="AK76" s="1079">
        <f>+(AK75+AK70+AK65+AK59)/4</f>
        <v>1</v>
      </c>
      <c r="AL76" s="1078"/>
      <c r="AM76" s="1097">
        <f>+(AM75+AM70+AM65+AM59)/4</f>
        <v>0.29987815680395957</v>
      </c>
      <c r="AN76" s="1040"/>
      <c r="AO76" s="1040"/>
      <c r="AP76" s="1049"/>
      <c r="AQ76" s="1040"/>
      <c r="AR76" s="1105"/>
      <c r="AS76" s="1040"/>
      <c r="AT76" s="1040"/>
      <c r="AU76" s="1040"/>
      <c r="AV76" s="1040"/>
      <c r="AW76" s="1040"/>
      <c r="AX76" s="1079">
        <f>+(AX75+AX70+AX65+AX59)/4</f>
        <v>0.8804642857142857</v>
      </c>
      <c r="AY76" s="1078"/>
      <c r="AZ76" s="1098">
        <f>+(AZ75+AZ70+AZ65+AZ59)/4</f>
        <v>0.55453086861713174</v>
      </c>
      <c r="BA76" s="1132"/>
      <c r="BB76" s="1132"/>
      <c r="BC76" s="1132"/>
      <c r="BD76" s="1132"/>
      <c r="BE76" s="1132"/>
      <c r="BF76" s="1132"/>
      <c r="BG76" s="1132"/>
      <c r="BH76" s="1132"/>
      <c r="BI76" s="1132"/>
      <c r="BJ76" s="1132"/>
      <c r="BK76" s="1098">
        <f>+(BK75+BK70+BK65+BK59)/4</f>
        <v>0.97599999999999998</v>
      </c>
      <c r="BL76" s="1132"/>
      <c r="BM76" s="1098">
        <f>+(BM75+BM70+BM65+BM59)/4</f>
        <v>0.80470053046947254</v>
      </c>
      <c r="BN76" s="721"/>
      <c r="BO76" s="721"/>
      <c r="BP76" s="721"/>
      <c r="BQ76" s="721"/>
      <c r="BR76" s="721"/>
      <c r="BS76" s="721"/>
      <c r="BT76" s="721"/>
      <c r="BU76" s="721"/>
      <c r="BV76" s="721"/>
      <c r="BW76" s="721"/>
      <c r="BX76" s="721"/>
      <c r="BY76" s="721"/>
      <c r="BZ76" s="721"/>
      <c r="CA76" s="721"/>
      <c r="CB76" s="721"/>
      <c r="CC76" s="721"/>
      <c r="CD76" s="721"/>
      <c r="CE76" s="721"/>
      <c r="CF76" s="721"/>
      <c r="CG76" s="721"/>
      <c r="CH76" s="721"/>
      <c r="CI76" s="721"/>
      <c r="CJ76" s="721"/>
      <c r="CK76" s="721"/>
      <c r="CL76" s="721"/>
      <c r="CM76" s="721"/>
      <c r="CN76" s="721"/>
      <c r="CO76" s="721"/>
      <c r="CP76" s="721"/>
      <c r="CQ76" s="721"/>
      <c r="CR76" s="721"/>
      <c r="CS76" s="721"/>
      <c r="CT76" s="721"/>
      <c r="CU76" s="721"/>
      <c r="CV76" s="721"/>
      <c r="CW76" s="721"/>
      <c r="CX76" s="721"/>
    </row>
    <row r="77" spans="1:102" ht="60" customHeight="1" x14ac:dyDescent="0.2">
      <c r="A77" s="1870"/>
      <c r="B77" s="1838" t="s">
        <v>1947</v>
      </c>
      <c r="C77" s="736" t="s">
        <v>1948</v>
      </c>
      <c r="D77" s="718" t="s">
        <v>1949</v>
      </c>
      <c r="E77" s="720"/>
      <c r="F77" s="720"/>
      <c r="G77" s="720"/>
      <c r="H77" s="720"/>
      <c r="I77" s="720"/>
      <c r="J77" s="720"/>
      <c r="K77" s="720"/>
      <c r="L77" s="720"/>
      <c r="M77" s="720"/>
      <c r="N77" s="720"/>
      <c r="O77" s="720"/>
      <c r="P77" s="720"/>
      <c r="Q77" s="720"/>
      <c r="R77" s="720"/>
      <c r="S77" s="720"/>
      <c r="T77" s="1838" t="s">
        <v>1950</v>
      </c>
      <c r="U77" s="719" t="s">
        <v>1951</v>
      </c>
      <c r="V77" s="729" t="s">
        <v>1952</v>
      </c>
      <c r="W77" s="1039" t="s">
        <v>1953</v>
      </c>
      <c r="X77" s="1040">
        <v>9000</v>
      </c>
      <c r="Y77" s="1040">
        <v>1500</v>
      </c>
      <c r="Z77" s="1193">
        <v>2000</v>
      </c>
      <c r="AA77" s="1193">
        <v>3300</v>
      </c>
      <c r="AB77" s="1034">
        <f>+Y77/X77</f>
        <v>0.16666666666666666</v>
      </c>
      <c r="AC77" s="1034">
        <f>+Z77/X77</f>
        <v>0.22222222222222221</v>
      </c>
      <c r="AD77" s="1034">
        <f>AA77/X77</f>
        <v>0.36666666666666664</v>
      </c>
      <c r="AE77" s="1031">
        <v>567</v>
      </c>
      <c r="AF77" s="1031">
        <f>1500-567</f>
        <v>933</v>
      </c>
      <c r="AG77" s="1031"/>
      <c r="AH77" s="1031">
        <v>1500</v>
      </c>
      <c r="AI77" s="1031"/>
      <c r="AJ77" s="1031">
        <f>+AH77</f>
        <v>1500</v>
      </c>
      <c r="AK77" s="1034">
        <f>+AJ77/Y77</f>
        <v>1</v>
      </c>
      <c r="AL77" s="1031">
        <f>+AJ77</f>
        <v>1500</v>
      </c>
      <c r="AM77" s="1033">
        <f>+AL77/X77</f>
        <v>0.16666666666666666</v>
      </c>
      <c r="AN77" s="1188">
        <f>+Z77</f>
        <v>2000</v>
      </c>
      <c r="AO77" s="1188">
        <v>38</v>
      </c>
      <c r="AP77" s="1189"/>
      <c r="AQ77" s="1031">
        <v>498</v>
      </c>
      <c r="AR77" s="1189"/>
      <c r="AS77" s="1031">
        <v>301</v>
      </c>
      <c r="AT77" s="1189"/>
      <c r="AU77" s="1031">
        <v>3</v>
      </c>
      <c r="AV77" s="1189"/>
      <c r="AW77" s="1188">
        <f>+AO77+AQ77+AS77+AU77</f>
        <v>840</v>
      </c>
      <c r="AX77" s="1199">
        <f>+AW77/AN77</f>
        <v>0.42</v>
      </c>
      <c r="AY77" s="1188">
        <f>+AW77+AL77</f>
        <v>2340</v>
      </c>
      <c r="AZ77" s="1033">
        <f>+AY77/X77</f>
        <v>0.26</v>
      </c>
      <c r="BA77" s="1193">
        <v>3300</v>
      </c>
      <c r="BB77" s="1193">
        <v>1062</v>
      </c>
      <c r="BC77" s="1031"/>
      <c r="BD77" s="1031">
        <v>2128</v>
      </c>
      <c r="BE77" s="1031"/>
      <c r="BF77" s="1031">
        <v>647</v>
      </c>
      <c r="BG77" s="1031"/>
      <c r="BH77" s="1031">
        <v>255</v>
      </c>
      <c r="BI77" s="1031"/>
      <c r="BJ77" s="1187">
        <f>BB77+BD77+BF77+BH77</f>
        <v>4092</v>
      </c>
      <c r="BK77" s="1032">
        <v>1</v>
      </c>
      <c r="BL77" s="1187">
        <f>BJ77+AY77</f>
        <v>6432</v>
      </c>
      <c r="BM77" s="1032">
        <f>BL77/X77</f>
        <v>0.71466666666666667</v>
      </c>
      <c r="BN77" s="721"/>
      <c r="BO77" s="721"/>
      <c r="BP77" s="721"/>
      <c r="BQ77" s="721"/>
      <c r="BR77" s="721"/>
      <c r="BS77" s="721"/>
      <c r="BT77" s="721"/>
      <c r="BU77" s="721"/>
      <c r="BV77" s="721"/>
      <c r="BW77" s="721"/>
      <c r="BX77" s="721"/>
      <c r="BY77" s="721"/>
      <c r="BZ77" s="721"/>
      <c r="CA77" s="721"/>
      <c r="CB77" s="721"/>
      <c r="CC77" s="721"/>
      <c r="CD77" s="721"/>
      <c r="CE77" s="721"/>
      <c r="CF77" s="721"/>
      <c r="CG77" s="721"/>
      <c r="CH77" s="721"/>
      <c r="CI77" s="721"/>
      <c r="CJ77" s="721"/>
      <c r="CK77" s="721"/>
      <c r="CL77" s="721"/>
      <c r="CM77" s="721"/>
      <c r="CN77" s="721"/>
      <c r="CO77" s="721"/>
      <c r="CP77" s="721"/>
      <c r="CQ77" s="721"/>
      <c r="CR77" s="721"/>
      <c r="CS77" s="721"/>
      <c r="CT77" s="721"/>
      <c r="CU77" s="721"/>
      <c r="CV77" s="721"/>
      <c r="CW77" s="721"/>
      <c r="CX77" s="721"/>
    </row>
    <row r="78" spans="1:102" ht="45" customHeight="1" x14ac:dyDescent="0.2">
      <c r="A78" s="1870"/>
      <c r="B78" s="1839"/>
      <c r="C78" s="736" t="s">
        <v>1954</v>
      </c>
      <c r="D78" s="732" t="s">
        <v>1955</v>
      </c>
      <c r="E78" s="720"/>
      <c r="F78" s="720"/>
      <c r="G78" s="720"/>
      <c r="H78" s="720"/>
      <c r="I78" s="720"/>
      <c r="J78" s="720"/>
      <c r="K78" s="720"/>
      <c r="L78" s="720"/>
      <c r="M78" s="720"/>
      <c r="N78" s="720"/>
      <c r="O78" s="720"/>
      <c r="P78" s="720"/>
      <c r="Q78" s="720"/>
      <c r="R78" s="720"/>
      <c r="S78" s="720"/>
      <c r="T78" s="1839"/>
      <c r="U78" s="719" t="s">
        <v>1956</v>
      </c>
      <c r="V78" s="729" t="s">
        <v>1957</v>
      </c>
      <c r="W78" s="1039" t="s">
        <v>1958</v>
      </c>
      <c r="X78" s="1040">
        <v>10000</v>
      </c>
      <c r="Y78" s="1040">
        <v>2000</v>
      </c>
      <c r="Z78" s="1193">
        <v>2000</v>
      </c>
      <c r="AA78" s="1193">
        <v>1000</v>
      </c>
      <c r="AB78" s="1034">
        <f>+Y78/X78</f>
        <v>0.2</v>
      </c>
      <c r="AC78" s="1034">
        <f>+Z78/X78</f>
        <v>0.2</v>
      </c>
      <c r="AD78" s="1034"/>
      <c r="AE78" s="1031">
        <v>278</v>
      </c>
      <c r="AF78" s="1031">
        <v>415</v>
      </c>
      <c r="AG78" s="1031"/>
      <c r="AH78" s="1031">
        <v>865</v>
      </c>
      <c r="AI78" s="1031"/>
      <c r="AJ78" s="1031">
        <f>+AH78</f>
        <v>865</v>
      </c>
      <c r="AK78" s="1034">
        <f>+AJ78/Y78</f>
        <v>0.4325</v>
      </c>
      <c r="AL78" s="1031">
        <f>+AJ78</f>
        <v>865</v>
      </c>
      <c r="AM78" s="1033">
        <f>+AL78/X78</f>
        <v>8.6499999999999994E-2</v>
      </c>
      <c r="AN78" s="1187">
        <f>+Z78</f>
        <v>2000</v>
      </c>
      <c r="AO78" s="1188">
        <v>1508</v>
      </c>
      <c r="AP78" s="1189"/>
      <c r="AQ78" s="1031">
        <v>0</v>
      </c>
      <c r="AR78" s="1189"/>
      <c r="AS78" s="1031">
        <v>452</v>
      </c>
      <c r="AT78" s="1189"/>
      <c r="AU78" s="1031">
        <v>7524</v>
      </c>
      <c r="AV78" s="1189"/>
      <c r="AW78" s="1188">
        <f>+AO78+AQ78+AS78+AU78</f>
        <v>9484</v>
      </c>
      <c r="AX78" s="1034">
        <v>1</v>
      </c>
      <c r="AY78" s="1187">
        <f>+AW78+AL78</f>
        <v>10349</v>
      </c>
      <c r="AZ78" s="1033">
        <v>1</v>
      </c>
      <c r="BA78" s="1193">
        <v>1000</v>
      </c>
      <c r="BB78" s="1193">
        <v>321</v>
      </c>
      <c r="BC78" s="1031"/>
      <c r="BD78" s="1031">
        <v>56</v>
      </c>
      <c r="BE78" s="1031"/>
      <c r="BF78" s="1031">
        <v>165</v>
      </c>
      <c r="BG78" s="324" t="s">
        <v>2212</v>
      </c>
      <c r="BH78" s="1031">
        <v>114</v>
      </c>
      <c r="BI78" s="1031"/>
      <c r="BJ78" s="1187">
        <f>BB78+BD78+BF78+BH78</f>
        <v>656</v>
      </c>
      <c r="BK78" s="1032">
        <f>BJ78/BA78</f>
        <v>0.65600000000000003</v>
      </c>
      <c r="BL78" s="1187">
        <f>BJ78+AY78</f>
        <v>11005</v>
      </c>
      <c r="BM78" s="1032">
        <v>1</v>
      </c>
      <c r="BN78" s="721"/>
      <c r="BO78" s="721"/>
      <c r="BP78" s="721"/>
      <c r="BQ78" s="721"/>
      <c r="BR78" s="721"/>
      <c r="BS78" s="721"/>
      <c r="BT78" s="721"/>
      <c r="BU78" s="721"/>
      <c r="BV78" s="721"/>
      <c r="BW78" s="721"/>
      <c r="BX78" s="721"/>
      <c r="BY78" s="721"/>
      <c r="BZ78" s="721"/>
      <c r="CA78" s="721"/>
      <c r="CB78" s="721"/>
      <c r="CC78" s="721"/>
      <c r="CD78" s="721"/>
      <c r="CE78" s="721"/>
      <c r="CF78" s="721"/>
      <c r="CG78" s="721"/>
      <c r="CH78" s="721"/>
      <c r="CI78" s="721"/>
      <c r="CJ78" s="721"/>
      <c r="CK78" s="721"/>
      <c r="CL78" s="721"/>
      <c r="CM78" s="721"/>
      <c r="CN78" s="721"/>
      <c r="CO78" s="721"/>
      <c r="CP78" s="721"/>
      <c r="CQ78" s="721"/>
      <c r="CR78" s="721"/>
      <c r="CS78" s="721"/>
      <c r="CT78" s="721"/>
      <c r="CU78" s="721"/>
      <c r="CV78" s="721"/>
      <c r="CW78" s="721"/>
      <c r="CX78" s="721"/>
    </row>
    <row r="79" spans="1:102" ht="76.5" customHeight="1" x14ac:dyDescent="0.2">
      <c r="A79" s="1870"/>
      <c r="B79" s="1839"/>
      <c r="C79" s="734"/>
      <c r="D79" s="734"/>
      <c r="E79" s="720"/>
      <c r="F79" s="720"/>
      <c r="G79" s="720"/>
      <c r="H79" s="720"/>
      <c r="I79" s="720"/>
      <c r="J79" s="720"/>
      <c r="K79" s="720"/>
      <c r="L79" s="720"/>
      <c r="M79" s="720"/>
      <c r="N79" s="720"/>
      <c r="O79" s="720"/>
      <c r="P79" s="720"/>
      <c r="Q79" s="720"/>
      <c r="R79" s="720"/>
      <c r="S79" s="720"/>
      <c r="T79" s="1839"/>
      <c r="U79" s="719" t="s">
        <v>1959</v>
      </c>
      <c r="V79" s="729" t="s">
        <v>1960</v>
      </c>
      <c r="W79" s="1039" t="s">
        <v>1961</v>
      </c>
      <c r="X79" s="1040">
        <v>10000</v>
      </c>
      <c r="Y79" s="1040">
        <v>2000</v>
      </c>
      <c r="Z79" s="1193">
        <v>2000</v>
      </c>
      <c r="AA79" s="1193">
        <v>1000</v>
      </c>
      <c r="AB79" s="1034">
        <f>+Y79/X79</f>
        <v>0.2</v>
      </c>
      <c r="AC79" s="1034">
        <f>+Z79/X79</f>
        <v>0.2</v>
      </c>
      <c r="AD79" s="1034">
        <f>+AA79/X79</f>
        <v>0.1</v>
      </c>
      <c r="AE79" s="1031">
        <v>470</v>
      </c>
      <c r="AF79" s="1031">
        <f>2000-470</f>
        <v>1530</v>
      </c>
      <c r="AG79" s="1031"/>
      <c r="AH79" s="1031">
        <v>2000</v>
      </c>
      <c r="AI79" s="1031"/>
      <c r="AJ79" s="1031">
        <f>+AH79</f>
        <v>2000</v>
      </c>
      <c r="AK79" s="1034">
        <f>+AJ79/Y79</f>
        <v>1</v>
      </c>
      <c r="AL79" s="1031">
        <f>+AJ79</f>
        <v>2000</v>
      </c>
      <c r="AM79" s="1033">
        <f>+AL79/X79</f>
        <v>0.2</v>
      </c>
      <c r="AN79" s="1187">
        <f>+Z79</f>
        <v>2000</v>
      </c>
      <c r="AO79" s="1188">
        <v>677</v>
      </c>
      <c r="AP79" s="1189"/>
      <c r="AQ79" s="1031">
        <v>898</v>
      </c>
      <c r="AR79" s="1189"/>
      <c r="AS79" s="1031">
        <v>0</v>
      </c>
      <c r="AT79" s="1189"/>
      <c r="AU79" s="1031">
        <v>12825</v>
      </c>
      <c r="AV79" s="1189"/>
      <c r="AW79" s="1188">
        <f>+AO79+AQ79+AS79+AU79</f>
        <v>14400</v>
      </c>
      <c r="AX79" s="1190">
        <v>1</v>
      </c>
      <c r="AY79" s="1191">
        <f>+AW79+AL79</f>
        <v>16400</v>
      </c>
      <c r="AZ79" s="1192">
        <v>1</v>
      </c>
      <c r="BA79" s="1193">
        <v>1000</v>
      </c>
      <c r="BB79" s="1193">
        <v>116</v>
      </c>
      <c r="BC79" s="1031"/>
      <c r="BD79" s="1031">
        <v>128</v>
      </c>
      <c r="BE79" s="1031"/>
      <c r="BF79" s="1031">
        <v>268</v>
      </c>
      <c r="BG79" s="324" t="s">
        <v>2212</v>
      </c>
      <c r="BH79" s="1031">
        <v>107</v>
      </c>
      <c r="BI79" s="1031"/>
      <c r="BJ79" s="1187">
        <f>BB79+BD79+BF79+BH79</f>
        <v>619</v>
      </c>
      <c r="BK79" s="1032">
        <f>BJ79/BA79</f>
        <v>0.61899999999999999</v>
      </c>
      <c r="BL79" s="1187">
        <f>BJ79+AY79</f>
        <v>17019</v>
      </c>
      <c r="BM79" s="1032">
        <v>1</v>
      </c>
      <c r="BN79" s="721"/>
      <c r="BO79" s="721"/>
      <c r="BP79" s="721"/>
      <c r="BQ79" s="721"/>
      <c r="BR79" s="721"/>
      <c r="BS79" s="721"/>
      <c r="BT79" s="721"/>
      <c r="BU79" s="721"/>
      <c r="BV79" s="721"/>
      <c r="BW79" s="721"/>
      <c r="BX79" s="721"/>
      <c r="BY79" s="721"/>
      <c r="BZ79" s="721"/>
      <c r="CA79" s="721"/>
      <c r="CB79" s="721"/>
      <c r="CC79" s="721"/>
      <c r="CD79" s="721"/>
      <c r="CE79" s="721"/>
      <c r="CF79" s="721"/>
      <c r="CG79" s="721"/>
      <c r="CH79" s="721"/>
      <c r="CI79" s="721"/>
      <c r="CJ79" s="721"/>
      <c r="CK79" s="721"/>
      <c r="CL79" s="721"/>
      <c r="CM79" s="721"/>
      <c r="CN79" s="721"/>
      <c r="CO79" s="721"/>
      <c r="CP79" s="721"/>
      <c r="CQ79" s="721"/>
      <c r="CR79" s="721"/>
      <c r="CS79" s="721"/>
      <c r="CT79" s="721"/>
      <c r="CU79" s="721"/>
      <c r="CV79" s="721"/>
      <c r="CW79" s="721"/>
      <c r="CX79" s="721"/>
    </row>
    <row r="80" spans="1:102" ht="71.25" customHeight="1" x14ac:dyDescent="0.2">
      <c r="A80" s="1870"/>
      <c r="B80" s="1839"/>
      <c r="C80" s="734"/>
      <c r="D80" s="734"/>
      <c r="E80" s="720"/>
      <c r="F80" s="720"/>
      <c r="G80" s="720"/>
      <c r="H80" s="720"/>
      <c r="I80" s="720"/>
      <c r="J80" s="720"/>
      <c r="K80" s="720"/>
      <c r="L80" s="720"/>
      <c r="M80" s="720"/>
      <c r="N80" s="720"/>
      <c r="O80" s="720"/>
      <c r="P80" s="720"/>
      <c r="Q80" s="720"/>
      <c r="R80" s="720"/>
      <c r="S80" s="720"/>
      <c r="T80" s="1839"/>
      <c r="U80" s="719" t="s">
        <v>1962</v>
      </c>
      <c r="V80" s="729" t="s">
        <v>1963</v>
      </c>
      <c r="W80" s="1039" t="s">
        <v>1964</v>
      </c>
      <c r="X80" s="1040">
        <v>20000</v>
      </c>
      <c r="Y80" s="1040">
        <v>2500</v>
      </c>
      <c r="Z80" s="1099">
        <v>5800</v>
      </c>
      <c r="AA80" s="1099">
        <v>4200</v>
      </c>
      <c r="AB80" s="1034">
        <f>+Y80/X80</f>
        <v>0.125</v>
      </c>
      <c r="AC80" s="1034">
        <f>+Z80/X80</f>
        <v>0.28999999999999998</v>
      </c>
      <c r="AD80" s="1034">
        <f>AA80/X80</f>
        <v>0.21</v>
      </c>
      <c r="AE80" s="1031">
        <v>0</v>
      </c>
      <c r="AF80" s="1031">
        <v>0</v>
      </c>
      <c r="AG80" s="1031"/>
      <c r="AH80" s="1031">
        <v>21</v>
      </c>
      <c r="AI80" s="1031"/>
      <c r="AJ80" s="1031">
        <f>+AH80</f>
        <v>21</v>
      </c>
      <c r="AK80" s="1034">
        <f>+AJ80/Y80</f>
        <v>8.3999999999999995E-3</v>
      </c>
      <c r="AL80" s="1031">
        <f>+AJ80</f>
        <v>21</v>
      </c>
      <c r="AM80" s="1033">
        <f>+AL80/X80</f>
        <v>1.0499999999999999E-3</v>
      </c>
      <c r="AN80" s="1187">
        <f>+Z80</f>
        <v>5800</v>
      </c>
      <c r="AO80" s="1188">
        <v>0</v>
      </c>
      <c r="AP80" s="1194"/>
      <c r="AQ80" s="1031">
        <v>440</v>
      </c>
      <c r="AR80" s="1195"/>
      <c r="AS80" s="1031">
        <v>162</v>
      </c>
      <c r="AT80" s="1194"/>
      <c r="AU80" s="1031">
        <v>650</v>
      </c>
      <c r="AV80" s="1195"/>
      <c r="AW80" s="1188">
        <f>+AO80+AQ80+AS80+AU80</f>
        <v>1252</v>
      </c>
      <c r="AX80" s="1034">
        <f>+AW80/AN80</f>
        <v>0.21586206896551724</v>
      </c>
      <c r="AY80" s="1187">
        <f>+AW80+AL80</f>
        <v>1273</v>
      </c>
      <c r="AZ80" s="1030">
        <f>+AY80/X80</f>
        <v>6.3649999999999998E-2</v>
      </c>
      <c r="BA80" s="1193">
        <v>4200</v>
      </c>
      <c r="BB80" s="1193">
        <v>348</v>
      </c>
      <c r="BC80" s="1031"/>
      <c r="BD80" s="1031">
        <v>69</v>
      </c>
      <c r="BE80" s="1031"/>
      <c r="BF80" s="1031">
        <f>911+80</f>
        <v>991</v>
      </c>
      <c r="BG80" s="1678" t="s">
        <v>2268</v>
      </c>
      <c r="BH80" s="1031">
        <v>561</v>
      </c>
      <c r="BI80" s="1031"/>
      <c r="BJ80" s="1187">
        <f>BB80+BD80+BF80+BH80</f>
        <v>1969</v>
      </c>
      <c r="BK80" s="1032">
        <f>BJ80/BA80</f>
        <v>0.46880952380952379</v>
      </c>
      <c r="BL80" s="1187">
        <f>BJ80+AY80</f>
        <v>3242</v>
      </c>
      <c r="BM80" s="1032">
        <f>BL80/X80</f>
        <v>0.16209999999999999</v>
      </c>
      <c r="BN80" s="721"/>
      <c r="BO80" s="721"/>
      <c r="BP80" s="721"/>
      <c r="BQ80" s="721"/>
      <c r="BR80" s="721"/>
      <c r="BS80" s="721"/>
      <c r="BT80" s="721"/>
      <c r="BU80" s="721"/>
      <c r="BV80" s="721"/>
      <c r="BW80" s="721"/>
      <c r="BX80" s="721"/>
      <c r="BY80" s="721"/>
      <c r="BZ80" s="721"/>
      <c r="CA80" s="721"/>
      <c r="CB80" s="721"/>
      <c r="CC80" s="721"/>
      <c r="CD80" s="721"/>
      <c r="CE80" s="721"/>
      <c r="CF80" s="721"/>
      <c r="CG80" s="721"/>
      <c r="CH80" s="721"/>
      <c r="CI80" s="721"/>
      <c r="CJ80" s="721"/>
      <c r="CK80" s="721"/>
      <c r="CL80" s="721"/>
      <c r="CM80" s="721"/>
      <c r="CN80" s="721"/>
      <c r="CO80" s="721"/>
      <c r="CP80" s="721"/>
      <c r="CQ80" s="721"/>
      <c r="CR80" s="721"/>
      <c r="CS80" s="721"/>
      <c r="CT80" s="721"/>
      <c r="CU80" s="721"/>
      <c r="CV80" s="721"/>
      <c r="CW80" s="721"/>
      <c r="CX80" s="721"/>
    </row>
    <row r="81" spans="1:102" ht="21" customHeight="1" x14ac:dyDescent="0.2">
      <c r="A81" s="1870"/>
      <c r="B81" s="1839"/>
      <c r="C81" s="734"/>
      <c r="D81" s="734"/>
      <c r="E81" s="720"/>
      <c r="F81" s="720"/>
      <c r="G81" s="720"/>
      <c r="H81" s="720"/>
      <c r="I81" s="720"/>
      <c r="J81" s="720"/>
      <c r="K81" s="720"/>
      <c r="L81" s="720"/>
      <c r="M81" s="720"/>
      <c r="N81" s="720"/>
      <c r="O81" s="720"/>
      <c r="P81" s="720"/>
      <c r="Q81" s="720"/>
      <c r="R81" s="720"/>
      <c r="S81" s="720"/>
      <c r="T81" s="1840"/>
      <c r="U81" s="722"/>
      <c r="V81" s="737"/>
      <c r="W81" s="1050"/>
      <c r="X81" s="1051"/>
      <c r="Y81" s="1051"/>
      <c r="Z81" s="1051"/>
      <c r="AA81" s="1051"/>
      <c r="AB81" s="1038">
        <f>AVERAGE(AB77:AB80)</f>
        <v>0.17291666666666666</v>
      </c>
      <c r="AC81" s="1038">
        <f>AVERAGE(AC77:AC80)</f>
        <v>0.22805555555555557</v>
      </c>
      <c r="AD81" s="1038">
        <f>AVERAGE(AD77:AD80)</f>
        <v>0.22555555555555554</v>
      </c>
      <c r="AE81" s="1051"/>
      <c r="AF81" s="1051"/>
      <c r="AG81" s="1051"/>
      <c r="AH81" s="1051"/>
      <c r="AI81" s="1051"/>
      <c r="AJ81" s="1051"/>
      <c r="AK81" s="1038">
        <f>AVERAGE(AK77:AK80)</f>
        <v>0.61022500000000002</v>
      </c>
      <c r="AL81" s="1051"/>
      <c r="AM81" s="1070">
        <f>AVERAGE(AM77:AM80)</f>
        <v>0.11355416666666666</v>
      </c>
      <c r="AN81" s="1040"/>
      <c r="AO81" s="1040"/>
      <c r="AP81" s="1040"/>
      <c r="AQ81" s="1057"/>
      <c r="AR81" s="1040"/>
      <c r="AS81" s="1040"/>
      <c r="AT81" s="1049"/>
      <c r="AU81" s="1040"/>
      <c r="AV81" s="1105"/>
      <c r="AW81" s="1040"/>
      <c r="AX81" s="1038">
        <f>AVERAGE(AX77:AX80)</f>
        <v>0.65896551724137931</v>
      </c>
      <c r="AY81" s="1051"/>
      <c r="AZ81" s="1070">
        <f>AVERAGE(AZ77:AZ80)</f>
        <v>0.58091249999999994</v>
      </c>
      <c r="BA81" s="1136"/>
      <c r="BB81" s="1136"/>
      <c r="BC81" s="1136"/>
      <c r="BD81" s="1136"/>
      <c r="BE81" s="1136"/>
      <c r="BF81" s="1136"/>
      <c r="BG81" s="1136"/>
      <c r="BH81" s="1136"/>
      <c r="BI81" s="1136"/>
      <c r="BJ81" s="1136"/>
      <c r="BK81" s="1138">
        <f>AVERAGE(BK77:BK80)</f>
        <v>0.68595238095238109</v>
      </c>
      <c r="BL81" s="1136"/>
      <c r="BM81" s="1053">
        <f>AVERAGE(BM77:BM80)</f>
        <v>0.71919166666666667</v>
      </c>
      <c r="BN81" s="721"/>
      <c r="BO81" s="721"/>
      <c r="BP81" s="721"/>
      <c r="BQ81" s="721"/>
      <c r="BR81" s="721"/>
      <c r="BS81" s="721"/>
      <c r="BT81" s="721"/>
      <c r="BU81" s="721"/>
      <c r="BV81" s="721"/>
      <c r="BW81" s="721"/>
      <c r="BX81" s="721"/>
      <c r="BY81" s="721"/>
      <c r="BZ81" s="721"/>
      <c r="CA81" s="721"/>
      <c r="CB81" s="721"/>
      <c r="CC81" s="721"/>
      <c r="CD81" s="721"/>
      <c r="CE81" s="721"/>
      <c r="CF81" s="721"/>
      <c r="CG81" s="721"/>
      <c r="CH81" s="721"/>
      <c r="CI81" s="721"/>
      <c r="CJ81" s="721"/>
      <c r="CK81" s="721"/>
      <c r="CL81" s="721"/>
      <c r="CM81" s="721"/>
      <c r="CN81" s="721"/>
      <c r="CO81" s="721"/>
      <c r="CP81" s="721"/>
      <c r="CQ81" s="721"/>
      <c r="CR81" s="721"/>
      <c r="CS81" s="721"/>
      <c r="CT81" s="721"/>
      <c r="CU81" s="721"/>
      <c r="CV81" s="721"/>
      <c r="CW81" s="721"/>
      <c r="CX81" s="721"/>
    </row>
    <row r="82" spans="1:102" ht="33" customHeight="1" x14ac:dyDescent="0.2">
      <c r="A82" s="1870"/>
      <c r="B82" s="1839"/>
      <c r="C82" s="734"/>
      <c r="D82" s="734"/>
      <c r="E82" s="720"/>
      <c r="F82" s="720"/>
      <c r="G82" s="720"/>
      <c r="H82" s="720"/>
      <c r="I82" s="720"/>
      <c r="J82" s="720"/>
      <c r="K82" s="720"/>
      <c r="L82" s="720"/>
      <c r="M82" s="720"/>
      <c r="N82" s="720"/>
      <c r="O82" s="720"/>
      <c r="P82" s="720"/>
      <c r="Q82" s="720"/>
      <c r="R82" s="720"/>
      <c r="S82" s="720"/>
      <c r="T82" s="1838" t="s">
        <v>1965</v>
      </c>
      <c r="U82" s="719" t="s">
        <v>1966</v>
      </c>
      <c r="V82" s="719">
        <v>0</v>
      </c>
      <c r="W82" s="1039" t="s">
        <v>1967</v>
      </c>
      <c r="X82" s="1040">
        <v>1</v>
      </c>
      <c r="Y82" s="1040">
        <v>0.25</v>
      </c>
      <c r="Z82" s="1034">
        <v>0.75</v>
      </c>
      <c r="AA82" s="1403">
        <v>0.4</v>
      </c>
      <c r="AB82" s="1034">
        <f>+Y82</f>
        <v>0.25</v>
      </c>
      <c r="AC82" s="1034">
        <v>0.75</v>
      </c>
      <c r="AD82" s="1034">
        <v>0.4</v>
      </c>
      <c r="AE82" s="1031">
        <v>0</v>
      </c>
      <c r="AF82" s="1031">
        <v>0.2</v>
      </c>
      <c r="AG82" s="1031"/>
      <c r="AH82" s="1034">
        <v>0.25</v>
      </c>
      <c r="AI82" s="1031"/>
      <c r="AJ82" s="1034">
        <f>+AH82</f>
        <v>0.25</v>
      </c>
      <c r="AK82" s="1034">
        <f>+AJ82/Y82</f>
        <v>1</v>
      </c>
      <c r="AL82" s="1034">
        <f>+AJ82</f>
        <v>0.25</v>
      </c>
      <c r="AM82" s="1033">
        <f>+AL82/X82</f>
        <v>0.25</v>
      </c>
      <c r="AN82" s="1034">
        <f>+Z82</f>
        <v>0.75</v>
      </c>
      <c r="AO82" s="1034">
        <v>0.2</v>
      </c>
      <c r="AP82" s="1031"/>
      <c r="AQ82" s="1031">
        <v>0</v>
      </c>
      <c r="AR82" s="1031"/>
      <c r="AS82" s="1031">
        <v>0.15</v>
      </c>
      <c r="AT82" s="1194"/>
      <c r="AU82" s="1031">
        <v>0</v>
      </c>
      <c r="AV82" s="1195"/>
      <c r="AW82" s="1034">
        <f>+AO82+AS82</f>
        <v>0.35</v>
      </c>
      <c r="AX82" s="1034">
        <f>+AW82/AN82</f>
        <v>0.46666666666666662</v>
      </c>
      <c r="AY82" s="1034">
        <f>+AW82+AM82</f>
        <v>0.6</v>
      </c>
      <c r="AZ82" s="1033">
        <f>+AY82</f>
        <v>0.6</v>
      </c>
      <c r="BA82" s="1404">
        <f>AA82</f>
        <v>0.4</v>
      </c>
      <c r="BB82" s="1031">
        <v>0</v>
      </c>
      <c r="BC82" s="1031"/>
      <c r="BD82" s="1031">
        <v>0</v>
      </c>
      <c r="BE82" s="1031"/>
      <c r="BF82" s="1031">
        <v>0</v>
      </c>
      <c r="BG82" s="1031"/>
      <c r="BH82" s="1031">
        <v>0</v>
      </c>
      <c r="BI82" s="1031"/>
      <c r="BJ82" s="1031">
        <v>0</v>
      </c>
      <c r="BK82" s="1032">
        <v>0</v>
      </c>
      <c r="BL82" s="1034">
        <f>AZ82</f>
        <v>0.6</v>
      </c>
      <c r="BM82" s="1034">
        <f>BL82</f>
        <v>0.6</v>
      </c>
      <c r="BN82" s="721"/>
      <c r="BO82" s="721"/>
      <c r="BP82" s="721"/>
      <c r="BQ82" s="721"/>
      <c r="BR82" s="721"/>
      <c r="BS82" s="721"/>
      <c r="BT82" s="721"/>
      <c r="BU82" s="721"/>
      <c r="BV82" s="721"/>
      <c r="BW82" s="721"/>
      <c r="BX82" s="721"/>
      <c r="BY82" s="721"/>
      <c r="BZ82" s="721"/>
      <c r="CA82" s="721"/>
      <c r="CB82" s="721"/>
      <c r="CC82" s="721"/>
      <c r="CD82" s="721"/>
      <c r="CE82" s="721"/>
      <c r="CF82" s="721"/>
      <c r="CG82" s="721"/>
      <c r="CH82" s="721"/>
      <c r="CI82" s="721"/>
      <c r="CJ82" s="721"/>
      <c r="CK82" s="721"/>
      <c r="CL82" s="721"/>
      <c r="CM82" s="721"/>
      <c r="CN82" s="721"/>
      <c r="CO82" s="721"/>
      <c r="CP82" s="721"/>
      <c r="CQ82" s="721"/>
      <c r="CR82" s="721"/>
      <c r="CS82" s="721"/>
      <c r="CT82" s="721"/>
      <c r="CU82" s="721"/>
      <c r="CV82" s="721"/>
      <c r="CW82" s="721"/>
      <c r="CX82" s="721"/>
    </row>
    <row r="83" spans="1:102" ht="24.75" customHeight="1" x14ac:dyDescent="0.2">
      <c r="A83" s="1870"/>
      <c r="B83" s="1839"/>
      <c r="C83" s="734"/>
      <c r="D83" s="734"/>
      <c r="E83" s="720"/>
      <c r="F83" s="720"/>
      <c r="G83" s="720"/>
      <c r="H83" s="720"/>
      <c r="I83" s="720"/>
      <c r="J83" s="720"/>
      <c r="K83" s="720"/>
      <c r="L83" s="720"/>
      <c r="M83" s="720"/>
      <c r="N83" s="720"/>
      <c r="O83" s="720"/>
      <c r="P83" s="720"/>
      <c r="Q83" s="720"/>
      <c r="R83" s="720"/>
      <c r="S83" s="720"/>
      <c r="T83" s="1840"/>
      <c r="U83" s="722"/>
      <c r="V83" s="722"/>
      <c r="W83" s="1050"/>
      <c r="X83" s="1051"/>
      <c r="Y83" s="1051"/>
      <c r="Z83" s="1051"/>
      <c r="AA83" s="1051"/>
      <c r="AB83" s="1038">
        <f>+AB82</f>
        <v>0.25</v>
      </c>
      <c r="AC83" s="1038">
        <f>+AC82</f>
        <v>0.75</v>
      </c>
      <c r="AD83" s="1038">
        <f>AVERAGE(AD82)</f>
        <v>0.4</v>
      </c>
      <c r="AE83" s="1069"/>
      <c r="AF83" s="1069"/>
      <c r="AG83" s="1069"/>
      <c r="AH83" s="1069"/>
      <c r="AI83" s="1069"/>
      <c r="AJ83" s="1069"/>
      <c r="AK83" s="1038">
        <f>+AK82</f>
        <v>1</v>
      </c>
      <c r="AL83" s="1069"/>
      <c r="AM83" s="1070">
        <f>+AM82</f>
        <v>0.25</v>
      </c>
      <c r="AN83" s="1133"/>
      <c r="AO83" s="1133"/>
      <c r="AP83" s="1133"/>
      <c r="AQ83" s="1133"/>
      <c r="AR83" s="1133"/>
      <c r="AS83" s="1133"/>
      <c r="AT83" s="1134"/>
      <c r="AU83" s="1133"/>
      <c r="AV83" s="1135"/>
      <c r="AW83" s="1133"/>
      <c r="AX83" s="1038">
        <f>+AX82</f>
        <v>0.46666666666666662</v>
      </c>
      <c r="AY83" s="1069"/>
      <c r="AZ83" s="1070">
        <f>+AZ82</f>
        <v>0.6</v>
      </c>
      <c r="BA83" s="1066"/>
      <c r="BB83" s="1066"/>
      <c r="BC83" s="1066"/>
      <c r="BD83" s="1066"/>
      <c r="BE83" s="1066"/>
      <c r="BF83" s="1066"/>
      <c r="BG83" s="1066"/>
      <c r="BH83" s="1066"/>
      <c r="BI83" s="1066"/>
      <c r="BJ83" s="1066"/>
      <c r="BK83" s="1066">
        <f>+BK82</f>
        <v>0</v>
      </c>
      <c r="BL83" s="1066"/>
      <c r="BM83" s="1066">
        <f>+BM82</f>
        <v>0.6</v>
      </c>
      <c r="BN83" s="721"/>
      <c r="BO83" s="721"/>
      <c r="BP83" s="721"/>
      <c r="BQ83" s="721"/>
      <c r="BR83" s="721"/>
      <c r="BS83" s="721"/>
      <c r="BT83" s="721"/>
      <c r="BU83" s="721"/>
      <c r="BV83" s="721"/>
      <c r="BW83" s="721"/>
      <c r="BX83" s="721"/>
      <c r="BY83" s="721"/>
      <c r="BZ83" s="721"/>
      <c r="CA83" s="721"/>
      <c r="CB83" s="721"/>
      <c r="CC83" s="721"/>
      <c r="CD83" s="721"/>
      <c r="CE83" s="721"/>
      <c r="CF83" s="721"/>
      <c r="CG83" s="721"/>
      <c r="CH83" s="721"/>
      <c r="CI83" s="721"/>
      <c r="CJ83" s="721"/>
      <c r="CK83" s="721"/>
      <c r="CL83" s="721"/>
      <c r="CM83" s="721"/>
      <c r="CN83" s="721"/>
      <c r="CO83" s="721"/>
      <c r="CP83" s="721"/>
      <c r="CQ83" s="721"/>
      <c r="CR83" s="721"/>
      <c r="CS83" s="721"/>
      <c r="CT83" s="721"/>
      <c r="CU83" s="721"/>
      <c r="CV83" s="721"/>
      <c r="CW83" s="721"/>
      <c r="CX83" s="721"/>
    </row>
    <row r="84" spans="1:102" ht="12" customHeight="1" x14ac:dyDescent="0.2">
      <c r="A84" s="1870"/>
      <c r="B84" s="1840"/>
      <c r="C84" s="735"/>
      <c r="D84" s="735"/>
      <c r="E84" s="727"/>
      <c r="F84" s="727"/>
      <c r="G84" s="727"/>
      <c r="H84" s="727"/>
      <c r="I84" s="727"/>
      <c r="J84" s="727"/>
      <c r="K84" s="727"/>
      <c r="L84" s="727"/>
      <c r="M84" s="727"/>
      <c r="N84" s="727"/>
      <c r="O84" s="727"/>
      <c r="P84" s="727"/>
      <c r="Q84" s="727"/>
      <c r="R84" s="727"/>
      <c r="S84" s="727"/>
      <c r="T84" s="724"/>
      <c r="U84" s="726"/>
      <c r="V84" s="726"/>
      <c r="W84" s="1077"/>
      <c r="X84" s="1078"/>
      <c r="Y84" s="1078"/>
      <c r="Z84" s="1078"/>
      <c r="AA84" s="1078"/>
      <c r="AB84" s="1079">
        <f>+(AB83+AB81)/2</f>
        <v>0.21145833333333333</v>
      </c>
      <c r="AC84" s="1079">
        <f>+(AC83+AC81)/2</f>
        <v>0.48902777777777778</v>
      </c>
      <c r="AD84" s="1079">
        <f>+(AD83+AD81)/2</f>
        <v>0.31277777777777777</v>
      </c>
      <c r="AE84" s="1078"/>
      <c r="AF84" s="1078"/>
      <c r="AG84" s="1078"/>
      <c r="AH84" s="1078"/>
      <c r="AI84" s="1078"/>
      <c r="AJ84" s="1078"/>
      <c r="AK84" s="1100">
        <f>+(AK83+AK81)/2</f>
        <v>0.80511250000000001</v>
      </c>
      <c r="AL84" s="1078"/>
      <c r="AM84" s="1097">
        <f>+(AM83+AM81)/2</f>
        <v>0.18177708333333334</v>
      </c>
      <c r="AN84" s="1058"/>
      <c r="AO84" s="1058"/>
      <c r="AP84" s="1058"/>
      <c r="AQ84" s="1058"/>
      <c r="AR84" s="1058"/>
      <c r="AS84" s="1058"/>
      <c r="AT84" s="1092"/>
      <c r="AU84" s="1040"/>
      <c r="AV84" s="1122"/>
      <c r="AW84" s="1058"/>
      <c r="AX84" s="1100">
        <f>+(AX83+AX81)/2</f>
        <v>0.56281609195402293</v>
      </c>
      <c r="AY84" s="1078"/>
      <c r="AZ84" s="1097">
        <f>+(AZ83+AZ81)/2</f>
        <v>0.5904562499999999</v>
      </c>
      <c r="BA84" s="1108"/>
      <c r="BB84" s="1108"/>
      <c r="BC84" s="1108"/>
      <c r="BD84" s="1108"/>
      <c r="BE84" s="1108"/>
      <c r="BF84" s="1108"/>
      <c r="BG84" s="1108"/>
      <c r="BH84" s="1108"/>
      <c r="BI84" s="1108"/>
      <c r="BJ84" s="1108"/>
      <c r="BK84" s="1100">
        <f>+(BK83+BK81)/2</f>
        <v>0.34297619047619055</v>
      </c>
      <c r="BL84" s="1108"/>
      <c r="BM84" s="1120">
        <f>+(BM83+BM81)/2</f>
        <v>0.65959583333333338</v>
      </c>
      <c r="BN84" s="721"/>
      <c r="BO84" s="721"/>
      <c r="BP84" s="721"/>
      <c r="BQ84" s="721"/>
      <c r="BR84" s="721"/>
      <c r="BS84" s="721"/>
      <c r="BT84" s="721"/>
      <c r="BU84" s="721"/>
      <c r="BV84" s="721"/>
      <c r="BW84" s="721"/>
      <c r="BX84" s="721"/>
      <c r="BY84" s="721"/>
      <c r="BZ84" s="721"/>
      <c r="CA84" s="721"/>
      <c r="CB84" s="721"/>
      <c r="CC84" s="721"/>
      <c r="CD84" s="721"/>
      <c r="CE84" s="721"/>
      <c r="CF84" s="721"/>
      <c r="CG84" s="721"/>
      <c r="CH84" s="721"/>
      <c r="CI84" s="721"/>
      <c r="CJ84" s="721"/>
      <c r="CK84" s="721"/>
      <c r="CL84" s="721"/>
      <c r="CM84" s="721"/>
      <c r="CN84" s="721"/>
      <c r="CO84" s="721"/>
      <c r="CP84" s="721"/>
      <c r="CQ84" s="721"/>
      <c r="CR84" s="721"/>
      <c r="CS84" s="721"/>
      <c r="CT84" s="721"/>
      <c r="CU84" s="721"/>
      <c r="CV84" s="721"/>
      <c r="CW84" s="721"/>
      <c r="CX84" s="721"/>
    </row>
    <row r="85" spans="1:102" ht="45" customHeight="1" x14ac:dyDescent="0.2">
      <c r="A85" s="1870"/>
      <c r="B85" s="1863" t="s">
        <v>1968</v>
      </c>
      <c r="C85" s="718" t="s">
        <v>1969</v>
      </c>
      <c r="D85" s="718" t="s">
        <v>1970</v>
      </c>
      <c r="E85" s="720"/>
      <c r="F85" s="720"/>
      <c r="G85" s="720"/>
      <c r="H85" s="720"/>
      <c r="I85" s="720"/>
      <c r="J85" s="720"/>
      <c r="K85" s="720"/>
      <c r="L85" s="720"/>
      <c r="M85" s="720"/>
      <c r="N85" s="720"/>
      <c r="O85" s="720"/>
      <c r="P85" s="720"/>
      <c r="Q85" s="720"/>
      <c r="R85" s="720"/>
      <c r="S85" s="720"/>
      <c r="T85" s="1838" t="s">
        <v>1971</v>
      </c>
      <c r="U85" s="719" t="s">
        <v>1972</v>
      </c>
      <c r="V85" s="719" t="s">
        <v>1973</v>
      </c>
      <c r="W85" s="1039" t="s">
        <v>1974</v>
      </c>
      <c r="X85" s="1040">
        <f>9000*4</f>
        <v>36000</v>
      </c>
      <c r="Y85" s="1040">
        <v>9000</v>
      </c>
      <c r="Z85" s="1031">
        <v>9000</v>
      </c>
      <c r="AA85" s="1031">
        <v>9000</v>
      </c>
      <c r="AB85" s="1034">
        <f>+Y85/X85</f>
        <v>0.25</v>
      </c>
      <c r="AC85" s="1034">
        <v>0.25</v>
      </c>
      <c r="AD85" s="1034">
        <f>+AA85/X85</f>
        <v>0.25</v>
      </c>
      <c r="AE85" s="1031">
        <v>8000</v>
      </c>
      <c r="AF85" s="1031">
        <v>8000</v>
      </c>
      <c r="AG85" s="1031"/>
      <c r="AH85" s="1031">
        <v>8000</v>
      </c>
      <c r="AI85" s="1031"/>
      <c r="AJ85" s="1031">
        <f>+AH85</f>
        <v>8000</v>
      </c>
      <c r="AK85" s="1034">
        <f>+AJ85/Y85</f>
        <v>0.88888888888888884</v>
      </c>
      <c r="AL85" s="1031">
        <f>+AJ85</f>
        <v>8000</v>
      </c>
      <c r="AM85" s="1033">
        <f>+AL85/X85</f>
        <v>0.22222222222222221</v>
      </c>
      <c r="AN85" s="1031">
        <f>+Z85</f>
        <v>9000</v>
      </c>
      <c r="AO85" s="1031">
        <v>9263</v>
      </c>
      <c r="AP85" s="1031"/>
      <c r="AQ85" s="1031">
        <f>+AO85</f>
        <v>9263</v>
      </c>
      <c r="AR85" s="1031"/>
      <c r="AS85" s="1031">
        <v>9363</v>
      </c>
      <c r="AT85" s="1194"/>
      <c r="AU85" s="1031">
        <v>9263</v>
      </c>
      <c r="AV85" s="1195"/>
      <c r="AW85" s="1031">
        <f>+AU85</f>
        <v>9263</v>
      </c>
      <c r="AX85" s="1198">
        <v>1</v>
      </c>
      <c r="AY85" s="1031">
        <f>+AW85+AL85</f>
        <v>17263</v>
      </c>
      <c r="AZ85" s="1033">
        <v>0.51</v>
      </c>
      <c r="BA85" s="1031">
        <v>9000</v>
      </c>
      <c r="BB85" s="1031">
        <v>9688</v>
      </c>
      <c r="BC85" s="1031"/>
      <c r="BD85" s="1031">
        <v>9688</v>
      </c>
      <c r="BE85" s="1031"/>
      <c r="BF85" s="1031">
        <v>9688</v>
      </c>
      <c r="BG85" s="1031"/>
      <c r="BH85" s="1031">
        <v>9688</v>
      </c>
      <c r="BI85" s="1031"/>
      <c r="BJ85" s="1031">
        <f>BB85</f>
        <v>9688</v>
      </c>
      <c r="BK85" s="1034">
        <v>1</v>
      </c>
      <c r="BL85" s="1031">
        <f>BJ85+AY85</f>
        <v>26951</v>
      </c>
      <c r="BM85" s="1032">
        <f>BL85/X85</f>
        <v>0.74863888888888885</v>
      </c>
      <c r="BN85" s="721"/>
      <c r="BO85" s="721"/>
      <c r="BP85" s="721"/>
      <c r="BQ85" s="721"/>
      <c r="BR85" s="721"/>
      <c r="BS85" s="721"/>
      <c r="BT85" s="721"/>
      <c r="BU85" s="721"/>
      <c r="BV85" s="721"/>
      <c r="BW85" s="721"/>
      <c r="BX85" s="721"/>
      <c r="BY85" s="721"/>
      <c r="BZ85" s="721"/>
      <c r="CA85" s="721"/>
      <c r="CB85" s="721"/>
      <c r="CC85" s="721"/>
      <c r="CD85" s="721"/>
      <c r="CE85" s="721"/>
      <c r="CF85" s="721"/>
      <c r="CG85" s="721"/>
      <c r="CH85" s="721"/>
      <c r="CI85" s="721"/>
      <c r="CJ85" s="721"/>
      <c r="CK85" s="721"/>
      <c r="CL85" s="721"/>
      <c r="CM85" s="721"/>
      <c r="CN85" s="721"/>
      <c r="CO85" s="721"/>
      <c r="CP85" s="721"/>
      <c r="CQ85" s="721"/>
      <c r="CR85" s="721"/>
      <c r="CS85" s="721"/>
      <c r="CT85" s="721"/>
      <c r="CU85" s="721"/>
      <c r="CV85" s="721"/>
      <c r="CW85" s="721"/>
      <c r="CX85" s="721"/>
    </row>
    <row r="86" spans="1:102" ht="37.5" customHeight="1" x14ac:dyDescent="0.2">
      <c r="A86" s="1870"/>
      <c r="B86" s="1864"/>
      <c r="C86" s="718"/>
      <c r="D86" s="718"/>
      <c r="E86" s="720"/>
      <c r="F86" s="720"/>
      <c r="G86" s="720"/>
      <c r="H86" s="720"/>
      <c r="I86" s="720"/>
      <c r="J86" s="720"/>
      <c r="K86" s="720"/>
      <c r="L86" s="720"/>
      <c r="M86" s="720"/>
      <c r="N86" s="720"/>
      <c r="O86" s="720"/>
      <c r="P86" s="720"/>
      <c r="Q86" s="720"/>
      <c r="R86" s="720"/>
      <c r="S86" s="720"/>
      <c r="T86" s="1839"/>
      <c r="U86" s="719" t="s">
        <v>1975</v>
      </c>
      <c r="V86" s="719" t="s">
        <v>1976</v>
      </c>
      <c r="W86" s="1039" t="s">
        <v>1977</v>
      </c>
      <c r="X86" s="1040">
        <v>15</v>
      </c>
      <c r="Y86" s="1040">
        <v>10</v>
      </c>
      <c r="Z86" s="1031">
        <v>10</v>
      </c>
      <c r="AA86" s="1031">
        <v>10</v>
      </c>
      <c r="AB86" s="1034">
        <v>0.33</v>
      </c>
      <c r="AC86" s="1034">
        <f>+Z86/X86</f>
        <v>0.66666666666666663</v>
      </c>
      <c r="AD86" s="1034">
        <f>+AA86/X86</f>
        <v>0.66666666666666663</v>
      </c>
      <c r="AE86" s="1031">
        <v>0</v>
      </c>
      <c r="AF86" s="1031">
        <v>0</v>
      </c>
      <c r="AG86" s="1031"/>
      <c r="AH86" s="1031">
        <v>0</v>
      </c>
      <c r="AI86" s="1031"/>
      <c r="AJ86" s="1031">
        <f>+AH86</f>
        <v>0</v>
      </c>
      <c r="AK86" s="1034">
        <f>+AJ86/Y86</f>
        <v>0</v>
      </c>
      <c r="AL86" s="1031">
        <f>+AJ86</f>
        <v>0</v>
      </c>
      <c r="AM86" s="1033">
        <f>+AL86/X86</f>
        <v>0</v>
      </c>
      <c r="AN86" s="1031">
        <f>+Z86</f>
        <v>10</v>
      </c>
      <c r="AO86" s="1031">
        <v>0</v>
      </c>
      <c r="AP86" s="1031"/>
      <c r="AQ86" s="1031">
        <v>0</v>
      </c>
      <c r="AR86" s="1031"/>
      <c r="AS86" s="1031">
        <v>0</v>
      </c>
      <c r="AT86" s="1031"/>
      <c r="AU86" s="1031">
        <v>0</v>
      </c>
      <c r="AV86" s="1031"/>
      <c r="AW86" s="1031">
        <f>+AO86</f>
        <v>0</v>
      </c>
      <c r="AX86" s="1198">
        <f>+AW86/AN86</f>
        <v>0</v>
      </c>
      <c r="AY86" s="1031">
        <f>+AW86+AL86</f>
        <v>0</v>
      </c>
      <c r="AZ86" s="1033">
        <v>0</v>
      </c>
      <c r="BA86" s="1031">
        <v>10</v>
      </c>
      <c r="BB86" s="1031">
        <v>0</v>
      </c>
      <c r="BC86" s="1031"/>
      <c r="BD86" s="1031">
        <v>0</v>
      </c>
      <c r="BE86" s="1031"/>
      <c r="BF86" s="1031">
        <v>0</v>
      </c>
      <c r="BG86" s="1031"/>
      <c r="BH86" s="1031"/>
      <c r="BI86" s="1031"/>
      <c r="BJ86" s="1031">
        <f>BB86</f>
        <v>0</v>
      </c>
      <c r="BK86" s="1399">
        <f>0%</f>
        <v>0</v>
      </c>
      <c r="BL86" s="1031"/>
      <c r="BM86" s="1034">
        <v>0</v>
      </c>
      <c r="BN86" s="721"/>
      <c r="BO86" s="721"/>
      <c r="BP86" s="721"/>
      <c r="BQ86" s="721"/>
      <c r="BR86" s="721"/>
      <c r="BS86" s="721"/>
      <c r="BT86" s="721"/>
      <c r="BU86" s="721"/>
      <c r="BV86" s="721"/>
      <c r="BW86" s="721"/>
      <c r="BX86" s="721"/>
      <c r="BY86" s="721"/>
      <c r="BZ86" s="721"/>
      <c r="CA86" s="721"/>
      <c r="CB86" s="721"/>
      <c r="CC86" s="721"/>
      <c r="CD86" s="721"/>
      <c r="CE86" s="721"/>
      <c r="CF86" s="721"/>
      <c r="CG86" s="721"/>
      <c r="CH86" s="721"/>
      <c r="CI86" s="721"/>
      <c r="CJ86" s="721"/>
      <c r="CK86" s="721"/>
      <c r="CL86" s="721"/>
      <c r="CM86" s="721"/>
      <c r="CN86" s="721"/>
      <c r="CO86" s="721"/>
      <c r="CP86" s="721"/>
      <c r="CQ86" s="721"/>
      <c r="CR86" s="721"/>
      <c r="CS86" s="721"/>
      <c r="CT86" s="721"/>
      <c r="CU86" s="721"/>
      <c r="CV86" s="721"/>
      <c r="CW86" s="721"/>
      <c r="CX86" s="721"/>
    </row>
    <row r="87" spans="1:102" ht="42.75" customHeight="1" x14ac:dyDescent="0.2">
      <c r="A87" s="1870"/>
      <c r="B87" s="1864"/>
      <c r="C87" s="718"/>
      <c r="D87" s="718"/>
      <c r="E87" s="720"/>
      <c r="F87" s="720"/>
      <c r="G87" s="720"/>
      <c r="H87" s="720"/>
      <c r="I87" s="720"/>
      <c r="J87" s="720"/>
      <c r="K87" s="720"/>
      <c r="L87" s="720"/>
      <c r="M87" s="720"/>
      <c r="N87" s="720"/>
      <c r="O87" s="720"/>
      <c r="P87" s="720"/>
      <c r="Q87" s="720"/>
      <c r="R87" s="720"/>
      <c r="S87" s="720"/>
      <c r="T87" s="1839"/>
      <c r="U87" s="719" t="s">
        <v>1978</v>
      </c>
      <c r="V87" s="719" t="s">
        <v>1976</v>
      </c>
      <c r="W87" s="1039" t="s">
        <v>1979</v>
      </c>
      <c r="X87" s="1040">
        <v>5</v>
      </c>
      <c r="Y87" s="1040">
        <v>2</v>
      </c>
      <c r="Z87" s="1031">
        <v>2</v>
      </c>
      <c r="AA87" s="1031">
        <v>0</v>
      </c>
      <c r="AB87" s="1034">
        <f>+Y87/X87</f>
        <v>0.4</v>
      </c>
      <c r="AC87" s="1034">
        <f>+Z87/X87</f>
        <v>0.4</v>
      </c>
      <c r="AD87" s="1034"/>
      <c r="AE87" s="1031">
        <v>0</v>
      </c>
      <c r="AF87" s="1031">
        <v>0</v>
      </c>
      <c r="AG87" s="1031"/>
      <c r="AH87" s="1031">
        <v>0</v>
      </c>
      <c r="AI87" s="1031"/>
      <c r="AJ87" s="1031">
        <f>+AH87</f>
        <v>0</v>
      </c>
      <c r="AK87" s="1034">
        <f>+AJ87/Y87</f>
        <v>0</v>
      </c>
      <c r="AL87" s="1031">
        <f>+AJ87</f>
        <v>0</v>
      </c>
      <c r="AM87" s="1033">
        <f>+AL87/X87</f>
        <v>0</v>
      </c>
      <c r="AN87" s="1031">
        <f>+Z87</f>
        <v>2</v>
      </c>
      <c r="AO87" s="1031">
        <v>0</v>
      </c>
      <c r="AP87" s="1031"/>
      <c r="AQ87" s="1031">
        <v>0</v>
      </c>
      <c r="AR87" s="1031"/>
      <c r="AS87" s="1031">
        <v>0</v>
      </c>
      <c r="AT87" s="1031"/>
      <c r="AU87" s="1031">
        <v>0</v>
      </c>
      <c r="AV87" s="1031"/>
      <c r="AW87" s="1031">
        <f>+AO87</f>
        <v>0</v>
      </c>
      <c r="AX87" s="1198"/>
      <c r="AY87" s="1031">
        <f>+AW87+AL87</f>
        <v>0</v>
      </c>
      <c r="AZ87" s="1033"/>
      <c r="BA87" s="1031">
        <v>0</v>
      </c>
      <c r="BB87" s="1031"/>
      <c r="BC87" s="1031"/>
      <c r="BD87" s="1031">
        <v>0</v>
      </c>
      <c r="BE87" s="1031"/>
      <c r="BF87" s="1031">
        <v>0</v>
      </c>
      <c r="BG87" s="1031"/>
      <c r="BH87" s="1031"/>
      <c r="BI87" s="1031"/>
      <c r="BJ87" s="1031"/>
      <c r="BK87" s="1031"/>
      <c r="BL87" s="1031"/>
      <c r="BM87" s="1034">
        <v>0</v>
      </c>
      <c r="BN87" s="721"/>
      <c r="BO87" s="721"/>
      <c r="BP87" s="721"/>
      <c r="BQ87" s="721"/>
      <c r="BR87" s="721"/>
      <c r="BS87" s="721"/>
      <c r="BT87" s="721"/>
      <c r="BU87" s="721"/>
      <c r="BV87" s="721"/>
      <c r="BW87" s="721"/>
      <c r="BX87" s="721"/>
      <c r="BY87" s="721"/>
      <c r="BZ87" s="721"/>
      <c r="CA87" s="721"/>
      <c r="CB87" s="721"/>
      <c r="CC87" s="721"/>
      <c r="CD87" s="721"/>
      <c r="CE87" s="721"/>
      <c r="CF87" s="721"/>
      <c r="CG87" s="721"/>
      <c r="CH87" s="721"/>
      <c r="CI87" s="721"/>
      <c r="CJ87" s="721"/>
      <c r="CK87" s="721"/>
      <c r="CL87" s="721"/>
      <c r="CM87" s="721"/>
      <c r="CN87" s="721"/>
      <c r="CO87" s="721"/>
      <c r="CP87" s="721"/>
      <c r="CQ87" s="721"/>
      <c r="CR87" s="721"/>
      <c r="CS87" s="721"/>
      <c r="CT87" s="721"/>
      <c r="CU87" s="721"/>
      <c r="CV87" s="721"/>
      <c r="CW87" s="721"/>
      <c r="CX87" s="721"/>
    </row>
    <row r="88" spans="1:102" ht="66.75" customHeight="1" x14ac:dyDescent="0.2">
      <c r="A88" s="1870"/>
      <c r="B88" s="1864"/>
      <c r="C88" s="718"/>
      <c r="D88" s="718"/>
      <c r="E88" s="720"/>
      <c r="F88" s="720"/>
      <c r="G88" s="720"/>
      <c r="H88" s="720"/>
      <c r="I88" s="720"/>
      <c r="J88" s="720"/>
      <c r="K88" s="720"/>
      <c r="L88" s="720"/>
      <c r="M88" s="720"/>
      <c r="N88" s="720"/>
      <c r="O88" s="720"/>
      <c r="P88" s="720"/>
      <c r="Q88" s="720"/>
      <c r="R88" s="720"/>
      <c r="S88" s="720"/>
      <c r="T88" s="1839"/>
      <c r="U88" s="719" t="s">
        <v>1980</v>
      </c>
      <c r="V88" s="719" t="s">
        <v>1981</v>
      </c>
      <c r="W88" s="1039" t="s">
        <v>1982</v>
      </c>
      <c r="X88" s="1040">
        <v>10000</v>
      </c>
      <c r="Y88" s="1040">
        <v>2000</v>
      </c>
      <c r="Z88" s="1031">
        <v>2500</v>
      </c>
      <c r="AA88" s="1031">
        <v>762</v>
      </c>
      <c r="AB88" s="1034">
        <f>+Y88/X88</f>
        <v>0.2</v>
      </c>
      <c r="AC88" s="1034">
        <f>+Z88/X88</f>
        <v>0.25</v>
      </c>
      <c r="AD88" s="1034"/>
      <c r="AE88" s="1031">
        <v>0</v>
      </c>
      <c r="AF88" s="1031">
        <v>0</v>
      </c>
      <c r="AG88" s="1031"/>
      <c r="AH88" s="1031">
        <v>0</v>
      </c>
      <c r="AI88" s="1031"/>
      <c r="AJ88" s="1031">
        <f>+AH88</f>
        <v>0</v>
      </c>
      <c r="AK88" s="1034">
        <f>+AJ88/Y88</f>
        <v>0</v>
      </c>
      <c r="AL88" s="1031">
        <f>+AJ88</f>
        <v>0</v>
      </c>
      <c r="AM88" s="1192">
        <f>+AL88/X88</f>
        <v>0</v>
      </c>
      <c r="AN88" s="1263">
        <f>+Z88</f>
        <v>2500</v>
      </c>
      <c r="AO88" s="1263">
        <v>0</v>
      </c>
      <c r="AP88" s="1263"/>
      <c r="AQ88" s="1263">
        <v>1938</v>
      </c>
      <c r="AR88" s="1263"/>
      <c r="AS88" s="1263">
        <v>707</v>
      </c>
      <c r="AT88" s="1263"/>
      <c r="AU88" s="1263">
        <v>6953</v>
      </c>
      <c r="AV88" s="1263"/>
      <c r="AW88" s="1263">
        <f>+AQ88+AS88+AU88</f>
        <v>9598</v>
      </c>
      <c r="AX88" s="1405">
        <v>1</v>
      </c>
      <c r="AY88" s="1031">
        <v>9238</v>
      </c>
      <c r="AZ88" s="1033">
        <f>+AY88/X88</f>
        <v>0.92379999999999995</v>
      </c>
      <c r="BA88" s="1031">
        <v>762</v>
      </c>
      <c r="BB88" s="1031">
        <v>886</v>
      </c>
      <c r="BC88" s="1031"/>
      <c r="BD88" s="1031">
        <v>349</v>
      </c>
      <c r="BE88" s="1031"/>
      <c r="BF88" s="1031">
        <v>447</v>
      </c>
      <c r="BG88" s="324" t="s">
        <v>2212</v>
      </c>
      <c r="BH88" s="1031">
        <v>121</v>
      </c>
      <c r="BI88" s="1031"/>
      <c r="BJ88" s="1031">
        <f>BB88+BD88+BF88+BH88</f>
        <v>1803</v>
      </c>
      <c r="BK88" s="1034">
        <v>1</v>
      </c>
      <c r="BL88" s="1031">
        <f>BJ88+AY88</f>
        <v>11041</v>
      </c>
      <c r="BM88" s="1034">
        <v>1</v>
      </c>
      <c r="BN88" s="721"/>
      <c r="BO88" s="721"/>
      <c r="BP88" s="721"/>
      <c r="BQ88" s="721"/>
      <c r="BR88" s="721"/>
      <c r="BS88" s="721"/>
      <c r="BT88" s="721"/>
      <c r="BU88" s="721"/>
      <c r="BV88" s="721"/>
      <c r="BW88" s="721"/>
      <c r="BX88" s="721"/>
      <c r="BY88" s="721"/>
      <c r="BZ88" s="721"/>
      <c r="CA88" s="721"/>
      <c r="CB88" s="721"/>
      <c r="CC88" s="721"/>
      <c r="CD88" s="721"/>
      <c r="CE88" s="721"/>
      <c r="CF88" s="721"/>
      <c r="CG88" s="721"/>
      <c r="CH88" s="721"/>
      <c r="CI88" s="721"/>
      <c r="CJ88" s="721"/>
      <c r="CK88" s="721"/>
      <c r="CL88" s="721"/>
      <c r="CM88" s="721"/>
      <c r="CN88" s="721"/>
      <c r="CO88" s="721"/>
      <c r="CP88" s="721"/>
      <c r="CQ88" s="721"/>
      <c r="CR88" s="721"/>
      <c r="CS88" s="721"/>
      <c r="CT88" s="721"/>
      <c r="CU88" s="721"/>
      <c r="CV88" s="721"/>
      <c r="CW88" s="721"/>
      <c r="CX88" s="721"/>
    </row>
    <row r="89" spans="1:102" ht="12" customHeight="1" x14ac:dyDescent="0.2">
      <c r="A89" s="1870"/>
      <c r="B89" s="1864"/>
      <c r="C89" s="718"/>
      <c r="D89" s="718"/>
      <c r="E89" s="720"/>
      <c r="F89" s="720"/>
      <c r="G89" s="720"/>
      <c r="H89" s="720"/>
      <c r="I89" s="720"/>
      <c r="J89" s="720"/>
      <c r="K89" s="720"/>
      <c r="L89" s="720"/>
      <c r="M89" s="720"/>
      <c r="N89" s="720"/>
      <c r="O89" s="720"/>
      <c r="P89" s="720"/>
      <c r="Q89" s="720"/>
      <c r="R89" s="720"/>
      <c r="S89" s="720"/>
      <c r="T89" s="1840"/>
      <c r="U89" s="722"/>
      <c r="V89" s="722"/>
      <c r="W89" s="1050"/>
      <c r="X89" s="1051"/>
      <c r="Y89" s="1051"/>
      <c r="Z89" s="1051"/>
      <c r="AA89" s="1051"/>
      <c r="AB89" s="1038">
        <f>AVERAGE(AB85:AB88)</f>
        <v>0.29500000000000004</v>
      </c>
      <c r="AC89" s="1038">
        <f>AVERAGE(AC85:AC88)</f>
        <v>0.39166666666666666</v>
      </c>
      <c r="AD89" s="1038">
        <f>AVERAGE(AD85:AD88)</f>
        <v>0.45833333333333331</v>
      </c>
      <c r="AE89" s="1051"/>
      <c r="AF89" s="1051"/>
      <c r="AG89" s="1051"/>
      <c r="AH89" s="1051"/>
      <c r="AI89" s="1051"/>
      <c r="AJ89" s="1051"/>
      <c r="AK89" s="1038">
        <f>AVERAGE(AK85:AK88)</f>
        <v>0.22222222222222221</v>
      </c>
      <c r="AL89" s="1101"/>
      <c r="AM89" s="1038">
        <f>AVERAGE(AM85:AM88)</f>
        <v>5.5555555555555552E-2</v>
      </c>
      <c r="AN89" s="1101"/>
      <c r="AO89" s="1101"/>
      <c r="AP89" s="1101"/>
      <c r="AQ89" s="1101"/>
      <c r="AR89" s="1101"/>
      <c r="AS89" s="1101"/>
      <c r="AT89" s="1101"/>
      <c r="AU89" s="1101"/>
      <c r="AV89" s="1101"/>
      <c r="AW89" s="1101"/>
      <c r="AX89" s="1038">
        <f>AVERAGE(AX85:AX88)</f>
        <v>0.66666666666666663</v>
      </c>
      <c r="AY89" s="1102"/>
      <c r="AZ89" s="1070">
        <f>AVERAGE(AZ85:AZ88)</f>
        <v>0.47793333333333332</v>
      </c>
      <c r="BA89" s="1136"/>
      <c r="BB89" s="1136"/>
      <c r="BC89" s="1136"/>
      <c r="BD89" s="1136"/>
      <c r="BE89" s="1136"/>
      <c r="BF89" s="1136"/>
      <c r="BG89" s="1136"/>
      <c r="BH89" s="1136"/>
      <c r="BI89" s="1136"/>
      <c r="BJ89" s="1136"/>
      <c r="BK89" s="1137">
        <f>AVERAGE(BK85:BK88)</f>
        <v>0.66666666666666663</v>
      </c>
      <c r="BL89" s="1136"/>
      <c r="BM89" s="1066">
        <f>AVERAGE(BM85:BM88)</f>
        <v>0.43715972222222221</v>
      </c>
      <c r="BN89" s="721"/>
      <c r="BO89" s="721"/>
      <c r="BP89" s="721"/>
      <c r="BQ89" s="721"/>
      <c r="BR89" s="721"/>
      <c r="BS89" s="721"/>
      <c r="BT89" s="721"/>
      <c r="BU89" s="721"/>
      <c r="BV89" s="721"/>
      <c r="BW89" s="721"/>
      <c r="BX89" s="721"/>
      <c r="BY89" s="721"/>
      <c r="BZ89" s="721"/>
      <c r="CA89" s="721"/>
      <c r="CB89" s="721"/>
      <c r="CC89" s="721"/>
      <c r="CD89" s="721"/>
      <c r="CE89" s="721"/>
      <c r="CF89" s="721"/>
      <c r="CG89" s="721"/>
      <c r="CH89" s="721"/>
      <c r="CI89" s="721"/>
      <c r="CJ89" s="721"/>
      <c r="CK89" s="721"/>
      <c r="CL89" s="721"/>
      <c r="CM89" s="721"/>
      <c r="CN89" s="721"/>
      <c r="CO89" s="721"/>
      <c r="CP89" s="721"/>
      <c r="CQ89" s="721"/>
      <c r="CR89" s="721"/>
      <c r="CS89" s="721"/>
      <c r="CT89" s="721"/>
      <c r="CU89" s="721"/>
      <c r="CV89" s="721"/>
      <c r="CW89" s="721"/>
      <c r="CX89" s="721"/>
    </row>
    <row r="90" spans="1:102" ht="12" customHeight="1" x14ac:dyDescent="0.2">
      <c r="A90" s="1870"/>
      <c r="B90" s="1865"/>
      <c r="C90" s="726"/>
      <c r="D90" s="726"/>
      <c r="E90" s="727"/>
      <c r="F90" s="727"/>
      <c r="G90" s="727"/>
      <c r="H90" s="727"/>
      <c r="I90" s="727"/>
      <c r="J90" s="727"/>
      <c r="K90" s="727"/>
      <c r="L90" s="727"/>
      <c r="M90" s="727"/>
      <c r="N90" s="727"/>
      <c r="O90" s="727"/>
      <c r="P90" s="727"/>
      <c r="Q90" s="727"/>
      <c r="R90" s="727"/>
      <c r="S90" s="727"/>
      <c r="T90" s="724"/>
      <c r="U90" s="726"/>
      <c r="V90" s="726"/>
      <c r="W90" s="1077"/>
      <c r="X90" s="1078"/>
      <c r="Y90" s="1078"/>
      <c r="Z90" s="1078"/>
      <c r="AA90" s="1078"/>
      <c r="AB90" s="1079">
        <f>+AB89</f>
        <v>0.29500000000000004</v>
      </c>
      <c r="AC90" s="1079">
        <f>+AC89</f>
        <v>0.39166666666666666</v>
      </c>
      <c r="AD90" s="1079">
        <f>+AD89</f>
        <v>0.45833333333333331</v>
      </c>
      <c r="AE90" s="1078"/>
      <c r="AF90" s="1078"/>
      <c r="AG90" s="1078"/>
      <c r="AH90" s="1078"/>
      <c r="AI90" s="1078"/>
      <c r="AJ90" s="1078"/>
      <c r="AK90" s="1079">
        <f>+AK89</f>
        <v>0.22222222222222221</v>
      </c>
      <c r="AL90" s="1103"/>
      <c r="AM90" s="1079">
        <f>+AM89</f>
        <v>5.5555555555555552E-2</v>
      </c>
      <c r="AN90" s="1103"/>
      <c r="AO90" s="1103"/>
      <c r="AP90" s="1103"/>
      <c r="AQ90" s="1103"/>
      <c r="AR90" s="1103"/>
      <c r="AS90" s="1103"/>
      <c r="AT90" s="1103"/>
      <c r="AU90" s="1103"/>
      <c r="AV90" s="1103"/>
      <c r="AW90" s="1103"/>
      <c r="AX90" s="1079">
        <f>+AX89</f>
        <v>0.66666666666666663</v>
      </c>
      <c r="AY90" s="1104"/>
      <c r="AZ90" s="1090">
        <f>+AZ89</f>
        <v>0.47793333333333332</v>
      </c>
      <c r="BA90" s="1132"/>
      <c r="BB90" s="1132"/>
      <c r="BC90" s="1132"/>
      <c r="BD90" s="1132"/>
      <c r="BE90" s="1132"/>
      <c r="BF90" s="1132"/>
      <c r="BG90" s="1132"/>
      <c r="BH90" s="1132"/>
      <c r="BI90" s="1132"/>
      <c r="BJ90" s="1132"/>
      <c r="BK90" s="1120">
        <f>+BK89</f>
        <v>0.66666666666666663</v>
      </c>
      <c r="BL90" s="1132"/>
      <c r="BM90" s="1120">
        <f>+BM89</f>
        <v>0.43715972222222221</v>
      </c>
      <c r="BN90" s="721"/>
      <c r="BO90" s="721"/>
      <c r="BP90" s="721"/>
      <c r="BQ90" s="721"/>
      <c r="BR90" s="721"/>
      <c r="BS90" s="721"/>
      <c r="BT90" s="721"/>
      <c r="BU90" s="721"/>
      <c r="BV90" s="721"/>
      <c r="BW90" s="721"/>
      <c r="BX90" s="721"/>
      <c r="BY90" s="721"/>
      <c r="BZ90" s="721"/>
      <c r="CA90" s="721"/>
      <c r="CB90" s="721"/>
      <c r="CC90" s="721"/>
      <c r="CD90" s="721"/>
      <c r="CE90" s="721"/>
      <c r="CF90" s="721"/>
      <c r="CG90" s="721"/>
      <c r="CH90" s="721"/>
      <c r="CI90" s="721"/>
      <c r="CJ90" s="721"/>
      <c r="CK90" s="721"/>
      <c r="CL90" s="721"/>
      <c r="CM90" s="721"/>
      <c r="CN90" s="721"/>
      <c r="CO90" s="721"/>
      <c r="CP90" s="721"/>
      <c r="CQ90" s="721"/>
      <c r="CR90" s="721"/>
      <c r="CS90" s="721"/>
      <c r="CT90" s="721"/>
      <c r="CU90" s="721"/>
      <c r="CV90" s="721"/>
      <c r="CW90" s="721"/>
      <c r="CX90" s="721"/>
    </row>
    <row r="91" spans="1:102" ht="45.75" customHeight="1" x14ac:dyDescent="0.2">
      <c r="A91" s="1870"/>
      <c r="B91" s="1838" t="s">
        <v>1983</v>
      </c>
      <c r="C91" s="718" t="s">
        <v>1984</v>
      </c>
      <c r="D91" s="718" t="s">
        <v>1985</v>
      </c>
      <c r="E91" s="720"/>
      <c r="F91" s="720"/>
      <c r="G91" s="720"/>
      <c r="H91" s="720"/>
      <c r="I91" s="720"/>
      <c r="J91" s="720"/>
      <c r="K91" s="720"/>
      <c r="L91" s="720"/>
      <c r="M91" s="720"/>
      <c r="N91" s="720"/>
      <c r="O91" s="720"/>
      <c r="P91" s="720"/>
      <c r="Q91" s="720"/>
      <c r="R91" s="720"/>
      <c r="S91" s="720"/>
      <c r="T91" s="1838" t="s">
        <v>1986</v>
      </c>
      <c r="U91" s="719" t="s">
        <v>1987</v>
      </c>
      <c r="V91" s="719" t="s">
        <v>1988</v>
      </c>
      <c r="W91" s="1039" t="s">
        <v>1989</v>
      </c>
      <c r="X91" s="1040">
        <v>7120</v>
      </c>
      <c r="Y91" s="1040">
        <v>620</v>
      </c>
      <c r="Z91" s="1031">
        <v>2100</v>
      </c>
      <c r="AA91" s="1031">
        <v>2500</v>
      </c>
      <c r="AB91" s="1034">
        <f>+Y91/X91</f>
        <v>8.7078651685393263E-2</v>
      </c>
      <c r="AC91" s="1034">
        <f>+Z91/X91</f>
        <v>0.2949438202247191</v>
      </c>
      <c r="AD91" s="1034">
        <f>AA91/X91</f>
        <v>0.351123595505618</v>
      </c>
      <c r="AE91" s="1031">
        <v>65</v>
      </c>
      <c r="AF91" s="1031">
        <v>22</v>
      </c>
      <c r="AG91" s="1031"/>
      <c r="AH91" s="1031">
        <v>465</v>
      </c>
      <c r="AI91" s="1031"/>
      <c r="AJ91" s="1031">
        <f>+AH91</f>
        <v>465</v>
      </c>
      <c r="AK91" s="1034">
        <f>+AJ91/Y91</f>
        <v>0.75</v>
      </c>
      <c r="AL91" s="1194">
        <f>+AJ91</f>
        <v>465</v>
      </c>
      <c r="AM91" s="1034">
        <f>+AL91/X91</f>
        <v>6.5308988764044951E-2</v>
      </c>
      <c r="AN91" s="1031">
        <f>+Z91</f>
        <v>2100</v>
      </c>
      <c r="AO91" s="1031">
        <v>223</v>
      </c>
      <c r="AP91" s="1031"/>
      <c r="AQ91" s="1031">
        <v>0</v>
      </c>
      <c r="AR91" s="1031"/>
      <c r="AS91" s="1031">
        <v>0</v>
      </c>
      <c r="AT91" s="1031"/>
      <c r="AU91" s="1031">
        <v>1034</v>
      </c>
      <c r="AV91" s="1031"/>
      <c r="AW91" s="1031">
        <f>+AU91</f>
        <v>1034</v>
      </c>
      <c r="AX91" s="1034">
        <f>+AW91/AN91</f>
        <v>0.49238095238095236</v>
      </c>
      <c r="AY91" s="1195">
        <f>+AW91+AL91</f>
        <v>1499</v>
      </c>
      <c r="AZ91" s="1033">
        <f>+AY91/X91</f>
        <v>0.21053370786516853</v>
      </c>
      <c r="BA91" s="1031">
        <v>2500</v>
      </c>
      <c r="BB91" s="1031">
        <v>249</v>
      </c>
      <c r="BC91" s="1031"/>
      <c r="BD91" s="1031">
        <v>223</v>
      </c>
      <c r="BE91" s="1031"/>
      <c r="BF91" s="1031">
        <v>538</v>
      </c>
      <c r="BG91" s="1031"/>
      <c r="BH91" s="1031">
        <v>330</v>
      </c>
      <c r="BI91" s="1031"/>
      <c r="BJ91" s="1031">
        <f>BB91+BD91+BF91+BH91</f>
        <v>1340</v>
      </c>
      <c r="BK91" s="1032">
        <f>BJ91/BA91</f>
        <v>0.53600000000000003</v>
      </c>
      <c r="BL91" s="1031">
        <f>BJ91+AY91+223</f>
        <v>3062</v>
      </c>
      <c r="BM91" s="1032">
        <f>BL91/X91</f>
        <v>0.43005617977528088</v>
      </c>
      <c r="BN91" s="721"/>
      <c r="BO91" s="721"/>
      <c r="BP91" s="721"/>
      <c r="BQ91" s="721"/>
      <c r="BR91" s="721"/>
      <c r="BS91" s="721"/>
      <c r="BT91" s="721"/>
      <c r="BU91" s="721"/>
      <c r="BV91" s="721"/>
      <c r="BW91" s="721"/>
      <c r="BX91" s="721"/>
      <c r="BY91" s="721"/>
      <c r="BZ91" s="721"/>
      <c r="CA91" s="721"/>
      <c r="CB91" s="721"/>
      <c r="CC91" s="721"/>
      <c r="CD91" s="721"/>
      <c r="CE91" s="721"/>
      <c r="CF91" s="721"/>
      <c r="CG91" s="721"/>
      <c r="CH91" s="721"/>
      <c r="CI91" s="721"/>
      <c r="CJ91" s="721"/>
      <c r="CK91" s="721"/>
      <c r="CL91" s="721"/>
      <c r="CM91" s="721"/>
      <c r="CN91" s="721"/>
      <c r="CO91" s="721"/>
      <c r="CP91" s="721"/>
      <c r="CQ91" s="721"/>
      <c r="CR91" s="721"/>
      <c r="CS91" s="721"/>
      <c r="CT91" s="721"/>
      <c r="CU91" s="721"/>
      <c r="CV91" s="721"/>
      <c r="CW91" s="721"/>
      <c r="CX91" s="721"/>
    </row>
    <row r="92" spans="1:102" ht="63.75" customHeight="1" x14ac:dyDescent="0.2">
      <c r="A92" s="1870"/>
      <c r="B92" s="1839"/>
      <c r="C92" s="718"/>
      <c r="D92" s="718"/>
      <c r="E92" s="720"/>
      <c r="F92" s="720"/>
      <c r="G92" s="720"/>
      <c r="H92" s="720"/>
      <c r="I92" s="720"/>
      <c r="J92" s="720"/>
      <c r="K92" s="720"/>
      <c r="L92" s="720"/>
      <c r="M92" s="720"/>
      <c r="N92" s="720"/>
      <c r="O92" s="720"/>
      <c r="P92" s="720"/>
      <c r="Q92" s="720"/>
      <c r="R92" s="720"/>
      <c r="S92" s="720"/>
      <c r="T92" s="1839"/>
      <c r="U92" s="719" t="s">
        <v>1990</v>
      </c>
      <c r="V92" s="719">
        <v>0</v>
      </c>
      <c r="W92" s="1039" t="s">
        <v>1991</v>
      </c>
      <c r="X92" s="1040">
        <v>3</v>
      </c>
      <c r="Y92" s="1040" t="s">
        <v>177</v>
      </c>
      <c r="Z92" s="1031">
        <v>1</v>
      </c>
      <c r="AA92" s="1031">
        <v>1</v>
      </c>
      <c r="AB92" s="1031"/>
      <c r="AC92" s="1034">
        <f>+Z92/X92</f>
        <v>0.33333333333333331</v>
      </c>
      <c r="AD92" s="1034">
        <f>AA92/X92</f>
        <v>0.33333333333333331</v>
      </c>
      <c r="AE92" s="1031"/>
      <c r="AF92" s="1031"/>
      <c r="AG92" s="1031"/>
      <c r="AH92" s="1031"/>
      <c r="AI92" s="1031"/>
      <c r="AJ92" s="1031"/>
      <c r="AK92" s="1031"/>
      <c r="AL92" s="1194"/>
      <c r="AM92" s="1031"/>
      <c r="AN92" s="1031">
        <f>+Z92</f>
        <v>1</v>
      </c>
      <c r="AO92" s="1031">
        <v>1</v>
      </c>
      <c r="AP92" s="1031"/>
      <c r="AQ92" s="1031">
        <v>0</v>
      </c>
      <c r="AR92" s="1031"/>
      <c r="AS92" s="1031">
        <v>0</v>
      </c>
      <c r="AT92" s="1031"/>
      <c r="AU92" s="1031">
        <v>0</v>
      </c>
      <c r="AV92" s="1031"/>
      <c r="AW92" s="1031">
        <f>+AO92</f>
        <v>1</v>
      </c>
      <c r="AX92" s="1034">
        <f>+AW92/AN92</f>
        <v>1</v>
      </c>
      <c r="AY92" s="1195">
        <f>+AW92+AL92</f>
        <v>1</v>
      </c>
      <c r="AZ92" s="1033">
        <f>+AY92/X92</f>
        <v>0.33333333333333331</v>
      </c>
      <c r="BA92" s="1031">
        <v>1</v>
      </c>
      <c r="BB92" s="1031">
        <v>0</v>
      </c>
      <c r="BC92" s="1031"/>
      <c r="BD92" s="1031">
        <v>0.5</v>
      </c>
      <c r="BE92" s="1031"/>
      <c r="BF92" s="1031">
        <v>0</v>
      </c>
      <c r="BG92" s="1031"/>
      <c r="BH92" s="1031">
        <v>0.5</v>
      </c>
      <c r="BI92" s="1031"/>
      <c r="BJ92" s="1031">
        <f>+BD92+BH92</f>
        <v>1</v>
      </c>
      <c r="BK92" s="1032">
        <f>BJ92/BA92</f>
        <v>1</v>
      </c>
      <c r="BL92" s="1031">
        <f>BJ92+AY92</f>
        <v>2</v>
      </c>
      <c r="BM92" s="1032">
        <f>+BL92/X92</f>
        <v>0.66666666666666663</v>
      </c>
      <c r="BN92" s="721"/>
      <c r="BO92" s="721"/>
      <c r="BP92" s="721"/>
      <c r="BQ92" s="721"/>
      <c r="BR92" s="721"/>
      <c r="BS92" s="721"/>
      <c r="BT92" s="721"/>
      <c r="BU92" s="721"/>
      <c r="BV92" s="721"/>
      <c r="BW92" s="721"/>
      <c r="BX92" s="721"/>
      <c r="BY92" s="721"/>
      <c r="BZ92" s="721"/>
      <c r="CA92" s="721"/>
      <c r="CB92" s="721"/>
      <c r="CC92" s="721"/>
      <c r="CD92" s="721"/>
      <c r="CE92" s="721"/>
      <c r="CF92" s="721"/>
      <c r="CG92" s="721"/>
      <c r="CH92" s="721"/>
      <c r="CI92" s="721"/>
      <c r="CJ92" s="721"/>
      <c r="CK92" s="721"/>
      <c r="CL92" s="721"/>
      <c r="CM92" s="721"/>
      <c r="CN92" s="721"/>
      <c r="CO92" s="721"/>
      <c r="CP92" s="721"/>
      <c r="CQ92" s="721"/>
      <c r="CR92" s="721"/>
      <c r="CS92" s="721"/>
      <c r="CT92" s="721"/>
      <c r="CU92" s="721"/>
      <c r="CV92" s="721"/>
      <c r="CW92" s="721"/>
      <c r="CX92" s="721"/>
    </row>
    <row r="93" spans="1:102" ht="12" customHeight="1" x14ac:dyDescent="0.2">
      <c r="A93" s="1870"/>
      <c r="B93" s="1839"/>
      <c r="C93" s="718"/>
      <c r="D93" s="718"/>
      <c r="E93" s="720"/>
      <c r="F93" s="720"/>
      <c r="G93" s="720"/>
      <c r="H93" s="720"/>
      <c r="I93" s="720"/>
      <c r="J93" s="720"/>
      <c r="K93" s="720"/>
      <c r="L93" s="720"/>
      <c r="M93" s="720"/>
      <c r="N93" s="720"/>
      <c r="O93" s="720"/>
      <c r="P93" s="720"/>
      <c r="Q93" s="720"/>
      <c r="R93" s="720"/>
      <c r="S93" s="720"/>
      <c r="T93" s="1840"/>
      <c r="U93" s="722"/>
      <c r="V93" s="722"/>
      <c r="W93" s="1050"/>
      <c r="X93" s="1051"/>
      <c r="Y93" s="1051"/>
      <c r="Z93" s="1051"/>
      <c r="AA93" s="1051"/>
      <c r="AB93" s="1038">
        <f>+AB91</f>
        <v>8.7078651685393263E-2</v>
      </c>
      <c r="AC93" s="1038">
        <f>+AC91</f>
        <v>0.2949438202247191</v>
      </c>
      <c r="AD93" s="1038">
        <f>AVERAGE(AD91:AD92)</f>
        <v>0.34222846441947563</v>
      </c>
      <c r="AE93" s="1051"/>
      <c r="AF93" s="1051"/>
      <c r="AG93" s="1051"/>
      <c r="AH93" s="1051"/>
      <c r="AI93" s="1051"/>
      <c r="AJ93" s="1051"/>
      <c r="AK93" s="1038">
        <f>AVERAGE(AK91:AK92)</f>
        <v>0.75</v>
      </c>
      <c r="AL93" s="1101"/>
      <c r="AM93" s="1052">
        <f>AVERAGE(AM91:AM92)</f>
        <v>6.5308988764044951E-2</v>
      </c>
      <c r="AN93" s="1101"/>
      <c r="AO93" s="1101"/>
      <c r="AP93" s="1101"/>
      <c r="AQ93" s="1101"/>
      <c r="AR93" s="1101"/>
      <c r="AS93" s="1101"/>
      <c r="AT93" s="1101"/>
      <c r="AU93" s="1101"/>
      <c r="AV93" s="1101"/>
      <c r="AW93" s="1101"/>
      <c r="AX93" s="1038">
        <f>AVERAGE(AX91:AX92)</f>
        <v>0.74619047619047618</v>
      </c>
      <c r="AY93" s="1102"/>
      <c r="AZ93" s="1053">
        <f>AVERAGE(AZ91:AZ92)</f>
        <v>0.27193352059925091</v>
      </c>
      <c r="BA93" s="1136"/>
      <c r="BB93" s="1136"/>
      <c r="BC93" s="1136"/>
      <c r="BD93" s="1136"/>
      <c r="BE93" s="1136"/>
      <c r="BF93" s="1136"/>
      <c r="BG93" s="1136"/>
      <c r="BH93" s="1136"/>
      <c r="BI93" s="1136"/>
      <c r="BJ93" s="1136"/>
      <c r="BK93" s="1138">
        <f>AVERAGE(BK91:BK92)</f>
        <v>0.76800000000000002</v>
      </c>
      <c r="BL93" s="1136"/>
      <c r="BM93" s="1053">
        <f>AVERAGE(BM91:BM92)</f>
        <v>0.5483614232209737</v>
      </c>
      <c r="BN93" s="721"/>
      <c r="BO93" s="721"/>
      <c r="BP93" s="721"/>
      <c r="BQ93" s="721"/>
      <c r="BR93" s="721"/>
      <c r="BS93" s="721"/>
      <c r="BT93" s="721"/>
      <c r="BU93" s="721"/>
      <c r="BV93" s="721"/>
      <c r="BW93" s="721"/>
      <c r="BX93" s="721"/>
      <c r="BY93" s="721"/>
      <c r="BZ93" s="721"/>
      <c r="CA93" s="721"/>
      <c r="CB93" s="721"/>
      <c r="CC93" s="721"/>
      <c r="CD93" s="721"/>
      <c r="CE93" s="721"/>
      <c r="CF93" s="721"/>
      <c r="CG93" s="721"/>
      <c r="CH93" s="721"/>
      <c r="CI93" s="721"/>
      <c r="CJ93" s="721"/>
      <c r="CK93" s="721"/>
      <c r="CL93" s="721"/>
      <c r="CM93" s="721"/>
      <c r="CN93" s="721"/>
      <c r="CO93" s="721"/>
      <c r="CP93" s="721"/>
      <c r="CQ93" s="721"/>
      <c r="CR93" s="721"/>
      <c r="CS93" s="721"/>
      <c r="CT93" s="721"/>
      <c r="CU93" s="721"/>
      <c r="CV93" s="721"/>
      <c r="CW93" s="721"/>
      <c r="CX93" s="721"/>
    </row>
    <row r="94" spans="1:102" ht="81" customHeight="1" x14ac:dyDescent="0.2">
      <c r="A94" s="1870"/>
      <c r="B94" s="1839"/>
      <c r="C94" s="718"/>
      <c r="D94" s="718"/>
      <c r="E94" s="720"/>
      <c r="F94" s="720"/>
      <c r="G94" s="720"/>
      <c r="H94" s="720"/>
      <c r="I94" s="720"/>
      <c r="J94" s="720"/>
      <c r="K94" s="720"/>
      <c r="L94" s="720"/>
      <c r="M94" s="720"/>
      <c r="N94" s="720"/>
      <c r="O94" s="720"/>
      <c r="P94" s="720"/>
      <c r="Q94" s="720"/>
      <c r="R94" s="720"/>
      <c r="S94" s="720"/>
      <c r="T94" s="1838" t="s">
        <v>1992</v>
      </c>
      <c r="U94" s="719" t="s">
        <v>1993</v>
      </c>
      <c r="V94" s="719">
        <v>0</v>
      </c>
      <c r="W94" s="1039" t="s">
        <v>1994</v>
      </c>
      <c r="X94" s="1040">
        <v>20</v>
      </c>
      <c r="Y94" s="1040">
        <v>5</v>
      </c>
      <c r="Z94" s="1031">
        <v>5</v>
      </c>
      <c r="AA94" s="1031">
        <v>6</v>
      </c>
      <c r="AB94" s="1034">
        <f>+Y94/X94</f>
        <v>0.25</v>
      </c>
      <c r="AC94" s="1034">
        <f>+Z94/X94</f>
        <v>0.25</v>
      </c>
      <c r="AD94" s="1034">
        <f>+AA94/X94</f>
        <v>0.3</v>
      </c>
      <c r="AE94" s="1031">
        <v>2</v>
      </c>
      <c r="AF94" s="1031">
        <v>1</v>
      </c>
      <c r="AG94" s="1031"/>
      <c r="AH94" s="1031">
        <v>4</v>
      </c>
      <c r="AI94" s="1031"/>
      <c r="AJ94" s="1031">
        <f>+AH94</f>
        <v>4</v>
      </c>
      <c r="AK94" s="1034">
        <f>+AJ94/Y94</f>
        <v>0.8</v>
      </c>
      <c r="AL94" s="1194">
        <f>+AJ94</f>
        <v>4</v>
      </c>
      <c r="AM94" s="1034">
        <f>+AL94/X94</f>
        <v>0.2</v>
      </c>
      <c r="AN94" s="1031">
        <f>+Z94</f>
        <v>5</v>
      </c>
      <c r="AO94" s="1031">
        <v>1</v>
      </c>
      <c r="AP94" s="1031"/>
      <c r="AQ94" s="1031">
        <v>4</v>
      </c>
      <c r="AR94" s="1031"/>
      <c r="AS94" s="1031">
        <v>0</v>
      </c>
      <c r="AT94" s="1031"/>
      <c r="AU94" s="1031">
        <v>0</v>
      </c>
      <c r="AV94" s="1031"/>
      <c r="AW94" s="1031">
        <f>+AO94+AQ94</f>
        <v>5</v>
      </c>
      <c r="AX94" s="1034">
        <f>+AW94/AN94</f>
        <v>1</v>
      </c>
      <c r="AY94" s="1195">
        <f>+AW94+AL94</f>
        <v>9</v>
      </c>
      <c r="AZ94" s="1033">
        <f>+AY94/X94</f>
        <v>0.45</v>
      </c>
      <c r="BA94" s="1031">
        <v>6</v>
      </c>
      <c r="BB94" s="1031">
        <v>1</v>
      </c>
      <c r="BC94" s="1031"/>
      <c r="BD94" s="1031">
        <v>2</v>
      </c>
      <c r="BE94" s="1031"/>
      <c r="BF94" s="1031">
        <v>1</v>
      </c>
      <c r="BG94" s="1031"/>
      <c r="BH94" s="1031">
        <v>2</v>
      </c>
      <c r="BI94" s="1031"/>
      <c r="BJ94" s="1031">
        <f>BB94+BD94+BF94+BH94</f>
        <v>6</v>
      </c>
      <c r="BK94" s="1032">
        <f>BJ94/BA94</f>
        <v>1</v>
      </c>
      <c r="BL94" s="1031">
        <f>BJ94+AY94</f>
        <v>15</v>
      </c>
      <c r="BM94" s="1032">
        <f>BL94/X94</f>
        <v>0.75</v>
      </c>
      <c r="BN94" s="721"/>
      <c r="BO94" s="721"/>
      <c r="BP94" s="721"/>
      <c r="BQ94" s="721"/>
      <c r="BR94" s="721"/>
      <c r="BS94" s="721"/>
      <c r="BT94" s="721"/>
      <c r="BU94" s="721"/>
      <c r="BV94" s="721"/>
      <c r="BW94" s="721"/>
      <c r="BX94" s="721"/>
      <c r="BY94" s="721"/>
      <c r="BZ94" s="721"/>
      <c r="CA94" s="721"/>
      <c r="CB94" s="721"/>
      <c r="CC94" s="721"/>
      <c r="CD94" s="721"/>
      <c r="CE94" s="721"/>
      <c r="CF94" s="721"/>
      <c r="CG94" s="721"/>
      <c r="CH94" s="721"/>
      <c r="CI94" s="721"/>
      <c r="CJ94" s="721"/>
      <c r="CK94" s="721"/>
      <c r="CL94" s="721"/>
      <c r="CM94" s="721"/>
      <c r="CN94" s="721"/>
      <c r="CO94" s="721"/>
      <c r="CP94" s="721"/>
      <c r="CQ94" s="721"/>
      <c r="CR94" s="721"/>
      <c r="CS94" s="721"/>
      <c r="CT94" s="721"/>
      <c r="CU94" s="721"/>
      <c r="CV94" s="721"/>
      <c r="CW94" s="721"/>
      <c r="CX94" s="721"/>
    </row>
    <row r="95" spans="1:102" ht="57.75" customHeight="1" x14ac:dyDescent="0.2">
      <c r="A95" s="1870"/>
      <c r="B95" s="1839"/>
      <c r="C95" s="718"/>
      <c r="D95" s="718"/>
      <c r="E95" s="720"/>
      <c r="F95" s="720"/>
      <c r="G95" s="720"/>
      <c r="H95" s="720"/>
      <c r="I95" s="720"/>
      <c r="J95" s="720"/>
      <c r="K95" s="720"/>
      <c r="L95" s="720"/>
      <c r="M95" s="720"/>
      <c r="N95" s="720"/>
      <c r="O95" s="720"/>
      <c r="P95" s="720"/>
      <c r="Q95" s="720"/>
      <c r="R95" s="720"/>
      <c r="S95" s="720"/>
      <c r="T95" s="1839"/>
      <c r="U95" s="719" t="s">
        <v>1995</v>
      </c>
      <c r="V95" s="719" t="s">
        <v>1996</v>
      </c>
      <c r="W95" s="1039" t="s">
        <v>1997</v>
      </c>
      <c r="X95" s="1040">
        <v>20</v>
      </c>
      <c r="Y95" s="1040">
        <v>2</v>
      </c>
      <c r="Z95" s="1031">
        <v>6</v>
      </c>
      <c r="AA95" s="1031">
        <v>7</v>
      </c>
      <c r="AB95" s="1034">
        <f>+Y95/X95</f>
        <v>0.1</v>
      </c>
      <c r="AC95" s="1034">
        <f>+Z95/X95</f>
        <v>0.3</v>
      </c>
      <c r="AD95" s="1034">
        <f>+AA95/X95</f>
        <v>0.35</v>
      </c>
      <c r="AE95" s="1031">
        <v>0</v>
      </c>
      <c r="AF95" s="1031">
        <v>1</v>
      </c>
      <c r="AG95" s="1031"/>
      <c r="AH95" s="1031">
        <v>1</v>
      </c>
      <c r="AI95" s="1031"/>
      <c r="AJ95" s="1031">
        <f>+AH95</f>
        <v>1</v>
      </c>
      <c r="AK95" s="1034">
        <f>+AJ95/Y95</f>
        <v>0.5</v>
      </c>
      <c r="AL95" s="1194">
        <f>+AF95</f>
        <v>1</v>
      </c>
      <c r="AM95" s="1034">
        <f>+AL95/X95</f>
        <v>0.05</v>
      </c>
      <c r="AN95" s="1031">
        <f>+Z95</f>
        <v>6</v>
      </c>
      <c r="AO95" s="1031">
        <v>0</v>
      </c>
      <c r="AP95" s="1031"/>
      <c r="AQ95" s="1031">
        <v>6</v>
      </c>
      <c r="AR95" s="1031"/>
      <c r="AS95" s="1031">
        <v>0</v>
      </c>
      <c r="AT95" s="1031"/>
      <c r="AU95" s="1031">
        <v>0</v>
      </c>
      <c r="AV95" s="1031"/>
      <c r="AW95" s="1031">
        <f>+AO95+AQ95</f>
        <v>6</v>
      </c>
      <c r="AX95" s="1034">
        <f>+AW95/AN95</f>
        <v>1</v>
      </c>
      <c r="AY95" s="1195">
        <f>+AW95+AL95</f>
        <v>7</v>
      </c>
      <c r="AZ95" s="1033">
        <f>+AY95/X95</f>
        <v>0.35</v>
      </c>
      <c r="BA95" s="1031">
        <v>7</v>
      </c>
      <c r="BB95" s="1031">
        <v>1</v>
      </c>
      <c r="BC95" s="1031"/>
      <c r="BD95" s="1031">
        <v>1</v>
      </c>
      <c r="BE95" s="1031"/>
      <c r="BF95" s="1031">
        <v>3</v>
      </c>
      <c r="BG95" s="1031"/>
      <c r="BH95" s="1031">
        <v>2</v>
      </c>
      <c r="BI95" s="1031"/>
      <c r="BJ95" s="1031">
        <f>BB95+BD95+BF95+BH95</f>
        <v>7</v>
      </c>
      <c r="BK95" s="1032">
        <f>BJ95/BA95</f>
        <v>1</v>
      </c>
      <c r="BL95" s="1031">
        <f>BJ95+AY95</f>
        <v>14</v>
      </c>
      <c r="BM95" s="1032">
        <f>BL95/X95</f>
        <v>0.7</v>
      </c>
      <c r="BN95" s="721"/>
      <c r="BO95" s="721"/>
      <c r="BP95" s="721"/>
      <c r="BQ95" s="721"/>
      <c r="BR95" s="721"/>
      <c r="BS95" s="721"/>
      <c r="BT95" s="721"/>
      <c r="BU95" s="721"/>
      <c r="BV95" s="721"/>
      <c r="BW95" s="721"/>
      <c r="BX95" s="721"/>
      <c r="BY95" s="721"/>
      <c r="BZ95" s="721"/>
      <c r="CA95" s="721"/>
      <c r="CB95" s="721"/>
      <c r="CC95" s="721"/>
      <c r="CD95" s="721"/>
      <c r="CE95" s="721"/>
      <c r="CF95" s="721"/>
      <c r="CG95" s="721"/>
      <c r="CH95" s="721"/>
      <c r="CI95" s="721"/>
      <c r="CJ95" s="721"/>
      <c r="CK95" s="721"/>
      <c r="CL95" s="721"/>
      <c r="CM95" s="721"/>
      <c r="CN95" s="721"/>
      <c r="CO95" s="721"/>
      <c r="CP95" s="721"/>
      <c r="CQ95" s="721"/>
      <c r="CR95" s="721"/>
      <c r="CS95" s="721"/>
      <c r="CT95" s="721"/>
      <c r="CU95" s="721"/>
      <c r="CV95" s="721"/>
      <c r="CW95" s="721"/>
      <c r="CX95" s="721"/>
    </row>
    <row r="96" spans="1:102" ht="12" customHeight="1" x14ac:dyDescent="0.2">
      <c r="A96" s="1870"/>
      <c r="B96" s="1839"/>
      <c r="C96" s="718"/>
      <c r="D96" s="718"/>
      <c r="E96" s="720"/>
      <c r="F96" s="720"/>
      <c r="G96" s="720"/>
      <c r="H96" s="720"/>
      <c r="I96" s="720"/>
      <c r="J96" s="720"/>
      <c r="K96" s="720"/>
      <c r="L96" s="720"/>
      <c r="M96" s="720"/>
      <c r="N96" s="720"/>
      <c r="O96" s="720"/>
      <c r="P96" s="720"/>
      <c r="Q96" s="720"/>
      <c r="R96" s="720"/>
      <c r="S96" s="720"/>
      <c r="T96" s="1840"/>
      <c r="U96" s="722"/>
      <c r="V96" s="722"/>
      <c r="W96" s="1050"/>
      <c r="X96" s="1051"/>
      <c r="Y96" s="1051"/>
      <c r="Z96" s="1051"/>
      <c r="AA96" s="1051"/>
      <c r="AB96" s="1038">
        <f>AVERAGE(AB94:AB95)</f>
        <v>0.17499999999999999</v>
      </c>
      <c r="AC96" s="1038">
        <f>AVERAGE(AC94:AC95)</f>
        <v>0.27500000000000002</v>
      </c>
      <c r="AD96" s="1038">
        <f>AVERAGE(AD94:AD95)</f>
        <v>0.32499999999999996</v>
      </c>
      <c r="AE96" s="1051"/>
      <c r="AF96" s="1051"/>
      <c r="AG96" s="1051"/>
      <c r="AH96" s="1051"/>
      <c r="AI96" s="1051"/>
      <c r="AJ96" s="1051"/>
      <c r="AK96" s="1038">
        <f>AVERAGE(AK94:AK95)</f>
        <v>0.65</v>
      </c>
      <c r="AL96" s="1065"/>
      <c r="AM96" s="1038">
        <f>AVERAGE(AM94:AM95)</f>
        <v>0.125</v>
      </c>
      <c r="AN96" s="1101"/>
      <c r="AO96" s="1101"/>
      <c r="AP96" s="1101"/>
      <c r="AQ96" s="1101"/>
      <c r="AR96" s="1101"/>
      <c r="AS96" s="1101"/>
      <c r="AT96" s="1101"/>
      <c r="AU96" s="1101"/>
      <c r="AV96" s="1101"/>
      <c r="AW96" s="1101"/>
      <c r="AX96" s="1038">
        <f>AVERAGE(AX94:AX95)</f>
        <v>1</v>
      </c>
      <c r="AY96" s="1106"/>
      <c r="AZ96" s="1084">
        <f>AVERAGE(AZ94:AZ95)</f>
        <v>0.4</v>
      </c>
      <c r="BA96" s="1136"/>
      <c r="BB96" s="1136"/>
      <c r="BC96" s="1136"/>
      <c r="BD96" s="1136"/>
      <c r="BE96" s="1136"/>
      <c r="BF96" s="1136"/>
      <c r="BG96" s="1136"/>
      <c r="BH96" s="1136"/>
      <c r="BI96" s="1136"/>
      <c r="BJ96" s="1136"/>
      <c r="BK96" s="1084">
        <f>AVERAGE(BK94:BK95)</f>
        <v>1</v>
      </c>
      <c r="BL96" s="1040"/>
      <c r="BM96" s="1061">
        <f>AVERAGE(BM94:BM95)</f>
        <v>0.72499999999999998</v>
      </c>
      <c r="BN96" s="721"/>
      <c r="BO96" s="721"/>
      <c r="BP96" s="721"/>
      <c r="BQ96" s="721"/>
      <c r="BR96" s="721"/>
      <c r="BS96" s="721"/>
      <c r="BT96" s="721"/>
      <c r="BU96" s="721"/>
      <c r="BV96" s="721"/>
      <c r="BW96" s="721"/>
      <c r="BX96" s="721"/>
      <c r="BY96" s="721"/>
      <c r="BZ96" s="721"/>
      <c r="CA96" s="721"/>
      <c r="CB96" s="721"/>
      <c r="CC96" s="721"/>
      <c r="CD96" s="721"/>
      <c r="CE96" s="721"/>
      <c r="CF96" s="721"/>
      <c r="CG96" s="721"/>
      <c r="CH96" s="721"/>
      <c r="CI96" s="721"/>
      <c r="CJ96" s="721"/>
      <c r="CK96" s="721"/>
      <c r="CL96" s="721"/>
      <c r="CM96" s="721"/>
      <c r="CN96" s="721"/>
      <c r="CO96" s="721"/>
      <c r="CP96" s="721"/>
      <c r="CQ96" s="721"/>
      <c r="CR96" s="721"/>
      <c r="CS96" s="721"/>
      <c r="CT96" s="721"/>
      <c r="CU96" s="721"/>
      <c r="CV96" s="721"/>
      <c r="CW96" s="721"/>
      <c r="CX96" s="721"/>
    </row>
    <row r="97" spans="1:102" ht="84.75" customHeight="1" x14ac:dyDescent="0.2">
      <c r="A97" s="1870"/>
      <c r="B97" s="1839"/>
      <c r="C97" s="718"/>
      <c r="D97" s="718"/>
      <c r="E97" s="720"/>
      <c r="F97" s="720"/>
      <c r="G97" s="720"/>
      <c r="H97" s="720"/>
      <c r="I97" s="720"/>
      <c r="J97" s="720"/>
      <c r="K97" s="720"/>
      <c r="L97" s="720"/>
      <c r="M97" s="720"/>
      <c r="N97" s="720"/>
      <c r="O97" s="720"/>
      <c r="P97" s="720"/>
      <c r="Q97" s="720"/>
      <c r="R97" s="720"/>
      <c r="S97" s="720"/>
      <c r="T97" s="1838" t="s">
        <v>1998</v>
      </c>
      <c r="U97" s="719" t="s">
        <v>1999</v>
      </c>
      <c r="V97" s="719" t="s">
        <v>1996</v>
      </c>
      <c r="W97" s="1039" t="s">
        <v>2000</v>
      </c>
      <c r="X97" s="1041">
        <v>4</v>
      </c>
      <c r="Y97" s="1041">
        <v>4</v>
      </c>
      <c r="Z97" s="1377">
        <v>4</v>
      </c>
      <c r="AA97" s="1377">
        <v>4</v>
      </c>
      <c r="AB97" s="1036">
        <v>0.25</v>
      </c>
      <c r="AC97" s="1036">
        <v>0.25</v>
      </c>
      <c r="AD97" s="1036"/>
      <c r="AE97" s="1377">
        <v>2</v>
      </c>
      <c r="AF97" s="1377">
        <v>2</v>
      </c>
      <c r="AG97" s="1031"/>
      <c r="AH97" s="1031">
        <v>4</v>
      </c>
      <c r="AI97" s="1031"/>
      <c r="AJ97" s="1031">
        <f>+AH97</f>
        <v>4</v>
      </c>
      <c r="AK97" s="1034">
        <f>+AJ97/Y97</f>
        <v>1</v>
      </c>
      <c r="AL97" s="1194">
        <f>+AJ97</f>
        <v>4</v>
      </c>
      <c r="AM97" s="1034">
        <v>0.25</v>
      </c>
      <c r="AN97" s="1031">
        <f>+Z97</f>
        <v>4</v>
      </c>
      <c r="AO97" s="1031">
        <v>0</v>
      </c>
      <c r="AP97" s="1031"/>
      <c r="AQ97" s="1031">
        <v>4</v>
      </c>
      <c r="AR97" s="1031"/>
      <c r="AS97" s="1031">
        <v>3</v>
      </c>
      <c r="AT97" s="1031"/>
      <c r="AU97" s="1031">
        <v>4</v>
      </c>
      <c r="AV97" s="1031"/>
      <c r="AW97" s="1031">
        <f>+AQ97+AS97</f>
        <v>7</v>
      </c>
      <c r="AX97" s="1034">
        <v>1</v>
      </c>
      <c r="AY97" s="1195">
        <f>+AW97+AL97</f>
        <v>11</v>
      </c>
      <c r="AZ97" s="1033">
        <v>0.5</v>
      </c>
      <c r="BA97" s="1377">
        <v>4</v>
      </c>
      <c r="BB97" s="1031">
        <v>1</v>
      </c>
      <c r="BC97" s="1031"/>
      <c r="BD97" s="1031">
        <v>2</v>
      </c>
      <c r="BE97" s="1031"/>
      <c r="BF97" s="1031">
        <v>1</v>
      </c>
      <c r="BG97" s="324" t="s">
        <v>2212</v>
      </c>
      <c r="BH97" s="1031">
        <v>1</v>
      </c>
      <c r="BI97" s="1031"/>
      <c r="BJ97" s="1031">
        <f>BB97+BD97+BF97+BH9+BH97</f>
        <v>5</v>
      </c>
      <c r="BK97" s="1032">
        <v>1</v>
      </c>
      <c r="BL97" s="1031">
        <f>BJ97+AY97</f>
        <v>16</v>
      </c>
      <c r="BM97" s="1032">
        <v>1</v>
      </c>
      <c r="BN97" s="721"/>
      <c r="BO97" s="721"/>
      <c r="BP97" s="721"/>
      <c r="BQ97" s="721"/>
      <c r="BR97" s="721"/>
      <c r="BS97" s="721"/>
      <c r="BT97" s="721"/>
      <c r="BU97" s="721"/>
      <c r="BV97" s="721"/>
      <c r="BW97" s="721"/>
      <c r="BX97" s="721"/>
      <c r="BY97" s="721"/>
      <c r="BZ97" s="721"/>
      <c r="CA97" s="721"/>
      <c r="CB97" s="721"/>
      <c r="CC97" s="721"/>
      <c r="CD97" s="721"/>
      <c r="CE97" s="721"/>
      <c r="CF97" s="721"/>
      <c r="CG97" s="721"/>
      <c r="CH97" s="721"/>
      <c r="CI97" s="721"/>
      <c r="CJ97" s="721"/>
      <c r="CK97" s="721"/>
      <c r="CL97" s="721"/>
      <c r="CM97" s="721"/>
      <c r="CN97" s="721"/>
      <c r="CO97" s="721"/>
      <c r="CP97" s="721"/>
      <c r="CQ97" s="721"/>
      <c r="CR97" s="721"/>
      <c r="CS97" s="721"/>
      <c r="CT97" s="721"/>
      <c r="CU97" s="721"/>
      <c r="CV97" s="721"/>
      <c r="CW97" s="721"/>
      <c r="CX97" s="721"/>
    </row>
    <row r="98" spans="1:102" ht="81" customHeight="1" x14ac:dyDescent="0.2">
      <c r="A98" s="1870"/>
      <c r="B98" s="1839"/>
      <c r="C98" s="718"/>
      <c r="D98" s="718"/>
      <c r="E98" s="720"/>
      <c r="F98" s="720"/>
      <c r="G98" s="720"/>
      <c r="H98" s="720"/>
      <c r="I98" s="720"/>
      <c r="J98" s="720"/>
      <c r="K98" s="720"/>
      <c r="L98" s="720"/>
      <c r="M98" s="720"/>
      <c r="N98" s="720"/>
      <c r="O98" s="720"/>
      <c r="P98" s="720"/>
      <c r="Q98" s="720"/>
      <c r="R98" s="720"/>
      <c r="S98" s="720"/>
      <c r="T98" s="1839"/>
      <c r="U98" s="719" t="s">
        <v>2001</v>
      </c>
      <c r="V98" s="719">
        <v>0</v>
      </c>
      <c r="W98" s="1039" t="s">
        <v>2002</v>
      </c>
      <c r="X98" s="1041">
        <v>1</v>
      </c>
      <c r="Y98" s="1041">
        <v>0.5</v>
      </c>
      <c r="Z98" s="1377">
        <v>0.5</v>
      </c>
      <c r="AA98" s="1377">
        <v>0.25</v>
      </c>
      <c r="AB98" s="1036">
        <f>+Y98</f>
        <v>0.5</v>
      </c>
      <c r="AC98" s="1036">
        <f>+Z98/X98</f>
        <v>0.5</v>
      </c>
      <c r="AD98" s="1036">
        <v>0.215</v>
      </c>
      <c r="AE98" s="1377"/>
      <c r="AF98" s="1377">
        <v>0.25</v>
      </c>
      <c r="AG98" s="1031"/>
      <c r="AH98" s="1034">
        <v>0.35</v>
      </c>
      <c r="AI98" s="1031"/>
      <c r="AJ98" s="1034">
        <f>+AH98</f>
        <v>0.35</v>
      </c>
      <c r="AK98" s="1034">
        <f>+AJ98/Y98</f>
        <v>0.7</v>
      </c>
      <c r="AL98" s="1033">
        <f>+AJ98</f>
        <v>0.35</v>
      </c>
      <c r="AM98" s="1034">
        <f>+AL98/X98</f>
        <v>0.35</v>
      </c>
      <c r="AN98" s="1031">
        <f>+Z98</f>
        <v>0.5</v>
      </c>
      <c r="AO98" s="1031">
        <v>0</v>
      </c>
      <c r="AP98" s="1031"/>
      <c r="AQ98" s="1031">
        <v>0.01</v>
      </c>
      <c r="AR98" s="1031"/>
      <c r="AS98" s="1031">
        <v>0.01</v>
      </c>
      <c r="AT98" s="1031"/>
      <c r="AU98" s="1031">
        <v>0.38</v>
      </c>
      <c r="AV98" s="1031"/>
      <c r="AW98" s="1031">
        <f>+AQ98+AS98+AU98</f>
        <v>0.4</v>
      </c>
      <c r="AX98" s="1034">
        <f>+AW98/AN98</f>
        <v>0.8</v>
      </c>
      <c r="AY98" s="1198">
        <f>+AW98+AL98</f>
        <v>0.75</v>
      </c>
      <c r="AZ98" s="1033">
        <f>+AY98/X98</f>
        <v>0.75</v>
      </c>
      <c r="BA98" s="1377">
        <v>0.25</v>
      </c>
      <c r="BB98" s="1031">
        <v>3.5000000000000003E-2</v>
      </c>
      <c r="BC98" s="1031"/>
      <c r="BD98" s="1031">
        <v>0.216</v>
      </c>
      <c r="BE98" s="1031"/>
      <c r="BF98" s="1031">
        <v>0.02</v>
      </c>
      <c r="BG98" s="199" t="s">
        <v>2200</v>
      </c>
      <c r="BH98" s="1031">
        <v>0</v>
      </c>
      <c r="BI98" s="1031"/>
      <c r="BJ98" s="1031">
        <f>BB98+BD98+BF98</f>
        <v>0.27100000000000002</v>
      </c>
      <c r="BK98" s="1032">
        <v>1</v>
      </c>
      <c r="BL98" s="1034">
        <v>1</v>
      </c>
      <c r="BM98" s="1032">
        <v>1</v>
      </c>
      <c r="BN98" s="721"/>
      <c r="BO98" s="721"/>
      <c r="BP98" s="721"/>
      <c r="BQ98" s="721"/>
      <c r="BR98" s="721"/>
      <c r="BS98" s="721"/>
      <c r="BT98" s="721"/>
      <c r="BU98" s="721"/>
      <c r="BV98" s="721"/>
      <c r="BW98" s="721"/>
      <c r="BX98" s="721"/>
      <c r="BY98" s="721"/>
      <c r="BZ98" s="721"/>
      <c r="CA98" s="721"/>
      <c r="CB98" s="721"/>
      <c r="CC98" s="721"/>
      <c r="CD98" s="721"/>
      <c r="CE98" s="721"/>
      <c r="CF98" s="721"/>
      <c r="CG98" s="721"/>
      <c r="CH98" s="721"/>
      <c r="CI98" s="721"/>
      <c r="CJ98" s="721"/>
      <c r="CK98" s="721"/>
      <c r="CL98" s="721"/>
      <c r="CM98" s="721"/>
      <c r="CN98" s="721"/>
      <c r="CO98" s="721"/>
      <c r="CP98" s="721"/>
      <c r="CQ98" s="721"/>
      <c r="CR98" s="721"/>
      <c r="CS98" s="721"/>
      <c r="CT98" s="721"/>
      <c r="CU98" s="721"/>
      <c r="CV98" s="721"/>
      <c r="CW98" s="721"/>
      <c r="CX98" s="721"/>
    </row>
    <row r="99" spans="1:102" ht="63.75" customHeight="1" x14ac:dyDescent="0.2">
      <c r="A99" s="1870"/>
      <c r="B99" s="1839"/>
      <c r="C99" s="718"/>
      <c r="D99" s="718"/>
      <c r="E99" s="720"/>
      <c r="F99" s="720"/>
      <c r="G99" s="720"/>
      <c r="H99" s="720"/>
      <c r="I99" s="720"/>
      <c r="J99" s="720"/>
      <c r="K99" s="720"/>
      <c r="L99" s="720"/>
      <c r="M99" s="720"/>
      <c r="N99" s="720"/>
      <c r="O99" s="720"/>
      <c r="P99" s="720"/>
      <c r="Q99" s="720"/>
      <c r="R99" s="720"/>
      <c r="S99" s="720"/>
      <c r="T99" s="1839"/>
      <c r="U99" s="719" t="s">
        <v>2003</v>
      </c>
      <c r="V99" s="719" t="s">
        <v>2004</v>
      </c>
      <c r="W99" s="1039" t="s">
        <v>2005</v>
      </c>
      <c r="X99" s="1041">
        <v>1</v>
      </c>
      <c r="Y99" s="1041">
        <v>0.1</v>
      </c>
      <c r="Z99" s="1377">
        <v>0.5</v>
      </c>
      <c r="AA99" s="1377">
        <v>0.4</v>
      </c>
      <c r="AB99" s="1036">
        <f>+Y99</f>
        <v>0.1</v>
      </c>
      <c r="AC99" s="1036">
        <f>+Z99/X99</f>
        <v>0.5</v>
      </c>
      <c r="AD99" s="1036">
        <v>0.4</v>
      </c>
      <c r="AE99" s="1377">
        <v>0</v>
      </c>
      <c r="AF99" s="1377">
        <v>0.1</v>
      </c>
      <c r="AG99" s="1031"/>
      <c r="AH99" s="1034">
        <v>0.1</v>
      </c>
      <c r="AI99" s="1031"/>
      <c r="AJ99" s="1034">
        <f>+AH99</f>
        <v>0.1</v>
      </c>
      <c r="AK99" s="1034">
        <f>+AJ99/Y99</f>
        <v>1</v>
      </c>
      <c r="AL99" s="1033">
        <f>+AJ99</f>
        <v>0.1</v>
      </c>
      <c r="AM99" s="1034">
        <f>+AL99/X99</f>
        <v>0.1</v>
      </c>
      <c r="AN99" s="1031">
        <f>+Z99</f>
        <v>0.5</v>
      </c>
      <c r="AO99" s="1031">
        <v>0</v>
      </c>
      <c r="AP99" s="1031"/>
      <c r="AQ99" s="1031">
        <v>0.01</v>
      </c>
      <c r="AR99" s="1031"/>
      <c r="AS99" s="1031">
        <v>0.15</v>
      </c>
      <c r="AT99" s="1031"/>
      <c r="AU99" s="1031">
        <v>0</v>
      </c>
      <c r="AV99" s="1031"/>
      <c r="AW99" s="1031">
        <f>+AQ99+AS99</f>
        <v>0.16</v>
      </c>
      <c r="AX99" s="1034">
        <f>+AW99/AN99</f>
        <v>0.32</v>
      </c>
      <c r="AY99" s="1198">
        <f>+AW99+AL99</f>
        <v>0.26</v>
      </c>
      <c r="AZ99" s="1033">
        <f>+AY99/X99</f>
        <v>0.26</v>
      </c>
      <c r="BA99" s="1377">
        <v>0.4</v>
      </c>
      <c r="BB99" s="1031">
        <v>0</v>
      </c>
      <c r="BC99" s="1031"/>
      <c r="BD99" s="1031">
        <v>0</v>
      </c>
      <c r="BE99" s="1031"/>
      <c r="BF99" s="1391">
        <v>0.04</v>
      </c>
      <c r="BG99" s="324" t="s">
        <v>2209</v>
      </c>
      <c r="BH99" s="1031">
        <v>0</v>
      </c>
      <c r="BI99" s="1031"/>
      <c r="BJ99" s="1031">
        <f>+BF99</f>
        <v>0.04</v>
      </c>
      <c r="BK99" s="1032">
        <f>BJ99/BA99</f>
        <v>9.9999999999999992E-2</v>
      </c>
      <c r="BL99" s="1034">
        <f>BJ99+AY99</f>
        <v>0.3</v>
      </c>
      <c r="BM99" s="1032">
        <f>BL99/X99</f>
        <v>0.3</v>
      </c>
      <c r="BN99" s="721"/>
      <c r="BO99" s="721"/>
      <c r="BP99" s="721"/>
      <c r="BQ99" s="721"/>
      <c r="BR99" s="721"/>
      <c r="BS99" s="721"/>
      <c r="BT99" s="721"/>
      <c r="BU99" s="721"/>
      <c r="BV99" s="721"/>
      <c r="BW99" s="721"/>
      <c r="BX99" s="721"/>
      <c r="BY99" s="721"/>
      <c r="BZ99" s="721"/>
      <c r="CA99" s="721"/>
      <c r="CB99" s="721"/>
      <c r="CC99" s="721"/>
      <c r="CD99" s="721"/>
      <c r="CE99" s="721"/>
      <c r="CF99" s="721"/>
      <c r="CG99" s="721"/>
      <c r="CH99" s="721"/>
      <c r="CI99" s="721"/>
      <c r="CJ99" s="721"/>
      <c r="CK99" s="721"/>
      <c r="CL99" s="721"/>
      <c r="CM99" s="721"/>
      <c r="CN99" s="721"/>
      <c r="CO99" s="721"/>
      <c r="CP99" s="721"/>
      <c r="CQ99" s="721"/>
      <c r="CR99" s="721"/>
      <c r="CS99" s="721"/>
      <c r="CT99" s="721"/>
      <c r="CU99" s="721"/>
      <c r="CV99" s="721"/>
      <c r="CW99" s="721"/>
      <c r="CX99" s="721"/>
    </row>
    <row r="100" spans="1:102" ht="12" customHeight="1" x14ac:dyDescent="0.2">
      <c r="A100" s="1870"/>
      <c r="B100" s="1839"/>
      <c r="C100" s="718"/>
      <c r="D100" s="718"/>
      <c r="E100" s="720"/>
      <c r="F100" s="720"/>
      <c r="G100" s="720"/>
      <c r="H100" s="720"/>
      <c r="I100" s="720"/>
      <c r="J100" s="720"/>
      <c r="K100" s="720"/>
      <c r="L100" s="720"/>
      <c r="M100" s="720"/>
      <c r="N100" s="720"/>
      <c r="O100" s="720"/>
      <c r="P100" s="720"/>
      <c r="Q100" s="720"/>
      <c r="R100" s="720"/>
      <c r="S100" s="720"/>
      <c r="T100" s="1840"/>
      <c r="U100" s="722"/>
      <c r="V100" s="722"/>
      <c r="W100" s="1050"/>
      <c r="X100" s="1051"/>
      <c r="Y100" s="1051"/>
      <c r="Z100" s="1051"/>
      <c r="AA100" s="1051"/>
      <c r="AB100" s="1038">
        <f>AVERAGE(AB97:AB99)</f>
        <v>0.28333333333333333</v>
      </c>
      <c r="AC100" s="1038">
        <f>AVERAGE(AC97:AC99)</f>
        <v>0.41666666666666669</v>
      </c>
      <c r="AD100" s="1038">
        <f>AVERAGE(AD98:AD99)</f>
        <v>0.3075</v>
      </c>
      <c r="AE100" s="1051"/>
      <c r="AF100" s="1051"/>
      <c r="AG100" s="1051"/>
      <c r="AH100" s="1051"/>
      <c r="AI100" s="1051"/>
      <c r="AJ100" s="1051"/>
      <c r="AK100" s="1038">
        <f>AVERAGE(AK97:AK99)</f>
        <v>0.9</v>
      </c>
      <c r="AL100" s="1101"/>
      <c r="AM100" s="1038">
        <f>AVERAGE(AM97:AM99)</f>
        <v>0.23333333333333331</v>
      </c>
      <c r="AN100" s="1101"/>
      <c r="AO100" s="1101"/>
      <c r="AP100" s="1101"/>
      <c r="AQ100" s="1101"/>
      <c r="AR100" s="1101"/>
      <c r="AS100" s="1101"/>
      <c r="AT100" s="1101"/>
      <c r="AU100" s="1101"/>
      <c r="AV100" s="1101"/>
      <c r="AW100" s="1101"/>
      <c r="AX100" s="1038">
        <f>AVERAGE(AX97:AX99)</f>
        <v>0.70666666666666667</v>
      </c>
      <c r="AY100" s="1107"/>
      <c r="AZ100" s="1084">
        <f>AVERAGE(AZ97:AZ99)</f>
        <v>0.5033333333333333</v>
      </c>
      <c r="BA100" s="1040"/>
      <c r="BB100" s="1040"/>
      <c r="BC100" s="1040"/>
      <c r="BD100" s="1040"/>
      <c r="BE100" s="1040"/>
      <c r="BF100" s="1040"/>
      <c r="BG100" s="1040"/>
      <c r="BH100" s="1040"/>
      <c r="BI100" s="1040"/>
      <c r="BJ100" s="1040"/>
      <c r="BK100" s="1084">
        <f>AVERAGE(BK97:BK99)</f>
        <v>0.70000000000000007</v>
      </c>
      <c r="BL100" s="1040"/>
      <c r="BM100" s="1061">
        <f>AVERAGE(BM97:BM99)</f>
        <v>0.76666666666666661</v>
      </c>
      <c r="BN100" s="721"/>
      <c r="BO100" s="721"/>
      <c r="BP100" s="721"/>
      <c r="BQ100" s="721"/>
      <c r="BR100" s="721"/>
      <c r="BS100" s="721"/>
      <c r="BT100" s="721"/>
      <c r="BU100" s="721"/>
      <c r="BV100" s="721"/>
      <c r="BW100" s="721"/>
      <c r="BX100" s="721"/>
      <c r="BY100" s="721"/>
      <c r="BZ100" s="721"/>
      <c r="CA100" s="721"/>
      <c r="CB100" s="721"/>
      <c r="CC100" s="721"/>
      <c r="CD100" s="721"/>
      <c r="CE100" s="721"/>
      <c r="CF100" s="721"/>
      <c r="CG100" s="721"/>
      <c r="CH100" s="721"/>
      <c r="CI100" s="721"/>
      <c r="CJ100" s="721"/>
      <c r="CK100" s="721"/>
      <c r="CL100" s="721"/>
      <c r="CM100" s="721"/>
      <c r="CN100" s="721"/>
      <c r="CO100" s="721"/>
      <c r="CP100" s="721"/>
      <c r="CQ100" s="721"/>
      <c r="CR100" s="721"/>
      <c r="CS100" s="721"/>
      <c r="CT100" s="721"/>
      <c r="CU100" s="721"/>
      <c r="CV100" s="721"/>
      <c r="CW100" s="721"/>
      <c r="CX100" s="721"/>
    </row>
    <row r="101" spans="1:102" ht="12" customHeight="1" x14ac:dyDescent="0.2">
      <c r="A101" s="1870"/>
      <c r="B101" s="1840"/>
      <c r="C101" s="726"/>
      <c r="D101" s="726"/>
      <c r="E101" s="727"/>
      <c r="F101" s="727"/>
      <c r="G101" s="727"/>
      <c r="H101" s="727"/>
      <c r="I101" s="727"/>
      <c r="J101" s="727"/>
      <c r="K101" s="727"/>
      <c r="L101" s="727"/>
      <c r="M101" s="727"/>
      <c r="N101" s="727"/>
      <c r="O101" s="727"/>
      <c r="P101" s="727"/>
      <c r="Q101" s="727"/>
      <c r="R101" s="727"/>
      <c r="S101" s="727"/>
      <c r="T101" s="724"/>
      <c r="U101" s="726"/>
      <c r="V101" s="726"/>
      <c r="W101" s="1077"/>
      <c r="X101" s="1078"/>
      <c r="Y101" s="1078"/>
      <c r="Z101" s="1078"/>
      <c r="AA101" s="1078"/>
      <c r="AB101" s="1079">
        <f>+(AB100+AB96+AB93)/3</f>
        <v>0.1818039950062422</v>
      </c>
      <c r="AC101" s="1079">
        <f>+(AC100+AC96+AC93)/3</f>
        <v>0.32887016229712857</v>
      </c>
      <c r="AD101" s="1079">
        <f>+(AD100+AD96+AD93)/3</f>
        <v>0.32490948813982518</v>
      </c>
      <c r="AE101" s="1078"/>
      <c r="AF101" s="1078"/>
      <c r="AG101" s="1078"/>
      <c r="AH101" s="1078"/>
      <c r="AI101" s="1078"/>
      <c r="AJ101" s="1078"/>
      <c r="AK101" s="1079">
        <f>+(AK100+AK96+AK93)/3</f>
        <v>0.76666666666666661</v>
      </c>
      <c r="AL101" s="1108"/>
      <c r="AM101" s="1109">
        <f>+(AM100+AM96+AM93)/3</f>
        <v>0.14121410736579273</v>
      </c>
      <c r="AN101" s="1108"/>
      <c r="AO101" s="1108"/>
      <c r="AP101" s="1108"/>
      <c r="AQ101" s="1108"/>
      <c r="AR101" s="1108"/>
      <c r="AS101" s="1108"/>
      <c r="AT101" s="1108"/>
      <c r="AU101" s="1108"/>
      <c r="AV101" s="1108"/>
      <c r="AW101" s="1108"/>
      <c r="AX101" s="1110">
        <f>+(AX100+AX96+AX93)/3</f>
        <v>0.81761904761904758</v>
      </c>
      <c r="AY101" s="1108"/>
      <c r="AZ101" s="1087">
        <f>+(AZ100+AZ96+AZ93)/3</f>
        <v>0.39175561797752811</v>
      </c>
      <c r="BA101" s="1132"/>
      <c r="BB101" s="1132"/>
      <c r="BC101" s="1132"/>
      <c r="BD101" s="1132"/>
      <c r="BE101" s="1132"/>
      <c r="BF101" s="1132"/>
      <c r="BG101" s="1132"/>
      <c r="BH101" s="1132"/>
      <c r="BI101" s="1132"/>
      <c r="BJ101" s="1132"/>
      <c r="BK101" s="1120">
        <f>+(BK100+BK96+BK93)/3</f>
        <v>0.82266666666666666</v>
      </c>
      <c r="BL101" s="1132"/>
      <c r="BM101" s="1120">
        <f>+(BM100+BM96+BM93)/3</f>
        <v>0.68000936329588013</v>
      </c>
      <c r="BN101" s="721"/>
      <c r="BO101" s="721"/>
      <c r="BP101" s="721"/>
      <c r="BQ101" s="721"/>
      <c r="BR101" s="721"/>
      <c r="BS101" s="721"/>
      <c r="BT101" s="721"/>
      <c r="BU101" s="721"/>
      <c r="BV101" s="721"/>
      <c r="BW101" s="721"/>
      <c r="BX101" s="721"/>
      <c r="BY101" s="721"/>
      <c r="BZ101" s="721"/>
      <c r="CA101" s="721"/>
      <c r="CB101" s="721"/>
      <c r="CC101" s="721"/>
      <c r="CD101" s="721"/>
      <c r="CE101" s="721"/>
      <c r="CF101" s="721"/>
      <c r="CG101" s="721"/>
      <c r="CH101" s="721"/>
      <c r="CI101" s="721"/>
      <c r="CJ101" s="721"/>
      <c r="CK101" s="721"/>
      <c r="CL101" s="721"/>
      <c r="CM101" s="721"/>
      <c r="CN101" s="721"/>
      <c r="CO101" s="721"/>
      <c r="CP101" s="721"/>
      <c r="CQ101" s="721"/>
      <c r="CR101" s="721"/>
      <c r="CS101" s="721"/>
      <c r="CT101" s="721"/>
      <c r="CU101" s="721"/>
      <c r="CV101" s="721"/>
      <c r="CW101" s="721"/>
      <c r="CX101" s="721"/>
    </row>
    <row r="102" spans="1:102" ht="55.5" customHeight="1" x14ac:dyDescent="0.2">
      <c r="A102" s="1870"/>
      <c r="B102" s="1863" t="s">
        <v>2006</v>
      </c>
      <c r="C102" s="718" t="s">
        <v>2007</v>
      </c>
      <c r="D102" s="733" t="s">
        <v>2008</v>
      </c>
      <c r="E102" s="720"/>
      <c r="F102" s="720"/>
      <c r="G102" s="720"/>
      <c r="H102" s="720"/>
      <c r="I102" s="720"/>
      <c r="J102" s="720"/>
      <c r="K102" s="720"/>
      <c r="L102" s="720"/>
      <c r="M102" s="720"/>
      <c r="N102" s="720"/>
      <c r="O102" s="720"/>
      <c r="P102" s="720"/>
      <c r="Q102" s="720"/>
      <c r="R102" s="720"/>
      <c r="S102" s="720"/>
      <c r="T102" s="1838" t="s">
        <v>2009</v>
      </c>
      <c r="U102" s="719" t="s">
        <v>2010</v>
      </c>
      <c r="V102" s="719">
        <v>0</v>
      </c>
      <c r="W102" s="1039" t="s">
        <v>2011</v>
      </c>
      <c r="X102" s="1196">
        <v>1</v>
      </c>
      <c r="Y102" s="1031">
        <v>1</v>
      </c>
      <c r="Z102" s="1031">
        <v>1</v>
      </c>
      <c r="AA102" s="1031">
        <v>1</v>
      </c>
      <c r="AB102" s="1034">
        <v>0.25</v>
      </c>
      <c r="AC102" s="1034">
        <v>0.25</v>
      </c>
      <c r="AD102" s="1034"/>
      <c r="AE102" s="1031">
        <v>1</v>
      </c>
      <c r="AF102" s="1031">
        <v>1</v>
      </c>
      <c r="AG102" s="1031"/>
      <c r="AH102" s="1031">
        <v>1</v>
      </c>
      <c r="AI102" s="1031"/>
      <c r="AJ102" s="1031">
        <f>+AH102</f>
        <v>1</v>
      </c>
      <c r="AK102" s="1034">
        <f>+AJ102/Y102</f>
        <v>1</v>
      </c>
      <c r="AL102" s="1031">
        <f>+AJ102</f>
        <v>1</v>
      </c>
      <c r="AM102" s="1033">
        <v>0.25</v>
      </c>
      <c r="AN102" s="1031">
        <f>+Z102</f>
        <v>1</v>
      </c>
      <c r="AO102" s="1031">
        <v>1</v>
      </c>
      <c r="AP102" s="1031"/>
      <c r="AQ102" s="1031">
        <v>0</v>
      </c>
      <c r="AR102" s="1031"/>
      <c r="AS102" s="1031"/>
      <c r="AT102" s="1031"/>
      <c r="AU102" s="1031">
        <v>0</v>
      </c>
      <c r="AV102" s="1031"/>
      <c r="AW102" s="1031">
        <f>+AO102</f>
        <v>1</v>
      </c>
      <c r="AX102" s="1034">
        <v>1</v>
      </c>
      <c r="AY102" s="1031">
        <f>+AW102+AL102</f>
        <v>2</v>
      </c>
      <c r="AZ102" s="1033">
        <v>0.5</v>
      </c>
      <c r="BA102" s="1031">
        <v>1</v>
      </c>
      <c r="BB102" s="1031">
        <v>0.25</v>
      </c>
      <c r="BC102" s="1031"/>
      <c r="BD102" s="1031">
        <v>0.25</v>
      </c>
      <c r="BE102" s="1031"/>
      <c r="BF102" s="1031">
        <v>0.25</v>
      </c>
      <c r="BG102" s="324" t="s">
        <v>2212</v>
      </c>
      <c r="BH102" s="1031">
        <v>0.25</v>
      </c>
      <c r="BI102" s="1031"/>
      <c r="BJ102" s="1031">
        <f>BB102+BD102+BF102+BH102</f>
        <v>1</v>
      </c>
      <c r="BK102" s="1032">
        <f>BJ102/BA102</f>
        <v>1</v>
      </c>
      <c r="BL102" s="1031">
        <f>BJ102+AY102</f>
        <v>3</v>
      </c>
      <c r="BM102" s="1032">
        <v>1</v>
      </c>
      <c r="BN102" s="721"/>
      <c r="BO102" s="721"/>
      <c r="BP102" s="721"/>
      <c r="BQ102" s="721"/>
      <c r="BR102" s="721"/>
      <c r="BS102" s="721"/>
      <c r="BT102" s="721"/>
      <c r="BU102" s="721"/>
      <c r="BV102" s="721"/>
      <c r="BW102" s="721"/>
      <c r="BX102" s="721"/>
      <c r="BY102" s="721"/>
      <c r="BZ102" s="721"/>
      <c r="CA102" s="721"/>
      <c r="CB102" s="721"/>
      <c r="CC102" s="721"/>
      <c r="CD102" s="721"/>
      <c r="CE102" s="721"/>
      <c r="CF102" s="721"/>
      <c r="CG102" s="721"/>
      <c r="CH102" s="721"/>
      <c r="CI102" s="721"/>
      <c r="CJ102" s="721"/>
      <c r="CK102" s="721"/>
      <c r="CL102" s="721"/>
      <c r="CM102" s="721"/>
      <c r="CN102" s="721"/>
      <c r="CO102" s="721"/>
      <c r="CP102" s="721"/>
      <c r="CQ102" s="721"/>
      <c r="CR102" s="721"/>
      <c r="CS102" s="721"/>
      <c r="CT102" s="721"/>
      <c r="CU102" s="721"/>
      <c r="CV102" s="721"/>
      <c r="CW102" s="721"/>
      <c r="CX102" s="721"/>
    </row>
    <row r="103" spans="1:102" ht="45.75" customHeight="1" x14ac:dyDescent="0.2">
      <c r="A103" s="1870"/>
      <c r="B103" s="1864"/>
      <c r="C103" s="718"/>
      <c r="D103" s="733"/>
      <c r="E103" s="720"/>
      <c r="F103" s="720"/>
      <c r="G103" s="720"/>
      <c r="H103" s="720"/>
      <c r="I103" s="720"/>
      <c r="J103" s="720"/>
      <c r="K103" s="720"/>
      <c r="L103" s="720"/>
      <c r="M103" s="720"/>
      <c r="N103" s="720"/>
      <c r="O103" s="720"/>
      <c r="P103" s="720"/>
      <c r="Q103" s="720"/>
      <c r="R103" s="720"/>
      <c r="S103" s="720"/>
      <c r="T103" s="1839"/>
      <c r="U103" s="719" t="s">
        <v>2012</v>
      </c>
      <c r="V103" s="719" t="s">
        <v>2013</v>
      </c>
      <c r="W103" s="1039" t="s">
        <v>2014</v>
      </c>
      <c r="X103" s="1031">
        <v>3</v>
      </c>
      <c r="Y103" s="1031">
        <v>1</v>
      </c>
      <c r="Z103" s="1031">
        <v>1</v>
      </c>
      <c r="AA103" s="1031">
        <v>1</v>
      </c>
      <c r="AB103" s="1034">
        <v>0.25</v>
      </c>
      <c r="AC103" s="1034">
        <v>0.25</v>
      </c>
      <c r="AD103" s="1034">
        <v>0.25</v>
      </c>
      <c r="AE103" s="1031">
        <v>1</v>
      </c>
      <c r="AF103" s="1031">
        <v>1</v>
      </c>
      <c r="AG103" s="1031"/>
      <c r="AH103" s="1031">
        <v>1</v>
      </c>
      <c r="AI103" s="1031"/>
      <c r="AJ103" s="1031">
        <f>+AH103</f>
        <v>1</v>
      </c>
      <c r="AK103" s="1034">
        <f>+AJ103/Y103</f>
        <v>1</v>
      </c>
      <c r="AL103" s="1031">
        <f>+AJ103</f>
        <v>1</v>
      </c>
      <c r="AM103" s="1033">
        <f>+AL103/X103</f>
        <v>0.33333333333333331</v>
      </c>
      <c r="AN103" s="1031">
        <f>+Z103</f>
        <v>1</v>
      </c>
      <c r="AO103" s="1031">
        <v>0</v>
      </c>
      <c r="AP103" s="1031"/>
      <c r="AQ103" s="1031">
        <v>1</v>
      </c>
      <c r="AR103" s="1031"/>
      <c r="AS103" s="1031"/>
      <c r="AT103" s="1031"/>
      <c r="AU103" s="1031">
        <v>1</v>
      </c>
      <c r="AV103" s="1031"/>
      <c r="AW103" s="1031">
        <f>+AO103</f>
        <v>0</v>
      </c>
      <c r="AX103" s="1034">
        <f>+AQ103</f>
        <v>1</v>
      </c>
      <c r="AY103" s="1031">
        <f>+AW103+AL103</f>
        <v>1</v>
      </c>
      <c r="AZ103" s="1033">
        <v>0.5</v>
      </c>
      <c r="BA103" s="1031">
        <v>1</v>
      </c>
      <c r="BB103" s="1031">
        <v>0</v>
      </c>
      <c r="BC103" s="1031"/>
      <c r="BD103" s="1031">
        <v>0</v>
      </c>
      <c r="BE103" s="1031"/>
      <c r="BF103" s="1031">
        <v>1</v>
      </c>
      <c r="BG103" s="1031"/>
      <c r="BH103" s="1031"/>
      <c r="BI103" s="1031"/>
      <c r="BJ103" s="1031">
        <f>+BF103/BA103</f>
        <v>1</v>
      </c>
      <c r="BK103" s="1032">
        <f>BJ103/BA103</f>
        <v>1</v>
      </c>
      <c r="BL103" s="1031">
        <v>2</v>
      </c>
      <c r="BM103" s="1406">
        <f>+(2)/3</f>
        <v>0.66666666666666663</v>
      </c>
      <c r="BN103" s="721"/>
      <c r="BO103" s="721"/>
      <c r="BP103" s="721"/>
      <c r="BQ103" s="721"/>
      <c r="BR103" s="721"/>
      <c r="BS103" s="721"/>
      <c r="BT103" s="721"/>
      <c r="BU103" s="721"/>
      <c r="BV103" s="721"/>
      <c r="BW103" s="721"/>
      <c r="BX103" s="721"/>
      <c r="BY103" s="721"/>
      <c r="BZ103" s="721"/>
      <c r="CA103" s="721"/>
      <c r="CB103" s="721"/>
      <c r="CC103" s="721"/>
      <c r="CD103" s="721"/>
      <c r="CE103" s="721"/>
      <c r="CF103" s="721"/>
      <c r="CG103" s="721"/>
      <c r="CH103" s="721"/>
      <c r="CI103" s="721"/>
      <c r="CJ103" s="721"/>
      <c r="CK103" s="721"/>
      <c r="CL103" s="721"/>
      <c r="CM103" s="721"/>
      <c r="CN103" s="721"/>
      <c r="CO103" s="721"/>
      <c r="CP103" s="721"/>
      <c r="CQ103" s="721"/>
      <c r="CR103" s="721"/>
      <c r="CS103" s="721"/>
      <c r="CT103" s="721"/>
      <c r="CU103" s="721"/>
      <c r="CV103" s="721"/>
      <c r="CW103" s="721"/>
      <c r="CX103" s="721"/>
    </row>
    <row r="104" spans="1:102" ht="12" customHeight="1" x14ac:dyDescent="0.2">
      <c r="A104" s="1870"/>
      <c r="B104" s="1864"/>
      <c r="C104" s="718"/>
      <c r="D104" s="733"/>
      <c r="E104" s="720"/>
      <c r="F104" s="720"/>
      <c r="G104" s="720"/>
      <c r="H104" s="720"/>
      <c r="I104" s="720"/>
      <c r="J104" s="720"/>
      <c r="K104" s="720"/>
      <c r="L104" s="720"/>
      <c r="M104" s="720"/>
      <c r="N104" s="720"/>
      <c r="O104" s="720"/>
      <c r="P104" s="720"/>
      <c r="Q104" s="720"/>
      <c r="R104" s="720"/>
      <c r="S104" s="720"/>
      <c r="T104" s="1840"/>
      <c r="U104" s="722"/>
      <c r="V104" s="722"/>
      <c r="W104" s="1050"/>
      <c r="X104" s="1051"/>
      <c r="Y104" s="1051"/>
      <c r="Z104" s="1051"/>
      <c r="AA104" s="1051"/>
      <c r="AB104" s="1038">
        <f>AVERAGE(AB102:AB103)</f>
        <v>0.25</v>
      </c>
      <c r="AC104" s="1038">
        <v>0.25</v>
      </c>
      <c r="AD104" s="1038">
        <f>AVERAGE(AD102:AD103)</f>
        <v>0.25</v>
      </c>
      <c r="AE104" s="1051"/>
      <c r="AF104" s="1051"/>
      <c r="AG104" s="1051"/>
      <c r="AH104" s="1051"/>
      <c r="AI104" s="1051"/>
      <c r="AJ104" s="1051"/>
      <c r="AK104" s="1038">
        <f>AVERAGE(AK102:AK103)</f>
        <v>1</v>
      </c>
      <c r="AL104" s="1069"/>
      <c r="AM104" s="1070">
        <f>AVERAGE(AM102:AM103)</f>
        <v>0.29166666666666663</v>
      </c>
      <c r="AN104" s="1069"/>
      <c r="AO104" s="1069"/>
      <c r="AP104" s="1069"/>
      <c r="AQ104" s="1069"/>
      <c r="AR104" s="1069"/>
      <c r="AS104" s="1069"/>
      <c r="AT104" s="1069"/>
      <c r="AU104" s="1069"/>
      <c r="AV104" s="1069"/>
      <c r="AW104" s="1069"/>
      <c r="AX104" s="1038">
        <f>AVERAGE(AX102:AX103)</f>
        <v>1</v>
      </c>
      <c r="AY104" s="1069"/>
      <c r="AZ104" s="1070">
        <f>AVERAGE(AZ102:AZ103)</f>
        <v>0.5</v>
      </c>
      <c r="BA104" s="1136"/>
      <c r="BB104" s="1136"/>
      <c r="BC104" s="1136"/>
      <c r="BD104" s="1136"/>
      <c r="BE104" s="1136"/>
      <c r="BF104" s="1136"/>
      <c r="BG104" s="1136"/>
      <c r="BH104" s="1136"/>
      <c r="BI104" s="1136"/>
      <c r="BJ104" s="1136"/>
      <c r="BK104" s="1137">
        <f>AVERAGE(BK102:BK103)</f>
        <v>1</v>
      </c>
      <c r="BL104" s="1069"/>
      <c r="BM104" s="1052">
        <f>AVERAGE(BM102:BM103)</f>
        <v>0.83333333333333326</v>
      </c>
      <c r="BN104" s="721"/>
      <c r="BO104" s="721"/>
      <c r="BP104" s="721"/>
      <c r="BQ104" s="721"/>
      <c r="BR104" s="721"/>
      <c r="BS104" s="721"/>
      <c r="BT104" s="721"/>
      <c r="BU104" s="721"/>
      <c r="BV104" s="721"/>
      <c r="BW104" s="721"/>
      <c r="BX104" s="721"/>
      <c r="BY104" s="721"/>
      <c r="BZ104" s="721"/>
      <c r="CA104" s="721"/>
      <c r="CB104" s="721"/>
      <c r="CC104" s="721"/>
      <c r="CD104" s="721"/>
      <c r="CE104" s="721"/>
      <c r="CF104" s="721"/>
      <c r="CG104" s="721"/>
      <c r="CH104" s="721"/>
      <c r="CI104" s="721"/>
      <c r="CJ104" s="721"/>
      <c r="CK104" s="721"/>
      <c r="CL104" s="721"/>
      <c r="CM104" s="721"/>
      <c r="CN104" s="721"/>
      <c r="CO104" s="721"/>
      <c r="CP104" s="721"/>
      <c r="CQ104" s="721"/>
      <c r="CR104" s="721"/>
      <c r="CS104" s="721"/>
      <c r="CT104" s="721"/>
      <c r="CU104" s="721"/>
      <c r="CV104" s="721"/>
      <c r="CW104" s="721"/>
      <c r="CX104" s="721"/>
    </row>
    <row r="105" spans="1:102" ht="53.25" customHeight="1" x14ac:dyDescent="0.2">
      <c r="A105" s="1870"/>
      <c r="B105" s="1864"/>
      <c r="C105" s="718"/>
      <c r="D105" s="733"/>
      <c r="E105" s="720"/>
      <c r="F105" s="720"/>
      <c r="G105" s="720"/>
      <c r="H105" s="720"/>
      <c r="I105" s="720"/>
      <c r="J105" s="720"/>
      <c r="K105" s="720"/>
      <c r="L105" s="720"/>
      <c r="M105" s="720"/>
      <c r="N105" s="720"/>
      <c r="O105" s="720"/>
      <c r="P105" s="720"/>
      <c r="Q105" s="720"/>
      <c r="R105" s="720"/>
      <c r="S105" s="720"/>
      <c r="T105" s="1838" t="s">
        <v>2015</v>
      </c>
      <c r="U105" s="719" t="s">
        <v>2016</v>
      </c>
      <c r="V105" s="719">
        <v>0</v>
      </c>
      <c r="W105" s="1039" t="s">
        <v>2017</v>
      </c>
      <c r="X105" s="1031">
        <v>25</v>
      </c>
      <c r="Y105" s="1031" t="s">
        <v>177</v>
      </c>
      <c r="Z105" s="1031">
        <v>8</v>
      </c>
      <c r="AA105" s="1031">
        <v>12</v>
      </c>
      <c r="AB105" s="1031"/>
      <c r="AC105" s="1034">
        <f>+Z105/X105</f>
        <v>0.32</v>
      </c>
      <c r="AD105" s="1034">
        <f>AA105/X105</f>
        <v>0.48</v>
      </c>
      <c r="AE105" s="1031"/>
      <c r="AF105" s="1031"/>
      <c r="AG105" s="1031"/>
      <c r="AH105" s="1031"/>
      <c r="AI105" s="1031"/>
      <c r="AJ105" s="1031"/>
      <c r="AK105" s="1031"/>
      <c r="AL105" s="1031"/>
      <c r="AM105" s="1194"/>
      <c r="AN105" s="1031">
        <f>+Z105</f>
        <v>8</v>
      </c>
      <c r="AO105" s="1031">
        <v>0</v>
      </c>
      <c r="AP105" s="1031"/>
      <c r="AQ105" s="1031">
        <v>0</v>
      </c>
      <c r="AR105" s="1031"/>
      <c r="AS105" s="1031">
        <v>0</v>
      </c>
      <c r="AT105" s="1031"/>
      <c r="AU105" s="1031">
        <v>0</v>
      </c>
      <c r="AV105" s="1031"/>
      <c r="AW105" s="1031"/>
      <c r="AX105" s="1034">
        <v>0</v>
      </c>
      <c r="AY105" s="1031">
        <f>+AW105+AL105</f>
        <v>0</v>
      </c>
      <c r="AZ105" s="1033"/>
      <c r="BA105" s="1031">
        <v>12</v>
      </c>
      <c r="BB105" s="1031">
        <v>7</v>
      </c>
      <c r="BC105" s="1031"/>
      <c r="BD105" s="1031">
        <v>3</v>
      </c>
      <c r="BE105" s="1031"/>
      <c r="BF105" s="1031">
        <v>9</v>
      </c>
      <c r="BG105" s="1031"/>
      <c r="BH105" s="1031">
        <v>0</v>
      </c>
      <c r="BI105" s="1031"/>
      <c r="BJ105" s="1031">
        <f>BB105+BD105+BF105</f>
        <v>19</v>
      </c>
      <c r="BK105" s="1032">
        <v>1</v>
      </c>
      <c r="BL105" s="1031">
        <f>BJ105+AY105</f>
        <v>19</v>
      </c>
      <c r="BM105" s="1032">
        <f>BL105/X105</f>
        <v>0.76</v>
      </c>
      <c r="BN105" s="721"/>
      <c r="BO105" s="721"/>
      <c r="BP105" s="721"/>
      <c r="BQ105" s="721"/>
      <c r="BR105" s="721"/>
      <c r="BS105" s="721"/>
      <c r="BT105" s="721"/>
      <c r="BU105" s="721"/>
      <c r="BV105" s="721"/>
      <c r="BW105" s="721"/>
      <c r="BX105" s="721"/>
      <c r="BY105" s="721"/>
      <c r="BZ105" s="721"/>
      <c r="CA105" s="721"/>
      <c r="CB105" s="721"/>
      <c r="CC105" s="721"/>
      <c r="CD105" s="721"/>
      <c r="CE105" s="721"/>
      <c r="CF105" s="721"/>
      <c r="CG105" s="721"/>
      <c r="CH105" s="721"/>
      <c r="CI105" s="721"/>
      <c r="CJ105" s="721"/>
      <c r="CK105" s="721"/>
      <c r="CL105" s="721"/>
      <c r="CM105" s="721"/>
      <c r="CN105" s="721"/>
      <c r="CO105" s="721"/>
      <c r="CP105" s="721"/>
      <c r="CQ105" s="721"/>
      <c r="CR105" s="721"/>
      <c r="CS105" s="721"/>
      <c r="CT105" s="721"/>
      <c r="CU105" s="721"/>
      <c r="CV105" s="721"/>
      <c r="CW105" s="721"/>
      <c r="CX105" s="721"/>
    </row>
    <row r="106" spans="1:102" ht="45.75" customHeight="1" x14ac:dyDescent="0.2">
      <c r="A106" s="1870"/>
      <c r="B106" s="1864"/>
      <c r="C106" s="718"/>
      <c r="D106" s="733"/>
      <c r="E106" s="720"/>
      <c r="F106" s="720"/>
      <c r="G106" s="720"/>
      <c r="H106" s="720"/>
      <c r="I106" s="720"/>
      <c r="J106" s="720"/>
      <c r="K106" s="720"/>
      <c r="L106" s="720"/>
      <c r="M106" s="720"/>
      <c r="N106" s="720"/>
      <c r="O106" s="720"/>
      <c r="P106" s="720"/>
      <c r="Q106" s="720"/>
      <c r="R106" s="720"/>
      <c r="S106" s="720"/>
      <c r="T106" s="1839"/>
      <c r="U106" s="719" t="s">
        <v>2018</v>
      </c>
      <c r="V106" s="719">
        <v>0</v>
      </c>
      <c r="W106" s="1039" t="s">
        <v>2165</v>
      </c>
      <c r="X106" s="1031">
        <v>170</v>
      </c>
      <c r="Y106" s="1031" t="s">
        <v>177</v>
      </c>
      <c r="Z106" s="1031">
        <v>50</v>
      </c>
      <c r="AA106" s="1031">
        <v>60</v>
      </c>
      <c r="AB106" s="1197"/>
      <c r="AC106" s="1034">
        <f>+Z106/X106</f>
        <v>0.29411764705882354</v>
      </c>
      <c r="AD106" s="1034">
        <f>AA106/X106</f>
        <v>0.35294117647058826</v>
      </c>
      <c r="AE106" s="1031"/>
      <c r="AF106" s="1031"/>
      <c r="AG106" s="1031"/>
      <c r="AH106" s="1031"/>
      <c r="AI106" s="1031"/>
      <c r="AJ106" s="1031"/>
      <c r="AK106" s="1031"/>
      <c r="AL106" s="1031"/>
      <c r="AM106" s="1194"/>
      <c r="AN106" s="1031">
        <f>+Z106</f>
        <v>50</v>
      </c>
      <c r="AO106" s="1031">
        <v>0</v>
      </c>
      <c r="AP106" s="1031"/>
      <c r="AQ106" s="1031">
        <v>0</v>
      </c>
      <c r="AR106" s="1031"/>
      <c r="AS106" s="1031">
        <v>0</v>
      </c>
      <c r="AT106" s="1031"/>
      <c r="AU106" s="1031">
        <v>38</v>
      </c>
      <c r="AV106" s="1031"/>
      <c r="AW106" s="1031">
        <f>+AU106</f>
        <v>38</v>
      </c>
      <c r="AX106" s="1198">
        <f>+AW106/AN106</f>
        <v>0.76</v>
      </c>
      <c r="AY106" s="1031">
        <f>+AW106+AL106</f>
        <v>38</v>
      </c>
      <c r="AZ106" s="1033">
        <f>+AY106/X106</f>
        <v>0.22352941176470589</v>
      </c>
      <c r="BA106" s="1031">
        <v>60</v>
      </c>
      <c r="BB106" s="1031">
        <v>0</v>
      </c>
      <c r="BC106" s="1031"/>
      <c r="BD106" s="1031">
        <v>33</v>
      </c>
      <c r="BE106" s="1031"/>
      <c r="BF106" s="1031">
        <v>20</v>
      </c>
      <c r="BG106" s="1031"/>
      <c r="BH106" s="1031">
        <v>0</v>
      </c>
      <c r="BI106" s="1031"/>
      <c r="BJ106" s="1031">
        <f>+BD106+BF106</f>
        <v>53</v>
      </c>
      <c r="BK106" s="1032">
        <f>BJ106/BA106</f>
        <v>0.8833333333333333</v>
      </c>
      <c r="BL106" s="1031">
        <f>BJ106+AY106</f>
        <v>91</v>
      </c>
      <c r="BM106" s="1032">
        <f>BL106/X106</f>
        <v>0.53529411764705881</v>
      </c>
      <c r="BN106" s="721"/>
      <c r="BO106" s="721"/>
      <c r="BP106" s="721"/>
      <c r="BQ106" s="721"/>
      <c r="BR106" s="721"/>
      <c r="BS106" s="721"/>
      <c r="BT106" s="721"/>
      <c r="BU106" s="721"/>
      <c r="BV106" s="721"/>
      <c r="BW106" s="721"/>
      <c r="BX106" s="721"/>
      <c r="BY106" s="721"/>
      <c r="BZ106" s="721"/>
      <c r="CA106" s="721"/>
      <c r="CB106" s="721"/>
      <c r="CC106" s="721"/>
      <c r="CD106" s="721"/>
      <c r="CE106" s="721"/>
      <c r="CF106" s="721"/>
      <c r="CG106" s="721"/>
      <c r="CH106" s="721"/>
      <c r="CI106" s="721"/>
      <c r="CJ106" s="721"/>
      <c r="CK106" s="721"/>
      <c r="CL106" s="721"/>
      <c r="CM106" s="721"/>
      <c r="CN106" s="721"/>
      <c r="CO106" s="721"/>
      <c r="CP106" s="721"/>
      <c r="CQ106" s="721"/>
      <c r="CR106" s="721"/>
      <c r="CS106" s="721"/>
      <c r="CT106" s="721"/>
      <c r="CU106" s="721"/>
      <c r="CV106" s="721"/>
      <c r="CW106" s="721"/>
      <c r="CX106" s="721"/>
    </row>
    <row r="107" spans="1:102" ht="63" customHeight="1" x14ac:dyDescent="0.2">
      <c r="A107" s="1870"/>
      <c r="B107" s="1864"/>
      <c r="C107" s="718"/>
      <c r="D107" s="733"/>
      <c r="E107" s="720"/>
      <c r="F107" s="720"/>
      <c r="G107" s="720"/>
      <c r="H107" s="720"/>
      <c r="I107" s="720"/>
      <c r="J107" s="720"/>
      <c r="K107" s="720"/>
      <c r="L107" s="720"/>
      <c r="M107" s="720"/>
      <c r="N107" s="720"/>
      <c r="O107" s="720"/>
      <c r="P107" s="720"/>
      <c r="Q107" s="720"/>
      <c r="R107" s="720"/>
      <c r="S107" s="720"/>
      <c r="T107" s="1839"/>
      <c r="U107" s="719" t="s">
        <v>2019</v>
      </c>
      <c r="V107" s="719">
        <v>0</v>
      </c>
      <c r="W107" s="1039" t="s">
        <v>2020</v>
      </c>
      <c r="X107" s="1031">
        <v>3</v>
      </c>
      <c r="Y107" s="1031" t="s">
        <v>177</v>
      </c>
      <c r="Z107" s="1031">
        <v>1</v>
      </c>
      <c r="AA107" s="1031">
        <v>1</v>
      </c>
      <c r="AB107" s="1031"/>
      <c r="AC107" s="1034">
        <f>+Z107/X107</f>
        <v>0.33333333333333331</v>
      </c>
      <c r="AD107" s="1034">
        <f>AA107/X107</f>
        <v>0.33333333333333331</v>
      </c>
      <c r="AE107" s="1031"/>
      <c r="AF107" s="1031"/>
      <c r="AG107" s="1031"/>
      <c r="AH107" s="1031"/>
      <c r="AI107" s="1031"/>
      <c r="AJ107" s="1031"/>
      <c r="AK107" s="1031"/>
      <c r="AL107" s="1031"/>
      <c r="AM107" s="1194"/>
      <c r="AN107" s="1031">
        <f>+Z107</f>
        <v>1</v>
      </c>
      <c r="AO107" s="1031"/>
      <c r="AP107" s="1031"/>
      <c r="AQ107" s="1031">
        <v>0</v>
      </c>
      <c r="AR107" s="1031"/>
      <c r="AS107" s="1031">
        <v>0</v>
      </c>
      <c r="AT107" s="1031"/>
      <c r="AU107" s="1031">
        <v>0</v>
      </c>
      <c r="AV107" s="1031"/>
      <c r="AW107" s="1031"/>
      <c r="AX107" s="1198">
        <v>0</v>
      </c>
      <c r="AY107" s="1031">
        <f>+AW107+AL107</f>
        <v>0</v>
      </c>
      <c r="AZ107" s="1033"/>
      <c r="BA107" s="1031">
        <v>1</v>
      </c>
      <c r="BB107" s="1031">
        <v>0</v>
      </c>
      <c r="BC107" s="1031"/>
      <c r="BD107" s="1031">
        <v>0</v>
      </c>
      <c r="BE107" s="1031"/>
      <c r="BF107" s="1031">
        <v>0</v>
      </c>
      <c r="BG107" s="324" t="s">
        <v>2213</v>
      </c>
      <c r="BH107" s="1031">
        <v>0</v>
      </c>
      <c r="BI107" s="1031"/>
      <c r="BJ107" s="1031">
        <f>BB107</f>
        <v>0</v>
      </c>
      <c r="BK107" s="1032">
        <f>BJ107/BA107</f>
        <v>0</v>
      </c>
      <c r="BL107" s="1031">
        <f>BJ107+AY107</f>
        <v>0</v>
      </c>
      <c r="BM107" s="1032">
        <v>0</v>
      </c>
      <c r="BN107" s="721"/>
      <c r="BO107" s="721"/>
      <c r="BP107" s="721"/>
      <c r="BQ107" s="721"/>
      <c r="BR107" s="721"/>
      <c r="BS107" s="721"/>
      <c r="BT107" s="721"/>
      <c r="BU107" s="721"/>
      <c r="BV107" s="721"/>
      <c r="BW107" s="721"/>
      <c r="BX107" s="721"/>
      <c r="BY107" s="721"/>
      <c r="BZ107" s="721"/>
      <c r="CA107" s="721"/>
      <c r="CB107" s="721"/>
      <c r="CC107" s="721"/>
      <c r="CD107" s="721"/>
      <c r="CE107" s="721"/>
      <c r="CF107" s="721"/>
      <c r="CG107" s="721"/>
      <c r="CH107" s="721"/>
      <c r="CI107" s="721"/>
      <c r="CJ107" s="721"/>
      <c r="CK107" s="721"/>
      <c r="CL107" s="721"/>
      <c r="CM107" s="721"/>
      <c r="CN107" s="721"/>
      <c r="CO107" s="721"/>
      <c r="CP107" s="721"/>
      <c r="CQ107" s="721"/>
      <c r="CR107" s="721"/>
      <c r="CS107" s="721"/>
      <c r="CT107" s="721"/>
      <c r="CU107" s="721"/>
      <c r="CV107" s="721"/>
      <c r="CW107" s="721"/>
      <c r="CX107" s="721"/>
    </row>
    <row r="108" spans="1:102" ht="12" customHeight="1" x14ac:dyDescent="0.2">
      <c r="A108" s="1870"/>
      <c r="B108" s="1864"/>
      <c r="C108" s="718"/>
      <c r="D108" s="733"/>
      <c r="E108" s="720"/>
      <c r="F108" s="720"/>
      <c r="G108" s="720"/>
      <c r="H108" s="720"/>
      <c r="I108" s="720"/>
      <c r="J108" s="720"/>
      <c r="K108" s="720"/>
      <c r="L108" s="720"/>
      <c r="M108" s="720"/>
      <c r="N108" s="720"/>
      <c r="O108" s="720"/>
      <c r="P108" s="720"/>
      <c r="Q108" s="720"/>
      <c r="R108" s="720"/>
      <c r="S108" s="720"/>
      <c r="T108" s="1840"/>
      <c r="U108" s="722"/>
      <c r="V108" s="722"/>
      <c r="W108" s="1050"/>
      <c r="X108" s="1051"/>
      <c r="Y108" s="1051"/>
      <c r="Z108" s="1051"/>
      <c r="AA108" s="1051"/>
      <c r="AB108" s="1051"/>
      <c r="AC108" s="1038">
        <f>AVERAGE(AC105:AC107)</f>
        <v>0.31581699346405229</v>
      </c>
      <c r="AD108" s="1038">
        <f>AVERAGE(AD105:AD107)</f>
        <v>0.38875816993464052</v>
      </c>
      <c r="AE108" s="1051"/>
      <c r="AF108" s="1051"/>
      <c r="AG108" s="1051"/>
      <c r="AH108" s="1051"/>
      <c r="AI108" s="1051"/>
      <c r="AJ108" s="1051"/>
      <c r="AK108" s="1051"/>
      <c r="AL108" s="1051"/>
      <c r="AM108" s="1065"/>
      <c r="AN108" s="1065"/>
      <c r="AO108" s="1065"/>
      <c r="AP108" s="1065"/>
      <c r="AQ108" s="1065"/>
      <c r="AR108" s="1065"/>
      <c r="AS108" s="1065"/>
      <c r="AT108" s="1065"/>
      <c r="AU108" s="1065"/>
      <c r="AV108" s="1065"/>
      <c r="AW108" s="1065"/>
      <c r="AX108" s="1111">
        <f>AVERAGE(AX105:AX107)</f>
        <v>0.25333333333333335</v>
      </c>
      <c r="AY108" s="1112"/>
      <c r="AZ108" s="1113">
        <f>AVERAGE(AZ105:AZ107)</f>
        <v>0.22352941176470589</v>
      </c>
      <c r="BA108" s="1040"/>
      <c r="BB108" s="1040"/>
      <c r="BC108" s="1040"/>
      <c r="BD108" s="1040"/>
      <c r="BE108" s="1040"/>
      <c r="BF108" s="1040"/>
      <c r="BG108" s="1040"/>
      <c r="BH108" s="1040"/>
      <c r="BI108" s="1040"/>
      <c r="BJ108" s="1040"/>
      <c r="BK108" s="1113">
        <f>AVERAGE(BK105:BK107)</f>
        <v>0.62777777777777777</v>
      </c>
      <c r="BL108" s="1040"/>
      <c r="BM108" s="1113">
        <f>AVERAGE(BM105:BM107)</f>
        <v>0.43176470588235299</v>
      </c>
      <c r="BN108" s="721"/>
      <c r="BO108" s="721"/>
      <c r="BP108" s="721"/>
      <c r="BQ108" s="721"/>
      <c r="BR108" s="721"/>
      <c r="BS108" s="721"/>
      <c r="BT108" s="721"/>
      <c r="BU108" s="721"/>
      <c r="BV108" s="721"/>
      <c r="BW108" s="721"/>
      <c r="BX108" s="721"/>
      <c r="BY108" s="721"/>
      <c r="BZ108" s="721"/>
      <c r="CA108" s="721"/>
      <c r="CB108" s="721"/>
      <c r="CC108" s="721"/>
      <c r="CD108" s="721"/>
      <c r="CE108" s="721"/>
      <c r="CF108" s="721"/>
      <c r="CG108" s="721"/>
      <c r="CH108" s="721"/>
      <c r="CI108" s="721"/>
      <c r="CJ108" s="721"/>
      <c r="CK108" s="721"/>
      <c r="CL108" s="721"/>
      <c r="CM108" s="721"/>
      <c r="CN108" s="721"/>
      <c r="CO108" s="721"/>
      <c r="CP108" s="721"/>
      <c r="CQ108" s="721"/>
      <c r="CR108" s="721"/>
      <c r="CS108" s="721"/>
      <c r="CT108" s="721"/>
      <c r="CU108" s="721"/>
      <c r="CV108" s="721"/>
      <c r="CW108" s="721"/>
      <c r="CX108" s="721"/>
    </row>
    <row r="109" spans="1:102" ht="12" customHeight="1" x14ac:dyDescent="0.2">
      <c r="A109" s="1870"/>
      <c r="B109" s="1865"/>
      <c r="C109" s="726"/>
      <c r="D109" s="738"/>
      <c r="E109" s="727"/>
      <c r="F109" s="727"/>
      <c r="G109" s="727"/>
      <c r="H109" s="727"/>
      <c r="I109" s="727"/>
      <c r="J109" s="727"/>
      <c r="K109" s="727"/>
      <c r="L109" s="727"/>
      <c r="M109" s="727"/>
      <c r="N109" s="727"/>
      <c r="O109" s="727"/>
      <c r="P109" s="727"/>
      <c r="Q109" s="727"/>
      <c r="R109" s="727"/>
      <c r="S109" s="727"/>
      <c r="T109" s="724"/>
      <c r="U109" s="726"/>
      <c r="V109" s="726"/>
      <c r="W109" s="1077"/>
      <c r="X109" s="1078"/>
      <c r="Y109" s="1078"/>
      <c r="Z109" s="1078"/>
      <c r="AA109" s="1078"/>
      <c r="AB109" s="1079">
        <f>+(AB104+AB108)/1</f>
        <v>0.25</v>
      </c>
      <c r="AC109" s="1079">
        <f>+(AC104+AC108)/2</f>
        <v>0.28290849673202612</v>
      </c>
      <c r="AD109" s="1079">
        <f>+(AD104+AD108)/2</f>
        <v>0.31937908496732026</v>
      </c>
      <c r="AE109" s="1078"/>
      <c r="AF109" s="1078"/>
      <c r="AG109" s="1078"/>
      <c r="AH109" s="1078"/>
      <c r="AI109" s="1078"/>
      <c r="AJ109" s="1078"/>
      <c r="AK109" s="1079">
        <f>+(AK104+AK108)/1</f>
        <v>1</v>
      </c>
      <c r="AL109" s="1079"/>
      <c r="AM109" s="1087">
        <f>+(AM104+AM108)/2</f>
        <v>0.14583333333333331</v>
      </c>
      <c r="AN109" s="1079"/>
      <c r="AO109" s="1079"/>
      <c r="AP109" s="1079"/>
      <c r="AQ109" s="1079"/>
      <c r="AR109" s="1079"/>
      <c r="AS109" s="1079"/>
      <c r="AT109" s="1079"/>
      <c r="AU109" s="1079"/>
      <c r="AV109" s="1079"/>
      <c r="AW109" s="1079"/>
      <c r="AX109" s="1088">
        <f>+(AX104+AX108)/2</f>
        <v>0.62666666666666671</v>
      </c>
      <c r="AY109" s="1089"/>
      <c r="AZ109" s="1087">
        <f>+(AZ104+AZ108)/2</f>
        <v>0.36176470588235293</v>
      </c>
      <c r="BA109" s="1132"/>
      <c r="BB109" s="1132"/>
      <c r="BC109" s="1132"/>
      <c r="BD109" s="1132"/>
      <c r="BE109" s="1132"/>
      <c r="BF109" s="1132"/>
      <c r="BG109" s="1132"/>
      <c r="BH109" s="1132"/>
      <c r="BI109" s="1132"/>
      <c r="BJ109" s="1132"/>
      <c r="BK109" s="1087">
        <f>+(BK104+BK108)/2</f>
        <v>0.81388888888888888</v>
      </c>
      <c r="BL109" s="1132"/>
      <c r="BM109" s="1087">
        <f>+(BM104+BM108)/2</f>
        <v>0.63254901960784315</v>
      </c>
      <c r="BN109" s="721"/>
      <c r="BO109" s="721"/>
      <c r="BP109" s="721"/>
      <c r="BQ109" s="721"/>
      <c r="BR109" s="721"/>
      <c r="BS109" s="721"/>
      <c r="BT109" s="721"/>
      <c r="BU109" s="721"/>
      <c r="BV109" s="721"/>
      <c r="BW109" s="721"/>
      <c r="BX109" s="721"/>
      <c r="BY109" s="721"/>
      <c r="BZ109" s="721"/>
      <c r="CA109" s="721"/>
      <c r="CB109" s="721"/>
      <c r="CC109" s="721"/>
      <c r="CD109" s="721"/>
      <c r="CE109" s="721"/>
      <c r="CF109" s="721"/>
      <c r="CG109" s="721"/>
      <c r="CH109" s="721"/>
      <c r="CI109" s="721"/>
      <c r="CJ109" s="721"/>
      <c r="CK109" s="721"/>
      <c r="CL109" s="721"/>
      <c r="CM109" s="721"/>
      <c r="CN109" s="721"/>
      <c r="CO109" s="721"/>
      <c r="CP109" s="721"/>
      <c r="CQ109" s="721"/>
      <c r="CR109" s="721"/>
      <c r="CS109" s="721"/>
      <c r="CT109" s="721"/>
      <c r="CU109" s="721"/>
      <c r="CV109" s="721"/>
      <c r="CW109" s="721"/>
      <c r="CX109" s="721"/>
    </row>
    <row r="110" spans="1:102" ht="54" customHeight="1" x14ac:dyDescent="0.2">
      <c r="A110" s="1870"/>
      <c r="B110" s="1838" t="s">
        <v>2021</v>
      </c>
      <c r="C110" s="718" t="s">
        <v>2022</v>
      </c>
      <c r="D110" s="718" t="s">
        <v>201</v>
      </c>
      <c r="E110" s="720"/>
      <c r="F110" s="720"/>
      <c r="G110" s="720"/>
      <c r="H110" s="720"/>
      <c r="I110" s="720"/>
      <c r="J110" s="720"/>
      <c r="K110" s="720"/>
      <c r="L110" s="720"/>
      <c r="M110" s="720"/>
      <c r="N110" s="720"/>
      <c r="O110" s="720"/>
      <c r="P110" s="720"/>
      <c r="Q110" s="720"/>
      <c r="R110" s="720"/>
      <c r="S110" s="720"/>
      <c r="T110" s="1838" t="s">
        <v>2023</v>
      </c>
      <c r="U110" s="719" t="s">
        <v>2024</v>
      </c>
      <c r="V110" s="724">
        <v>0</v>
      </c>
      <c r="W110" s="1039" t="s">
        <v>2025</v>
      </c>
      <c r="X110" s="1040">
        <v>1</v>
      </c>
      <c r="Y110" s="1040" t="s">
        <v>177</v>
      </c>
      <c r="Z110" s="1031">
        <v>1</v>
      </c>
      <c r="AA110" s="1031">
        <v>0.2</v>
      </c>
      <c r="AB110" s="1031"/>
      <c r="AC110" s="1034">
        <f>+Z110/X110</f>
        <v>1</v>
      </c>
      <c r="AD110" s="1034">
        <v>0.2</v>
      </c>
      <c r="AE110" s="1031"/>
      <c r="AF110" s="1031"/>
      <c r="AG110" s="1031"/>
      <c r="AH110" s="1031"/>
      <c r="AI110" s="1031"/>
      <c r="AJ110" s="1031"/>
      <c r="AK110" s="1031"/>
      <c r="AL110" s="1031"/>
      <c r="AM110" s="1194"/>
      <c r="AN110" s="1380">
        <f>+Z110</f>
        <v>1</v>
      </c>
      <c r="AO110" s="1199">
        <v>0.4</v>
      </c>
      <c r="AP110" s="1380"/>
      <c r="AQ110" s="1380">
        <v>0</v>
      </c>
      <c r="AR110" s="1380"/>
      <c r="AS110" s="1380">
        <v>0</v>
      </c>
      <c r="AT110" s="1380"/>
      <c r="AU110" s="1380">
        <v>0</v>
      </c>
      <c r="AV110" s="1380"/>
      <c r="AW110" s="1199">
        <f>+AO110</f>
        <v>0.4</v>
      </c>
      <c r="AX110" s="1031">
        <f>+AW110/AN110</f>
        <v>0.4</v>
      </c>
      <c r="AY110" s="1034">
        <f>+AW110+AL110</f>
        <v>0.4</v>
      </c>
      <c r="AZ110" s="1033">
        <f>+AY110/X110</f>
        <v>0.4</v>
      </c>
      <c r="BA110" s="1031">
        <v>0.2</v>
      </c>
      <c r="BB110" s="1031">
        <v>0</v>
      </c>
      <c r="BC110" s="1031"/>
      <c r="BD110" s="1031">
        <v>0</v>
      </c>
      <c r="BE110" s="1031"/>
      <c r="BF110" s="1031">
        <v>0</v>
      </c>
      <c r="BG110" s="1414" t="s">
        <v>2214</v>
      </c>
      <c r="BH110" s="1031">
        <v>0</v>
      </c>
      <c r="BI110" s="1031"/>
      <c r="BJ110" s="1031">
        <f>BB110</f>
        <v>0</v>
      </c>
      <c r="BK110" s="1032">
        <f>BJ110/BA110</f>
        <v>0</v>
      </c>
      <c r="BL110" s="1419">
        <v>0.25</v>
      </c>
      <c r="BM110" s="1224">
        <f>BL110/X110</f>
        <v>0.25</v>
      </c>
      <c r="BN110" s="721"/>
      <c r="BO110" s="721"/>
      <c r="BP110" s="721"/>
      <c r="BQ110" s="721"/>
      <c r="BR110" s="721"/>
      <c r="BS110" s="721"/>
      <c r="BT110" s="721"/>
      <c r="BU110" s="721"/>
      <c r="BV110" s="721"/>
      <c r="BW110" s="721"/>
      <c r="BX110" s="721"/>
      <c r="BY110" s="721"/>
      <c r="BZ110" s="721"/>
      <c r="CA110" s="721"/>
      <c r="CB110" s="721"/>
      <c r="CC110" s="721"/>
      <c r="CD110" s="721"/>
      <c r="CE110" s="721"/>
      <c r="CF110" s="721"/>
      <c r="CG110" s="721"/>
      <c r="CH110" s="721"/>
      <c r="CI110" s="721"/>
      <c r="CJ110" s="721"/>
      <c r="CK110" s="721"/>
      <c r="CL110" s="721"/>
      <c r="CM110" s="721"/>
      <c r="CN110" s="721"/>
      <c r="CO110" s="721"/>
      <c r="CP110" s="721"/>
      <c r="CQ110" s="721"/>
      <c r="CR110" s="721"/>
      <c r="CS110" s="721"/>
      <c r="CT110" s="721"/>
      <c r="CU110" s="721"/>
      <c r="CV110" s="721"/>
      <c r="CW110" s="721"/>
      <c r="CX110" s="721"/>
    </row>
    <row r="111" spans="1:102" ht="51.75" customHeight="1" x14ac:dyDescent="0.2">
      <c r="A111" s="1870"/>
      <c r="B111" s="1839"/>
      <c r="C111" s="718"/>
      <c r="D111" s="718"/>
      <c r="E111" s="720"/>
      <c r="F111" s="720"/>
      <c r="G111" s="720"/>
      <c r="H111" s="720"/>
      <c r="I111" s="720"/>
      <c r="J111" s="720"/>
      <c r="K111" s="720"/>
      <c r="L111" s="720"/>
      <c r="M111" s="720"/>
      <c r="N111" s="720"/>
      <c r="O111" s="720"/>
      <c r="P111" s="720"/>
      <c r="Q111" s="720"/>
      <c r="R111" s="720"/>
      <c r="S111" s="720"/>
      <c r="T111" s="1839"/>
      <c r="U111" s="719" t="s">
        <v>2026</v>
      </c>
      <c r="V111" s="719" t="s">
        <v>2027</v>
      </c>
      <c r="W111" s="1039" t="s">
        <v>2028</v>
      </c>
      <c r="X111" s="1040">
        <v>15</v>
      </c>
      <c r="Y111" s="1040">
        <v>2</v>
      </c>
      <c r="Z111" s="1031">
        <v>4</v>
      </c>
      <c r="AA111" s="1031">
        <v>3</v>
      </c>
      <c r="AB111" s="1034">
        <f>+Y111/X111</f>
        <v>0.13333333333333333</v>
      </c>
      <c r="AC111" s="1034">
        <f>+Z111/X111</f>
        <v>0.26666666666666666</v>
      </c>
      <c r="AD111" s="1034">
        <v>0.184</v>
      </c>
      <c r="AE111" s="1031">
        <v>1</v>
      </c>
      <c r="AF111" s="1031">
        <v>1</v>
      </c>
      <c r="AG111" s="1031"/>
      <c r="AH111" s="1031">
        <v>2</v>
      </c>
      <c r="AI111" s="1031"/>
      <c r="AJ111" s="1031">
        <f>+AH111</f>
        <v>2</v>
      </c>
      <c r="AK111" s="1034">
        <f>+AE111/Y111</f>
        <v>0.5</v>
      </c>
      <c r="AL111" s="1031">
        <f>+AJ111</f>
        <v>2</v>
      </c>
      <c r="AM111" s="1033">
        <f>+AL111/X111</f>
        <v>0.13333333333333333</v>
      </c>
      <c r="AN111" s="1031">
        <f>+Z111</f>
        <v>4</v>
      </c>
      <c r="AO111" s="1407">
        <v>3</v>
      </c>
      <c r="AP111" s="1031"/>
      <c r="AQ111" s="1031">
        <v>1</v>
      </c>
      <c r="AR111" s="1031"/>
      <c r="AS111" s="1031">
        <v>5</v>
      </c>
      <c r="AT111" s="1031"/>
      <c r="AU111" s="1031">
        <v>1</v>
      </c>
      <c r="AV111" s="1031"/>
      <c r="AW111" s="1407">
        <f>+AO111+AQ111+AS111+AU111</f>
        <v>10</v>
      </c>
      <c r="AX111" s="1034">
        <v>1</v>
      </c>
      <c r="AY111" s="1407">
        <f>+AW111+AL111</f>
        <v>12</v>
      </c>
      <c r="AZ111" s="1033">
        <f>+AY111/X111</f>
        <v>0.8</v>
      </c>
      <c r="BA111" s="1031">
        <v>3</v>
      </c>
      <c r="BB111" s="1031">
        <v>0.25</v>
      </c>
      <c r="BC111" s="1031"/>
      <c r="BD111" s="1031">
        <v>1.25</v>
      </c>
      <c r="BE111" s="1031"/>
      <c r="BF111" s="199">
        <v>0.5</v>
      </c>
      <c r="BG111" s="1031"/>
      <c r="BH111" s="1031">
        <v>1</v>
      </c>
      <c r="BI111" s="1031"/>
      <c r="BJ111" s="1031">
        <f>+BD111+BB111+BF111+BH111</f>
        <v>3</v>
      </c>
      <c r="BK111" s="1032">
        <f>BJ111/BA111</f>
        <v>1</v>
      </c>
      <c r="BL111" s="1407">
        <f>BJ111+AY111</f>
        <v>15</v>
      </c>
      <c r="BM111" s="1032">
        <f>BL111/X111</f>
        <v>1</v>
      </c>
      <c r="BN111" s="721"/>
      <c r="BO111" s="721"/>
      <c r="BP111" s="721"/>
      <c r="BQ111" s="721"/>
      <c r="BR111" s="721"/>
      <c r="BS111" s="721"/>
      <c r="BT111" s="721"/>
      <c r="BU111" s="721"/>
      <c r="BV111" s="721"/>
      <c r="BW111" s="721"/>
      <c r="BX111" s="721"/>
      <c r="BY111" s="721"/>
      <c r="BZ111" s="721"/>
      <c r="CA111" s="721"/>
      <c r="CB111" s="721"/>
      <c r="CC111" s="721"/>
      <c r="CD111" s="721"/>
      <c r="CE111" s="721"/>
      <c r="CF111" s="721"/>
      <c r="CG111" s="721"/>
      <c r="CH111" s="721"/>
      <c r="CI111" s="721"/>
      <c r="CJ111" s="721"/>
      <c r="CK111" s="721"/>
      <c r="CL111" s="721"/>
      <c r="CM111" s="721"/>
      <c r="CN111" s="721"/>
      <c r="CO111" s="721"/>
      <c r="CP111" s="721"/>
      <c r="CQ111" s="721"/>
      <c r="CR111" s="721"/>
      <c r="CS111" s="721"/>
      <c r="CT111" s="721"/>
      <c r="CU111" s="721"/>
      <c r="CV111" s="721"/>
      <c r="CW111" s="721"/>
      <c r="CX111" s="721"/>
    </row>
    <row r="112" spans="1:102" ht="42" customHeight="1" x14ac:dyDescent="0.2">
      <c r="A112" s="1870"/>
      <c r="B112" s="1839"/>
      <c r="C112" s="718"/>
      <c r="D112" s="718"/>
      <c r="E112" s="720"/>
      <c r="F112" s="720"/>
      <c r="G112" s="720"/>
      <c r="H112" s="720"/>
      <c r="I112" s="720"/>
      <c r="J112" s="720"/>
      <c r="K112" s="720"/>
      <c r="L112" s="720"/>
      <c r="M112" s="720"/>
      <c r="N112" s="720"/>
      <c r="O112" s="720"/>
      <c r="P112" s="720"/>
      <c r="Q112" s="720"/>
      <c r="R112" s="720"/>
      <c r="S112" s="720"/>
      <c r="T112" s="1839"/>
      <c r="U112" s="719" t="s">
        <v>2029</v>
      </c>
      <c r="V112" s="719">
        <v>0</v>
      </c>
      <c r="W112" s="1039" t="s">
        <v>2030</v>
      </c>
      <c r="X112" s="1040">
        <v>1</v>
      </c>
      <c r="Y112" s="1040" t="s">
        <v>177</v>
      </c>
      <c r="Z112" s="1031" t="s">
        <v>177</v>
      </c>
      <c r="AA112" s="1031">
        <v>1</v>
      </c>
      <c r="AB112" s="1031"/>
      <c r="AC112" s="1031"/>
      <c r="AD112" s="1034">
        <v>1</v>
      </c>
      <c r="AE112" s="1031"/>
      <c r="AF112" s="1031"/>
      <c r="AG112" s="1031"/>
      <c r="AH112" s="1031"/>
      <c r="AI112" s="1031"/>
      <c r="AJ112" s="1031"/>
      <c r="AK112" s="1031"/>
      <c r="AL112" s="1031"/>
      <c r="AM112" s="1194"/>
      <c r="AN112" s="1031" t="str">
        <f>+Z112</f>
        <v>NP</v>
      </c>
      <c r="AO112" s="1407">
        <v>0</v>
      </c>
      <c r="AP112" s="1031"/>
      <c r="AQ112" s="1031"/>
      <c r="AR112" s="1031"/>
      <c r="AS112" s="1031">
        <v>0.33</v>
      </c>
      <c r="AT112" s="1031"/>
      <c r="AU112" s="1031">
        <v>0</v>
      </c>
      <c r="AV112" s="1031"/>
      <c r="AW112" s="1407">
        <f>+AO112</f>
        <v>0</v>
      </c>
      <c r="AX112" s="1031"/>
      <c r="AY112" s="1407">
        <f>+AW112+AL112</f>
        <v>0</v>
      </c>
      <c r="AZ112" s="1033"/>
      <c r="BA112" s="1031">
        <v>1</v>
      </c>
      <c r="BB112" s="1031">
        <v>0</v>
      </c>
      <c r="BC112" s="1031"/>
      <c r="BD112" s="1031">
        <v>0.3</v>
      </c>
      <c r="BE112" s="1031"/>
      <c r="BF112" s="1031">
        <v>0</v>
      </c>
      <c r="BG112" s="1031"/>
      <c r="BH112" s="1031">
        <v>0.7</v>
      </c>
      <c r="BI112" s="1031"/>
      <c r="BJ112" s="1031">
        <f>+BD112+BH112</f>
        <v>1</v>
      </c>
      <c r="BK112" s="1032">
        <f>BJ112/BA112</f>
        <v>1</v>
      </c>
      <c r="BL112" s="1408">
        <f>+BJ112</f>
        <v>1</v>
      </c>
      <c r="BM112" s="1032">
        <f>+BL112/X112</f>
        <v>1</v>
      </c>
      <c r="BN112" s="721"/>
      <c r="BO112" s="721"/>
      <c r="BP112" s="721"/>
      <c r="BQ112" s="721"/>
      <c r="BR112" s="721"/>
      <c r="BS112" s="721"/>
      <c r="BT112" s="721"/>
      <c r="BU112" s="721"/>
      <c r="BV112" s="721"/>
      <c r="BW112" s="721"/>
      <c r="BX112" s="721"/>
      <c r="BY112" s="721"/>
      <c r="BZ112" s="721"/>
      <c r="CA112" s="721"/>
      <c r="CB112" s="721"/>
      <c r="CC112" s="721"/>
      <c r="CD112" s="721"/>
      <c r="CE112" s="721"/>
      <c r="CF112" s="721"/>
      <c r="CG112" s="721"/>
      <c r="CH112" s="721"/>
      <c r="CI112" s="721"/>
      <c r="CJ112" s="721"/>
      <c r="CK112" s="721"/>
      <c r="CL112" s="721"/>
      <c r="CM112" s="721"/>
      <c r="CN112" s="721"/>
      <c r="CO112" s="721"/>
      <c r="CP112" s="721"/>
      <c r="CQ112" s="721"/>
      <c r="CR112" s="721"/>
      <c r="CS112" s="721"/>
      <c r="CT112" s="721"/>
      <c r="CU112" s="721"/>
      <c r="CV112" s="721"/>
      <c r="CW112" s="721"/>
      <c r="CX112" s="721"/>
    </row>
    <row r="113" spans="1:102" ht="33.75" customHeight="1" x14ac:dyDescent="0.2">
      <c r="A113" s="1870"/>
      <c r="B113" s="1839"/>
      <c r="C113" s="718"/>
      <c r="D113" s="718"/>
      <c r="E113" s="720"/>
      <c r="F113" s="720"/>
      <c r="G113" s="720"/>
      <c r="H113" s="720"/>
      <c r="I113" s="720"/>
      <c r="J113" s="720"/>
      <c r="K113" s="720"/>
      <c r="L113" s="720"/>
      <c r="M113" s="720"/>
      <c r="N113" s="720"/>
      <c r="O113" s="720"/>
      <c r="P113" s="720"/>
      <c r="Q113" s="720"/>
      <c r="R113" s="720"/>
      <c r="S113" s="720"/>
      <c r="T113" s="1840"/>
      <c r="U113" s="722"/>
      <c r="V113" s="722"/>
      <c r="W113" s="1050"/>
      <c r="X113" s="1051"/>
      <c r="Y113" s="1051"/>
      <c r="Z113" s="1051"/>
      <c r="AA113" s="1051"/>
      <c r="AB113" s="1038">
        <f>+AB111</f>
        <v>0.13333333333333333</v>
      </c>
      <c r="AC113" s="1038">
        <f>AVERAGE(AC110:AC112)</f>
        <v>0.6333333333333333</v>
      </c>
      <c r="AD113" s="1038">
        <f>AVERAGE(AD110:AD112)</f>
        <v>0.46133333333333332</v>
      </c>
      <c r="AE113" s="1051"/>
      <c r="AF113" s="1051"/>
      <c r="AG113" s="1051"/>
      <c r="AH113" s="1051"/>
      <c r="AI113" s="1051"/>
      <c r="AJ113" s="1051"/>
      <c r="AK113" s="1052">
        <f>AVERAGE(AK110:AK112)</f>
        <v>0.5</v>
      </c>
      <c r="AL113" s="1052"/>
      <c r="AM113" s="1053">
        <f>AVERAGE(AM110:AM112)</f>
        <v>0.13333333333333333</v>
      </c>
      <c r="AN113" s="1040"/>
      <c r="AO113" s="1040"/>
      <c r="AP113" s="1040"/>
      <c r="AQ113" s="1040"/>
      <c r="AR113" s="1040"/>
      <c r="AS113" s="1040"/>
      <c r="AT113" s="1040"/>
      <c r="AU113" s="1040"/>
      <c r="AV113" s="1040"/>
      <c r="AW113" s="1040"/>
      <c r="AX113" s="1052">
        <f>AVERAGE(AX110:AX112)</f>
        <v>0.7</v>
      </c>
      <c r="AY113" s="1052"/>
      <c r="AZ113" s="1053">
        <f>AVERAGE(AZ110:AZ112)</f>
        <v>0.60000000000000009</v>
      </c>
      <c r="BA113" s="1040"/>
      <c r="BB113" s="1040"/>
      <c r="BC113" s="1040"/>
      <c r="BD113" s="1040"/>
      <c r="BE113" s="1040"/>
      <c r="BF113" s="1040"/>
      <c r="BG113" s="1040"/>
      <c r="BH113" s="1040"/>
      <c r="BI113" s="1040"/>
      <c r="BJ113" s="1040"/>
      <c r="BK113" s="1066">
        <f>AVERAGE(BK110:BK112)</f>
        <v>0.66666666666666663</v>
      </c>
      <c r="BL113" s="1040"/>
      <c r="BM113" s="1066">
        <f>AVERAGE(BM110:BM112)</f>
        <v>0.75</v>
      </c>
      <c r="BN113" s="721"/>
      <c r="BO113" s="721"/>
      <c r="BP113" s="721"/>
      <c r="BQ113" s="721"/>
      <c r="BR113" s="721"/>
      <c r="BS113" s="721"/>
      <c r="BT113" s="721"/>
      <c r="BU113" s="721"/>
      <c r="BV113" s="721"/>
      <c r="BW113" s="721"/>
      <c r="BX113" s="721"/>
      <c r="BY113" s="721"/>
      <c r="BZ113" s="721"/>
      <c r="CA113" s="721"/>
      <c r="CB113" s="721"/>
      <c r="CC113" s="721"/>
      <c r="CD113" s="721"/>
      <c r="CE113" s="721"/>
      <c r="CF113" s="721"/>
      <c r="CG113" s="721"/>
      <c r="CH113" s="721"/>
      <c r="CI113" s="721"/>
      <c r="CJ113" s="721"/>
      <c r="CK113" s="721"/>
      <c r="CL113" s="721"/>
      <c r="CM113" s="721"/>
      <c r="CN113" s="721"/>
      <c r="CO113" s="721"/>
      <c r="CP113" s="721"/>
      <c r="CQ113" s="721"/>
      <c r="CR113" s="721"/>
      <c r="CS113" s="721"/>
      <c r="CT113" s="721"/>
      <c r="CU113" s="721"/>
      <c r="CV113" s="721"/>
      <c r="CW113" s="721"/>
      <c r="CX113" s="721"/>
    </row>
    <row r="114" spans="1:102" ht="12" customHeight="1" x14ac:dyDescent="0.2">
      <c r="A114" s="1870"/>
      <c r="B114" s="495"/>
      <c r="C114" s="726"/>
      <c r="D114" s="726"/>
      <c r="E114" s="727"/>
      <c r="F114" s="727"/>
      <c r="G114" s="727"/>
      <c r="H114" s="727"/>
      <c r="I114" s="727"/>
      <c r="J114" s="727"/>
      <c r="K114" s="727"/>
      <c r="L114" s="727"/>
      <c r="M114" s="727"/>
      <c r="N114" s="727"/>
      <c r="O114" s="727"/>
      <c r="P114" s="727"/>
      <c r="Q114" s="727"/>
      <c r="R114" s="727"/>
      <c r="S114" s="727"/>
      <c r="T114" s="728"/>
      <c r="U114" s="726"/>
      <c r="V114" s="726"/>
      <c r="W114" s="1077"/>
      <c r="X114" s="1078"/>
      <c r="Y114" s="1078"/>
      <c r="Z114" s="1078"/>
      <c r="AA114" s="1078"/>
      <c r="AB114" s="1079">
        <f>+AB113</f>
        <v>0.13333333333333333</v>
      </c>
      <c r="AC114" s="1079">
        <f>+AC113</f>
        <v>0.6333333333333333</v>
      </c>
      <c r="AD114" s="1079">
        <f>+AD113</f>
        <v>0.46133333333333332</v>
      </c>
      <c r="AE114" s="1078"/>
      <c r="AF114" s="1078"/>
      <c r="AG114" s="1078"/>
      <c r="AH114" s="1078"/>
      <c r="AI114" s="1078"/>
      <c r="AJ114" s="1078"/>
      <c r="AK114" s="1100">
        <f>+AK113</f>
        <v>0.5</v>
      </c>
      <c r="AL114" s="1108"/>
      <c r="AM114" s="1097">
        <f>+AM113</f>
        <v>0.13333333333333333</v>
      </c>
      <c r="AN114" s="1108"/>
      <c r="AO114" s="1108"/>
      <c r="AP114" s="1108"/>
      <c r="AQ114" s="1108"/>
      <c r="AR114" s="1108"/>
      <c r="AS114" s="1108"/>
      <c r="AT114" s="1108"/>
      <c r="AU114" s="1108"/>
      <c r="AV114" s="1108"/>
      <c r="AW114" s="1108"/>
      <c r="AX114" s="1100">
        <f>+AX113</f>
        <v>0.7</v>
      </c>
      <c r="AY114" s="1108"/>
      <c r="AZ114" s="1097">
        <f>+AZ113</f>
        <v>0.60000000000000009</v>
      </c>
      <c r="BA114" s="1040"/>
      <c r="BB114" s="1040"/>
      <c r="BC114" s="1040"/>
      <c r="BD114" s="1040"/>
      <c r="BE114" s="1040"/>
      <c r="BF114" s="1040"/>
      <c r="BG114" s="1040"/>
      <c r="BH114" s="1040"/>
      <c r="BI114" s="1040"/>
      <c r="BJ114" s="1040"/>
      <c r="BK114" s="1120">
        <f>+BK113</f>
        <v>0.66666666666666663</v>
      </c>
      <c r="BL114" s="1040"/>
      <c r="BM114" s="1120">
        <f>+BM113</f>
        <v>0.75</v>
      </c>
      <c r="BN114" s="721"/>
      <c r="BO114" s="721"/>
      <c r="BP114" s="721"/>
      <c r="BQ114" s="721"/>
      <c r="BR114" s="721"/>
      <c r="BS114" s="721"/>
      <c r="BT114" s="721"/>
      <c r="BU114" s="721"/>
      <c r="BV114" s="721"/>
      <c r="BW114" s="721"/>
      <c r="BX114" s="721"/>
      <c r="BY114" s="721"/>
      <c r="BZ114" s="721"/>
      <c r="CA114" s="721"/>
      <c r="CB114" s="721"/>
      <c r="CC114" s="721"/>
      <c r="CD114" s="721"/>
      <c r="CE114" s="721"/>
      <c r="CF114" s="721"/>
      <c r="CG114" s="721"/>
      <c r="CH114" s="721"/>
      <c r="CI114" s="721"/>
      <c r="CJ114" s="721"/>
      <c r="CK114" s="721"/>
      <c r="CL114" s="721"/>
      <c r="CM114" s="721"/>
      <c r="CN114" s="721"/>
      <c r="CO114" s="721"/>
      <c r="CP114" s="721"/>
      <c r="CQ114" s="721"/>
      <c r="CR114" s="721"/>
      <c r="CS114" s="721"/>
      <c r="CT114" s="721"/>
      <c r="CU114" s="721"/>
      <c r="CV114" s="721"/>
      <c r="CW114" s="721"/>
      <c r="CX114" s="721"/>
    </row>
    <row r="115" spans="1:102" ht="12" customHeight="1" x14ac:dyDescent="0.2">
      <c r="A115" s="1871"/>
      <c r="B115" s="739"/>
      <c r="C115" s="740"/>
      <c r="D115" s="740"/>
      <c r="E115" s="741"/>
      <c r="F115" s="741"/>
      <c r="G115" s="741"/>
      <c r="H115" s="741"/>
      <c r="I115" s="741"/>
      <c r="J115" s="741"/>
      <c r="K115" s="741"/>
      <c r="L115" s="741"/>
      <c r="M115" s="741"/>
      <c r="N115" s="741"/>
      <c r="O115" s="741"/>
      <c r="P115" s="741"/>
      <c r="Q115" s="741"/>
      <c r="R115" s="741"/>
      <c r="S115" s="741"/>
      <c r="T115" s="739"/>
      <c r="U115" s="740"/>
      <c r="V115" s="740"/>
      <c r="W115" s="1114"/>
      <c r="X115" s="1115"/>
      <c r="Y115" s="1115"/>
      <c r="Z115" s="1115"/>
      <c r="AA115" s="1115"/>
      <c r="AB115" s="1115"/>
      <c r="AC115" s="1115"/>
      <c r="AD115" s="1115"/>
      <c r="AE115" s="1115"/>
      <c r="AF115" s="1115"/>
      <c r="AG115" s="1115"/>
      <c r="AH115" s="1115"/>
      <c r="AI115" s="1115"/>
      <c r="AJ115" s="1115"/>
      <c r="AK115" s="1116">
        <f>+((AK114+AK109+AK101+AK90+AK84+AK76+AK55+AK39)/8)</f>
        <v>0.69612517361111115</v>
      </c>
      <c r="AL115" s="1117"/>
      <c r="AM115" s="1118">
        <f>+((AM114+AM109+AM101+AM90+AM84+AM76+AM55+AM39)/8)</f>
        <v>0.14621747976544702</v>
      </c>
      <c r="AN115" s="1117"/>
      <c r="AO115" s="1117"/>
      <c r="AP115" s="1117"/>
      <c r="AQ115" s="1117"/>
      <c r="AR115" s="1117"/>
      <c r="AS115" s="1117"/>
      <c r="AT115" s="1117"/>
      <c r="AU115" s="1117"/>
      <c r="AV115" s="1117"/>
      <c r="AW115" s="1117"/>
      <c r="AX115" s="1116">
        <f>+((AX114+AX109+AX101+AX90+AX84+AX76+AX55+AX39)/8)</f>
        <v>0.72772512949145174</v>
      </c>
      <c r="AY115" s="1117"/>
      <c r="AZ115" s="1118">
        <f>+((AZ114+AZ109+AZ101+AZ90+AZ84+AZ76+AZ55+AZ39)/8)</f>
        <v>0.49612336898206527</v>
      </c>
      <c r="BA115" s="1040"/>
      <c r="BB115" s="1040"/>
      <c r="BC115" s="1040"/>
      <c r="BD115" s="1040"/>
      <c r="BE115" s="1040"/>
      <c r="BF115" s="1040"/>
      <c r="BG115" s="1040"/>
      <c r="BH115" s="1040"/>
      <c r="BI115" s="1040"/>
      <c r="BJ115" s="1040"/>
      <c r="BK115" s="1040"/>
      <c r="BL115" s="1040"/>
      <c r="BM115" s="1118">
        <f>+((BM114+BM109+BM101+BM90+BM84+BM76+BM55+BM39)/8)</f>
        <v>0.67001979831488723</v>
      </c>
      <c r="BN115" s="721"/>
      <c r="BO115" s="721"/>
      <c r="BP115" s="721"/>
      <c r="BQ115" s="721"/>
      <c r="BR115" s="721"/>
      <c r="BS115" s="721"/>
      <c r="BT115" s="721"/>
      <c r="BU115" s="721"/>
      <c r="BV115" s="721"/>
      <c r="BW115" s="721"/>
      <c r="BX115" s="721"/>
      <c r="BY115" s="721"/>
      <c r="BZ115" s="721"/>
      <c r="CA115" s="721"/>
      <c r="CB115" s="721"/>
      <c r="CC115" s="721"/>
      <c r="CD115" s="721"/>
      <c r="CE115" s="721"/>
      <c r="CF115" s="721"/>
      <c r="CG115" s="721"/>
      <c r="CH115" s="721"/>
      <c r="CI115" s="721"/>
      <c r="CJ115" s="721"/>
      <c r="CK115" s="721"/>
      <c r="CL115" s="721"/>
      <c r="CM115" s="721"/>
      <c r="CN115" s="721"/>
      <c r="CO115" s="721"/>
      <c r="CP115" s="721"/>
      <c r="CQ115" s="721"/>
      <c r="CR115" s="721"/>
      <c r="CS115" s="721"/>
      <c r="CT115" s="721"/>
      <c r="CU115" s="721"/>
      <c r="CV115" s="721"/>
      <c r="CW115" s="721"/>
      <c r="CX115" s="721"/>
    </row>
    <row r="116" spans="1:102" ht="12" customHeight="1" x14ac:dyDescent="0.2">
      <c r="A116" s="721"/>
      <c r="B116" s="721"/>
      <c r="C116" s="721"/>
      <c r="D116" s="721"/>
      <c r="E116" s="721"/>
      <c r="F116" s="721"/>
      <c r="G116" s="721"/>
      <c r="H116" s="721"/>
      <c r="I116" s="721"/>
      <c r="J116" s="721"/>
      <c r="K116" s="721"/>
      <c r="L116" s="721"/>
      <c r="M116" s="721"/>
      <c r="N116" s="721"/>
      <c r="O116" s="721"/>
      <c r="P116" s="721"/>
      <c r="Q116" s="721"/>
      <c r="R116" s="721"/>
      <c r="S116" s="721"/>
      <c r="T116" s="721"/>
      <c r="U116" s="721"/>
      <c r="V116" s="721"/>
      <c r="W116" s="204"/>
      <c r="X116" s="723"/>
      <c r="Y116" s="723"/>
      <c r="Z116" s="723"/>
      <c r="AA116" s="723"/>
      <c r="AB116" s="723"/>
      <c r="AC116" s="723"/>
      <c r="AD116" s="723"/>
      <c r="AE116" s="723"/>
      <c r="AF116" s="723"/>
      <c r="AG116" s="723"/>
      <c r="AH116" s="723"/>
      <c r="AI116" s="723"/>
      <c r="AJ116" s="723"/>
      <c r="AK116" s="723"/>
      <c r="AL116" s="723"/>
      <c r="AM116" s="721"/>
      <c r="AN116" s="721"/>
      <c r="AO116" s="723"/>
      <c r="AP116" s="721"/>
      <c r="AQ116" s="723"/>
      <c r="AR116" s="721"/>
      <c r="AS116" s="723"/>
      <c r="AT116" s="721"/>
      <c r="AU116" s="723"/>
      <c r="AV116" s="721"/>
      <c r="AW116" s="721"/>
      <c r="AX116" s="721"/>
      <c r="AY116" s="721"/>
      <c r="AZ116" s="721"/>
      <c r="BA116" s="721"/>
      <c r="BB116" s="721"/>
      <c r="BC116" s="721"/>
      <c r="BD116" s="721"/>
      <c r="BE116" s="721"/>
      <c r="BF116" s="721"/>
      <c r="BG116" s="721"/>
      <c r="BH116" s="721"/>
      <c r="BI116" s="721"/>
      <c r="BJ116" s="721"/>
      <c r="BK116" s="721"/>
      <c r="BL116" s="721"/>
      <c r="BM116" s="721"/>
      <c r="BN116" s="721"/>
      <c r="BO116" s="721"/>
      <c r="BP116" s="721"/>
      <c r="BQ116" s="721"/>
      <c r="BR116" s="721"/>
      <c r="BS116" s="721"/>
      <c r="BT116" s="721"/>
      <c r="BU116" s="721"/>
      <c r="BV116" s="721"/>
      <c r="BW116" s="721"/>
      <c r="BX116" s="721"/>
      <c r="BY116" s="721"/>
      <c r="BZ116" s="721"/>
      <c r="CA116" s="721"/>
      <c r="CB116" s="721"/>
      <c r="CC116" s="721"/>
      <c r="CD116" s="721"/>
      <c r="CE116" s="721"/>
      <c r="CF116" s="721"/>
      <c r="CG116" s="721"/>
      <c r="CH116" s="721"/>
      <c r="CI116" s="721"/>
      <c r="CJ116" s="721"/>
      <c r="CK116" s="721"/>
      <c r="CL116" s="721"/>
      <c r="CM116" s="721"/>
      <c r="CN116" s="721"/>
      <c r="CO116" s="721"/>
      <c r="CP116" s="721"/>
      <c r="CQ116" s="721"/>
      <c r="CR116" s="721"/>
      <c r="CS116" s="721"/>
      <c r="CT116" s="721"/>
      <c r="CU116" s="721"/>
      <c r="CV116" s="721"/>
      <c r="CW116" s="721"/>
      <c r="CX116" s="721"/>
    </row>
    <row r="117" spans="1:102" ht="12" customHeight="1" x14ac:dyDescent="0.2">
      <c r="A117" s="721"/>
      <c r="B117" s="721"/>
      <c r="C117" s="721"/>
      <c r="D117" s="721"/>
      <c r="E117" s="721"/>
      <c r="F117" s="721"/>
      <c r="G117" s="721"/>
      <c r="H117" s="721"/>
      <c r="I117" s="721"/>
      <c r="J117" s="721"/>
      <c r="K117" s="721"/>
      <c r="L117" s="721"/>
      <c r="M117" s="721"/>
      <c r="N117" s="721"/>
      <c r="O117" s="721"/>
      <c r="P117" s="721"/>
      <c r="Q117" s="721"/>
      <c r="R117" s="721"/>
      <c r="S117" s="721"/>
      <c r="T117" s="721"/>
      <c r="U117" s="721"/>
      <c r="V117" s="721"/>
      <c r="W117" s="204"/>
      <c r="X117" s="723"/>
      <c r="Y117" s="723"/>
      <c r="Z117" s="723"/>
      <c r="AA117" s="723"/>
      <c r="AB117" s="723"/>
      <c r="AC117" s="723"/>
      <c r="AD117" s="723"/>
      <c r="AE117" s="723"/>
      <c r="AF117" s="723"/>
      <c r="AG117" s="723"/>
      <c r="AH117" s="723"/>
      <c r="AI117" s="723"/>
      <c r="AJ117" s="723"/>
      <c r="AK117" s="723"/>
      <c r="AL117" s="723"/>
      <c r="AM117" s="721"/>
      <c r="AN117" s="721"/>
      <c r="AO117" s="723"/>
      <c r="AP117" s="721"/>
      <c r="AQ117" s="723"/>
      <c r="AR117" s="721"/>
      <c r="AS117" s="723"/>
      <c r="AT117" s="721"/>
      <c r="AU117" s="723"/>
      <c r="AV117" s="721"/>
      <c r="AW117" s="721"/>
      <c r="AX117" s="721"/>
      <c r="AY117" s="721"/>
      <c r="AZ117" s="721"/>
      <c r="BA117" s="721"/>
      <c r="BB117" s="721"/>
      <c r="BC117" s="721"/>
      <c r="BD117" s="721"/>
      <c r="BE117" s="721"/>
      <c r="BF117" s="721"/>
      <c r="BG117" s="721"/>
      <c r="BH117" s="721"/>
      <c r="BI117" s="721"/>
      <c r="BJ117" s="721"/>
      <c r="BK117" s="721"/>
      <c r="BL117" s="721"/>
      <c r="BM117" s="721"/>
      <c r="BN117" s="721"/>
      <c r="BO117" s="721"/>
      <c r="BP117" s="721"/>
      <c r="BQ117" s="721"/>
      <c r="BR117" s="721"/>
      <c r="BS117" s="721"/>
      <c r="BT117" s="721"/>
      <c r="BU117" s="721"/>
      <c r="BV117" s="721"/>
      <c r="BW117" s="721"/>
      <c r="BX117" s="721"/>
      <c r="BY117" s="721"/>
      <c r="BZ117" s="721"/>
      <c r="CA117" s="721"/>
      <c r="CB117" s="721"/>
      <c r="CC117" s="721"/>
      <c r="CD117" s="721"/>
      <c r="CE117" s="721"/>
      <c r="CF117" s="721"/>
      <c r="CG117" s="721"/>
      <c r="CH117" s="721"/>
      <c r="CI117" s="721"/>
      <c r="CJ117" s="721"/>
      <c r="CK117" s="721"/>
      <c r="CL117" s="721"/>
      <c r="CM117" s="721"/>
      <c r="CN117" s="721"/>
      <c r="CO117" s="721"/>
      <c r="CP117" s="721"/>
      <c r="CQ117" s="721"/>
      <c r="CR117" s="721"/>
      <c r="CS117" s="721"/>
      <c r="CT117" s="721"/>
      <c r="CU117" s="721"/>
      <c r="CV117" s="721"/>
      <c r="CW117" s="721"/>
      <c r="CX117" s="721"/>
    </row>
    <row r="118" spans="1:102" ht="12" customHeight="1" x14ac:dyDescent="0.2">
      <c r="A118" s="721"/>
      <c r="B118" s="721"/>
      <c r="C118" s="721"/>
      <c r="D118" s="721"/>
      <c r="E118" s="721"/>
      <c r="F118" s="721"/>
      <c r="G118" s="721"/>
      <c r="H118" s="721"/>
      <c r="I118" s="721"/>
      <c r="J118" s="721"/>
      <c r="K118" s="721"/>
      <c r="L118" s="721"/>
      <c r="M118" s="721"/>
      <c r="N118" s="721"/>
      <c r="O118" s="721"/>
      <c r="P118" s="721"/>
      <c r="Q118" s="721"/>
      <c r="R118" s="721"/>
      <c r="S118" s="721"/>
      <c r="T118" s="721"/>
      <c r="U118" s="721"/>
      <c r="V118" s="721"/>
      <c r="W118" s="204"/>
      <c r="X118" s="723"/>
      <c r="Y118" s="723"/>
      <c r="Z118" s="723"/>
      <c r="AA118" s="723"/>
      <c r="AB118" s="723"/>
      <c r="AC118" s="723"/>
      <c r="AD118" s="723"/>
      <c r="AE118" s="723"/>
      <c r="AF118" s="723"/>
      <c r="AG118" s="723"/>
      <c r="AH118" s="723"/>
      <c r="AI118" s="723"/>
      <c r="AJ118" s="723"/>
      <c r="AK118" s="723"/>
      <c r="AL118" s="723"/>
      <c r="AM118" s="721"/>
      <c r="AN118" s="721"/>
      <c r="AO118" s="723"/>
      <c r="AP118" s="721"/>
      <c r="AQ118" s="723"/>
      <c r="AR118" s="721"/>
      <c r="AS118" s="723"/>
      <c r="AT118" s="721"/>
      <c r="AU118" s="723"/>
      <c r="AV118" s="721"/>
      <c r="AW118" s="721"/>
      <c r="AX118" s="721"/>
      <c r="AY118" s="721"/>
      <c r="AZ118" s="721"/>
      <c r="BA118" s="721"/>
      <c r="BB118" s="721"/>
      <c r="BC118" s="721"/>
      <c r="BD118" s="721"/>
      <c r="BE118" s="721"/>
      <c r="BF118" s="721"/>
      <c r="BG118" s="721"/>
      <c r="BH118" s="721"/>
      <c r="BI118" s="721"/>
      <c r="BJ118" s="721"/>
      <c r="BK118" s="721"/>
      <c r="BL118" s="721"/>
      <c r="BM118" s="721"/>
      <c r="BN118" s="721"/>
      <c r="BO118" s="721"/>
      <c r="BP118" s="721"/>
      <c r="BQ118" s="721"/>
      <c r="BR118" s="721"/>
      <c r="BS118" s="721"/>
      <c r="BT118" s="721"/>
      <c r="BU118" s="721"/>
      <c r="BV118" s="721"/>
      <c r="BW118" s="721"/>
      <c r="BX118" s="721"/>
      <c r="BY118" s="721"/>
      <c r="BZ118" s="721"/>
      <c r="CA118" s="721"/>
      <c r="CB118" s="721"/>
      <c r="CC118" s="721"/>
      <c r="CD118" s="721"/>
      <c r="CE118" s="721"/>
      <c r="CF118" s="721"/>
      <c r="CG118" s="721"/>
      <c r="CH118" s="721"/>
      <c r="CI118" s="721"/>
      <c r="CJ118" s="721"/>
      <c r="CK118" s="721"/>
      <c r="CL118" s="721"/>
      <c r="CM118" s="721"/>
      <c r="CN118" s="721"/>
      <c r="CO118" s="721"/>
      <c r="CP118" s="721"/>
      <c r="CQ118" s="721"/>
      <c r="CR118" s="721"/>
      <c r="CS118" s="721"/>
      <c r="CT118" s="721"/>
      <c r="CU118" s="721"/>
      <c r="CV118" s="721"/>
      <c r="CW118" s="721"/>
      <c r="CX118" s="721"/>
    </row>
    <row r="119" spans="1:102" ht="12" customHeight="1" x14ac:dyDescent="0.2">
      <c r="A119" s="721"/>
      <c r="B119" s="721"/>
      <c r="C119" s="721"/>
      <c r="D119" s="721"/>
      <c r="E119" s="721"/>
      <c r="F119" s="721"/>
      <c r="G119" s="721"/>
      <c r="H119" s="721"/>
      <c r="I119" s="721"/>
      <c r="J119" s="721"/>
      <c r="K119" s="721"/>
      <c r="L119" s="721"/>
      <c r="M119" s="721"/>
      <c r="N119" s="721"/>
      <c r="O119" s="721"/>
      <c r="P119" s="721"/>
      <c r="Q119" s="721"/>
      <c r="R119" s="721"/>
      <c r="S119" s="721"/>
      <c r="T119" s="721"/>
      <c r="U119" s="721"/>
      <c r="V119" s="721"/>
      <c r="W119" s="204"/>
      <c r="X119" s="723"/>
      <c r="Y119" s="723"/>
      <c r="Z119" s="723"/>
      <c r="AA119" s="723"/>
      <c r="AB119" s="723"/>
      <c r="AC119" s="723"/>
      <c r="AD119" s="723"/>
      <c r="AE119" s="723"/>
      <c r="AF119" s="723"/>
      <c r="AG119" s="723"/>
      <c r="AH119" s="723"/>
      <c r="AI119" s="723"/>
      <c r="AJ119" s="723"/>
      <c r="AK119" s="723"/>
      <c r="AL119" s="723"/>
      <c r="AM119" s="721"/>
      <c r="AN119" s="721"/>
      <c r="AO119" s="723"/>
      <c r="AP119" s="721"/>
      <c r="AQ119" s="723"/>
      <c r="AR119" s="721"/>
      <c r="AS119" s="723"/>
      <c r="AT119" s="721"/>
      <c r="AU119" s="723"/>
      <c r="AV119" s="721"/>
      <c r="AW119" s="721"/>
      <c r="AX119" s="721"/>
      <c r="AY119" s="721"/>
      <c r="AZ119" s="721"/>
      <c r="BA119" s="721"/>
      <c r="BB119" s="721"/>
      <c r="BC119" s="721"/>
      <c r="BD119" s="721"/>
      <c r="BE119" s="721"/>
      <c r="BF119" s="721"/>
      <c r="BG119" s="721"/>
      <c r="BH119" s="721"/>
      <c r="BI119" s="721"/>
      <c r="BJ119" s="721"/>
      <c r="BK119" s="721"/>
      <c r="BL119" s="721"/>
      <c r="BM119" s="721"/>
      <c r="BN119" s="721"/>
      <c r="BO119" s="721"/>
      <c r="BP119" s="721"/>
      <c r="BQ119" s="721"/>
      <c r="BR119" s="721"/>
      <c r="BS119" s="721"/>
      <c r="BT119" s="721"/>
      <c r="BU119" s="721"/>
      <c r="BV119" s="721"/>
      <c r="BW119" s="721"/>
      <c r="BX119" s="721"/>
      <c r="BY119" s="721"/>
      <c r="BZ119" s="721"/>
      <c r="CA119" s="721"/>
      <c r="CB119" s="721"/>
      <c r="CC119" s="721"/>
      <c r="CD119" s="721"/>
      <c r="CE119" s="721"/>
      <c r="CF119" s="721"/>
      <c r="CG119" s="721"/>
      <c r="CH119" s="721"/>
      <c r="CI119" s="721"/>
      <c r="CJ119" s="721"/>
      <c r="CK119" s="721"/>
      <c r="CL119" s="721"/>
      <c r="CM119" s="721"/>
      <c r="CN119" s="721"/>
      <c r="CO119" s="721"/>
      <c r="CP119" s="721"/>
      <c r="CQ119" s="721"/>
      <c r="CR119" s="721"/>
      <c r="CS119" s="721"/>
      <c r="CT119" s="721"/>
      <c r="CU119" s="721"/>
      <c r="CV119" s="721"/>
      <c r="CW119" s="721"/>
      <c r="CX119" s="721"/>
    </row>
    <row r="120" spans="1:102" ht="12" customHeight="1" x14ac:dyDescent="0.2">
      <c r="A120" s="721"/>
      <c r="B120" s="721"/>
      <c r="C120" s="721"/>
      <c r="D120" s="721"/>
      <c r="E120" s="721"/>
      <c r="F120" s="721"/>
      <c r="G120" s="721"/>
      <c r="H120" s="721"/>
      <c r="I120" s="721"/>
      <c r="J120" s="721"/>
      <c r="K120" s="721"/>
      <c r="L120" s="721"/>
      <c r="M120" s="721"/>
      <c r="N120" s="721"/>
      <c r="O120" s="721"/>
      <c r="P120" s="721"/>
      <c r="Q120" s="721"/>
      <c r="R120" s="721"/>
      <c r="S120" s="721"/>
      <c r="T120" s="721"/>
      <c r="U120" s="721"/>
      <c r="V120" s="721"/>
      <c r="W120" s="204"/>
      <c r="X120" s="723"/>
      <c r="Y120" s="723"/>
      <c r="Z120" s="723"/>
      <c r="AA120" s="723"/>
      <c r="AB120" s="723"/>
      <c r="AC120" s="723"/>
      <c r="AD120" s="723"/>
      <c r="AE120" s="723"/>
      <c r="AF120" s="723"/>
      <c r="AG120" s="723"/>
      <c r="AH120" s="723"/>
      <c r="AI120" s="723"/>
      <c r="AJ120" s="723"/>
      <c r="AK120" s="723"/>
      <c r="AL120" s="723"/>
      <c r="AM120" s="721"/>
      <c r="AN120" s="721"/>
      <c r="AO120" s="723"/>
      <c r="AP120" s="721"/>
      <c r="AQ120" s="723"/>
      <c r="AR120" s="721"/>
      <c r="AS120" s="723"/>
      <c r="AT120" s="721"/>
      <c r="AU120" s="723"/>
      <c r="AV120" s="721"/>
      <c r="AW120" s="721"/>
      <c r="AX120" s="721"/>
      <c r="AY120" s="721"/>
      <c r="AZ120" s="721"/>
      <c r="BA120" s="721"/>
      <c r="BB120" s="721"/>
      <c r="BC120" s="721"/>
      <c r="BD120" s="721"/>
      <c r="BE120" s="721"/>
      <c r="BF120" s="721"/>
      <c r="BG120" s="721"/>
      <c r="BH120" s="721"/>
      <c r="BI120" s="721"/>
      <c r="BJ120" s="721"/>
      <c r="BK120" s="721"/>
      <c r="BL120" s="721"/>
      <c r="BM120" s="721"/>
      <c r="BN120" s="721"/>
      <c r="BO120" s="721"/>
      <c r="BP120" s="721"/>
      <c r="BQ120" s="721"/>
      <c r="BR120" s="721"/>
      <c r="BS120" s="721"/>
      <c r="BT120" s="721"/>
      <c r="BU120" s="721"/>
      <c r="BV120" s="721"/>
      <c r="BW120" s="721"/>
      <c r="BX120" s="721"/>
      <c r="BY120" s="721"/>
      <c r="BZ120" s="721"/>
      <c r="CA120" s="721"/>
      <c r="CB120" s="721"/>
      <c r="CC120" s="721"/>
      <c r="CD120" s="721"/>
      <c r="CE120" s="721"/>
      <c r="CF120" s="721"/>
      <c r="CG120" s="721"/>
      <c r="CH120" s="721"/>
      <c r="CI120" s="721"/>
      <c r="CJ120" s="721"/>
      <c r="CK120" s="721"/>
      <c r="CL120" s="721"/>
      <c r="CM120" s="721"/>
      <c r="CN120" s="721"/>
      <c r="CO120" s="721"/>
      <c r="CP120" s="721"/>
      <c r="CQ120" s="721"/>
      <c r="CR120" s="721"/>
      <c r="CS120" s="721"/>
      <c r="CT120" s="721"/>
      <c r="CU120" s="721"/>
      <c r="CV120" s="721"/>
      <c r="CW120" s="721"/>
      <c r="CX120" s="721"/>
    </row>
    <row r="121" spans="1:102" ht="12" customHeight="1" x14ac:dyDescent="0.2">
      <c r="A121" s="721"/>
      <c r="B121" s="721"/>
      <c r="C121" s="721"/>
      <c r="D121" s="721"/>
      <c r="E121" s="721"/>
      <c r="F121" s="721"/>
      <c r="G121" s="721"/>
      <c r="H121" s="721"/>
      <c r="I121" s="721"/>
      <c r="J121" s="721"/>
      <c r="K121" s="721"/>
      <c r="L121" s="721"/>
      <c r="M121" s="721"/>
      <c r="N121" s="721"/>
      <c r="O121" s="721"/>
      <c r="P121" s="721"/>
      <c r="Q121" s="721"/>
      <c r="R121" s="721"/>
      <c r="S121" s="721"/>
      <c r="T121" s="721"/>
      <c r="U121" s="721"/>
      <c r="V121" s="721"/>
      <c r="W121" s="204"/>
      <c r="X121" s="723"/>
      <c r="Y121" s="723"/>
      <c r="Z121" s="723"/>
      <c r="AA121" s="723"/>
      <c r="AB121" s="723"/>
      <c r="AC121" s="723"/>
      <c r="AD121" s="723"/>
      <c r="AE121" s="723"/>
      <c r="AF121" s="723"/>
      <c r="AG121" s="723"/>
      <c r="AH121" s="723"/>
      <c r="AI121" s="723"/>
      <c r="AJ121" s="723"/>
      <c r="AK121" s="723"/>
      <c r="AL121" s="723"/>
      <c r="AM121" s="721"/>
      <c r="AN121" s="721"/>
      <c r="AO121" s="723"/>
      <c r="AP121" s="721"/>
      <c r="AQ121" s="723"/>
      <c r="AR121" s="721"/>
      <c r="AS121" s="723"/>
      <c r="AT121" s="721"/>
      <c r="AU121" s="723"/>
      <c r="AV121" s="721"/>
      <c r="AW121" s="721"/>
      <c r="AX121" s="721"/>
      <c r="AY121" s="721"/>
      <c r="AZ121" s="721"/>
      <c r="BA121" s="721"/>
      <c r="BB121" s="721"/>
      <c r="BC121" s="721"/>
      <c r="BD121" s="721"/>
      <c r="BE121" s="721"/>
      <c r="BF121" s="721"/>
      <c r="BG121" s="721"/>
      <c r="BH121" s="721"/>
      <c r="BI121" s="721"/>
      <c r="BJ121" s="721"/>
      <c r="BK121" s="721"/>
      <c r="BL121" s="721"/>
      <c r="BM121" s="721"/>
      <c r="BN121" s="721"/>
      <c r="BO121" s="721"/>
      <c r="BP121" s="721"/>
      <c r="BQ121" s="721"/>
      <c r="BR121" s="721"/>
      <c r="BS121" s="721"/>
      <c r="BT121" s="721"/>
      <c r="BU121" s="721"/>
      <c r="BV121" s="721"/>
      <c r="BW121" s="721"/>
      <c r="BX121" s="721"/>
      <c r="BY121" s="721"/>
      <c r="BZ121" s="721"/>
      <c r="CA121" s="721"/>
      <c r="CB121" s="721"/>
      <c r="CC121" s="721"/>
      <c r="CD121" s="721"/>
      <c r="CE121" s="721"/>
      <c r="CF121" s="721"/>
      <c r="CG121" s="721"/>
      <c r="CH121" s="721"/>
      <c r="CI121" s="721"/>
      <c r="CJ121" s="721"/>
      <c r="CK121" s="721"/>
      <c r="CL121" s="721"/>
      <c r="CM121" s="721"/>
      <c r="CN121" s="721"/>
      <c r="CO121" s="721"/>
      <c r="CP121" s="721"/>
      <c r="CQ121" s="721"/>
      <c r="CR121" s="721"/>
      <c r="CS121" s="721"/>
      <c r="CT121" s="721"/>
      <c r="CU121" s="721"/>
      <c r="CV121" s="721"/>
      <c r="CW121" s="721"/>
      <c r="CX121" s="721"/>
    </row>
    <row r="122" spans="1:102" ht="12" customHeight="1" x14ac:dyDescent="0.2">
      <c r="A122" s="721"/>
      <c r="B122" s="721"/>
      <c r="C122" s="721"/>
      <c r="D122" s="721"/>
      <c r="E122" s="721"/>
      <c r="F122" s="721"/>
      <c r="G122" s="721"/>
      <c r="H122" s="721"/>
      <c r="I122" s="721"/>
      <c r="J122" s="721"/>
      <c r="K122" s="721"/>
      <c r="L122" s="721"/>
      <c r="M122" s="721"/>
      <c r="N122" s="721"/>
      <c r="O122" s="721"/>
      <c r="P122" s="721"/>
      <c r="Q122" s="721"/>
      <c r="R122" s="721"/>
      <c r="S122" s="721"/>
      <c r="T122" s="721"/>
      <c r="U122" s="721"/>
      <c r="V122" s="721"/>
      <c r="W122" s="204"/>
      <c r="X122" s="723"/>
      <c r="Y122" s="723"/>
      <c r="Z122" s="723"/>
      <c r="AA122" s="723"/>
      <c r="AB122" s="723"/>
      <c r="AC122" s="723"/>
      <c r="AD122" s="723"/>
      <c r="AE122" s="723"/>
      <c r="AF122" s="723"/>
      <c r="AG122" s="723"/>
      <c r="AH122" s="723"/>
      <c r="AI122" s="723"/>
      <c r="AJ122" s="723"/>
      <c r="AK122" s="723"/>
      <c r="AL122" s="723"/>
      <c r="AM122" s="721"/>
      <c r="AN122" s="721"/>
      <c r="AO122" s="723"/>
      <c r="AP122" s="721"/>
      <c r="AQ122" s="723"/>
      <c r="AR122" s="721"/>
      <c r="AS122" s="723"/>
      <c r="AT122" s="721"/>
      <c r="AU122" s="723"/>
      <c r="AV122" s="721"/>
      <c r="AW122" s="721"/>
      <c r="AX122" s="721"/>
      <c r="AY122" s="721"/>
      <c r="AZ122" s="721"/>
      <c r="BA122" s="721"/>
      <c r="BB122" s="721"/>
      <c r="BC122" s="721"/>
      <c r="BD122" s="721"/>
      <c r="BE122" s="721"/>
      <c r="BF122" s="721"/>
      <c r="BG122" s="721"/>
      <c r="BH122" s="721"/>
      <c r="BI122" s="721"/>
      <c r="BJ122" s="721"/>
      <c r="BK122" s="721"/>
      <c r="BL122" s="721"/>
      <c r="BM122" s="721"/>
      <c r="BN122" s="721"/>
      <c r="BO122" s="721"/>
      <c r="BP122" s="721"/>
      <c r="BQ122" s="721"/>
      <c r="BR122" s="721"/>
      <c r="BS122" s="721"/>
      <c r="BT122" s="721"/>
      <c r="BU122" s="721"/>
      <c r="BV122" s="721"/>
      <c r="BW122" s="721"/>
      <c r="BX122" s="721"/>
      <c r="BY122" s="721"/>
      <c r="BZ122" s="721"/>
      <c r="CA122" s="721"/>
      <c r="CB122" s="721"/>
      <c r="CC122" s="721"/>
      <c r="CD122" s="721"/>
      <c r="CE122" s="721"/>
      <c r="CF122" s="721"/>
      <c r="CG122" s="721"/>
      <c r="CH122" s="721"/>
      <c r="CI122" s="721"/>
      <c r="CJ122" s="721"/>
      <c r="CK122" s="721"/>
      <c r="CL122" s="721"/>
      <c r="CM122" s="721"/>
      <c r="CN122" s="721"/>
      <c r="CO122" s="721"/>
      <c r="CP122" s="721"/>
      <c r="CQ122" s="721"/>
      <c r="CR122" s="721"/>
      <c r="CS122" s="721"/>
      <c r="CT122" s="721"/>
      <c r="CU122" s="721"/>
      <c r="CV122" s="721"/>
      <c r="CW122" s="721"/>
      <c r="CX122" s="721"/>
    </row>
    <row r="123" spans="1:102" ht="12" customHeight="1" x14ac:dyDescent="0.2">
      <c r="A123" s="721"/>
      <c r="B123" s="721"/>
      <c r="C123" s="721"/>
      <c r="D123" s="721"/>
      <c r="E123" s="721"/>
      <c r="F123" s="721"/>
      <c r="G123" s="721"/>
      <c r="H123" s="721"/>
      <c r="I123" s="721"/>
      <c r="J123" s="721"/>
      <c r="K123" s="721"/>
      <c r="L123" s="721"/>
      <c r="M123" s="721"/>
      <c r="N123" s="721"/>
      <c r="O123" s="721"/>
      <c r="P123" s="721"/>
      <c r="Q123" s="721"/>
      <c r="R123" s="721"/>
      <c r="S123" s="721"/>
      <c r="T123" s="721"/>
      <c r="U123" s="721"/>
      <c r="V123" s="721"/>
      <c r="W123" s="204"/>
      <c r="X123" s="723"/>
      <c r="Y123" s="723"/>
      <c r="Z123" s="723"/>
      <c r="AA123" s="723"/>
      <c r="AB123" s="723"/>
      <c r="AC123" s="723"/>
      <c r="AD123" s="723"/>
      <c r="AE123" s="723"/>
      <c r="AF123" s="723"/>
      <c r="AG123" s="723"/>
      <c r="AH123" s="723"/>
      <c r="AI123" s="723"/>
      <c r="AJ123" s="723"/>
      <c r="AK123" s="723"/>
      <c r="AL123" s="723"/>
      <c r="AM123" s="721"/>
      <c r="AN123" s="721"/>
      <c r="AO123" s="723"/>
      <c r="AP123" s="721"/>
      <c r="AQ123" s="723"/>
      <c r="AR123" s="721"/>
      <c r="AS123" s="723"/>
      <c r="AT123" s="721"/>
      <c r="AU123" s="723"/>
      <c r="AV123" s="721"/>
      <c r="AW123" s="721"/>
      <c r="AX123" s="721"/>
      <c r="AY123" s="721"/>
      <c r="AZ123" s="721"/>
      <c r="BA123" s="721"/>
      <c r="BB123" s="721"/>
      <c r="BC123" s="721"/>
      <c r="BD123" s="721"/>
      <c r="BE123" s="721"/>
      <c r="BF123" s="721"/>
      <c r="BG123" s="721"/>
      <c r="BH123" s="721"/>
      <c r="BI123" s="721"/>
      <c r="BJ123" s="721"/>
      <c r="BK123" s="721"/>
      <c r="BL123" s="721"/>
      <c r="BM123" s="721"/>
      <c r="BN123" s="721"/>
      <c r="BO123" s="721"/>
      <c r="BP123" s="721"/>
      <c r="BQ123" s="721"/>
      <c r="BR123" s="721"/>
      <c r="BS123" s="721"/>
      <c r="BT123" s="721"/>
      <c r="BU123" s="721"/>
      <c r="BV123" s="721"/>
      <c r="BW123" s="721"/>
      <c r="BX123" s="721"/>
      <c r="BY123" s="721"/>
      <c r="BZ123" s="721"/>
      <c r="CA123" s="721"/>
      <c r="CB123" s="721"/>
      <c r="CC123" s="721"/>
      <c r="CD123" s="721"/>
      <c r="CE123" s="721"/>
      <c r="CF123" s="721"/>
      <c r="CG123" s="721"/>
      <c r="CH123" s="721"/>
      <c r="CI123" s="721"/>
      <c r="CJ123" s="721"/>
      <c r="CK123" s="721"/>
      <c r="CL123" s="721"/>
      <c r="CM123" s="721"/>
      <c r="CN123" s="721"/>
      <c r="CO123" s="721"/>
      <c r="CP123" s="721"/>
      <c r="CQ123" s="721"/>
      <c r="CR123" s="721"/>
      <c r="CS123" s="721"/>
      <c r="CT123" s="721"/>
      <c r="CU123" s="721"/>
      <c r="CV123" s="721"/>
      <c r="CW123" s="721"/>
      <c r="CX123" s="721"/>
    </row>
    <row r="124" spans="1:102" ht="12" customHeight="1" x14ac:dyDescent="0.2">
      <c r="A124" s="721"/>
      <c r="B124" s="721"/>
      <c r="C124" s="721"/>
      <c r="D124" s="721"/>
      <c r="E124" s="721"/>
      <c r="F124" s="721"/>
      <c r="G124" s="721"/>
      <c r="H124" s="721"/>
      <c r="I124" s="721"/>
      <c r="J124" s="721"/>
      <c r="K124" s="721"/>
      <c r="L124" s="721"/>
      <c r="M124" s="721"/>
      <c r="N124" s="721"/>
      <c r="O124" s="721"/>
      <c r="P124" s="721"/>
      <c r="Q124" s="721"/>
      <c r="R124" s="721"/>
      <c r="S124" s="721"/>
      <c r="T124" s="721"/>
      <c r="U124" s="721"/>
      <c r="V124" s="721"/>
      <c r="W124" s="204"/>
      <c r="X124" s="723"/>
      <c r="Y124" s="723"/>
      <c r="Z124" s="723"/>
      <c r="AA124" s="723"/>
      <c r="AB124" s="723"/>
      <c r="AC124" s="723"/>
      <c r="AD124" s="723"/>
      <c r="AE124" s="723"/>
      <c r="AF124" s="723"/>
      <c r="AG124" s="723"/>
      <c r="AH124" s="723"/>
      <c r="AI124" s="723"/>
      <c r="AJ124" s="723"/>
      <c r="AK124" s="723"/>
      <c r="AL124" s="723"/>
      <c r="AM124" s="721"/>
      <c r="AN124" s="721"/>
      <c r="AO124" s="723"/>
      <c r="AP124" s="721"/>
      <c r="AQ124" s="723"/>
      <c r="AR124" s="721"/>
      <c r="AS124" s="723"/>
      <c r="AT124" s="721"/>
      <c r="AU124" s="723"/>
      <c r="AV124" s="721"/>
      <c r="AW124" s="721"/>
      <c r="AX124" s="721"/>
      <c r="AY124" s="721"/>
      <c r="AZ124" s="721"/>
      <c r="BA124" s="721"/>
      <c r="BB124" s="721"/>
      <c r="BC124" s="721"/>
      <c r="BD124" s="721"/>
      <c r="BE124" s="721"/>
      <c r="BF124" s="721"/>
      <c r="BG124" s="721"/>
      <c r="BH124" s="721"/>
      <c r="BI124" s="721"/>
      <c r="BJ124" s="721"/>
      <c r="BK124" s="721"/>
      <c r="BL124" s="721"/>
      <c r="BM124" s="721"/>
      <c r="BN124" s="721"/>
      <c r="BO124" s="721"/>
      <c r="BP124" s="721"/>
      <c r="BQ124" s="721"/>
      <c r="BR124" s="721"/>
      <c r="BS124" s="721"/>
      <c r="BT124" s="721"/>
      <c r="BU124" s="721"/>
      <c r="BV124" s="721"/>
      <c r="BW124" s="721"/>
      <c r="BX124" s="721"/>
      <c r="BY124" s="721"/>
      <c r="BZ124" s="721"/>
      <c r="CA124" s="721"/>
      <c r="CB124" s="721"/>
      <c r="CC124" s="721"/>
      <c r="CD124" s="721"/>
      <c r="CE124" s="721"/>
      <c r="CF124" s="721"/>
      <c r="CG124" s="721"/>
      <c r="CH124" s="721"/>
      <c r="CI124" s="721"/>
      <c r="CJ124" s="721"/>
      <c r="CK124" s="721"/>
      <c r="CL124" s="721"/>
      <c r="CM124" s="721"/>
      <c r="CN124" s="721"/>
      <c r="CO124" s="721"/>
      <c r="CP124" s="721"/>
      <c r="CQ124" s="721"/>
      <c r="CR124" s="721"/>
      <c r="CS124" s="721"/>
      <c r="CT124" s="721"/>
      <c r="CU124" s="721"/>
      <c r="CV124" s="721"/>
      <c r="CW124" s="721"/>
      <c r="CX124" s="721"/>
    </row>
    <row r="125" spans="1:102" ht="12" customHeight="1" x14ac:dyDescent="0.2">
      <c r="A125" s="721"/>
      <c r="B125" s="721"/>
      <c r="C125" s="721"/>
      <c r="D125" s="721"/>
      <c r="E125" s="721"/>
      <c r="F125" s="721"/>
      <c r="G125" s="721"/>
      <c r="H125" s="721"/>
      <c r="I125" s="721"/>
      <c r="J125" s="721"/>
      <c r="K125" s="721"/>
      <c r="L125" s="721"/>
      <c r="M125" s="721"/>
      <c r="N125" s="721"/>
      <c r="O125" s="721"/>
      <c r="P125" s="721"/>
      <c r="Q125" s="721"/>
      <c r="R125" s="721"/>
      <c r="S125" s="721"/>
      <c r="T125" s="721"/>
      <c r="U125" s="721"/>
      <c r="V125" s="721"/>
      <c r="W125" s="204"/>
      <c r="X125" s="723"/>
      <c r="Y125" s="723"/>
      <c r="Z125" s="723"/>
      <c r="AA125" s="723"/>
      <c r="AB125" s="723"/>
      <c r="AC125" s="723"/>
      <c r="AD125" s="723"/>
      <c r="AE125" s="723"/>
      <c r="AF125" s="723"/>
      <c r="AG125" s="723"/>
      <c r="AH125" s="723"/>
      <c r="AI125" s="723"/>
      <c r="AJ125" s="723"/>
      <c r="AK125" s="723"/>
      <c r="AL125" s="723"/>
      <c r="AM125" s="721"/>
      <c r="AN125" s="721"/>
      <c r="AO125" s="723"/>
      <c r="AP125" s="721"/>
      <c r="AQ125" s="723"/>
      <c r="AR125" s="721"/>
      <c r="AS125" s="723"/>
      <c r="AT125" s="721"/>
      <c r="AU125" s="723"/>
      <c r="AV125" s="721"/>
      <c r="AW125" s="721"/>
      <c r="AX125" s="721"/>
      <c r="AY125" s="721"/>
      <c r="AZ125" s="721"/>
      <c r="BA125" s="721"/>
      <c r="BB125" s="721"/>
      <c r="BC125" s="721"/>
      <c r="BD125" s="721"/>
      <c r="BE125" s="721"/>
      <c r="BF125" s="721"/>
      <c r="BG125" s="721"/>
      <c r="BH125" s="721"/>
      <c r="BI125" s="721"/>
      <c r="BJ125" s="721"/>
      <c r="BK125" s="721"/>
      <c r="BL125" s="721"/>
      <c r="BM125" s="721"/>
      <c r="BN125" s="721"/>
      <c r="BO125" s="721"/>
      <c r="BP125" s="721"/>
      <c r="BQ125" s="721"/>
      <c r="BR125" s="721"/>
      <c r="BS125" s="721"/>
      <c r="BT125" s="721"/>
      <c r="BU125" s="721"/>
      <c r="BV125" s="721"/>
      <c r="BW125" s="721"/>
      <c r="BX125" s="721"/>
      <c r="BY125" s="721"/>
      <c r="BZ125" s="721"/>
      <c r="CA125" s="721"/>
      <c r="CB125" s="721"/>
      <c r="CC125" s="721"/>
      <c r="CD125" s="721"/>
      <c r="CE125" s="721"/>
      <c r="CF125" s="721"/>
      <c r="CG125" s="721"/>
      <c r="CH125" s="721"/>
      <c r="CI125" s="721"/>
      <c r="CJ125" s="721"/>
      <c r="CK125" s="721"/>
      <c r="CL125" s="721"/>
      <c r="CM125" s="721"/>
      <c r="CN125" s="721"/>
      <c r="CO125" s="721"/>
      <c r="CP125" s="721"/>
      <c r="CQ125" s="721"/>
      <c r="CR125" s="721"/>
      <c r="CS125" s="721"/>
      <c r="CT125" s="721"/>
      <c r="CU125" s="721"/>
      <c r="CV125" s="721"/>
      <c r="CW125" s="721"/>
      <c r="CX125" s="721"/>
    </row>
    <row r="126" spans="1:102" ht="12" customHeight="1" x14ac:dyDescent="0.2">
      <c r="A126" s="721"/>
      <c r="B126" s="721"/>
      <c r="C126" s="721"/>
      <c r="D126" s="721"/>
      <c r="E126" s="721"/>
      <c r="F126" s="721"/>
      <c r="G126" s="721"/>
      <c r="H126" s="721"/>
      <c r="I126" s="721"/>
      <c r="J126" s="721"/>
      <c r="K126" s="721"/>
      <c r="L126" s="721"/>
      <c r="M126" s="721"/>
      <c r="N126" s="721"/>
      <c r="O126" s="721"/>
      <c r="P126" s="721"/>
      <c r="Q126" s="721"/>
      <c r="R126" s="721"/>
      <c r="S126" s="721"/>
      <c r="T126" s="721"/>
      <c r="U126" s="721"/>
      <c r="V126" s="721"/>
      <c r="W126" s="204"/>
      <c r="X126" s="723"/>
      <c r="Y126" s="723"/>
      <c r="Z126" s="723"/>
      <c r="AA126" s="723"/>
      <c r="AB126" s="723"/>
      <c r="AC126" s="723"/>
      <c r="AD126" s="723"/>
      <c r="AE126" s="723"/>
      <c r="AF126" s="723"/>
      <c r="AG126" s="723"/>
      <c r="AH126" s="723"/>
      <c r="AI126" s="723"/>
      <c r="AJ126" s="723"/>
      <c r="AK126" s="723"/>
      <c r="AL126" s="723"/>
      <c r="AM126" s="721"/>
      <c r="AN126" s="721"/>
      <c r="AO126" s="723"/>
      <c r="AP126" s="721"/>
      <c r="AQ126" s="723"/>
      <c r="AR126" s="721"/>
      <c r="AS126" s="723"/>
      <c r="AT126" s="721"/>
      <c r="AU126" s="723"/>
      <c r="AV126" s="721"/>
      <c r="AW126" s="721"/>
      <c r="AX126" s="721"/>
      <c r="AY126" s="721"/>
      <c r="AZ126" s="721"/>
      <c r="BA126" s="721"/>
      <c r="BB126" s="721"/>
      <c r="BC126" s="721"/>
      <c r="BD126" s="721"/>
      <c r="BE126" s="721"/>
      <c r="BF126" s="721"/>
      <c r="BG126" s="721"/>
      <c r="BH126" s="721"/>
      <c r="BI126" s="721"/>
      <c r="BJ126" s="721"/>
      <c r="BK126" s="721"/>
      <c r="BL126" s="721"/>
      <c r="BM126" s="721"/>
      <c r="BN126" s="721"/>
      <c r="BO126" s="721"/>
      <c r="BP126" s="721"/>
      <c r="BQ126" s="721"/>
      <c r="BR126" s="721"/>
      <c r="BS126" s="721"/>
      <c r="BT126" s="721"/>
      <c r="BU126" s="721"/>
      <c r="BV126" s="721"/>
      <c r="BW126" s="721"/>
      <c r="BX126" s="721"/>
      <c r="BY126" s="721"/>
      <c r="BZ126" s="721"/>
      <c r="CA126" s="721"/>
      <c r="CB126" s="721"/>
      <c r="CC126" s="721"/>
      <c r="CD126" s="721"/>
      <c r="CE126" s="721"/>
      <c r="CF126" s="721"/>
      <c r="CG126" s="721"/>
      <c r="CH126" s="721"/>
      <c r="CI126" s="721"/>
      <c r="CJ126" s="721"/>
      <c r="CK126" s="721"/>
      <c r="CL126" s="721"/>
      <c r="CM126" s="721"/>
      <c r="CN126" s="721"/>
      <c r="CO126" s="721"/>
      <c r="CP126" s="721"/>
      <c r="CQ126" s="721"/>
      <c r="CR126" s="721"/>
      <c r="CS126" s="721"/>
      <c r="CT126" s="721"/>
      <c r="CU126" s="721"/>
      <c r="CV126" s="721"/>
      <c r="CW126" s="721"/>
      <c r="CX126" s="721"/>
    </row>
    <row r="127" spans="1:102" ht="12" customHeight="1" x14ac:dyDescent="0.2">
      <c r="A127" s="721"/>
      <c r="B127" s="721"/>
      <c r="C127" s="721"/>
      <c r="D127" s="721"/>
      <c r="E127" s="721"/>
      <c r="F127" s="721"/>
      <c r="G127" s="721"/>
      <c r="H127" s="721"/>
      <c r="I127" s="721"/>
      <c r="J127" s="721"/>
      <c r="K127" s="721"/>
      <c r="L127" s="721"/>
      <c r="M127" s="721"/>
      <c r="N127" s="721"/>
      <c r="O127" s="721"/>
      <c r="P127" s="721"/>
      <c r="Q127" s="721"/>
      <c r="R127" s="721"/>
      <c r="S127" s="721"/>
      <c r="T127" s="721"/>
      <c r="U127" s="721"/>
      <c r="V127" s="721"/>
      <c r="W127" s="204"/>
      <c r="X127" s="723"/>
      <c r="Y127" s="723"/>
      <c r="Z127" s="723"/>
      <c r="AA127" s="723"/>
      <c r="AB127" s="723"/>
      <c r="AC127" s="723"/>
      <c r="AD127" s="723"/>
      <c r="AE127" s="723"/>
      <c r="AF127" s="723"/>
      <c r="AG127" s="723"/>
      <c r="AH127" s="723"/>
      <c r="AI127" s="723"/>
      <c r="AJ127" s="723"/>
      <c r="AK127" s="723"/>
      <c r="AL127" s="723"/>
      <c r="AM127" s="721"/>
      <c r="AN127" s="721"/>
      <c r="AO127" s="723"/>
      <c r="AP127" s="721"/>
      <c r="AQ127" s="723"/>
      <c r="AR127" s="721"/>
      <c r="AS127" s="723"/>
      <c r="AT127" s="721"/>
      <c r="AU127" s="723"/>
      <c r="AV127" s="721"/>
      <c r="AW127" s="721"/>
      <c r="AX127" s="721"/>
      <c r="AY127" s="721"/>
      <c r="AZ127" s="721"/>
      <c r="BA127" s="721"/>
      <c r="BB127" s="721"/>
      <c r="BC127" s="721"/>
      <c r="BD127" s="721"/>
      <c r="BE127" s="721"/>
      <c r="BF127" s="721"/>
      <c r="BG127" s="721"/>
      <c r="BH127" s="721"/>
      <c r="BI127" s="721"/>
      <c r="BJ127" s="721"/>
      <c r="BK127" s="721"/>
      <c r="BL127" s="721"/>
      <c r="BM127" s="721"/>
      <c r="BN127" s="721"/>
      <c r="BO127" s="721"/>
      <c r="BP127" s="721"/>
      <c r="BQ127" s="721"/>
      <c r="BR127" s="721"/>
      <c r="BS127" s="721"/>
      <c r="BT127" s="721"/>
      <c r="BU127" s="721"/>
      <c r="BV127" s="721"/>
      <c r="BW127" s="721"/>
      <c r="BX127" s="721"/>
      <c r="BY127" s="721"/>
      <c r="BZ127" s="721"/>
      <c r="CA127" s="721"/>
      <c r="CB127" s="721"/>
      <c r="CC127" s="721"/>
      <c r="CD127" s="721"/>
      <c r="CE127" s="721"/>
      <c r="CF127" s="721"/>
      <c r="CG127" s="721"/>
      <c r="CH127" s="721"/>
      <c r="CI127" s="721"/>
      <c r="CJ127" s="721"/>
      <c r="CK127" s="721"/>
      <c r="CL127" s="721"/>
      <c r="CM127" s="721"/>
      <c r="CN127" s="721"/>
      <c r="CO127" s="721"/>
      <c r="CP127" s="721"/>
      <c r="CQ127" s="721"/>
      <c r="CR127" s="721"/>
      <c r="CS127" s="721"/>
      <c r="CT127" s="721"/>
      <c r="CU127" s="721"/>
      <c r="CV127" s="721"/>
      <c r="CW127" s="721"/>
      <c r="CX127" s="721"/>
    </row>
    <row r="128" spans="1:102" ht="12" customHeight="1" x14ac:dyDescent="0.2">
      <c r="A128" s="721"/>
      <c r="B128" s="721"/>
      <c r="C128" s="721"/>
      <c r="D128" s="721"/>
      <c r="E128" s="721"/>
      <c r="F128" s="721"/>
      <c r="G128" s="721"/>
      <c r="H128" s="721"/>
      <c r="I128" s="721"/>
      <c r="J128" s="721"/>
      <c r="K128" s="721"/>
      <c r="L128" s="721"/>
      <c r="M128" s="721"/>
      <c r="N128" s="721"/>
      <c r="O128" s="721"/>
      <c r="P128" s="721"/>
      <c r="Q128" s="721"/>
      <c r="R128" s="721"/>
      <c r="S128" s="721"/>
      <c r="T128" s="721"/>
      <c r="U128" s="721"/>
      <c r="V128" s="721"/>
      <c r="W128" s="204"/>
      <c r="X128" s="723"/>
      <c r="Y128" s="723"/>
      <c r="Z128" s="723"/>
      <c r="AA128" s="723"/>
      <c r="AB128" s="723"/>
      <c r="AC128" s="723"/>
      <c r="AD128" s="723"/>
      <c r="AE128" s="723"/>
      <c r="AF128" s="723"/>
      <c r="AG128" s="723"/>
      <c r="AH128" s="723"/>
      <c r="AI128" s="723"/>
      <c r="AJ128" s="723"/>
      <c r="AK128" s="723"/>
      <c r="AL128" s="723"/>
      <c r="AM128" s="721"/>
      <c r="AN128" s="721"/>
      <c r="AO128" s="723"/>
      <c r="AP128" s="721"/>
      <c r="AQ128" s="723"/>
      <c r="AR128" s="721"/>
      <c r="AS128" s="723"/>
      <c r="AT128" s="721"/>
      <c r="AU128" s="723"/>
      <c r="AV128" s="721"/>
      <c r="AW128" s="721"/>
      <c r="AX128" s="721"/>
      <c r="AY128" s="721"/>
      <c r="AZ128" s="721"/>
      <c r="BA128" s="721"/>
      <c r="BB128" s="721"/>
      <c r="BC128" s="721"/>
      <c r="BD128" s="721"/>
      <c r="BE128" s="721"/>
      <c r="BF128" s="721"/>
      <c r="BG128" s="721"/>
      <c r="BH128" s="721"/>
      <c r="BI128" s="721"/>
      <c r="BJ128" s="721"/>
      <c r="BK128" s="721"/>
      <c r="BL128" s="721"/>
      <c r="BM128" s="721"/>
      <c r="BN128" s="721"/>
      <c r="BO128" s="721"/>
      <c r="BP128" s="721"/>
      <c r="BQ128" s="721"/>
      <c r="BR128" s="721"/>
      <c r="BS128" s="721"/>
      <c r="BT128" s="721"/>
      <c r="BU128" s="721"/>
      <c r="BV128" s="721"/>
      <c r="BW128" s="721"/>
      <c r="BX128" s="721"/>
      <c r="BY128" s="721"/>
      <c r="BZ128" s="721"/>
      <c r="CA128" s="721"/>
      <c r="CB128" s="721"/>
      <c r="CC128" s="721"/>
      <c r="CD128" s="721"/>
      <c r="CE128" s="721"/>
      <c r="CF128" s="721"/>
      <c r="CG128" s="721"/>
      <c r="CH128" s="721"/>
      <c r="CI128" s="721"/>
      <c r="CJ128" s="721"/>
      <c r="CK128" s="721"/>
      <c r="CL128" s="721"/>
      <c r="CM128" s="721"/>
      <c r="CN128" s="721"/>
      <c r="CO128" s="721"/>
      <c r="CP128" s="721"/>
      <c r="CQ128" s="721"/>
      <c r="CR128" s="721"/>
      <c r="CS128" s="721"/>
      <c r="CT128" s="721"/>
      <c r="CU128" s="721"/>
      <c r="CV128" s="721"/>
      <c r="CW128" s="721"/>
      <c r="CX128" s="721"/>
    </row>
    <row r="129" spans="1:102" ht="12" customHeight="1" x14ac:dyDescent="0.2">
      <c r="A129" s="721"/>
      <c r="B129" s="721"/>
      <c r="C129" s="721"/>
      <c r="D129" s="721"/>
      <c r="E129" s="721"/>
      <c r="F129" s="721"/>
      <c r="G129" s="721"/>
      <c r="H129" s="721"/>
      <c r="I129" s="721"/>
      <c r="J129" s="721"/>
      <c r="K129" s="721"/>
      <c r="L129" s="721"/>
      <c r="M129" s="721"/>
      <c r="N129" s="721"/>
      <c r="O129" s="721"/>
      <c r="P129" s="721"/>
      <c r="Q129" s="721"/>
      <c r="R129" s="721"/>
      <c r="S129" s="721"/>
      <c r="T129" s="721"/>
      <c r="U129" s="721"/>
      <c r="V129" s="721"/>
      <c r="W129" s="204"/>
      <c r="X129" s="723"/>
      <c r="Y129" s="723"/>
      <c r="Z129" s="723"/>
      <c r="AA129" s="723"/>
      <c r="AB129" s="723"/>
      <c r="AC129" s="723"/>
      <c r="AD129" s="723"/>
      <c r="AE129" s="723"/>
      <c r="AF129" s="723"/>
      <c r="AG129" s="723"/>
      <c r="AH129" s="723"/>
      <c r="AI129" s="723"/>
      <c r="AJ129" s="723"/>
      <c r="AK129" s="723"/>
      <c r="AL129" s="723"/>
      <c r="AM129" s="721"/>
      <c r="AN129" s="721"/>
      <c r="AO129" s="723"/>
      <c r="AP129" s="721"/>
      <c r="AQ129" s="723"/>
      <c r="AR129" s="721"/>
      <c r="AS129" s="723"/>
      <c r="AT129" s="721"/>
      <c r="AU129" s="723"/>
      <c r="AV129" s="721"/>
      <c r="AW129" s="721"/>
      <c r="AX129" s="721"/>
      <c r="AY129" s="721"/>
      <c r="AZ129" s="721"/>
      <c r="BA129" s="721"/>
      <c r="BB129" s="721"/>
      <c r="BC129" s="721"/>
      <c r="BD129" s="721"/>
      <c r="BE129" s="721"/>
      <c r="BF129" s="721"/>
      <c r="BG129" s="721"/>
      <c r="BH129" s="721"/>
      <c r="BI129" s="721"/>
      <c r="BJ129" s="721"/>
      <c r="BK129" s="721"/>
      <c r="BL129" s="721"/>
      <c r="BM129" s="721"/>
      <c r="BN129" s="721"/>
      <c r="BO129" s="721"/>
      <c r="BP129" s="721"/>
      <c r="BQ129" s="721"/>
      <c r="BR129" s="721"/>
      <c r="BS129" s="721"/>
      <c r="BT129" s="721"/>
      <c r="BU129" s="721"/>
      <c r="BV129" s="721"/>
      <c r="BW129" s="721"/>
      <c r="BX129" s="721"/>
      <c r="BY129" s="721"/>
      <c r="BZ129" s="721"/>
      <c r="CA129" s="721"/>
      <c r="CB129" s="721"/>
      <c r="CC129" s="721"/>
      <c r="CD129" s="721"/>
      <c r="CE129" s="721"/>
      <c r="CF129" s="721"/>
      <c r="CG129" s="721"/>
      <c r="CH129" s="721"/>
      <c r="CI129" s="721"/>
      <c r="CJ129" s="721"/>
      <c r="CK129" s="721"/>
      <c r="CL129" s="721"/>
      <c r="CM129" s="721"/>
      <c r="CN129" s="721"/>
      <c r="CO129" s="721"/>
      <c r="CP129" s="721"/>
      <c r="CQ129" s="721"/>
      <c r="CR129" s="721"/>
      <c r="CS129" s="721"/>
      <c r="CT129" s="721"/>
      <c r="CU129" s="721"/>
      <c r="CV129" s="721"/>
      <c r="CW129" s="721"/>
      <c r="CX129" s="721"/>
    </row>
    <row r="130" spans="1:102" ht="12" customHeight="1" x14ac:dyDescent="0.2">
      <c r="A130" s="721"/>
      <c r="B130" s="721"/>
      <c r="C130" s="721"/>
      <c r="D130" s="721"/>
      <c r="E130" s="721"/>
      <c r="F130" s="721"/>
      <c r="G130" s="721"/>
      <c r="H130" s="721"/>
      <c r="I130" s="721"/>
      <c r="J130" s="721"/>
      <c r="K130" s="721"/>
      <c r="L130" s="721"/>
      <c r="M130" s="721"/>
      <c r="N130" s="721"/>
      <c r="O130" s="721"/>
      <c r="P130" s="721"/>
      <c r="Q130" s="721"/>
      <c r="R130" s="721"/>
      <c r="S130" s="721"/>
      <c r="T130" s="721"/>
      <c r="U130" s="721"/>
      <c r="V130" s="721"/>
      <c r="W130" s="204"/>
      <c r="X130" s="723"/>
      <c r="Y130" s="723"/>
      <c r="Z130" s="723"/>
      <c r="AA130" s="723"/>
      <c r="AB130" s="723"/>
      <c r="AC130" s="723"/>
      <c r="AD130" s="723"/>
      <c r="AE130" s="723"/>
      <c r="AF130" s="723"/>
      <c r="AG130" s="723"/>
      <c r="AH130" s="723"/>
      <c r="AI130" s="723"/>
      <c r="AJ130" s="723"/>
      <c r="AK130" s="723"/>
      <c r="AL130" s="723"/>
      <c r="AM130" s="721"/>
      <c r="AN130" s="721"/>
      <c r="AO130" s="723"/>
      <c r="AP130" s="721"/>
      <c r="AQ130" s="723"/>
      <c r="AR130" s="721"/>
      <c r="AS130" s="723"/>
      <c r="AT130" s="721"/>
      <c r="AU130" s="723"/>
      <c r="AV130" s="721"/>
      <c r="AW130" s="721"/>
      <c r="AX130" s="721"/>
      <c r="AY130" s="721"/>
      <c r="AZ130" s="721"/>
      <c r="BA130" s="721"/>
      <c r="BB130" s="721"/>
      <c r="BC130" s="721"/>
      <c r="BD130" s="721"/>
      <c r="BE130" s="721"/>
      <c r="BF130" s="721"/>
      <c r="BG130" s="721"/>
      <c r="BH130" s="721"/>
      <c r="BI130" s="721"/>
      <c r="BJ130" s="721"/>
      <c r="BK130" s="721"/>
      <c r="BL130" s="721"/>
      <c r="BM130" s="721"/>
      <c r="BN130" s="721"/>
      <c r="BO130" s="721"/>
      <c r="BP130" s="721"/>
      <c r="BQ130" s="721"/>
      <c r="BR130" s="721"/>
      <c r="BS130" s="721"/>
      <c r="BT130" s="721"/>
      <c r="BU130" s="721"/>
      <c r="BV130" s="721"/>
      <c r="BW130" s="721"/>
      <c r="BX130" s="721"/>
      <c r="BY130" s="721"/>
      <c r="BZ130" s="721"/>
      <c r="CA130" s="721"/>
      <c r="CB130" s="721"/>
      <c r="CC130" s="721"/>
      <c r="CD130" s="721"/>
      <c r="CE130" s="721"/>
      <c r="CF130" s="721"/>
      <c r="CG130" s="721"/>
      <c r="CH130" s="721"/>
      <c r="CI130" s="721"/>
      <c r="CJ130" s="721"/>
      <c r="CK130" s="721"/>
      <c r="CL130" s="721"/>
      <c r="CM130" s="721"/>
      <c r="CN130" s="721"/>
      <c r="CO130" s="721"/>
      <c r="CP130" s="721"/>
      <c r="CQ130" s="721"/>
      <c r="CR130" s="721"/>
      <c r="CS130" s="721"/>
      <c r="CT130" s="721"/>
      <c r="CU130" s="721"/>
      <c r="CV130" s="721"/>
      <c r="CW130" s="721"/>
      <c r="CX130" s="721"/>
    </row>
    <row r="131" spans="1:102" ht="12" customHeight="1" x14ac:dyDescent="0.2">
      <c r="A131" s="721"/>
      <c r="B131" s="721"/>
      <c r="C131" s="721"/>
      <c r="D131" s="721"/>
      <c r="E131" s="721"/>
      <c r="F131" s="721"/>
      <c r="G131" s="721"/>
      <c r="H131" s="721"/>
      <c r="I131" s="721"/>
      <c r="J131" s="721"/>
      <c r="K131" s="721"/>
      <c r="L131" s="721"/>
      <c r="M131" s="721"/>
      <c r="N131" s="721"/>
      <c r="O131" s="721"/>
      <c r="P131" s="721"/>
      <c r="Q131" s="721"/>
      <c r="R131" s="721"/>
      <c r="S131" s="721"/>
      <c r="T131" s="721"/>
      <c r="U131" s="721"/>
      <c r="V131" s="721"/>
      <c r="W131" s="204"/>
      <c r="X131" s="723"/>
      <c r="Y131" s="723"/>
      <c r="Z131" s="723"/>
      <c r="AA131" s="723"/>
      <c r="AB131" s="723"/>
      <c r="AC131" s="723"/>
      <c r="AD131" s="723"/>
      <c r="AE131" s="723"/>
      <c r="AF131" s="723"/>
      <c r="AG131" s="723"/>
      <c r="AH131" s="723"/>
      <c r="AI131" s="723"/>
      <c r="AJ131" s="723"/>
      <c r="AK131" s="723"/>
      <c r="AL131" s="723"/>
      <c r="AM131" s="721"/>
      <c r="AN131" s="721"/>
      <c r="AO131" s="723"/>
      <c r="AP131" s="721"/>
      <c r="AQ131" s="723"/>
      <c r="AR131" s="721"/>
      <c r="AS131" s="723"/>
      <c r="AT131" s="721"/>
      <c r="AU131" s="723"/>
      <c r="AV131" s="721"/>
      <c r="AW131" s="721"/>
      <c r="AX131" s="721"/>
      <c r="AY131" s="721"/>
      <c r="AZ131" s="721"/>
      <c r="BA131" s="721"/>
      <c r="BB131" s="721"/>
      <c r="BC131" s="721"/>
      <c r="BD131" s="721"/>
      <c r="BE131" s="721"/>
      <c r="BF131" s="721"/>
      <c r="BG131" s="721"/>
      <c r="BH131" s="721"/>
      <c r="BI131" s="721"/>
      <c r="BJ131" s="721"/>
      <c r="BK131" s="721"/>
      <c r="BL131" s="721"/>
      <c r="BM131" s="721"/>
      <c r="BN131" s="721"/>
      <c r="BO131" s="721"/>
      <c r="BP131" s="721"/>
      <c r="BQ131" s="721"/>
      <c r="BR131" s="721"/>
      <c r="BS131" s="721"/>
      <c r="BT131" s="721"/>
      <c r="BU131" s="721"/>
      <c r="BV131" s="721"/>
      <c r="BW131" s="721"/>
      <c r="BX131" s="721"/>
      <c r="BY131" s="721"/>
      <c r="BZ131" s="721"/>
      <c r="CA131" s="721"/>
      <c r="CB131" s="721"/>
      <c r="CC131" s="721"/>
      <c r="CD131" s="721"/>
      <c r="CE131" s="721"/>
      <c r="CF131" s="721"/>
      <c r="CG131" s="721"/>
      <c r="CH131" s="721"/>
      <c r="CI131" s="721"/>
      <c r="CJ131" s="721"/>
      <c r="CK131" s="721"/>
      <c r="CL131" s="721"/>
      <c r="CM131" s="721"/>
      <c r="CN131" s="721"/>
      <c r="CO131" s="721"/>
      <c r="CP131" s="721"/>
      <c r="CQ131" s="721"/>
      <c r="CR131" s="721"/>
      <c r="CS131" s="721"/>
      <c r="CT131" s="721"/>
      <c r="CU131" s="721"/>
      <c r="CV131" s="721"/>
      <c r="CW131" s="721"/>
      <c r="CX131" s="721"/>
    </row>
    <row r="132" spans="1:102" ht="12" customHeight="1" x14ac:dyDescent="0.2">
      <c r="A132" s="721"/>
      <c r="B132" s="721"/>
      <c r="C132" s="721"/>
      <c r="D132" s="721"/>
      <c r="E132" s="721"/>
      <c r="F132" s="721"/>
      <c r="G132" s="721"/>
      <c r="H132" s="721"/>
      <c r="I132" s="721"/>
      <c r="J132" s="721"/>
      <c r="K132" s="721"/>
      <c r="L132" s="721"/>
      <c r="M132" s="721"/>
      <c r="N132" s="721"/>
      <c r="O132" s="721"/>
      <c r="P132" s="721"/>
      <c r="Q132" s="721"/>
      <c r="R132" s="721"/>
      <c r="S132" s="721"/>
      <c r="T132" s="721"/>
      <c r="U132" s="721"/>
      <c r="V132" s="721"/>
      <c r="W132" s="204"/>
      <c r="X132" s="723"/>
      <c r="Y132" s="723"/>
      <c r="Z132" s="723"/>
      <c r="AA132" s="723"/>
      <c r="AB132" s="723"/>
      <c r="AC132" s="723"/>
      <c r="AD132" s="723"/>
      <c r="AE132" s="723"/>
      <c r="AF132" s="723"/>
      <c r="AG132" s="723"/>
      <c r="AH132" s="723"/>
      <c r="AI132" s="723"/>
      <c r="AJ132" s="723"/>
      <c r="AK132" s="723"/>
      <c r="AL132" s="723"/>
      <c r="AM132" s="721"/>
      <c r="AN132" s="721"/>
      <c r="AO132" s="723"/>
      <c r="AP132" s="721"/>
      <c r="AQ132" s="723"/>
      <c r="AR132" s="721"/>
      <c r="AS132" s="723"/>
      <c r="AT132" s="721"/>
      <c r="AU132" s="723"/>
      <c r="AV132" s="721"/>
      <c r="AW132" s="721"/>
      <c r="AX132" s="721"/>
      <c r="AY132" s="721"/>
      <c r="AZ132" s="721"/>
      <c r="BA132" s="721"/>
      <c r="BB132" s="721"/>
      <c r="BC132" s="721"/>
      <c r="BD132" s="721"/>
      <c r="BE132" s="721"/>
      <c r="BF132" s="721"/>
      <c r="BG132" s="721"/>
      <c r="BH132" s="721"/>
      <c r="BI132" s="721"/>
      <c r="BJ132" s="721"/>
      <c r="BK132" s="721"/>
      <c r="BL132" s="721"/>
      <c r="BM132" s="721"/>
      <c r="BN132" s="721"/>
      <c r="BO132" s="721"/>
      <c r="BP132" s="721"/>
      <c r="BQ132" s="721"/>
      <c r="BR132" s="721"/>
      <c r="BS132" s="721"/>
      <c r="BT132" s="721"/>
      <c r="BU132" s="721"/>
      <c r="BV132" s="721"/>
      <c r="BW132" s="721"/>
      <c r="BX132" s="721"/>
      <c r="BY132" s="721"/>
      <c r="BZ132" s="721"/>
      <c r="CA132" s="721"/>
      <c r="CB132" s="721"/>
      <c r="CC132" s="721"/>
      <c r="CD132" s="721"/>
      <c r="CE132" s="721"/>
      <c r="CF132" s="721"/>
      <c r="CG132" s="721"/>
      <c r="CH132" s="721"/>
      <c r="CI132" s="721"/>
      <c r="CJ132" s="721"/>
      <c r="CK132" s="721"/>
      <c r="CL132" s="721"/>
      <c r="CM132" s="721"/>
      <c r="CN132" s="721"/>
      <c r="CO132" s="721"/>
      <c r="CP132" s="721"/>
      <c r="CQ132" s="721"/>
      <c r="CR132" s="721"/>
      <c r="CS132" s="721"/>
      <c r="CT132" s="721"/>
      <c r="CU132" s="721"/>
      <c r="CV132" s="721"/>
      <c r="CW132" s="721"/>
      <c r="CX132" s="721"/>
    </row>
    <row r="133" spans="1:102" ht="12" customHeight="1" x14ac:dyDescent="0.2">
      <c r="A133" s="721"/>
      <c r="B133" s="721"/>
      <c r="C133" s="721"/>
      <c r="D133" s="721"/>
      <c r="E133" s="721"/>
      <c r="F133" s="721"/>
      <c r="G133" s="721"/>
      <c r="H133" s="721"/>
      <c r="I133" s="721"/>
      <c r="J133" s="721"/>
      <c r="K133" s="721"/>
      <c r="L133" s="721"/>
      <c r="M133" s="721"/>
      <c r="N133" s="721"/>
      <c r="O133" s="721"/>
      <c r="P133" s="721"/>
      <c r="Q133" s="721"/>
      <c r="R133" s="721"/>
      <c r="S133" s="721"/>
      <c r="T133" s="721"/>
      <c r="U133" s="721"/>
      <c r="V133" s="721"/>
      <c r="W133" s="204"/>
      <c r="X133" s="723"/>
      <c r="Y133" s="723"/>
      <c r="Z133" s="723"/>
      <c r="AA133" s="723"/>
      <c r="AB133" s="723"/>
      <c r="AC133" s="723"/>
      <c r="AD133" s="723"/>
      <c r="AE133" s="723"/>
      <c r="AF133" s="723"/>
      <c r="AG133" s="723"/>
      <c r="AH133" s="723"/>
      <c r="AI133" s="723"/>
      <c r="AJ133" s="723"/>
      <c r="AK133" s="723"/>
      <c r="AL133" s="723"/>
      <c r="AM133" s="721"/>
      <c r="AN133" s="721"/>
      <c r="AO133" s="723"/>
      <c r="AP133" s="721"/>
      <c r="AQ133" s="723"/>
      <c r="AR133" s="721"/>
      <c r="AS133" s="723"/>
      <c r="AT133" s="721"/>
      <c r="AU133" s="723"/>
      <c r="AV133" s="721"/>
      <c r="AW133" s="721"/>
      <c r="AX133" s="721"/>
      <c r="AY133" s="721"/>
      <c r="AZ133" s="721"/>
      <c r="BA133" s="721"/>
      <c r="BB133" s="721"/>
      <c r="BC133" s="721"/>
      <c r="BD133" s="721"/>
      <c r="BE133" s="721"/>
      <c r="BF133" s="721"/>
      <c r="BG133" s="721"/>
      <c r="BH133" s="721"/>
      <c r="BI133" s="721"/>
      <c r="BJ133" s="721"/>
      <c r="BK133" s="721"/>
      <c r="BL133" s="721"/>
      <c r="BM133" s="721"/>
      <c r="BN133" s="721"/>
      <c r="BO133" s="721"/>
      <c r="BP133" s="721"/>
      <c r="BQ133" s="721"/>
      <c r="BR133" s="721"/>
      <c r="BS133" s="721"/>
      <c r="BT133" s="721"/>
      <c r="BU133" s="721"/>
      <c r="BV133" s="721"/>
      <c r="BW133" s="721"/>
      <c r="BX133" s="721"/>
      <c r="BY133" s="721"/>
      <c r="BZ133" s="721"/>
      <c r="CA133" s="721"/>
      <c r="CB133" s="721"/>
      <c r="CC133" s="721"/>
      <c r="CD133" s="721"/>
      <c r="CE133" s="721"/>
      <c r="CF133" s="721"/>
      <c r="CG133" s="721"/>
      <c r="CH133" s="721"/>
      <c r="CI133" s="721"/>
      <c r="CJ133" s="721"/>
      <c r="CK133" s="721"/>
      <c r="CL133" s="721"/>
      <c r="CM133" s="721"/>
      <c r="CN133" s="721"/>
      <c r="CO133" s="721"/>
      <c r="CP133" s="721"/>
      <c r="CQ133" s="721"/>
      <c r="CR133" s="721"/>
      <c r="CS133" s="721"/>
      <c r="CT133" s="721"/>
      <c r="CU133" s="721"/>
      <c r="CV133" s="721"/>
      <c r="CW133" s="721"/>
      <c r="CX133" s="721"/>
    </row>
    <row r="134" spans="1:102" ht="12" customHeight="1" x14ac:dyDescent="0.2">
      <c r="A134" s="721"/>
      <c r="B134" s="721"/>
      <c r="C134" s="721"/>
      <c r="D134" s="721"/>
      <c r="E134" s="721"/>
      <c r="F134" s="721"/>
      <c r="G134" s="721"/>
      <c r="H134" s="721"/>
      <c r="I134" s="721"/>
      <c r="J134" s="721"/>
      <c r="K134" s="721"/>
      <c r="L134" s="721"/>
      <c r="M134" s="721"/>
      <c r="N134" s="721"/>
      <c r="O134" s="721"/>
      <c r="P134" s="721"/>
      <c r="Q134" s="721"/>
      <c r="R134" s="721"/>
      <c r="S134" s="721"/>
      <c r="T134" s="721"/>
      <c r="U134" s="721"/>
      <c r="V134" s="721"/>
      <c r="W134" s="204"/>
      <c r="X134" s="723"/>
      <c r="Y134" s="723"/>
      <c r="Z134" s="723"/>
      <c r="AA134" s="723"/>
      <c r="AB134" s="723"/>
      <c r="AC134" s="723"/>
      <c r="AD134" s="723"/>
      <c r="AE134" s="723"/>
      <c r="AF134" s="723"/>
      <c r="AG134" s="723"/>
      <c r="AH134" s="723"/>
      <c r="AI134" s="723"/>
      <c r="AJ134" s="723"/>
      <c r="AK134" s="723"/>
      <c r="AL134" s="723"/>
      <c r="AM134" s="721"/>
      <c r="AN134" s="721"/>
      <c r="AO134" s="723"/>
      <c r="AP134" s="721"/>
      <c r="AQ134" s="723"/>
      <c r="AR134" s="721"/>
      <c r="AS134" s="723"/>
      <c r="AT134" s="721"/>
      <c r="AU134" s="723"/>
      <c r="AV134" s="721"/>
      <c r="AW134" s="721"/>
      <c r="AX134" s="721"/>
      <c r="AY134" s="721"/>
      <c r="AZ134" s="721"/>
      <c r="BA134" s="721"/>
      <c r="BB134" s="721"/>
      <c r="BC134" s="721"/>
      <c r="BD134" s="721"/>
      <c r="BE134" s="721"/>
      <c r="BF134" s="721"/>
      <c r="BG134" s="721"/>
      <c r="BH134" s="721"/>
      <c r="BI134" s="721"/>
      <c r="BJ134" s="721"/>
      <c r="BK134" s="721"/>
      <c r="BL134" s="721"/>
      <c r="BM134" s="721"/>
      <c r="BN134" s="721"/>
      <c r="BO134" s="721"/>
      <c r="BP134" s="721"/>
      <c r="BQ134" s="721"/>
      <c r="BR134" s="721"/>
      <c r="BS134" s="721"/>
      <c r="BT134" s="721"/>
      <c r="BU134" s="721"/>
      <c r="BV134" s="721"/>
      <c r="BW134" s="721"/>
      <c r="BX134" s="721"/>
      <c r="BY134" s="721"/>
      <c r="BZ134" s="721"/>
      <c r="CA134" s="721"/>
      <c r="CB134" s="721"/>
      <c r="CC134" s="721"/>
      <c r="CD134" s="721"/>
      <c r="CE134" s="721"/>
      <c r="CF134" s="721"/>
      <c r="CG134" s="721"/>
      <c r="CH134" s="721"/>
      <c r="CI134" s="721"/>
      <c r="CJ134" s="721"/>
      <c r="CK134" s="721"/>
      <c r="CL134" s="721"/>
      <c r="CM134" s="721"/>
      <c r="CN134" s="721"/>
      <c r="CO134" s="721"/>
      <c r="CP134" s="721"/>
      <c r="CQ134" s="721"/>
      <c r="CR134" s="721"/>
      <c r="CS134" s="721"/>
      <c r="CT134" s="721"/>
      <c r="CU134" s="721"/>
      <c r="CV134" s="721"/>
      <c r="CW134" s="721"/>
      <c r="CX134" s="721"/>
    </row>
    <row r="135" spans="1:102" ht="12" customHeight="1" x14ac:dyDescent="0.2">
      <c r="A135" s="721"/>
      <c r="B135" s="721"/>
      <c r="C135" s="721"/>
      <c r="D135" s="721"/>
      <c r="E135" s="721"/>
      <c r="F135" s="721"/>
      <c r="G135" s="721"/>
      <c r="H135" s="721"/>
      <c r="I135" s="721"/>
      <c r="J135" s="721"/>
      <c r="K135" s="721"/>
      <c r="L135" s="721"/>
      <c r="M135" s="721"/>
      <c r="N135" s="721"/>
      <c r="O135" s="721"/>
      <c r="P135" s="721"/>
      <c r="Q135" s="721"/>
      <c r="R135" s="721"/>
      <c r="S135" s="721"/>
      <c r="T135" s="721"/>
      <c r="U135" s="721"/>
      <c r="V135" s="721"/>
      <c r="W135" s="204"/>
      <c r="X135" s="723"/>
      <c r="Y135" s="723"/>
      <c r="Z135" s="723"/>
      <c r="AA135" s="723"/>
      <c r="AB135" s="723"/>
      <c r="AC135" s="723"/>
      <c r="AD135" s="723"/>
      <c r="AE135" s="723"/>
      <c r="AF135" s="723"/>
      <c r="AG135" s="723"/>
      <c r="AH135" s="723"/>
      <c r="AI135" s="723"/>
      <c r="AJ135" s="723"/>
      <c r="AK135" s="723"/>
      <c r="AL135" s="723"/>
      <c r="AM135" s="721"/>
      <c r="AN135" s="721"/>
      <c r="AO135" s="723"/>
      <c r="AP135" s="721"/>
      <c r="AQ135" s="723"/>
      <c r="AR135" s="721"/>
      <c r="AS135" s="723"/>
      <c r="AT135" s="721"/>
      <c r="AU135" s="723"/>
      <c r="AV135" s="721"/>
      <c r="AW135" s="721"/>
      <c r="AX135" s="721"/>
      <c r="AY135" s="721"/>
      <c r="AZ135" s="721"/>
      <c r="BA135" s="721"/>
      <c r="BB135" s="721"/>
      <c r="BC135" s="721"/>
      <c r="BD135" s="721"/>
      <c r="BE135" s="721"/>
      <c r="BF135" s="721"/>
      <c r="BG135" s="721"/>
      <c r="BH135" s="721"/>
      <c r="BI135" s="721"/>
      <c r="BJ135" s="721"/>
      <c r="BK135" s="721"/>
      <c r="BL135" s="721"/>
      <c r="BM135" s="721"/>
      <c r="BN135" s="721"/>
      <c r="BO135" s="721"/>
      <c r="BP135" s="721"/>
      <c r="BQ135" s="721"/>
      <c r="BR135" s="721"/>
      <c r="BS135" s="721"/>
      <c r="BT135" s="721"/>
      <c r="BU135" s="721"/>
      <c r="BV135" s="721"/>
      <c r="BW135" s="721"/>
      <c r="BX135" s="721"/>
      <c r="BY135" s="721"/>
      <c r="BZ135" s="721"/>
      <c r="CA135" s="721"/>
      <c r="CB135" s="721"/>
      <c r="CC135" s="721"/>
      <c r="CD135" s="721"/>
      <c r="CE135" s="721"/>
      <c r="CF135" s="721"/>
      <c r="CG135" s="721"/>
      <c r="CH135" s="721"/>
      <c r="CI135" s="721"/>
      <c r="CJ135" s="721"/>
      <c r="CK135" s="721"/>
      <c r="CL135" s="721"/>
      <c r="CM135" s="721"/>
      <c r="CN135" s="721"/>
      <c r="CO135" s="721"/>
      <c r="CP135" s="721"/>
      <c r="CQ135" s="721"/>
      <c r="CR135" s="721"/>
      <c r="CS135" s="721"/>
      <c r="CT135" s="721"/>
      <c r="CU135" s="721"/>
      <c r="CV135" s="721"/>
      <c r="CW135" s="721"/>
      <c r="CX135" s="721"/>
    </row>
    <row r="136" spans="1:102" ht="12" customHeight="1" x14ac:dyDescent="0.2">
      <c r="A136" s="721"/>
      <c r="B136" s="721"/>
      <c r="C136" s="721"/>
      <c r="D136" s="721"/>
      <c r="E136" s="721"/>
      <c r="F136" s="721"/>
      <c r="G136" s="721"/>
      <c r="H136" s="721"/>
      <c r="I136" s="721"/>
      <c r="J136" s="721"/>
      <c r="K136" s="721"/>
      <c r="L136" s="721"/>
      <c r="M136" s="721"/>
      <c r="N136" s="721"/>
      <c r="O136" s="721"/>
      <c r="P136" s="721"/>
      <c r="Q136" s="721"/>
      <c r="R136" s="721"/>
      <c r="S136" s="721"/>
      <c r="T136" s="721"/>
      <c r="U136" s="721"/>
      <c r="V136" s="721"/>
      <c r="W136" s="204"/>
      <c r="X136" s="723"/>
      <c r="Y136" s="723"/>
      <c r="Z136" s="723"/>
      <c r="AA136" s="723"/>
      <c r="AB136" s="723"/>
      <c r="AC136" s="723"/>
      <c r="AD136" s="723"/>
      <c r="AE136" s="723"/>
      <c r="AF136" s="723"/>
      <c r="AG136" s="723"/>
      <c r="AH136" s="723"/>
      <c r="AI136" s="723"/>
      <c r="AJ136" s="723"/>
      <c r="AK136" s="723"/>
      <c r="AL136" s="723"/>
      <c r="AM136" s="721"/>
      <c r="AN136" s="721"/>
      <c r="AO136" s="723"/>
      <c r="AP136" s="721"/>
      <c r="AQ136" s="723"/>
      <c r="AR136" s="721"/>
      <c r="AS136" s="723"/>
      <c r="AT136" s="721"/>
      <c r="AU136" s="723"/>
      <c r="AV136" s="721"/>
      <c r="AW136" s="721"/>
      <c r="AX136" s="721"/>
      <c r="AY136" s="721"/>
      <c r="AZ136" s="721"/>
      <c r="BA136" s="721"/>
      <c r="BB136" s="721"/>
      <c r="BC136" s="721"/>
      <c r="BD136" s="721"/>
      <c r="BE136" s="721"/>
      <c r="BF136" s="721"/>
      <c r="BG136" s="721"/>
      <c r="BH136" s="721"/>
      <c r="BI136" s="721"/>
      <c r="BJ136" s="721"/>
      <c r="BK136" s="721"/>
      <c r="BL136" s="721"/>
      <c r="BM136" s="721"/>
      <c r="BN136" s="721"/>
      <c r="BO136" s="721"/>
      <c r="BP136" s="721"/>
      <c r="BQ136" s="721"/>
      <c r="BR136" s="721"/>
      <c r="BS136" s="721"/>
      <c r="BT136" s="721"/>
      <c r="BU136" s="721"/>
      <c r="BV136" s="721"/>
      <c r="BW136" s="721"/>
      <c r="BX136" s="721"/>
      <c r="BY136" s="721"/>
      <c r="BZ136" s="721"/>
      <c r="CA136" s="721"/>
      <c r="CB136" s="721"/>
      <c r="CC136" s="721"/>
      <c r="CD136" s="721"/>
      <c r="CE136" s="721"/>
      <c r="CF136" s="721"/>
      <c r="CG136" s="721"/>
      <c r="CH136" s="721"/>
      <c r="CI136" s="721"/>
      <c r="CJ136" s="721"/>
      <c r="CK136" s="721"/>
      <c r="CL136" s="721"/>
      <c r="CM136" s="721"/>
      <c r="CN136" s="721"/>
      <c r="CO136" s="721"/>
      <c r="CP136" s="721"/>
      <c r="CQ136" s="721"/>
      <c r="CR136" s="721"/>
      <c r="CS136" s="721"/>
      <c r="CT136" s="721"/>
      <c r="CU136" s="721"/>
      <c r="CV136" s="721"/>
      <c r="CW136" s="721"/>
      <c r="CX136" s="721"/>
    </row>
    <row r="137" spans="1:102" ht="12" customHeight="1" x14ac:dyDescent="0.2">
      <c r="A137" s="721"/>
      <c r="B137" s="721"/>
      <c r="C137" s="721"/>
      <c r="D137" s="721"/>
      <c r="E137" s="721"/>
      <c r="F137" s="721"/>
      <c r="G137" s="721"/>
      <c r="H137" s="721"/>
      <c r="I137" s="721"/>
      <c r="J137" s="721"/>
      <c r="K137" s="721"/>
      <c r="L137" s="721"/>
      <c r="M137" s="721"/>
      <c r="N137" s="721"/>
      <c r="O137" s="721"/>
      <c r="P137" s="721"/>
      <c r="Q137" s="721"/>
      <c r="R137" s="721"/>
      <c r="S137" s="721"/>
      <c r="T137" s="721"/>
      <c r="U137" s="721"/>
      <c r="V137" s="721"/>
      <c r="W137" s="204"/>
      <c r="X137" s="723"/>
      <c r="Y137" s="723"/>
      <c r="Z137" s="723"/>
      <c r="AA137" s="723"/>
      <c r="AB137" s="723"/>
      <c r="AC137" s="723"/>
      <c r="AD137" s="723"/>
      <c r="AE137" s="723"/>
      <c r="AF137" s="723"/>
      <c r="AG137" s="723"/>
      <c r="AH137" s="723"/>
      <c r="AI137" s="723"/>
      <c r="AJ137" s="723"/>
      <c r="AK137" s="723"/>
      <c r="AL137" s="723"/>
      <c r="AM137" s="721"/>
      <c r="AN137" s="721"/>
      <c r="AO137" s="723"/>
      <c r="AP137" s="721"/>
      <c r="AQ137" s="723"/>
      <c r="AR137" s="721"/>
      <c r="AS137" s="723"/>
      <c r="AT137" s="721"/>
      <c r="AU137" s="723"/>
      <c r="AV137" s="721"/>
      <c r="AW137" s="721"/>
      <c r="AX137" s="721"/>
      <c r="AY137" s="721"/>
      <c r="AZ137" s="721"/>
      <c r="BA137" s="721"/>
      <c r="BB137" s="721"/>
      <c r="BC137" s="721"/>
      <c r="BD137" s="721"/>
      <c r="BE137" s="721"/>
      <c r="BF137" s="721"/>
      <c r="BG137" s="721"/>
      <c r="BH137" s="721"/>
      <c r="BI137" s="721"/>
      <c r="BJ137" s="721"/>
      <c r="BK137" s="721"/>
      <c r="BL137" s="721"/>
      <c r="BM137" s="721"/>
      <c r="BN137" s="721"/>
      <c r="BO137" s="721"/>
      <c r="BP137" s="721"/>
      <c r="BQ137" s="721"/>
      <c r="BR137" s="721"/>
      <c r="BS137" s="721"/>
      <c r="BT137" s="721"/>
      <c r="BU137" s="721"/>
      <c r="BV137" s="721"/>
      <c r="BW137" s="721"/>
      <c r="BX137" s="721"/>
      <c r="BY137" s="721"/>
      <c r="BZ137" s="721"/>
      <c r="CA137" s="721"/>
      <c r="CB137" s="721"/>
      <c r="CC137" s="721"/>
      <c r="CD137" s="721"/>
      <c r="CE137" s="721"/>
      <c r="CF137" s="721"/>
      <c r="CG137" s="721"/>
      <c r="CH137" s="721"/>
      <c r="CI137" s="721"/>
      <c r="CJ137" s="721"/>
      <c r="CK137" s="721"/>
      <c r="CL137" s="721"/>
      <c r="CM137" s="721"/>
      <c r="CN137" s="721"/>
      <c r="CO137" s="721"/>
      <c r="CP137" s="721"/>
      <c r="CQ137" s="721"/>
      <c r="CR137" s="721"/>
      <c r="CS137" s="721"/>
      <c r="CT137" s="721"/>
      <c r="CU137" s="721"/>
      <c r="CV137" s="721"/>
      <c r="CW137" s="721"/>
      <c r="CX137" s="721"/>
    </row>
    <row r="138" spans="1:102" ht="12" customHeight="1" x14ac:dyDescent="0.2">
      <c r="A138" s="721"/>
      <c r="B138" s="721"/>
      <c r="C138" s="721"/>
      <c r="D138" s="721"/>
      <c r="E138" s="721"/>
      <c r="F138" s="721"/>
      <c r="G138" s="721"/>
      <c r="H138" s="721"/>
      <c r="I138" s="721"/>
      <c r="J138" s="721"/>
      <c r="K138" s="721"/>
      <c r="L138" s="721"/>
      <c r="M138" s="721"/>
      <c r="N138" s="721"/>
      <c r="O138" s="721"/>
      <c r="P138" s="721"/>
      <c r="Q138" s="721"/>
      <c r="R138" s="721"/>
      <c r="S138" s="721"/>
      <c r="T138" s="721"/>
      <c r="U138" s="721"/>
      <c r="V138" s="721"/>
      <c r="W138" s="204"/>
      <c r="X138" s="723"/>
      <c r="Y138" s="723"/>
      <c r="Z138" s="723"/>
      <c r="AA138" s="723"/>
      <c r="AB138" s="723"/>
      <c r="AC138" s="723"/>
      <c r="AD138" s="723"/>
      <c r="AE138" s="723"/>
      <c r="AF138" s="723"/>
      <c r="AG138" s="723"/>
      <c r="AH138" s="723"/>
      <c r="AI138" s="723"/>
      <c r="AJ138" s="723"/>
      <c r="AK138" s="723"/>
      <c r="AL138" s="723"/>
      <c r="AM138" s="721"/>
      <c r="AN138" s="721"/>
      <c r="AO138" s="723"/>
      <c r="AP138" s="721"/>
      <c r="AQ138" s="723"/>
      <c r="AR138" s="721"/>
      <c r="AS138" s="723"/>
      <c r="AT138" s="721"/>
      <c r="AU138" s="723"/>
      <c r="AV138" s="721"/>
      <c r="AW138" s="721"/>
      <c r="AX138" s="721"/>
      <c r="AY138" s="721"/>
      <c r="AZ138" s="721"/>
      <c r="BA138" s="721"/>
      <c r="BB138" s="721"/>
      <c r="BC138" s="721"/>
      <c r="BD138" s="721"/>
      <c r="BE138" s="721"/>
      <c r="BF138" s="721"/>
      <c r="BG138" s="721"/>
      <c r="BH138" s="721"/>
      <c r="BI138" s="721"/>
      <c r="BJ138" s="721"/>
      <c r="BK138" s="721"/>
      <c r="BL138" s="721"/>
      <c r="BM138" s="721"/>
      <c r="BN138" s="721"/>
      <c r="BO138" s="721"/>
      <c r="BP138" s="721"/>
      <c r="BQ138" s="721"/>
      <c r="BR138" s="721"/>
      <c r="BS138" s="721"/>
      <c r="BT138" s="721"/>
      <c r="BU138" s="721"/>
      <c r="BV138" s="721"/>
      <c r="BW138" s="721"/>
      <c r="BX138" s="721"/>
      <c r="BY138" s="721"/>
      <c r="BZ138" s="721"/>
      <c r="CA138" s="721"/>
      <c r="CB138" s="721"/>
      <c r="CC138" s="721"/>
      <c r="CD138" s="721"/>
      <c r="CE138" s="721"/>
      <c r="CF138" s="721"/>
      <c r="CG138" s="721"/>
      <c r="CH138" s="721"/>
      <c r="CI138" s="721"/>
      <c r="CJ138" s="721"/>
      <c r="CK138" s="721"/>
      <c r="CL138" s="721"/>
      <c r="CM138" s="721"/>
      <c r="CN138" s="721"/>
      <c r="CO138" s="721"/>
      <c r="CP138" s="721"/>
      <c r="CQ138" s="721"/>
      <c r="CR138" s="721"/>
      <c r="CS138" s="721"/>
      <c r="CT138" s="721"/>
      <c r="CU138" s="721"/>
      <c r="CV138" s="721"/>
      <c r="CW138" s="721"/>
      <c r="CX138" s="721"/>
    </row>
    <row r="139" spans="1:102" ht="12" customHeight="1" x14ac:dyDescent="0.2">
      <c r="A139" s="721"/>
      <c r="B139" s="721"/>
      <c r="C139" s="721"/>
      <c r="D139" s="721"/>
      <c r="E139" s="721"/>
      <c r="F139" s="721"/>
      <c r="G139" s="721"/>
      <c r="H139" s="721"/>
      <c r="I139" s="721"/>
      <c r="J139" s="721"/>
      <c r="K139" s="721"/>
      <c r="L139" s="721"/>
      <c r="M139" s="721"/>
      <c r="N139" s="721"/>
      <c r="O139" s="721"/>
      <c r="P139" s="721"/>
      <c r="Q139" s="721"/>
      <c r="R139" s="721"/>
      <c r="S139" s="721"/>
      <c r="T139" s="721"/>
      <c r="U139" s="721"/>
      <c r="V139" s="721"/>
      <c r="W139" s="204"/>
      <c r="X139" s="723"/>
      <c r="Y139" s="723"/>
      <c r="Z139" s="723"/>
      <c r="AA139" s="723"/>
      <c r="AB139" s="723"/>
      <c r="AC139" s="723"/>
      <c r="AD139" s="723"/>
      <c r="AE139" s="723"/>
      <c r="AF139" s="723"/>
      <c r="AG139" s="723"/>
      <c r="AH139" s="723"/>
      <c r="AI139" s="723"/>
      <c r="AJ139" s="723"/>
      <c r="AK139" s="723"/>
      <c r="AL139" s="723"/>
      <c r="AM139" s="721"/>
      <c r="AN139" s="721"/>
      <c r="AO139" s="723"/>
      <c r="AP139" s="721"/>
      <c r="AQ139" s="723"/>
      <c r="AR139" s="721"/>
      <c r="AS139" s="723"/>
      <c r="AT139" s="721"/>
      <c r="AU139" s="723"/>
      <c r="AV139" s="721"/>
      <c r="AW139" s="721"/>
      <c r="AX139" s="721"/>
      <c r="AY139" s="721"/>
      <c r="AZ139" s="721"/>
      <c r="BA139" s="721"/>
      <c r="BB139" s="721"/>
      <c r="BC139" s="721"/>
      <c r="BD139" s="721"/>
      <c r="BE139" s="721"/>
      <c r="BF139" s="721"/>
      <c r="BG139" s="721"/>
      <c r="BH139" s="721"/>
      <c r="BI139" s="721"/>
      <c r="BJ139" s="721"/>
      <c r="BK139" s="721"/>
      <c r="BL139" s="721"/>
      <c r="BM139" s="721"/>
      <c r="BN139" s="721"/>
      <c r="BO139" s="721"/>
      <c r="BP139" s="721"/>
      <c r="BQ139" s="721"/>
      <c r="BR139" s="721"/>
      <c r="BS139" s="721"/>
      <c r="BT139" s="721"/>
      <c r="BU139" s="721"/>
      <c r="BV139" s="721"/>
      <c r="BW139" s="721"/>
      <c r="BX139" s="721"/>
      <c r="BY139" s="721"/>
      <c r="BZ139" s="721"/>
      <c r="CA139" s="721"/>
      <c r="CB139" s="721"/>
      <c r="CC139" s="721"/>
      <c r="CD139" s="721"/>
      <c r="CE139" s="721"/>
      <c r="CF139" s="721"/>
      <c r="CG139" s="721"/>
      <c r="CH139" s="721"/>
      <c r="CI139" s="721"/>
      <c r="CJ139" s="721"/>
      <c r="CK139" s="721"/>
      <c r="CL139" s="721"/>
      <c r="CM139" s="721"/>
      <c r="CN139" s="721"/>
      <c r="CO139" s="721"/>
      <c r="CP139" s="721"/>
      <c r="CQ139" s="721"/>
      <c r="CR139" s="721"/>
      <c r="CS139" s="721"/>
      <c r="CT139" s="721"/>
      <c r="CU139" s="721"/>
      <c r="CV139" s="721"/>
      <c r="CW139" s="721"/>
      <c r="CX139" s="721"/>
    </row>
    <row r="140" spans="1:102" ht="12" customHeight="1" x14ac:dyDescent="0.2">
      <c r="A140" s="721"/>
      <c r="B140" s="721"/>
      <c r="C140" s="721"/>
      <c r="D140" s="721"/>
      <c r="E140" s="721"/>
      <c r="F140" s="721"/>
      <c r="G140" s="721"/>
      <c r="H140" s="721"/>
      <c r="I140" s="721"/>
      <c r="J140" s="721"/>
      <c r="K140" s="721"/>
      <c r="L140" s="721"/>
      <c r="M140" s="721"/>
      <c r="N140" s="721"/>
      <c r="O140" s="721"/>
      <c r="P140" s="721"/>
      <c r="Q140" s="721"/>
      <c r="R140" s="721"/>
      <c r="S140" s="721"/>
      <c r="T140" s="721"/>
      <c r="U140" s="721"/>
      <c r="V140" s="721"/>
      <c r="W140" s="204"/>
      <c r="X140" s="723"/>
      <c r="Y140" s="723"/>
      <c r="Z140" s="723"/>
      <c r="AA140" s="723"/>
      <c r="AB140" s="723"/>
      <c r="AC140" s="723"/>
      <c r="AD140" s="723"/>
      <c r="AE140" s="723"/>
      <c r="AF140" s="723"/>
      <c r="AG140" s="723"/>
      <c r="AH140" s="723"/>
      <c r="AI140" s="723"/>
      <c r="AJ140" s="723"/>
      <c r="AK140" s="723"/>
      <c r="AL140" s="723"/>
      <c r="AM140" s="721"/>
      <c r="AN140" s="721"/>
      <c r="AO140" s="723"/>
      <c r="AP140" s="721"/>
      <c r="AQ140" s="723"/>
      <c r="AR140" s="721"/>
      <c r="AS140" s="723"/>
      <c r="AT140" s="721"/>
      <c r="AU140" s="723"/>
      <c r="AV140" s="721"/>
      <c r="AW140" s="721"/>
      <c r="AX140" s="721"/>
      <c r="AY140" s="721"/>
      <c r="AZ140" s="721"/>
      <c r="BA140" s="721"/>
      <c r="BB140" s="721"/>
      <c r="BC140" s="721"/>
      <c r="BD140" s="721"/>
      <c r="BE140" s="721"/>
      <c r="BF140" s="721"/>
      <c r="BG140" s="721"/>
      <c r="BH140" s="721"/>
      <c r="BI140" s="721"/>
      <c r="BJ140" s="721"/>
      <c r="BK140" s="721"/>
      <c r="BL140" s="721"/>
      <c r="BM140" s="721"/>
      <c r="BN140" s="721"/>
      <c r="BO140" s="721"/>
      <c r="BP140" s="721"/>
      <c r="BQ140" s="721"/>
      <c r="BR140" s="721"/>
      <c r="BS140" s="721"/>
      <c r="BT140" s="721"/>
      <c r="BU140" s="721"/>
      <c r="BV140" s="721"/>
      <c r="BW140" s="721"/>
      <c r="BX140" s="721"/>
      <c r="BY140" s="721"/>
      <c r="BZ140" s="721"/>
      <c r="CA140" s="721"/>
      <c r="CB140" s="721"/>
      <c r="CC140" s="721"/>
      <c r="CD140" s="721"/>
      <c r="CE140" s="721"/>
      <c r="CF140" s="721"/>
      <c r="CG140" s="721"/>
      <c r="CH140" s="721"/>
      <c r="CI140" s="721"/>
      <c r="CJ140" s="721"/>
      <c r="CK140" s="721"/>
      <c r="CL140" s="721"/>
      <c r="CM140" s="721"/>
      <c r="CN140" s="721"/>
      <c r="CO140" s="721"/>
      <c r="CP140" s="721"/>
      <c r="CQ140" s="721"/>
      <c r="CR140" s="721"/>
      <c r="CS140" s="721"/>
      <c r="CT140" s="721"/>
      <c r="CU140" s="721"/>
      <c r="CV140" s="721"/>
      <c r="CW140" s="721"/>
      <c r="CX140" s="721"/>
    </row>
    <row r="141" spans="1:102" ht="12" customHeight="1" x14ac:dyDescent="0.2">
      <c r="A141" s="721"/>
      <c r="B141" s="721"/>
      <c r="C141" s="721"/>
      <c r="D141" s="721"/>
      <c r="E141" s="721"/>
      <c r="F141" s="721"/>
      <c r="G141" s="721"/>
      <c r="H141" s="721"/>
      <c r="I141" s="721"/>
      <c r="J141" s="721"/>
      <c r="K141" s="721"/>
      <c r="L141" s="721"/>
      <c r="M141" s="721"/>
      <c r="N141" s="721"/>
      <c r="O141" s="721"/>
      <c r="P141" s="721"/>
      <c r="Q141" s="721"/>
      <c r="R141" s="721"/>
      <c r="S141" s="721"/>
      <c r="T141" s="721"/>
      <c r="U141" s="721"/>
      <c r="V141" s="721"/>
      <c r="W141" s="204"/>
      <c r="X141" s="723"/>
      <c r="Y141" s="723"/>
      <c r="Z141" s="723"/>
      <c r="AA141" s="723"/>
      <c r="AB141" s="723"/>
      <c r="AC141" s="723"/>
      <c r="AD141" s="723"/>
      <c r="AE141" s="723"/>
      <c r="AF141" s="723"/>
      <c r="AG141" s="723"/>
      <c r="AH141" s="723"/>
      <c r="AI141" s="723"/>
      <c r="AJ141" s="723"/>
      <c r="AK141" s="723"/>
      <c r="AL141" s="723"/>
      <c r="AM141" s="721"/>
      <c r="AN141" s="721"/>
      <c r="AO141" s="723"/>
      <c r="AP141" s="721"/>
      <c r="AQ141" s="723"/>
      <c r="AR141" s="721"/>
      <c r="AS141" s="723"/>
      <c r="AT141" s="721"/>
      <c r="AU141" s="723"/>
      <c r="AV141" s="721"/>
      <c r="AW141" s="721"/>
      <c r="AX141" s="721"/>
      <c r="AY141" s="721"/>
      <c r="AZ141" s="721"/>
      <c r="BA141" s="721"/>
      <c r="BB141" s="721"/>
      <c r="BC141" s="721"/>
      <c r="BD141" s="721"/>
      <c r="BE141" s="721"/>
      <c r="BF141" s="721"/>
      <c r="BG141" s="721"/>
      <c r="BH141" s="721"/>
      <c r="BI141" s="721"/>
      <c r="BJ141" s="721"/>
      <c r="BK141" s="721"/>
      <c r="BL141" s="721"/>
      <c r="BM141" s="721"/>
      <c r="BN141" s="721"/>
      <c r="BO141" s="721"/>
      <c r="BP141" s="721"/>
      <c r="BQ141" s="721"/>
      <c r="BR141" s="721"/>
      <c r="BS141" s="721"/>
      <c r="BT141" s="721"/>
      <c r="BU141" s="721"/>
      <c r="BV141" s="721"/>
      <c r="BW141" s="721"/>
      <c r="BX141" s="721"/>
      <c r="BY141" s="721"/>
      <c r="BZ141" s="721"/>
      <c r="CA141" s="721"/>
      <c r="CB141" s="721"/>
      <c r="CC141" s="721"/>
      <c r="CD141" s="721"/>
      <c r="CE141" s="721"/>
      <c r="CF141" s="721"/>
      <c r="CG141" s="721"/>
      <c r="CH141" s="721"/>
      <c r="CI141" s="721"/>
      <c r="CJ141" s="721"/>
      <c r="CK141" s="721"/>
      <c r="CL141" s="721"/>
      <c r="CM141" s="721"/>
      <c r="CN141" s="721"/>
      <c r="CO141" s="721"/>
      <c r="CP141" s="721"/>
      <c r="CQ141" s="721"/>
      <c r="CR141" s="721"/>
      <c r="CS141" s="721"/>
      <c r="CT141" s="721"/>
      <c r="CU141" s="721"/>
      <c r="CV141" s="721"/>
      <c r="CW141" s="721"/>
      <c r="CX141" s="721"/>
    </row>
    <row r="142" spans="1:102" ht="12" customHeight="1" x14ac:dyDescent="0.2">
      <c r="A142" s="721"/>
      <c r="B142" s="721"/>
      <c r="C142" s="721"/>
      <c r="D142" s="721"/>
      <c r="E142" s="721"/>
      <c r="F142" s="721"/>
      <c r="G142" s="721"/>
      <c r="H142" s="721"/>
      <c r="I142" s="721"/>
      <c r="J142" s="721"/>
      <c r="K142" s="721"/>
      <c r="L142" s="721"/>
      <c r="M142" s="721"/>
      <c r="N142" s="721"/>
      <c r="O142" s="721"/>
      <c r="P142" s="721"/>
      <c r="Q142" s="721"/>
      <c r="R142" s="721"/>
      <c r="S142" s="721"/>
      <c r="T142" s="721"/>
      <c r="U142" s="721"/>
      <c r="V142" s="721"/>
      <c r="W142" s="204"/>
      <c r="X142" s="723"/>
      <c r="Y142" s="723"/>
      <c r="Z142" s="723"/>
      <c r="AA142" s="723"/>
      <c r="AB142" s="723"/>
      <c r="AC142" s="723"/>
      <c r="AD142" s="723"/>
      <c r="AE142" s="723"/>
      <c r="AF142" s="723"/>
      <c r="AG142" s="723"/>
      <c r="AH142" s="723"/>
      <c r="AI142" s="723"/>
      <c r="AJ142" s="723"/>
      <c r="AK142" s="723"/>
      <c r="AL142" s="723"/>
      <c r="AM142" s="721"/>
      <c r="AN142" s="721"/>
      <c r="AO142" s="723"/>
      <c r="AP142" s="721"/>
      <c r="AQ142" s="723"/>
      <c r="AR142" s="721"/>
      <c r="AS142" s="723"/>
      <c r="AT142" s="721"/>
      <c r="AU142" s="723"/>
      <c r="AV142" s="721"/>
      <c r="AW142" s="721"/>
      <c r="AX142" s="721"/>
      <c r="AY142" s="721"/>
      <c r="AZ142" s="721"/>
      <c r="BA142" s="721"/>
      <c r="BB142" s="721"/>
      <c r="BC142" s="721"/>
      <c r="BD142" s="721"/>
      <c r="BE142" s="721"/>
      <c r="BF142" s="721"/>
      <c r="BG142" s="721"/>
      <c r="BH142" s="721"/>
      <c r="BI142" s="721"/>
      <c r="BJ142" s="721"/>
      <c r="BK142" s="721"/>
      <c r="BL142" s="721"/>
      <c r="BM142" s="721"/>
      <c r="BN142" s="721"/>
      <c r="BO142" s="721"/>
      <c r="BP142" s="721"/>
      <c r="BQ142" s="721"/>
      <c r="BR142" s="721"/>
      <c r="BS142" s="721"/>
      <c r="BT142" s="721"/>
      <c r="BU142" s="721"/>
      <c r="BV142" s="721"/>
      <c r="BW142" s="721"/>
      <c r="BX142" s="721"/>
      <c r="BY142" s="721"/>
      <c r="BZ142" s="721"/>
      <c r="CA142" s="721"/>
      <c r="CB142" s="721"/>
      <c r="CC142" s="721"/>
      <c r="CD142" s="721"/>
      <c r="CE142" s="721"/>
      <c r="CF142" s="721"/>
      <c r="CG142" s="721"/>
      <c r="CH142" s="721"/>
      <c r="CI142" s="721"/>
      <c r="CJ142" s="721"/>
      <c r="CK142" s="721"/>
      <c r="CL142" s="721"/>
      <c r="CM142" s="721"/>
      <c r="CN142" s="721"/>
      <c r="CO142" s="721"/>
      <c r="CP142" s="721"/>
      <c r="CQ142" s="721"/>
      <c r="CR142" s="721"/>
      <c r="CS142" s="721"/>
      <c r="CT142" s="721"/>
      <c r="CU142" s="721"/>
      <c r="CV142" s="721"/>
      <c r="CW142" s="721"/>
      <c r="CX142" s="721"/>
    </row>
    <row r="143" spans="1:102" ht="12" customHeight="1" x14ac:dyDescent="0.2">
      <c r="A143" s="721"/>
      <c r="B143" s="721"/>
      <c r="C143" s="721"/>
      <c r="D143" s="721"/>
      <c r="E143" s="721"/>
      <c r="F143" s="721"/>
      <c r="G143" s="721"/>
      <c r="H143" s="721"/>
      <c r="I143" s="721"/>
      <c r="J143" s="721"/>
      <c r="K143" s="721"/>
      <c r="L143" s="721"/>
      <c r="M143" s="721"/>
      <c r="N143" s="721"/>
      <c r="O143" s="721"/>
      <c r="P143" s="721"/>
      <c r="Q143" s="721"/>
      <c r="R143" s="721"/>
      <c r="S143" s="721"/>
      <c r="T143" s="721"/>
      <c r="U143" s="721"/>
      <c r="V143" s="721"/>
      <c r="W143" s="204"/>
      <c r="X143" s="723"/>
      <c r="Y143" s="723"/>
      <c r="Z143" s="723"/>
      <c r="AA143" s="723"/>
      <c r="AB143" s="723"/>
      <c r="AC143" s="723"/>
      <c r="AD143" s="723"/>
      <c r="AE143" s="723"/>
      <c r="AF143" s="723"/>
      <c r="AG143" s="723"/>
      <c r="AH143" s="723"/>
      <c r="AI143" s="723"/>
      <c r="AJ143" s="723"/>
      <c r="AK143" s="723"/>
      <c r="AL143" s="723"/>
      <c r="AM143" s="721"/>
      <c r="AN143" s="721"/>
      <c r="AO143" s="723"/>
      <c r="AP143" s="721"/>
      <c r="AQ143" s="723"/>
      <c r="AR143" s="721"/>
      <c r="AS143" s="723"/>
      <c r="AT143" s="721"/>
      <c r="AU143" s="723"/>
      <c r="AV143" s="721"/>
      <c r="AW143" s="721"/>
      <c r="AX143" s="721"/>
      <c r="AY143" s="721"/>
      <c r="AZ143" s="721"/>
      <c r="BA143" s="721"/>
      <c r="BB143" s="721"/>
      <c r="BC143" s="721"/>
      <c r="BD143" s="721"/>
      <c r="BE143" s="721"/>
      <c r="BF143" s="721"/>
      <c r="BG143" s="721"/>
      <c r="BH143" s="721"/>
      <c r="BI143" s="721"/>
      <c r="BJ143" s="721"/>
      <c r="BK143" s="721"/>
      <c r="BL143" s="721"/>
      <c r="BM143" s="721"/>
      <c r="BN143" s="721"/>
      <c r="BO143" s="721"/>
      <c r="BP143" s="721"/>
      <c r="BQ143" s="721"/>
      <c r="BR143" s="721"/>
      <c r="BS143" s="721"/>
      <c r="BT143" s="721"/>
      <c r="BU143" s="721"/>
      <c r="BV143" s="721"/>
      <c r="BW143" s="721"/>
      <c r="BX143" s="721"/>
      <c r="BY143" s="721"/>
      <c r="BZ143" s="721"/>
      <c r="CA143" s="721"/>
      <c r="CB143" s="721"/>
      <c r="CC143" s="721"/>
      <c r="CD143" s="721"/>
      <c r="CE143" s="721"/>
      <c r="CF143" s="721"/>
      <c r="CG143" s="721"/>
      <c r="CH143" s="721"/>
      <c r="CI143" s="721"/>
      <c r="CJ143" s="721"/>
      <c r="CK143" s="721"/>
      <c r="CL143" s="721"/>
      <c r="CM143" s="721"/>
      <c r="CN143" s="721"/>
      <c r="CO143" s="721"/>
      <c r="CP143" s="721"/>
      <c r="CQ143" s="721"/>
      <c r="CR143" s="721"/>
      <c r="CS143" s="721"/>
      <c r="CT143" s="721"/>
      <c r="CU143" s="721"/>
      <c r="CV143" s="721"/>
      <c r="CW143" s="721"/>
      <c r="CX143" s="721"/>
    </row>
    <row r="144" spans="1:102" ht="12" customHeight="1" x14ac:dyDescent="0.2">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204"/>
      <c r="X144" s="723"/>
      <c r="Y144" s="723"/>
      <c r="Z144" s="723"/>
      <c r="AA144" s="723"/>
      <c r="AB144" s="723"/>
      <c r="AC144" s="723"/>
      <c r="AD144" s="723"/>
      <c r="AE144" s="723"/>
      <c r="AF144" s="723"/>
      <c r="AG144" s="723"/>
      <c r="AH144" s="723"/>
      <c r="AI144" s="723"/>
      <c r="AJ144" s="723"/>
      <c r="AK144" s="723"/>
      <c r="AL144" s="723"/>
      <c r="AM144" s="721"/>
      <c r="AN144" s="721"/>
      <c r="AO144" s="723"/>
      <c r="AP144" s="721"/>
      <c r="AQ144" s="723"/>
      <c r="AR144" s="721"/>
      <c r="AS144" s="723"/>
      <c r="AT144" s="721"/>
      <c r="AU144" s="723"/>
      <c r="AV144" s="721"/>
      <c r="AW144" s="721"/>
      <c r="AX144" s="721"/>
      <c r="AY144" s="721"/>
      <c r="AZ144" s="721"/>
      <c r="BA144" s="721"/>
      <c r="BB144" s="721"/>
      <c r="BC144" s="721"/>
      <c r="BD144" s="721"/>
      <c r="BE144" s="721"/>
      <c r="BF144" s="721"/>
      <c r="BG144" s="721"/>
      <c r="BH144" s="721"/>
      <c r="BI144" s="721"/>
      <c r="BJ144" s="721"/>
      <c r="BK144" s="721"/>
      <c r="BL144" s="721"/>
      <c r="BM144" s="721"/>
      <c r="BN144" s="721"/>
      <c r="BO144" s="721"/>
      <c r="BP144" s="721"/>
      <c r="BQ144" s="721"/>
      <c r="BR144" s="721"/>
      <c r="BS144" s="721"/>
      <c r="BT144" s="721"/>
      <c r="BU144" s="721"/>
      <c r="BV144" s="721"/>
      <c r="BW144" s="721"/>
      <c r="BX144" s="721"/>
      <c r="BY144" s="721"/>
      <c r="BZ144" s="721"/>
      <c r="CA144" s="721"/>
      <c r="CB144" s="721"/>
      <c r="CC144" s="721"/>
      <c r="CD144" s="721"/>
      <c r="CE144" s="721"/>
      <c r="CF144" s="721"/>
      <c r="CG144" s="721"/>
      <c r="CH144" s="721"/>
      <c r="CI144" s="721"/>
      <c r="CJ144" s="721"/>
      <c r="CK144" s="721"/>
      <c r="CL144" s="721"/>
      <c r="CM144" s="721"/>
      <c r="CN144" s="721"/>
      <c r="CO144" s="721"/>
      <c r="CP144" s="721"/>
      <c r="CQ144" s="721"/>
      <c r="CR144" s="721"/>
      <c r="CS144" s="721"/>
      <c r="CT144" s="721"/>
      <c r="CU144" s="721"/>
      <c r="CV144" s="721"/>
      <c r="CW144" s="721"/>
      <c r="CX144" s="721"/>
    </row>
    <row r="145" spans="1:102" ht="12" customHeight="1" x14ac:dyDescent="0.2">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204"/>
      <c r="X145" s="723"/>
      <c r="Y145" s="723"/>
      <c r="Z145" s="723"/>
      <c r="AA145" s="723"/>
      <c r="AB145" s="723"/>
      <c r="AC145" s="723"/>
      <c r="AD145" s="723"/>
      <c r="AE145" s="723"/>
      <c r="AF145" s="723"/>
      <c r="AG145" s="723"/>
      <c r="AH145" s="723"/>
      <c r="AI145" s="723"/>
      <c r="AJ145" s="723"/>
      <c r="AK145" s="723"/>
      <c r="AL145" s="723"/>
      <c r="AM145" s="721"/>
      <c r="AN145" s="721"/>
      <c r="AO145" s="723"/>
      <c r="AP145" s="721"/>
      <c r="AQ145" s="723"/>
      <c r="AR145" s="721"/>
      <c r="AS145" s="723"/>
      <c r="AT145" s="721"/>
      <c r="AU145" s="723"/>
      <c r="AV145" s="721"/>
      <c r="AW145" s="721"/>
      <c r="AX145" s="721"/>
      <c r="AY145" s="721"/>
      <c r="AZ145" s="721"/>
      <c r="BA145" s="721"/>
      <c r="BB145" s="721"/>
      <c r="BC145" s="721"/>
      <c r="BD145" s="721"/>
      <c r="BE145" s="721"/>
      <c r="BF145" s="721"/>
      <c r="BG145" s="721"/>
      <c r="BH145" s="721"/>
      <c r="BI145" s="721"/>
      <c r="BJ145" s="721"/>
      <c r="BK145" s="721"/>
      <c r="BL145" s="721"/>
      <c r="BM145" s="721"/>
      <c r="BN145" s="721"/>
      <c r="BO145" s="721"/>
      <c r="BP145" s="721"/>
      <c r="BQ145" s="721"/>
      <c r="BR145" s="721"/>
      <c r="BS145" s="721"/>
      <c r="BT145" s="721"/>
      <c r="BU145" s="721"/>
      <c r="BV145" s="721"/>
      <c r="BW145" s="721"/>
      <c r="BX145" s="721"/>
      <c r="BY145" s="721"/>
      <c r="BZ145" s="721"/>
      <c r="CA145" s="721"/>
      <c r="CB145" s="721"/>
      <c r="CC145" s="721"/>
      <c r="CD145" s="721"/>
      <c r="CE145" s="721"/>
      <c r="CF145" s="721"/>
      <c r="CG145" s="721"/>
      <c r="CH145" s="721"/>
      <c r="CI145" s="721"/>
      <c r="CJ145" s="721"/>
      <c r="CK145" s="721"/>
      <c r="CL145" s="721"/>
      <c r="CM145" s="721"/>
      <c r="CN145" s="721"/>
      <c r="CO145" s="721"/>
      <c r="CP145" s="721"/>
      <c r="CQ145" s="721"/>
      <c r="CR145" s="721"/>
      <c r="CS145" s="721"/>
      <c r="CT145" s="721"/>
      <c r="CU145" s="721"/>
      <c r="CV145" s="721"/>
      <c r="CW145" s="721"/>
      <c r="CX145" s="721"/>
    </row>
    <row r="146" spans="1:102" ht="12" customHeight="1" x14ac:dyDescent="0.2">
      <c r="A146" s="721"/>
      <c r="B146" s="721"/>
      <c r="C146" s="721"/>
      <c r="D146" s="721"/>
      <c r="E146" s="721"/>
      <c r="F146" s="721"/>
      <c r="G146" s="721"/>
      <c r="H146" s="721"/>
      <c r="I146" s="721"/>
      <c r="J146" s="721"/>
      <c r="K146" s="721"/>
      <c r="L146" s="721"/>
      <c r="M146" s="721"/>
      <c r="N146" s="721"/>
      <c r="O146" s="721"/>
      <c r="P146" s="721"/>
      <c r="Q146" s="721"/>
      <c r="R146" s="721"/>
      <c r="S146" s="721"/>
      <c r="T146" s="721"/>
      <c r="U146" s="721"/>
      <c r="V146" s="721"/>
      <c r="W146" s="204"/>
      <c r="X146" s="723"/>
      <c r="Y146" s="723"/>
      <c r="Z146" s="723"/>
      <c r="AA146" s="723"/>
      <c r="AB146" s="723"/>
      <c r="AC146" s="723"/>
      <c r="AD146" s="723"/>
      <c r="AE146" s="723"/>
      <c r="AF146" s="723"/>
      <c r="AG146" s="723"/>
      <c r="AH146" s="723"/>
      <c r="AI146" s="723"/>
      <c r="AJ146" s="723"/>
      <c r="AK146" s="723"/>
      <c r="AL146" s="723"/>
      <c r="AM146" s="721"/>
      <c r="AN146" s="721"/>
      <c r="AO146" s="723"/>
      <c r="AP146" s="721"/>
      <c r="AQ146" s="723"/>
      <c r="AR146" s="721"/>
      <c r="AS146" s="723"/>
      <c r="AT146" s="721"/>
      <c r="AU146" s="723"/>
      <c r="AV146" s="721"/>
      <c r="AW146" s="721"/>
      <c r="AX146" s="721"/>
      <c r="AY146" s="721"/>
      <c r="AZ146" s="721"/>
      <c r="BA146" s="721"/>
      <c r="BB146" s="721"/>
      <c r="BC146" s="721"/>
      <c r="BD146" s="721"/>
      <c r="BE146" s="721"/>
      <c r="BF146" s="721"/>
      <c r="BG146" s="721"/>
      <c r="BH146" s="721"/>
      <c r="BI146" s="721"/>
      <c r="BJ146" s="721"/>
      <c r="BK146" s="721"/>
      <c r="BL146" s="721"/>
      <c r="BM146" s="721"/>
      <c r="BN146" s="721"/>
      <c r="BO146" s="721"/>
      <c r="BP146" s="721"/>
      <c r="BQ146" s="721"/>
      <c r="BR146" s="721"/>
      <c r="BS146" s="721"/>
      <c r="BT146" s="721"/>
      <c r="BU146" s="721"/>
      <c r="BV146" s="721"/>
      <c r="BW146" s="721"/>
      <c r="BX146" s="721"/>
      <c r="BY146" s="721"/>
      <c r="BZ146" s="721"/>
      <c r="CA146" s="721"/>
      <c r="CB146" s="721"/>
      <c r="CC146" s="721"/>
      <c r="CD146" s="721"/>
      <c r="CE146" s="721"/>
      <c r="CF146" s="721"/>
      <c r="CG146" s="721"/>
      <c r="CH146" s="721"/>
      <c r="CI146" s="721"/>
      <c r="CJ146" s="721"/>
      <c r="CK146" s="721"/>
      <c r="CL146" s="721"/>
      <c r="CM146" s="721"/>
      <c r="CN146" s="721"/>
      <c r="CO146" s="721"/>
      <c r="CP146" s="721"/>
      <c r="CQ146" s="721"/>
      <c r="CR146" s="721"/>
      <c r="CS146" s="721"/>
      <c r="CT146" s="721"/>
      <c r="CU146" s="721"/>
      <c r="CV146" s="721"/>
      <c r="CW146" s="721"/>
      <c r="CX146" s="721"/>
    </row>
    <row r="147" spans="1:102" ht="12" customHeight="1" x14ac:dyDescent="0.2">
      <c r="A147" s="721"/>
      <c r="B147" s="721"/>
      <c r="C147" s="721"/>
      <c r="D147" s="721"/>
      <c r="E147" s="721"/>
      <c r="F147" s="721"/>
      <c r="G147" s="721"/>
      <c r="H147" s="721"/>
      <c r="I147" s="721"/>
      <c r="J147" s="721"/>
      <c r="K147" s="721"/>
      <c r="L147" s="721"/>
      <c r="M147" s="721"/>
      <c r="N147" s="721"/>
      <c r="O147" s="721"/>
      <c r="P147" s="721"/>
      <c r="Q147" s="721"/>
      <c r="R147" s="721"/>
      <c r="S147" s="721"/>
      <c r="T147" s="721"/>
      <c r="U147" s="721"/>
      <c r="V147" s="721"/>
      <c r="W147" s="204"/>
      <c r="X147" s="723"/>
      <c r="Y147" s="723"/>
      <c r="Z147" s="723"/>
      <c r="AA147" s="723"/>
      <c r="AB147" s="723"/>
      <c r="AC147" s="723"/>
      <c r="AD147" s="723"/>
      <c r="AE147" s="723"/>
      <c r="AF147" s="723"/>
      <c r="AG147" s="723"/>
      <c r="AH147" s="723"/>
      <c r="AI147" s="723"/>
      <c r="AJ147" s="723"/>
      <c r="AK147" s="723"/>
      <c r="AL147" s="723"/>
      <c r="AM147" s="721"/>
      <c r="AN147" s="721"/>
      <c r="AO147" s="723"/>
      <c r="AP147" s="721"/>
      <c r="AQ147" s="723"/>
      <c r="AR147" s="721"/>
      <c r="AS147" s="723"/>
      <c r="AT147" s="721"/>
      <c r="AU147" s="723"/>
      <c r="AV147" s="721"/>
      <c r="AW147" s="721"/>
      <c r="AX147" s="721"/>
      <c r="AY147" s="721"/>
      <c r="AZ147" s="721"/>
      <c r="BA147" s="721"/>
      <c r="BB147" s="721"/>
      <c r="BC147" s="721"/>
      <c r="BD147" s="721"/>
      <c r="BE147" s="721"/>
      <c r="BF147" s="721"/>
      <c r="BG147" s="721"/>
      <c r="BH147" s="721"/>
      <c r="BI147" s="721"/>
      <c r="BJ147" s="721"/>
      <c r="BK147" s="721"/>
      <c r="BL147" s="721"/>
      <c r="BM147" s="721"/>
      <c r="BN147" s="721"/>
      <c r="BO147" s="721"/>
      <c r="BP147" s="721"/>
      <c r="BQ147" s="721"/>
      <c r="BR147" s="721"/>
      <c r="BS147" s="721"/>
      <c r="BT147" s="721"/>
      <c r="BU147" s="721"/>
      <c r="BV147" s="721"/>
      <c r="BW147" s="721"/>
      <c r="BX147" s="721"/>
      <c r="BY147" s="721"/>
      <c r="BZ147" s="721"/>
      <c r="CA147" s="721"/>
      <c r="CB147" s="721"/>
      <c r="CC147" s="721"/>
      <c r="CD147" s="721"/>
      <c r="CE147" s="721"/>
      <c r="CF147" s="721"/>
      <c r="CG147" s="721"/>
      <c r="CH147" s="721"/>
      <c r="CI147" s="721"/>
      <c r="CJ147" s="721"/>
      <c r="CK147" s="721"/>
      <c r="CL147" s="721"/>
      <c r="CM147" s="721"/>
      <c r="CN147" s="721"/>
      <c r="CO147" s="721"/>
      <c r="CP147" s="721"/>
      <c r="CQ147" s="721"/>
      <c r="CR147" s="721"/>
      <c r="CS147" s="721"/>
      <c r="CT147" s="721"/>
      <c r="CU147" s="721"/>
      <c r="CV147" s="721"/>
      <c r="CW147" s="721"/>
      <c r="CX147" s="721"/>
    </row>
    <row r="148" spans="1:102" ht="12" customHeight="1" x14ac:dyDescent="0.2">
      <c r="A148" s="721"/>
      <c r="B148" s="721"/>
      <c r="C148" s="721"/>
      <c r="D148" s="721"/>
      <c r="E148" s="721"/>
      <c r="F148" s="721"/>
      <c r="G148" s="721"/>
      <c r="H148" s="721"/>
      <c r="I148" s="721"/>
      <c r="J148" s="721"/>
      <c r="K148" s="721"/>
      <c r="L148" s="721"/>
      <c r="M148" s="721"/>
      <c r="N148" s="721"/>
      <c r="O148" s="721"/>
      <c r="P148" s="721"/>
      <c r="Q148" s="721"/>
      <c r="R148" s="721"/>
      <c r="S148" s="721"/>
      <c r="T148" s="721"/>
      <c r="U148" s="721"/>
      <c r="V148" s="721"/>
      <c r="W148" s="204"/>
      <c r="X148" s="723"/>
      <c r="Y148" s="723"/>
      <c r="Z148" s="723"/>
      <c r="AA148" s="723"/>
      <c r="AB148" s="723"/>
      <c r="AC148" s="723"/>
      <c r="AD148" s="723"/>
      <c r="AE148" s="723"/>
      <c r="AF148" s="723"/>
      <c r="AG148" s="723"/>
      <c r="AH148" s="723"/>
      <c r="AI148" s="723"/>
      <c r="AJ148" s="723"/>
      <c r="AK148" s="723"/>
      <c r="AL148" s="723"/>
      <c r="AM148" s="721"/>
      <c r="AN148" s="721"/>
      <c r="AO148" s="723"/>
      <c r="AP148" s="721"/>
      <c r="AQ148" s="723"/>
      <c r="AR148" s="721"/>
      <c r="AS148" s="723"/>
      <c r="AT148" s="721"/>
      <c r="AU148" s="723"/>
      <c r="AV148" s="721"/>
      <c r="AW148" s="721"/>
      <c r="AX148" s="721"/>
      <c r="AY148" s="721"/>
      <c r="AZ148" s="721"/>
      <c r="BA148" s="721"/>
      <c r="BB148" s="721"/>
      <c r="BC148" s="721"/>
      <c r="BD148" s="721"/>
      <c r="BE148" s="721"/>
      <c r="BF148" s="721"/>
      <c r="BG148" s="721"/>
      <c r="BH148" s="721"/>
      <c r="BI148" s="721"/>
      <c r="BJ148" s="721"/>
      <c r="BK148" s="721"/>
      <c r="BL148" s="721"/>
      <c r="BM148" s="721"/>
      <c r="BN148" s="721"/>
      <c r="BO148" s="721"/>
      <c r="BP148" s="721"/>
      <c r="BQ148" s="721"/>
      <c r="BR148" s="721"/>
      <c r="BS148" s="721"/>
      <c r="BT148" s="721"/>
      <c r="BU148" s="721"/>
      <c r="BV148" s="721"/>
      <c r="BW148" s="721"/>
      <c r="BX148" s="721"/>
      <c r="BY148" s="721"/>
      <c r="BZ148" s="721"/>
      <c r="CA148" s="721"/>
      <c r="CB148" s="721"/>
      <c r="CC148" s="721"/>
      <c r="CD148" s="721"/>
      <c r="CE148" s="721"/>
      <c r="CF148" s="721"/>
      <c r="CG148" s="721"/>
      <c r="CH148" s="721"/>
      <c r="CI148" s="721"/>
      <c r="CJ148" s="721"/>
      <c r="CK148" s="721"/>
      <c r="CL148" s="721"/>
      <c r="CM148" s="721"/>
      <c r="CN148" s="721"/>
      <c r="CO148" s="721"/>
      <c r="CP148" s="721"/>
      <c r="CQ148" s="721"/>
      <c r="CR148" s="721"/>
      <c r="CS148" s="721"/>
      <c r="CT148" s="721"/>
      <c r="CU148" s="721"/>
      <c r="CV148" s="721"/>
      <c r="CW148" s="721"/>
      <c r="CX148" s="721"/>
    </row>
    <row r="149" spans="1:102" ht="12" customHeight="1" x14ac:dyDescent="0.2">
      <c r="A149" s="721"/>
      <c r="B149" s="721"/>
      <c r="C149" s="721"/>
      <c r="D149" s="721"/>
      <c r="E149" s="721"/>
      <c r="F149" s="721"/>
      <c r="G149" s="721"/>
      <c r="H149" s="721"/>
      <c r="I149" s="721"/>
      <c r="J149" s="721"/>
      <c r="K149" s="721"/>
      <c r="L149" s="721"/>
      <c r="M149" s="721"/>
      <c r="N149" s="721"/>
      <c r="O149" s="721"/>
      <c r="P149" s="721"/>
      <c r="Q149" s="721"/>
      <c r="R149" s="721"/>
      <c r="S149" s="721"/>
      <c r="T149" s="721"/>
      <c r="U149" s="721"/>
      <c r="V149" s="721"/>
      <c r="W149" s="204"/>
      <c r="X149" s="723"/>
      <c r="Y149" s="723"/>
      <c r="Z149" s="723"/>
      <c r="AA149" s="723"/>
      <c r="AB149" s="723"/>
      <c r="AC149" s="723"/>
      <c r="AD149" s="723"/>
      <c r="AE149" s="723"/>
      <c r="AF149" s="723"/>
      <c r="AG149" s="723"/>
      <c r="AH149" s="723"/>
      <c r="AI149" s="723"/>
      <c r="AJ149" s="723"/>
      <c r="AK149" s="723"/>
      <c r="AL149" s="723"/>
      <c r="AM149" s="721"/>
      <c r="AN149" s="721"/>
      <c r="AO149" s="723"/>
      <c r="AP149" s="721"/>
      <c r="AQ149" s="723"/>
      <c r="AR149" s="721"/>
      <c r="AS149" s="723"/>
      <c r="AT149" s="721"/>
      <c r="AU149" s="723"/>
      <c r="AV149" s="721"/>
      <c r="AW149" s="721"/>
      <c r="AX149" s="721"/>
      <c r="AY149" s="721"/>
      <c r="AZ149" s="721"/>
      <c r="BA149" s="721"/>
      <c r="BB149" s="721"/>
      <c r="BC149" s="721"/>
      <c r="BD149" s="721"/>
      <c r="BE149" s="721"/>
      <c r="BF149" s="721"/>
      <c r="BG149" s="721"/>
      <c r="BH149" s="721"/>
      <c r="BI149" s="721"/>
      <c r="BJ149" s="721"/>
      <c r="BK149" s="721"/>
      <c r="BL149" s="721"/>
      <c r="BM149" s="721"/>
      <c r="BN149" s="721"/>
      <c r="BO149" s="721"/>
      <c r="BP149" s="721"/>
      <c r="BQ149" s="721"/>
      <c r="BR149" s="721"/>
      <c r="BS149" s="721"/>
      <c r="BT149" s="721"/>
      <c r="BU149" s="721"/>
      <c r="BV149" s="721"/>
      <c r="BW149" s="721"/>
      <c r="BX149" s="721"/>
      <c r="BY149" s="721"/>
      <c r="BZ149" s="721"/>
      <c r="CA149" s="721"/>
      <c r="CB149" s="721"/>
      <c r="CC149" s="721"/>
      <c r="CD149" s="721"/>
      <c r="CE149" s="721"/>
      <c r="CF149" s="721"/>
      <c r="CG149" s="721"/>
      <c r="CH149" s="721"/>
      <c r="CI149" s="721"/>
      <c r="CJ149" s="721"/>
      <c r="CK149" s="721"/>
      <c r="CL149" s="721"/>
      <c r="CM149" s="721"/>
      <c r="CN149" s="721"/>
      <c r="CO149" s="721"/>
      <c r="CP149" s="721"/>
      <c r="CQ149" s="721"/>
      <c r="CR149" s="721"/>
      <c r="CS149" s="721"/>
      <c r="CT149" s="721"/>
      <c r="CU149" s="721"/>
      <c r="CV149" s="721"/>
      <c r="CW149" s="721"/>
      <c r="CX149" s="721"/>
    </row>
    <row r="150" spans="1:102" ht="12" customHeight="1" x14ac:dyDescent="0.2">
      <c r="A150" s="721"/>
      <c r="B150" s="721"/>
      <c r="C150" s="721"/>
      <c r="D150" s="721"/>
      <c r="E150" s="721"/>
      <c r="F150" s="721"/>
      <c r="G150" s="721"/>
      <c r="H150" s="721"/>
      <c r="I150" s="721"/>
      <c r="J150" s="721"/>
      <c r="K150" s="721"/>
      <c r="L150" s="721"/>
      <c r="M150" s="721"/>
      <c r="N150" s="721"/>
      <c r="O150" s="721"/>
      <c r="P150" s="721"/>
      <c r="Q150" s="721"/>
      <c r="R150" s="721"/>
      <c r="S150" s="721"/>
      <c r="T150" s="721"/>
      <c r="U150" s="721"/>
      <c r="V150" s="721"/>
      <c r="W150" s="204"/>
      <c r="X150" s="723"/>
      <c r="Y150" s="723"/>
      <c r="Z150" s="723"/>
      <c r="AA150" s="723"/>
      <c r="AB150" s="723"/>
      <c r="AC150" s="723"/>
      <c r="AD150" s="723"/>
      <c r="AE150" s="723"/>
      <c r="AF150" s="723"/>
      <c r="AG150" s="723"/>
      <c r="AH150" s="723"/>
      <c r="AI150" s="723"/>
      <c r="AJ150" s="723"/>
      <c r="AK150" s="723"/>
      <c r="AL150" s="723"/>
      <c r="AM150" s="721"/>
      <c r="AN150" s="721"/>
      <c r="AO150" s="723"/>
      <c r="AP150" s="721"/>
      <c r="AQ150" s="723"/>
      <c r="AR150" s="721"/>
      <c r="AS150" s="723"/>
      <c r="AT150" s="721"/>
      <c r="AU150" s="723"/>
      <c r="AV150" s="721"/>
      <c r="AW150" s="721"/>
      <c r="AX150" s="721"/>
      <c r="AY150" s="721"/>
      <c r="AZ150" s="721"/>
      <c r="BA150" s="721"/>
      <c r="BB150" s="721"/>
      <c r="BC150" s="721"/>
      <c r="BD150" s="721"/>
      <c r="BE150" s="721"/>
      <c r="BF150" s="721"/>
      <c r="BG150" s="721"/>
      <c r="BH150" s="721"/>
      <c r="BI150" s="721"/>
      <c r="BJ150" s="721"/>
      <c r="BK150" s="721"/>
      <c r="BL150" s="721"/>
      <c r="BM150" s="721"/>
      <c r="BN150" s="721"/>
      <c r="BO150" s="721"/>
      <c r="BP150" s="721"/>
      <c r="BQ150" s="721"/>
      <c r="BR150" s="721"/>
      <c r="BS150" s="721"/>
      <c r="BT150" s="721"/>
      <c r="BU150" s="721"/>
      <c r="BV150" s="721"/>
      <c r="BW150" s="721"/>
      <c r="BX150" s="721"/>
      <c r="BY150" s="721"/>
      <c r="BZ150" s="721"/>
      <c r="CA150" s="721"/>
      <c r="CB150" s="721"/>
      <c r="CC150" s="721"/>
      <c r="CD150" s="721"/>
      <c r="CE150" s="721"/>
      <c r="CF150" s="721"/>
      <c r="CG150" s="721"/>
      <c r="CH150" s="721"/>
      <c r="CI150" s="721"/>
      <c r="CJ150" s="721"/>
      <c r="CK150" s="721"/>
      <c r="CL150" s="721"/>
      <c r="CM150" s="721"/>
      <c r="CN150" s="721"/>
      <c r="CO150" s="721"/>
      <c r="CP150" s="721"/>
      <c r="CQ150" s="721"/>
      <c r="CR150" s="721"/>
      <c r="CS150" s="721"/>
      <c r="CT150" s="721"/>
      <c r="CU150" s="721"/>
      <c r="CV150" s="721"/>
      <c r="CW150" s="721"/>
      <c r="CX150" s="721"/>
    </row>
    <row r="151" spans="1:102" ht="12" customHeight="1" x14ac:dyDescent="0.2">
      <c r="A151" s="721"/>
      <c r="B151" s="721"/>
      <c r="C151" s="721"/>
      <c r="D151" s="721"/>
      <c r="E151" s="721"/>
      <c r="F151" s="721"/>
      <c r="G151" s="721"/>
      <c r="H151" s="721"/>
      <c r="I151" s="721"/>
      <c r="J151" s="721"/>
      <c r="K151" s="721"/>
      <c r="L151" s="721"/>
      <c r="M151" s="721"/>
      <c r="N151" s="721"/>
      <c r="O151" s="721"/>
      <c r="P151" s="721"/>
      <c r="Q151" s="721"/>
      <c r="R151" s="721"/>
      <c r="S151" s="721"/>
      <c r="T151" s="721"/>
      <c r="U151" s="721"/>
      <c r="V151" s="721"/>
      <c r="W151" s="204"/>
      <c r="X151" s="723"/>
      <c r="Y151" s="723"/>
      <c r="Z151" s="723"/>
      <c r="AA151" s="723"/>
      <c r="AB151" s="723"/>
      <c r="AC151" s="723"/>
      <c r="AD151" s="723"/>
      <c r="AE151" s="723"/>
      <c r="AF151" s="723"/>
      <c r="AG151" s="723"/>
      <c r="AH151" s="723"/>
      <c r="AI151" s="723"/>
      <c r="AJ151" s="723"/>
      <c r="AK151" s="723"/>
      <c r="AL151" s="723"/>
      <c r="AM151" s="721"/>
      <c r="AN151" s="721"/>
      <c r="AO151" s="723"/>
      <c r="AP151" s="721"/>
      <c r="AQ151" s="723"/>
      <c r="AR151" s="721"/>
      <c r="AS151" s="723"/>
      <c r="AT151" s="721"/>
      <c r="AU151" s="723"/>
      <c r="AV151" s="721"/>
      <c r="AW151" s="721"/>
      <c r="AX151" s="721"/>
      <c r="AY151" s="721"/>
      <c r="AZ151" s="721"/>
      <c r="BA151" s="721"/>
      <c r="BB151" s="721"/>
      <c r="BC151" s="721"/>
      <c r="BD151" s="721"/>
      <c r="BE151" s="721"/>
      <c r="BF151" s="721"/>
      <c r="BG151" s="721"/>
      <c r="BH151" s="721"/>
      <c r="BI151" s="721"/>
      <c r="BJ151" s="721"/>
      <c r="BK151" s="721"/>
      <c r="BL151" s="721"/>
      <c r="BM151" s="721"/>
      <c r="BN151" s="721"/>
      <c r="BO151" s="721"/>
      <c r="BP151" s="721"/>
      <c r="BQ151" s="721"/>
      <c r="BR151" s="721"/>
      <c r="BS151" s="721"/>
      <c r="BT151" s="721"/>
      <c r="BU151" s="721"/>
      <c r="BV151" s="721"/>
      <c r="BW151" s="721"/>
      <c r="BX151" s="721"/>
      <c r="BY151" s="721"/>
      <c r="BZ151" s="721"/>
      <c r="CA151" s="721"/>
      <c r="CB151" s="721"/>
      <c r="CC151" s="721"/>
      <c r="CD151" s="721"/>
      <c r="CE151" s="721"/>
      <c r="CF151" s="721"/>
      <c r="CG151" s="721"/>
      <c r="CH151" s="721"/>
      <c r="CI151" s="721"/>
      <c r="CJ151" s="721"/>
      <c r="CK151" s="721"/>
      <c r="CL151" s="721"/>
      <c r="CM151" s="721"/>
      <c r="CN151" s="721"/>
      <c r="CO151" s="721"/>
      <c r="CP151" s="721"/>
      <c r="CQ151" s="721"/>
      <c r="CR151" s="721"/>
      <c r="CS151" s="721"/>
      <c r="CT151" s="721"/>
      <c r="CU151" s="721"/>
      <c r="CV151" s="721"/>
      <c r="CW151" s="721"/>
      <c r="CX151" s="721"/>
    </row>
    <row r="152" spans="1:102" ht="12" customHeight="1" x14ac:dyDescent="0.2">
      <c r="A152" s="721"/>
      <c r="B152" s="721"/>
      <c r="C152" s="721"/>
      <c r="D152" s="721"/>
      <c r="E152" s="721"/>
      <c r="F152" s="721"/>
      <c r="G152" s="721"/>
      <c r="H152" s="721"/>
      <c r="I152" s="721"/>
      <c r="J152" s="721"/>
      <c r="K152" s="721"/>
      <c r="L152" s="721"/>
      <c r="M152" s="721"/>
      <c r="N152" s="721"/>
      <c r="O152" s="721"/>
      <c r="P152" s="721"/>
      <c r="Q152" s="721"/>
      <c r="R152" s="721"/>
      <c r="S152" s="721"/>
      <c r="T152" s="721"/>
      <c r="U152" s="721"/>
      <c r="V152" s="721"/>
      <c r="W152" s="204"/>
      <c r="X152" s="723"/>
      <c r="Y152" s="723"/>
      <c r="Z152" s="723"/>
      <c r="AA152" s="723"/>
      <c r="AB152" s="723"/>
      <c r="AC152" s="723"/>
      <c r="AD152" s="723"/>
      <c r="AE152" s="723"/>
      <c r="AF152" s="723"/>
      <c r="AG152" s="723"/>
      <c r="AH152" s="723"/>
      <c r="AI152" s="723"/>
      <c r="AJ152" s="723"/>
      <c r="AK152" s="723"/>
      <c r="AL152" s="723"/>
      <c r="AM152" s="721"/>
      <c r="AN152" s="721"/>
      <c r="AO152" s="723"/>
      <c r="AP152" s="721"/>
      <c r="AQ152" s="723"/>
      <c r="AR152" s="721"/>
      <c r="AS152" s="723"/>
      <c r="AT152" s="721"/>
      <c r="AU152" s="723"/>
      <c r="AV152" s="721"/>
      <c r="AW152" s="721"/>
      <c r="AX152" s="721"/>
      <c r="AY152" s="721"/>
      <c r="AZ152" s="721"/>
      <c r="BA152" s="721"/>
      <c r="BB152" s="721"/>
      <c r="BC152" s="721"/>
      <c r="BD152" s="721"/>
      <c r="BE152" s="721"/>
      <c r="BF152" s="721"/>
      <c r="BG152" s="721"/>
      <c r="BH152" s="721"/>
      <c r="BI152" s="721"/>
      <c r="BJ152" s="721"/>
      <c r="BK152" s="721"/>
      <c r="BL152" s="721"/>
      <c r="BM152" s="721"/>
      <c r="BN152" s="721"/>
      <c r="BO152" s="721"/>
      <c r="BP152" s="721"/>
      <c r="BQ152" s="721"/>
      <c r="BR152" s="721"/>
      <c r="BS152" s="721"/>
      <c r="BT152" s="721"/>
      <c r="BU152" s="721"/>
      <c r="BV152" s="721"/>
      <c r="BW152" s="721"/>
      <c r="BX152" s="721"/>
      <c r="BY152" s="721"/>
      <c r="BZ152" s="721"/>
      <c r="CA152" s="721"/>
      <c r="CB152" s="721"/>
      <c r="CC152" s="721"/>
      <c r="CD152" s="721"/>
      <c r="CE152" s="721"/>
      <c r="CF152" s="721"/>
      <c r="CG152" s="721"/>
      <c r="CH152" s="721"/>
      <c r="CI152" s="721"/>
      <c r="CJ152" s="721"/>
      <c r="CK152" s="721"/>
      <c r="CL152" s="721"/>
      <c r="CM152" s="721"/>
      <c r="CN152" s="721"/>
      <c r="CO152" s="721"/>
      <c r="CP152" s="721"/>
      <c r="CQ152" s="721"/>
      <c r="CR152" s="721"/>
      <c r="CS152" s="721"/>
      <c r="CT152" s="721"/>
      <c r="CU152" s="721"/>
      <c r="CV152" s="721"/>
      <c r="CW152" s="721"/>
      <c r="CX152" s="721"/>
    </row>
    <row r="153" spans="1:102" ht="12" customHeight="1" x14ac:dyDescent="0.2">
      <c r="A153" s="721"/>
      <c r="B153" s="721"/>
      <c r="C153" s="721"/>
      <c r="D153" s="721"/>
      <c r="E153" s="721"/>
      <c r="F153" s="721"/>
      <c r="G153" s="721"/>
      <c r="H153" s="721"/>
      <c r="I153" s="721"/>
      <c r="J153" s="721"/>
      <c r="K153" s="721"/>
      <c r="L153" s="721"/>
      <c r="M153" s="721"/>
      <c r="N153" s="721"/>
      <c r="O153" s="721"/>
      <c r="P153" s="721"/>
      <c r="Q153" s="721"/>
      <c r="R153" s="721"/>
      <c r="S153" s="721"/>
      <c r="T153" s="721"/>
      <c r="U153" s="721"/>
      <c r="V153" s="721"/>
      <c r="W153" s="204"/>
      <c r="X153" s="723"/>
      <c r="Y153" s="723"/>
      <c r="Z153" s="723"/>
      <c r="AA153" s="723"/>
      <c r="AB153" s="723"/>
      <c r="AC153" s="723"/>
      <c r="AD153" s="723"/>
      <c r="AE153" s="723"/>
      <c r="AF153" s="723"/>
      <c r="AG153" s="723"/>
      <c r="AH153" s="723"/>
      <c r="AI153" s="723"/>
      <c r="AJ153" s="723"/>
      <c r="AK153" s="723"/>
      <c r="AL153" s="723"/>
      <c r="AM153" s="721"/>
      <c r="AN153" s="721"/>
      <c r="AO153" s="723"/>
      <c r="AP153" s="721"/>
      <c r="AQ153" s="723"/>
      <c r="AR153" s="721"/>
      <c r="AS153" s="723"/>
      <c r="AT153" s="721"/>
      <c r="AU153" s="723"/>
      <c r="AV153" s="721"/>
      <c r="AW153" s="721"/>
      <c r="AX153" s="721"/>
      <c r="AY153" s="721"/>
      <c r="AZ153" s="721"/>
      <c r="BA153" s="721"/>
      <c r="BB153" s="721"/>
      <c r="BC153" s="721"/>
      <c r="BD153" s="721"/>
      <c r="BE153" s="721"/>
      <c r="BF153" s="721"/>
      <c r="BG153" s="721"/>
      <c r="BH153" s="721"/>
      <c r="BI153" s="721"/>
      <c r="BJ153" s="721"/>
      <c r="BK153" s="721"/>
      <c r="BL153" s="721"/>
      <c r="BM153" s="721"/>
      <c r="BN153" s="721"/>
      <c r="BO153" s="721"/>
      <c r="BP153" s="721"/>
      <c r="BQ153" s="721"/>
      <c r="BR153" s="721"/>
      <c r="BS153" s="721"/>
      <c r="BT153" s="721"/>
      <c r="BU153" s="721"/>
      <c r="BV153" s="721"/>
      <c r="BW153" s="721"/>
      <c r="BX153" s="721"/>
      <c r="BY153" s="721"/>
      <c r="BZ153" s="721"/>
      <c r="CA153" s="721"/>
      <c r="CB153" s="721"/>
      <c r="CC153" s="721"/>
      <c r="CD153" s="721"/>
      <c r="CE153" s="721"/>
      <c r="CF153" s="721"/>
      <c r="CG153" s="721"/>
      <c r="CH153" s="721"/>
      <c r="CI153" s="721"/>
      <c r="CJ153" s="721"/>
      <c r="CK153" s="721"/>
      <c r="CL153" s="721"/>
      <c r="CM153" s="721"/>
      <c r="CN153" s="721"/>
      <c r="CO153" s="721"/>
      <c r="CP153" s="721"/>
      <c r="CQ153" s="721"/>
      <c r="CR153" s="721"/>
      <c r="CS153" s="721"/>
      <c r="CT153" s="721"/>
      <c r="CU153" s="721"/>
      <c r="CV153" s="721"/>
      <c r="CW153" s="721"/>
      <c r="CX153" s="721"/>
    </row>
    <row r="154" spans="1:102" ht="12" customHeight="1" x14ac:dyDescent="0.2">
      <c r="A154" s="721"/>
      <c r="B154" s="721"/>
      <c r="C154" s="721"/>
      <c r="D154" s="721"/>
      <c r="E154" s="721"/>
      <c r="F154" s="721"/>
      <c r="G154" s="721"/>
      <c r="H154" s="721"/>
      <c r="I154" s="721"/>
      <c r="J154" s="721"/>
      <c r="K154" s="721"/>
      <c r="L154" s="721"/>
      <c r="M154" s="721"/>
      <c r="N154" s="721"/>
      <c r="O154" s="721"/>
      <c r="P154" s="721"/>
      <c r="Q154" s="721"/>
      <c r="R154" s="721"/>
      <c r="S154" s="721"/>
      <c r="T154" s="721"/>
      <c r="U154" s="721"/>
      <c r="V154" s="721"/>
      <c r="W154" s="204"/>
      <c r="X154" s="723"/>
      <c r="Y154" s="723"/>
      <c r="Z154" s="723"/>
      <c r="AA154" s="723"/>
      <c r="AB154" s="723"/>
      <c r="AC154" s="723"/>
      <c r="AD154" s="723"/>
      <c r="AE154" s="723"/>
      <c r="AF154" s="723"/>
      <c r="AG154" s="723"/>
      <c r="AH154" s="723"/>
      <c r="AI154" s="723"/>
      <c r="AJ154" s="723"/>
      <c r="AK154" s="723"/>
      <c r="AL154" s="723"/>
      <c r="AM154" s="721"/>
      <c r="AN154" s="721"/>
      <c r="AO154" s="723"/>
      <c r="AP154" s="721"/>
      <c r="AQ154" s="723"/>
      <c r="AR154" s="721"/>
      <c r="AS154" s="723"/>
      <c r="AT154" s="721"/>
      <c r="AU154" s="723"/>
      <c r="AV154" s="721"/>
      <c r="AW154" s="721"/>
      <c r="AX154" s="721"/>
      <c r="AY154" s="721"/>
      <c r="AZ154" s="721"/>
      <c r="BA154" s="721"/>
      <c r="BB154" s="721"/>
      <c r="BC154" s="721"/>
      <c r="BD154" s="721"/>
      <c r="BE154" s="721"/>
      <c r="BF154" s="721"/>
      <c r="BG154" s="721"/>
      <c r="BH154" s="721"/>
      <c r="BI154" s="721"/>
      <c r="BJ154" s="721"/>
      <c r="BK154" s="721"/>
      <c r="BL154" s="721"/>
      <c r="BM154" s="721"/>
      <c r="BN154" s="721"/>
      <c r="BO154" s="721"/>
      <c r="BP154" s="721"/>
      <c r="BQ154" s="721"/>
      <c r="BR154" s="721"/>
      <c r="BS154" s="721"/>
      <c r="BT154" s="721"/>
      <c r="BU154" s="721"/>
      <c r="BV154" s="721"/>
      <c r="BW154" s="721"/>
      <c r="BX154" s="721"/>
      <c r="BY154" s="721"/>
      <c r="BZ154" s="721"/>
      <c r="CA154" s="721"/>
      <c r="CB154" s="721"/>
      <c r="CC154" s="721"/>
      <c r="CD154" s="721"/>
      <c r="CE154" s="721"/>
      <c r="CF154" s="721"/>
      <c r="CG154" s="721"/>
      <c r="CH154" s="721"/>
      <c r="CI154" s="721"/>
      <c r="CJ154" s="721"/>
      <c r="CK154" s="721"/>
      <c r="CL154" s="721"/>
      <c r="CM154" s="721"/>
      <c r="CN154" s="721"/>
      <c r="CO154" s="721"/>
      <c r="CP154" s="721"/>
      <c r="CQ154" s="721"/>
      <c r="CR154" s="721"/>
      <c r="CS154" s="721"/>
      <c r="CT154" s="721"/>
      <c r="CU154" s="721"/>
      <c r="CV154" s="721"/>
      <c r="CW154" s="721"/>
      <c r="CX154" s="721"/>
    </row>
    <row r="155" spans="1:102" ht="12" customHeight="1" x14ac:dyDescent="0.2">
      <c r="A155" s="721"/>
      <c r="B155" s="721"/>
      <c r="C155" s="721"/>
      <c r="D155" s="721"/>
      <c r="E155" s="721"/>
      <c r="F155" s="721"/>
      <c r="G155" s="721"/>
      <c r="H155" s="721"/>
      <c r="I155" s="721"/>
      <c r="J155" s="721"/>
      <c r="K155" s="721"/>
      <c r="L155" s="721"/>
      <c r="M155" s="721"/>
      <c r="N155" s="721"/>
      <c r="O155" s="721"/>
      <c r="P155" s="721"/>
      <c r="Q155" s="721"/>
      <c r="R155" s="721"/>
      <c r="S155" s="721"/>
      <c r="T155" s="721"/>
      <c r="U155" s="721"/>
      <c r="V155" s="721"/>
      <c r="W155" s="204"/>
      <c r="X155" s="723"/>
      <c r="Y155" s="723"/>
      <c r="Z155" s="723"/>
      <c r="AA155" s="723"/>
      <c r="AB155" s="723"/>
      <c r="AC155" s="723"/>
      <c r="AD155" s="723"/>
      <c r="AE155" s="723"/>
      <c r="AF155" s="723"/>
      <c r="AG155" s="723"/>
      <c r="AH155" s="723"/>
      <c r="AI155" s="723"/>
      <c r="AJ155" s="723"/>
      <c r="AK155" s="723"/>
      <c r="AL155" s="723"/>
      <c r="AM155" s="721"/>
      <c r="AN155" s="721"/>
      <c r="AO155" s="723"/>
      <c r="AP155" s="721"/>
      <c r="AQ155" s="723"/>
      <c r="AR155" s="721"/>
      <c r="AS155" s="723"/>
      <c r="AT155" s="721"/>
      <c r="AU155" s="723"/>
      <c r="AV155" s="721"/>
      <c r="AW155" s="721"/>
      <c r="AX155" s="721"/>
      <c r="AY155" s="721"/>
      <c r="AZ155" s="721"/>
      <c r="BA155" s="721"/>
      <c r="BB155" s="721"/>
      <c r="BC155" s="721"/>
      <c r="BD155" s="721"/>
      <c r="BE155" s="721"/>
      <c r="BF155" s="721"/>
      <c r="BG155" s="721"/>
      <c r="BH155" s="721"/>
      <c r="BI155" s="721"/>
      <c r="BJ155" s="721"/>
      <c r="BK155" s="721"/>
      <c r="BL155" s="721"/>
      <c r="BM155" s="721"/>
      <c r="BN155" s="721"/>
      <c r="BO155" s="721"/>
      <c r="BP155" s="721"/>
      <c r="BQ155" s="721"/>
      <c r="BR155" s="721"/>
      <c r="BS155" s="721"/>
      <c r="BT155" s="721"/>
      <c r="BU155" s="721"/>
      <c r="BV155" s="721"/>
      <c r="BW155" s="721"/>
      <c r="BX155" s="721"/>
      <c r="BY155" s="721"/>
      <c r="BZ155" s="721"/>
      <c r="CA155" s="721"/>
      <c r="CB155" s="721"/>
      <c r="CC155" s="721"/>
      <c r="CD155" s="721"/>
      <c r="CE155" s="721"/>
      <c r="CF155" s="721"/>
      <c r="CG155" s="721"/>
      <c r="CH155" s="721"/>
      <c r="CI155" s="721"/>
      <c r="CJ155" s="721"/>
      <c r="CK155" s="721"/>
      <c r="CL155" s="721"/>
      <c r="CM155" s="721"/>
      <c r="CN155" s="721"/>
      <c r="CO155" s="721"/>
      <c r="CP155" s="721"/>
      <c r="CQ155" s="721"/>
      <c r="CR155" s="721"/>
      <c r="CS155" s="721"/>
      <c r="CT155" s="721"/>
      <c r="CU155" s="721"/>
      <c r="CV155" s="721"/>
      <c r="CW155" s="721"/>
      <c r="CX155" s="721"/>
    </row>
    <row r="156" spans="1:102" ht="12" customHeight="1" x14ac:dyDescent="0.2">
      <c r="A156" s="721"/>
      <c r="B156" s="721"/>
      <c r="C156" s="721"/>
      <c r="D156" s="721"/>
      <c r="E156" s="721"/>
      <c r="F156" s="721"/>
      <c r="G156" s="721"/>
      <c r="H156" s="721"/>
      <c r="I156" s="721"/>
      <c r="J156" s="721"/>
      <c r="K156" s="721"/>
      <c r="L156" s="721"/>
      <c r="M156" s="721"/>
      <c r="N156" s="721"/>
      <c r="O156" s="721"/>
      <c r="P156" s="721"/>
      <c r="Q156" s="721"/>
      <c r="R156" s="721"/>
      <c r="S156" s="721"/>
      <c r="T156" s="721"/>
      <c r="U156" s="721"/>
      <c r="V156" s="721"/>
      <c r="W156" s="204"/>
      <c r="X156" s="723"/>
      <c r="Y156" s="723"/>
      <c r="Z156" s="723"/>
      <c r="AA156" s="723"/>
      <c r="AB156" s="723"/>
      <c r="AC156" s="723"/>
      <c r="AD156" s="723"/>
      <c r="AE156" s="723"/>
      <c r="AF156" s="723"/>
      <c r="AG156" s="723"/>
      <c r="AH156" s="723"/>
      <c r="AI156" s="723"/>
      <c r="AJ156" s="723"/>
      <c r="AK156" s="723"/>
      <c r="AL156" s="723"/>
      <c r="AM156" s="721"/>
      <c r="AN156" s="721"/>
      <c r="AO156" s="723"/>
      <c r="AP156" s="721"/>
      <c r="AQ156" s="723"/>
      <c r="AR156" s="721"/>
      <c r="AS156" s="723"/>
      <c r="AT156" s="721"/>
      <c r="AU156" s="723"/>
      <c r="AV156" s="721"/>
      <c r="AW156" s="721"/>
      <c r="AX156" s="721"/>
      <c r="AY156" s="721"/>
      <c r="AZ156" s="721"/>
      <c r="BA156" s="721"/>
      <c r="BB156" s="721"/>
      <c r="BC156" s="721"/>
      <c r="BD156" s="721"/>
      <c r="BE156" s="721"/>
      <c r="BF156" s="721"/>
      <c r="BG156" s="721"/>
      <c r="BH156" s="721"/>
      <c r="BI156" s="721"/>
      <c r="BJ156" s="721"/>
      <c r="BK156" s="721"/>
      <c r="BL156" s="721"/>
      <c r="BM156" s="721"/>
      <c r="BN156" s="721"/>
      <c r="BO156" s="721"/>
      <c r="BP156" s="721"/>
      <c r="BQ156" s="721"/>
      <c r="BR156" s="721"/>
      <c r="BS156" s="721"/>
      <c r="BT156" s="721"/>
      <c r="BU156" s="721"/>
      <c r="BV156" s="721"/>
      <c r="BW156" s="721"/>
      <c r="BX156" s="721"/>
      <c r="BY156" s="721"/>
      <c r="BZ156" s="721"/>
      <c r="CA156" s="721"/>
      <c r="CB156" s="721"/>
      <c r="CC156" s="721"/>
      <c r="CD156" s="721"/>
      <c r="CE156" s="721"/>
      <c r="CF156" s="721"/>
      <c r="CG156" s="721"/>
      <c r="CH156" s="721"/>
      <c r="CI156" s="721"/>
      <c r="CJ156" s="721"/>
      <c r="CK156" s="721"/>
      <c r="CL156" s="721"/>
      <c r="CM156" s="721"/>
      <c r="CN156" s="721"/>
      <c r="CO156" s="721"/>
      <c r="CP156" s="721"/>
      <c r="CQ156" s="721"/>
      <c r="CR156" s="721"/>
      <c r="CS156" s="721"/>
      <c r="CT156" s="721"/>
      <c r="CU156" s="721"/>
      <c r="CV156" s="721"/>
      <c r="CW156" s="721"/>
      <c r="CX156" s="721"/>
    </row>
    <row r="157" spans="1:102" ht="12" customHeight="1" x14ac:dyDescent="0.2">
      <c r="A157" s="721"/>
      <c r="B157" s="721"/>
      <c r="C157" s="721"/>
      <c r="D157" s="721"/>
      <c r="E157" s="721"/>
      <c r="F157" s="721"/>
      <c r="G157" s="721"/>
      <c r="H157" s="721"/>
      <c r="I157" s="721"/>
      <c r="J157" s="721"/>
      <c r="K157" s="721"/>
      <c r="L157" s="721"/>
      <c r="M157" s="721"/>
      <c r="N157" s="721"/>
      <c r="O157" s="721"/>
      <c r="P157" s="721"/>
      <c r="Q157" s="721"/>
      <c r="R157" s="721"/>
      <c r="S157" s="721"/>
      <c r="T157" s="721"/>
      <c r="U157" s="721"/>
      <c r="V157" s="721"/>
      <c r="W157" s="204"/>
      <c r="X157" s="723"/>
      <c r="Y157" s="723"/>
      <c r="Z157" s="723"/>
      <c r="AA157" s="723"/>
      <c r="AB157" s="723"/>
      <c r="AC157" s="723"/>
      <c r="AD157" s="723"/>
      <c r="AE157" s="723"/>
      <c r="AF157" s="723"/>
      <c r="AG157" s="723"/>
      <c r="AH157" s="723"/>
      <c r="AI157" s="723"/>
      <c r="AJ157" s="723"/>
      <c r="AK157" s="723"/>
      <c r="AL157" s="723"/>
      <c r="AM157" s="721"/>
      <c r="AN157" s="721"/>
      <c r="AO157" s="723"/>
      <c r="AP157" s="721"/>
      <c r="AQ157" s="723"/>
      <c r="AR157" s="721"/>
      <c r="AS157" s="723"/>
      <c r="AT157" s="721"/>
      <c r="AU157" s="723"/>
      <c r="AV157" s="721"/>
      <c r="AW157" s="721"/>
      <c r="AX157" s="721"/>
      <c r="AY157" s="721"/>
      <c r="AZ157" s="721"/>
      <c r="BA157" s="721"/>
      <c r="BB157" s="721"/>
      <c r="BC157" s="721"/>
      <c r="BD157" s="721"/>
      <c r="BE157" s="721"/>
      <c r="BF157" s="721"/>
      <c r="BG157" s="721"/>
      <c r="BH157" s="721"/>
      <c r="BI157" s="721"/>
      <c r="BJ157" s="721"/>
      <c r="BK157" s="721"/>
      <c r="BL157" s="721"/>
      <c r="BM157" s="721"/>
      <c r="BN157" s="721"/>
      <c r="BO157" s="721"/>
      <c r="BP157" s="721"/>
      <c r="BQ157" s="721"/>
      <c r="BR157" s="721"/>
      <c r="BS157" s="721"/>
      <c r="BT157" s="721"/>
      <c r="BU157" s="721"/>
      <c r="BV157" s="721"/>
      <c r="BW157" s="721"/>
      <c r="BX157" s="721"/>
      <c r="BY157" s="721"/>
      <c r="BZ157" s="721"/>
      <c r="CA157" s="721"/>
      <c r="CB157" s="721"/>
      <c r="CC157" s="721"/>
      <c r="CD157" s="721"/>
      <c r="CE157" s="721"/>
      <c r="CF157" s="721"/>
      <c r="CG157" s="721"/>
      <c r="CH157" s="721"/>
      <c r="CI157" s="721"/>
      <c r="CJ157" s="721"/>
      <c r="CK157" s="721"/>
      <c r="CL157" s="721"/>
      <c r="CM157" s="721"/>
      <c r="CN157" s="721"/>
      <c r="CO157" s="721"/>
      <c r="CP157" s="721"/>
      <c r="CQ157" s="721"/>
      <c r="CR157" s="721"/>
      <c r="CS157" s="721"/>
      <c r="CT157" s="721"/>
      <c r="CU157" s="721"/>
      <c r="CV157" s="721"/>
      <c r="CW157" s="721"/>
      <c r="CX157" s="721"/>
    </row>
    <row r="158" spans="1:102" ht="12" customHeight="1" x14ac:dyDescent="0.2">
      <c r="A158" s="721"/>
      <c r="B158" s="721"/>
      <c r="C158" s="721"/>
      <c r="D158" s="721"/>
      <c r="E158" s="721"/>
      <c r="F158" s="721"/>
      <c r="G158" s="721"/>
      <c r="H158" s="721"/>
      <c r="I158" s="721"/>
      <c r="J158" s="721"/>
      <c r="K158" s="721"/>
      <c r="L158" s="721"/>
      <c r="M158" s="721"/>
      <c r="N158" s="721"/>
      <c r="O158" s="721"/>
      <c r="P158" s="721"/>
      <c r="Q158" s="721"/>
      <c r="R158" s="721"/>
      <c r="S158" s="721"/>
      <c r="T158" s="721"/>
      <c r="U158" s="721"/>
      <c r="V158" s="721"/>
      <c r="W158" s="204"/>
      <c r="X158" s="723"/>
      <c r="Y158" s="723"/>
      <c r="Z158" s="723"/>
      <c r="AA158" s="723"/>
      <c r="AB158" s="723"/>
      <c r="AC158" s="723"/>
      <c r="AD158" s="723"/>
      <c r="AE158" s="723"/>
      <c r="AF158" s="723"/>
      <c r="AG158" s="723"/>
      <c r="AH158" s="723"/>
      <c r="AI158" s="723"/>
      <c r="AJ158" s="723"/>
      <c r="AK158" s="723"/>
      <c r="AL158" s="723"/>
      <c r="AM158" s="721"/>
      <c r="AN158" s="721"/>
      <c r="AO158" s="723"/>
      <c r="AP158" s="721"/>
      <c r="AQ158" s="723"/>
      <c r="AR158" s="721"/>
      <c r="AS158" s="723"/>
      <c r="AT158" s="721"/>
      <c r="AU158" s="723"/>
      <c r="AV158" s="721"/>
      <c r="AW158" s="721"/>
      <c r="AX158" s="721"/>
      <c r="AY158" s="721"/>
      <c r="AZ158" s="721"/>
      <c r="BA158" s="721"/>
      <c r="BB158" s="721"/>
      <c r="BC158" s="721"/>
      <c r="BD158" s="721"/>
      <c r="BE158" s="721"/>
      <c r="BF158" s="721"/>
      <c r="BG158" s="721"/>
      <c r="BH158" s="721"/>
      <c r="BI158" s="721"/>
      <c r="BJ158" s="721"/>
      <c r="BK158" s="721"/>
      <c r="BL158" s="721"/>
      <c r="BM158" s="721"/>
      <c r="BN158" s="721"/>
      <c r="BO158" s="721"/>
      <c r="BP158" s="721"/>
      <c r="BQ158" s="721"/>
      <c r="BR158" s="721"/>
      <c r="BS158" s="721"/>
      <c r="BT158" s="721"/>
      <c r="BU158" s="721"/>
      <c r="BV158" s="721"/>
      <c r="BW158" s="721"/>
      <c r="BX158" s="721"/>
      <c r="BY158" s="721"/>
      <c r="BZ158" s="721"/>
      <c r="CA158" s="721"/>
      <c r="CB158" s="721"/>
      <c r="CC158" s="721"/>
      <c r="CD158" s="721"/>
      <c r="CE158" s="721"/>
      <c r="CF158" s="721"/>
      <c r="CG158" s="721"/>
      <c r="CH158" s="721"/>
      <c r="CI158" s="721"/>
      <c r="CJ158" s="721"/>
      <c r="CK158" s="721"/>
      <c r="CL158" s="721"/>
      <c r="CM158" s="721"/>
      <c r="CN158" s="721"/>
      <c r="CO158" s="721"/>
      <c r="CP158" s="721"/>
      <c r="CQ158" s="721"/>
      <c r="CR158" s="721"/>
      <c r="CS158" s="721"/>
      <c r="CT158" s="721"/>
      <c r="CU158" s="721"/>
      <c r="CV158" s="721"/>
      <c r="CW158" s="721"/>
      <c r="CX158" s="721"/>
    </row>
    <row r="159" spans="1:102" ht="12" customHeight="1" x14ac:dyDescent="0.2">
      <c r="A159" s="721"/>
      <c r="B159" s="721"/>
      <c r="C159" s="721"/>
      <c r="D159" s="721"/>
      <c r="E159" s="721"/>
      <c r="F159" s="721"/>
      <c r="G159" s="721"/>
      <c r="H159" s="721"/>
      <c r="I159" s="721"/>
      <c r="J159" s="721"/>
      <c r="K159" s="721"/>
      <c r="L159" s="721"/>
      <c r="M159" s="721"/>
      <c r="N159" s="721"/>
      <c r="O159" s="721"/>
      <c r="P159" s="721"/>
      <c r="Q159" s="721"/>
      <c r="R159" s="721"/>
      <c r="S159" s="721"/>
      <c r="T159" s="721"/>
      <c r="U159" s="721"/>
      <c r="V159" s="721"/>
      <c r="W159" s="204"/>
      <c r="X159" s="723"/>
      <c r="Y159" s="723"/>
      <c r="Z159" s="723"/>
      <c r="AA159" s="723"/>
      <c r="AB159" s="723"/>
      <c r="AC159" s="723"/>
      <c r="AD159" s="723"/>
      <c r="AE159" s="723"/>
      <c r="AF159" s="723"/>
      <c r="AG159" s="723"/>
      <c r="AH159" s="723"/>
      <c r="AI159" s="723"/>
      <c r="AJ159" s="723"/>
      <c r="AK159" s="723"/>
      <c r="AL159" s="723"/>
      <c r="AM159" s="721"/>
      <c r="AN159" s="721"/>
      <c r="AO159" s="723"/>
      <c r="AP159" s="721"/>
      <c r="AQ159" s="723"/>
      <c r="AR159" s="721"/>
      <c r="AS159" s="723"/>
      <c r="AT159" s="721"/>
      <c r="AU159" s="723"/>
      <c r="AV159" s="721"/>
      <c r="AW159" s="721"/>
      <c r="AX159" s="721"/>
      <c r="AY159" s="721"/>
      <c r="AZ159" s="721"/>
      <c r="BA159" s="721"/>
      <c r="BB159" s="721"/>
      <c r="BC159" s="721"/>
      <c r="BD159" s="721"/>
      <c r="BE159" s="721"/>
      <c r="BF159" s="721"/>
      <c r="BG159" s="721"/>
      <c r="BH159" s="721"/>
      <c r="BI159" s="721"/>
      <c r="BJ159" s="721"/>
      <c r="BK159" s="721"/>
      <c r="BL159" s="721"/>
      <c r="BM159" s="721"/>
      <c r="BN159" s="721"/>
      <c r="BO159" s="721"/>
      <c r="BP159" s="721"/>
      <c r="BQ159" s="721"/>
      <c r="BR159" s="721"/>
      <c r="BS159" s="721"/>
      <c r="BT159" s="721"/>
      <c r="BU159" s="721"/>
      <c r="BV159" s="721"/>
      <c r="BW159" s="721"/>
      <c r="BX159" s="721"/>
      <c r="BY159" s="721"/>
      <c r="BZ159" s="721"/>
      <c r="CA159" s="721"/>
      <c r="CB159" s="721"/>
      <c r="CC159" s="721"/>
      <c r="CD159" s="721"/>
      <c r="CE159" s="721"/>
      <c r="CF159" s="721"/>
      <c r="CG159" s="721"/>
      <c r="CH159" s="721"/>
      <c r="CI159" s="721"/>
      <c r="CJ159" s="721"/>
      <c r="CK159" s="721"/>
      <c r="CL159" s="721"/>
      <c r="CM159" s="721"/>
      <c r="CN159" s="721"/>
      <c r="CO159" s="721"/>
      <c r="CP159" s="721"/>
      <c r="CQ159" s="721"/>
      <c r="CR159" s="721"/>
      <c r="CS159" s="721"/>
      <c r="CT159" s="721"/>
      <c r="CU159" s="721"/>
      <c r="CV159" s="721"/>
      <c r="CW159" s="721"/>
      <c r="CX159" s="721"/>
    </row>
    <row r="160" spans="1:102" ht="12" customHeight="1" x14ac:dyDescent="0.2">
      <c r="A160" s="721"/>
      <c r="B160" s="721"/>
      <c r="C160" s="721"/>
      <c r="D160" s="721"/>
      <c r="E160" s="721"/>
      <c r="F160" s="721"/>
      <c r="G160" s="721"/>
      <c r="H160" s="721"/>
      <c r="I160" s="721"/>
      <c r="J160" s="721"/>
      <c r="K160" s="721"/>
      <c r="L160" s="721"/>
      <c r="M160" s="721"/>
      <c r="N160" s="721"/>
      <c r="O160" s="721"/>
      <c r="P160" s="721"/>
      <c r="Q160" s="721"/>
      <c r="R160" s="721"/>
      <c r="S160" s="721"/>
      <c r="T160" s="721"/>
      <c r="U160" s="721"/>
      <c r="V160" s="721"/>
      <c r="W160" s="204"/>
      <c r="X160" s="723"/>
      <c r="Y160" s="723"/>
      <c r="Z160" s="723"/>
      <c r="AA160" s="723"/>
      <c r="AB160" s="723"/>
      <c r="AC160" s="723"/>
      <c r="AD160" s="723"/>
      <c r="AE160" s="723"/>
      <c r="AF160" s="723"/>
      <c r="AG160" s="723"/>
      <c r="AH160" s="723"/>
      <c r="AI160" s="723"/>
      <c r="AJ160" s="723"/>
      <c r="AK160" s="723"/>
      <c r="AL160" s="723"/>
      <c r="AM160" s="721"/>
      <c r="AN160" s="721"/>
      <c r="AO160" s="723"/>
      <c r="AP160" s="721"/>
      <c r="AQ160" s="723"/>
      <c r="AR160" s="721"/>
      <c r="AS160" s="723"/>
      <c r="AT160" s="721"/>
      <c r="AU160" s="723"/>
      <c r="AV160" s="721"/>
      <c r="AW160" s="721"/>
      <c r="AX160" s="721"/>
      <c r="AY160" s="721"/>
      <c r="AZ160" s="721"/>
      <c r="BA160" s="721"/>
      <c r="BB160" s="721"/>
      <c r="BC160" s="721"/>
      <c r="BD160" s="721"/>
      <c r="BE160" s="721"/>
      <c r="BF160" s="721"/>
      <c r="BG160" s="721"/>
      <c r="BH160" s="721"/>
      <c r="BI160" s="721"/>
      <c r="BJ160" s="721"/>
      <c r="BK160" s="721"/>
      <c r="BL160" s="721"/>
      <c r="BM160" s="721"/>
      <c r="BN160" s="721"/>
      <c r="BO160" s="721"/>
      <c r="BP160" s="721"/>
      <c r="BQ160" s="721"/>
      <c r="BR160" s="721"/>
      <c r="BS160" s="721"/>
      <c r="BT160" s="721"/>
      <c r="BU160" s="721"/>
      <c r="BV160" s="721"/>
      <c r="BW160" s="721"/>
      <c r="BX160" s="721"/>
      <c r="BY160" s="721"/>
      <c r="BZ160" s="721"/>
      <c r="CA160" s="721"/>
      <c r="CB160" s="721"/>
      <c r="CC160" s="721"/>
      <c r="CD160" s="721"/>
      <c r="CE160" s="721"/>
      <c r="CF160" s="721"/>
      <c r="CG160" s="721"/>
      <c r="CH160" s="721"/>
      <c r="CI160" s="721"/>
      <c r="CJ160" s="721"/>
      <c r="CK160" s="721"/>
      <c r="CL160" s="721"/>
      <c r="CM160" s="721"/>
      <c r="CN160" s="721"/>
      <c r="CO160" s="721"/>
      <c r="CP160" s="721"/>
      <c r="CQ160" s="721"/>
      <c r="CR160" s="721"/>
      <c r="CS160" s="721"/>
      <c r="CT160" s="721"/>
      <c r="CU160" s="721"/>
      <c r="CV160" s="721"/>
      <c r="CW160" s="721"/>
      <c r="CX160" s="721"/>
    </row>
    <row r="161" spans="1:102" ht="12" customHeight="1" x14ac:dyDescent="0.2">
      <c r="A161" s="721"/>
      <c r="B161" s="721"/>
      <c r="C161" s="721"/>
      <c r="D161" s="721"/>
      <c r="E161" s="721"/>
      <c r="F161" s="721"/>
      <c r="G161" s="721"/>
      <c r="H161" s="721"/>
      <c r="I161" s="721"/>
      <c r="J161" s="721"/>
      <c r="K161" s="721"/>
      <c r="L161" s="721"/>
      <c r="M161" s="721"/>
      <c r="N161" s="721"/>
      <c r="O161" s="721"/>
      <c r="P161" s="721"/>
      <c r="Q161" s="721"/>
      <c r="R161" s="721"/>
      <c r="S161" s="721"/>
      <c r="T161" s="721"/>
      <c r="U161" s="721"/>
      <c r="V161" s="721"/>
      <c r="W161" s="204"/>
      <c r="X161" s="723"/>
      <c r="Y161" s="723"/>
      <c r="Z161" s="723"/>
      <c r="AA161" s="723"/>
      <c r="AB161" s="723"/>
      <c r="AC161" s="723"/>
      <c r="AD161" s="723"/>
      <c r="AE161" s="723"/>
      <c r="AF161" s="723"/>
      <c r="AG161" s="723"/>
      <c r="AH161" s="723"/>
      <c r="AI161" s="723"/>
      <c r="AJ161" s="723"/>
      <c r="AK161" s="723"/>
      <c r="AL161" s="723"/>
      <c r="AM161" s="721"/>
      <c r="AN161" s="721"/>
      <c r="AO161" s="723"/>
      <c r="AP161" s="721"/>
      <c r="AQ161" s="723"/>
      <c r="AR161" s="721"/>
      <c r="AS161" s="723"/>
      <c r="AT161" s="721"/>
      <c r="AU161" s="723"/>
      <c r="AV161" s="721"/>
      <c r="AW161" s="721"/>
      <c r="AX161" s="721"/>
      <c r="AY161" s="721"/>
      <c r="AZ161" s="721"/>
      <c r="BA161" s="721"/>
      <c r="BB161" s="721"/>
      <c r="BC161" s="721"/>
      <c r="BD161" s="721"/>
      <c r="BE161" s="721"/>
      <c r="BF161" s="721"/>
      <c r="BG161" s="721"/>
      <c r="BH161" s="721"/>
      <c r="BI161" s="721"/>
      <c r="BJ161" s="721"/>
      <c r="BK161" s="721"/>
      <c r="BL161" s="721"/>
      <c r="BM161" s="721"/>
      <c r="BN161" s="721"/>
      <c r="BO161" s="721"/>
      <c r="BP161" s="721"/>
      <c r="BQ161" s="721"/>
      <c r="BR161" s="721"/>
      <c r="BS161" s="721"/>
      <c r="BT161" s="721"/>
      <c r="BU161" s="721"/>
      <c r="BV161" s="721"/>
      <c r="BW161" s="721"/>
      <c r="BX161" s="721"/>
      <c r="BY161" s="721"/>
      <c r="BZ161" s="721"/>
      <c r="CA161" s="721"/>
      <c r="CB161" s="721"/>
      <c r="CC161" s="721"/>
      <c r="CD161" s="721"/>
      <c r="CE161" s="721"/>
      <c r="CF161" s="721"/>
      <c r="CG161" s="721"/>
      <c r="CH161" s="721"/>
      <c r="CI161" s="721"/>
      <c r="CJ161" s="721"/>
      <c r="CK161" s="721"/>
      <c r="CL161" s="721"/>
      <c r="CM161" s="721"/>
      <c r="CN161" s="721"/>
      <c r="CO161" s="721"/>
      <c r="CP161" s="721"/>
      <c r="CQ161" s="721"/>
      <c r="CR161" s="721"/>
      <c r="CS161" s="721"/>
      <c r="CT161" s="721"/>
      <c r="CU161" s="721"/>
      <c r="CV161" s="721"/>
      <c r="CW161" s="721"/>
      <c r="CX161" s="721"/>
    </row>
    <row r="162" spans="1:102" ht="12" customHeight="1" x14ac:dyDescent="0.2">
      <c r="A162" s="721"/>
      <c r="B162" s="721"/>
      <c r="C162" s="721"/>
      <c r="D162" s="721"/>
      <c r="E162" s="721"/>
      <c r="F162" s="721"/>
      <c r="G162" s="721"/>
      <c r="H162" s="721"/>
      <c r="I162" s="721"/>
      <c r="J162" s="721"/>
      <c r="K162" s="721"/>
      <c r="L162" s="721"/>
      <c r="M162" s="721"/>
      <c r="N162" s="721"/>
      <c r="O162" s="721"/>
      <c r="P162" s="721"/>
      <c r="Q162" s="721"/>
      <c r="R162" s="721"/>
      <c r="S162" s="721"/>
      <c r="T162" s="721"/>
      <c r="U162" s="721"/>
      <c r="V162" s="721"/>
      <c r="W162" s="204"/>
      <c r="X162" s="723"/>
      <c r="Y162" s="723"/>
      <c r="Z162" s="723"/>
      <c r="AA162" s="723"/>
      <c r="AB162" s="723"/>
      <c r="AC162" s="723"/>
      <c r="AD162" s="723"/>
      <c r="AE162" s="723"/>
      <c r="AF162" s="723"/>
      <c r="AG162" s="723"/>
      <c r="AH162" s="723"/>
      <c r="AI162" s="723"/>
      <c r="AJ162" s="723"/>
      <c r="AK162" s="723"/>
      <c r="AL162" s="723"/>
      <c r="AM162" s="721"/>
      <c r="AN162" s="721"/>
      <c r="AO162" s="723"/>
      <c r="AP162" s="721"/>
      <c r="AQ162" s="723"/>
      <c r="AR162" s="721"/>
      <c r="AS162" s="723"/>
      <c r="AT162" s="721"/>
      <c r="AU162" s="723"/>
      <c r="AV162" s="721"/>
      <c r="AW162" s="721"/>
      <c r="AX162" s="721"/>
      <c r="AY162" s="721"/>
      <c r="AZ162" s="721"/>
      <c r="BA162" s="721"/>
      <c r="BB162" s="721"/>
      <c r="BC162" s="721"/>
      <c r="BD162" s="721"/>
      <c r="BE162" s="721"/>
      <c r="BF162" s="721"/>
      <c r="BG162" s="721"/>
      <c r="BH162" s="721"/>
      <c r="BI162" s="721"/>
      <c r="BJ162" s="721"/>
      <c r="BK162" s="721"/>
      <c r="BL162" s="721"/>
      <c r="BM162" s="721"/>
      <c r="BN162" s="721"/>
      <c r="BO162" s="721"/>
      <c r="BP162" s="721"/>
      <c r="BQ162" s="721"/>
      <c r="BR162" s="721"/>
      <c r="BS162" s="721"/>
      <c r="BT162" s="721"/>
      <c r="BU162" s="721"/>
      <c r="BV162" s="721"/>
      <c r="BW162" s="721"/>
      <c r="BX162" s="721"/>
      <c r="BY162" s="721"/>
      <c r="BZ162" s="721"/>
      <c r="CA162" s="721"/>
      <c r="CB162" s="721"/>
      <c r="CC162" s="721"/>
      <c r="CD162" s="721"/>
      <c r="CE162" s="721"/>
      <c r="CF162" s="721"/>
      <c r="CG162" s="721"/>
      <c r="CH162" s="721"/>
      <c r="CI162" s="721"/>
      <c r="CJ162" s="721"/>
      <c r="CK162" s="721"/>
      <c r="CL162" s="721"/>
      <c r="CM162" s="721"/>
      <c r="CN162" s="721"/>
      <c r="CO162" s="721"/>
      <c r="CP162" s="721"/>
      <c r="CQ162" s="721"/>
      <c r="CR162" s="721"/>
      <c r="CS162" s="721"/>
      <c r="CT162" s="721"/>
      <c r="CU162" s="721"/>
      <c r="CV162" s="721"/>
      <c r="CW162" s="721"/>
      <c r="CX162" s="721"/>
    </row>
    <row r="163" spans="1:102" ht="12" customHeight="1" x14ac:dyDescent="0.2">
      <c r="A163" s="721"/>
      <c r="B163" s="721"/>
      <c r="C163" s="721"/>
      <c r="D163" s="721"/>
      <c r="E163" s="721"/>
      <c r="F163" s="721"/>
      <c r="G163" s="721"/>
      <c r="H163" s="721"/>
      <c r="I163" s="721"/>
      <c r="J163" s="721"/>
      <c r="K163" s="721"/>
      <c r="L163" s="721"/>
      <c r="M163" s="721"/>
      <c r="N163" s="721"/>
      <c r="O163" s="721"/>
      <c r="P163" s="721"/>
      <c r="Q163" s="721"/>
      <c r="R163" s="721"/>
      <c r="S163" s="721"/>
      <c r="T163" s="721"/>
      <c r="U163" s="721"/>
      <c r="V163" s="721"/>
      <c r="W163" s="204"/>
      <c r="X163" s="723"/>
      <c r="Y163" s="723"/>
      <c r="Z163" s="723"/>
      <c r="AA163" s="723"/>
      <c r="AB163" s="723"/>
      <c r="AC163" s="723"/>
      <c r="AD163" s="723"/>
      <c r="AE163" s="723"/>
      <c r="AF163" s="723"/>
      <c r="AG163" s="723"/>
      <c r="AH163" s="723"/>
      <c r="AI163" s="723"/>
      <c r="AJ163" s="723"/>
      <c r="AK163" s="723"/>
      <c r="AL163" s="723"/>
      <c r="AM163" s="721"/>
      <c r="AN163" s="721"/>
      <c r="AO163" s="723"/>
      <c r="AP163" s="721"/>
      <c r="AQ163" s="723"/>
      <c r="AR163" s="721"/>
      <c r="AS163" s="723"/>
      <c r="AT163" s="721"/>
      <c r="AU163" s="723"/>
      <c r="AV163" s="721"/>
      <c r="AW163" s="721"/>
      <c r="AX163" s="721"/>
      <c r="AY163" s="721"/>
      <c r="AZ163" s="721"/>
      <c r="BA163" s="721"/>
      <c r="BB163" s="721"/>
      <c r="BC163" s="721"/>
      <c r="BD163" s="721"/>
      <c r="BE163" s="721"/>
      <c r="BF163" s="721"/>
      <c r="BG163" s="721"/>
      <c r="BH163" s="721"/>
      <c r="BI163" s="721"/>
      <c r="BJ163" s="721"/>
      <c r="BK163" s="721"/>
      <c r="BL163" s="721"/>
      <c r="BM163" s="721"/>
      <c r="BN163" s="721"/>
      <c r="BO163" s="721"/>
      <c r="BP163" s="721"/>
      <c r="BQ163" s="721"/>
      <c r="BR163" s="721"/>
      <c r="BS163" s="721"/>
      <c r="BT163" s="721"/>
      <c r="BU163" s="721"/>
      <c r="BV163" s="721"/>
      <c r="BW163" s="721"/>
      <c r="BX163" s="721"/>
      <c r="BY163" s="721"/>
      <c r="BZ163" s="721"/>
      <c r="CA163" s="721"/>
      <c r="CB163" s="721"/>
      <c r="CC163" s="721"/>
      <c r="CD163" s="721"/>
      <c r="CE163" s="721"/>
      <c r="CF163" s="721"/>
      <c r="CG163" s="721"/>
      <c r="CH163" s="721"/>
      <c r="CI163" s="721"/>
      <c r="CJ163" s="721"/>
      <c r="CK163" s="721"/>
      <c r="CL163" s="721"/>
      <c r="CM163" s="721"/>
      <c r="CN163" s="721"/>
      <c r="CO163" s="721"/>
      <c r="CP163" s="721"/>
      <c r="CQ163" s="721"/>
      <c r="CR163" s="721"/>
      <c r="CS163" s="721"/>
      <c r="CT163" s="721"/>
      <c r="CU163" s="721"/>
      <c r="CV163" s="721"/>
      <c r="CW163" s="721"/>
      <c r="CX163" s="721"/>
    </row>
    <row r="164" spans="1:102" ht="12" customHeight="1" x14ac:dyDescent="0.2">
      <c r="A164" s="721"/>
      <c r="B164" s="721"/>
      <c r="C164" s="721"/>
      <c r="D164" s="721"/>
      <c r="E164" s="721"/>
      <c r="F164" s="721"/>
      <c r="G164" s="721"/>
      <c r="H164" s="721"/>
      <c r="I164" s="721"/>
      <c r="J164" s="721"/>
      <c r="K164" s="721"/>
      <c r="L164" s="721"/>
      <c r="M164" s="721"/>
      <c r="N164" s="721"/>
      <c r="O164" s="721"/>
      <c r="P164" s="721"/>
      <c r="Q164" s="721"/>
      <c r="R164" s="721"/>
      <c r="S164" s="721"/>
      <c r="T164" s="721"/>
      <c r="U164" s="721"/>
      <c r="V164" s="721"/>
      <c r="W164" s="204"/>
      <c r="X164" s="723"/>
      <c r="Y164" s="723"/>
      <c r="Z164" s="723"/>
      <c r="AA164" s="723"/>
      <c r="AB164" s="723"/>
      <c r="AC164" s="723"/>
      <c r="AD164" s="723"/>
      <c r="AE164" s="723"/>
      <c r="AF164" s="723"/>
      <c r="AG164" s="723"/>
      <c r="AH164" s="723"/>
      <c r="AI164" s="723"/>
      <c r="AJ164" s="723"/>
      <c r="AK164" s="723"/>
      <c r="AL164" s="723"/>
      <c r="AM164" s="721"/>
      <c r="AN164" s="721"/>
      <c r="AO164" s="723"/>
      <c r="AP164" s="721"/>
      <c r="AQ164" s="723"/>
      <c r="AR164" s="721"/>
      <c r="AS164" s="723"/>
      <c r="AT164" s="721"/>
      <c r="AU164" s="723"/>
      <c r="AV164" s="721"/>
      <c r="AW164" s="721"/>
      <c r="AX164" s="721"/>
      <c r="AY164" s="721"/>
      <c r="AZ164" s="721"/>
      <c r="BA164" s="721"/>
      <c r="BB164" s="721"/>
      <c r="BC164" s="721"/>
      <c r="BD164" s="721"/>
      <c r="BE164" s="721"/>
      <c r="BF164" s="721"/>
      <c r="BG164" s="721"/>
      <c r="BH164" s="721"/>
      <c r="BI164" s="721"/>
      <c r="BJ164" s="721"/>
      <c r="BK164" s="721"/>
      <c r="BL164" s="721"/>
      <c r="BM164" s="721"/>
      <c r="BN164" s="721"/>
      <c r="BO164" s="721"/>
      <c r="BP164" s="721"/>
      <c r="BQ164" s="721"/>
      <c r="BR164" s="721"/>
      <c r="BS164" s="721"/>
      <c r="BT164" s="721"/>
      <c r="BU164" s="721"/>
      <c r="BV164" s="721"/>
      <c r="BW164" s="721"/>
      <c r="BX164" s="721"/>
      <c r="BY164" s="721"/>
      <c r="BZ164" s="721"/>
      <c r="CA164" s="721"/>
      <c r="CB164" s="721"/>
      <c r="CC164" s="721"/>
      <c r="CD164" s="721"/>
      <c r="CE164" s="721"/>
      <c r="CF164" s="721"/>
      <c r="CG164" s="721"/>
      <c r="CH164" s="721"/>
      <c r="CI164" s="721"/>
      <c r="CJ164" s="721"/>
      <c r="CK164" s="721"/>
      <c r="CL164" s="721"/>
      <c r="CM164" s="721"/>
      <c r="CN164" s="721"/>
      <c r="CO164" s="721"/>
      <c r="CP164" s="721"/>
      <c r="CQ164" s="721"/>
      <c r="CR164" s="721"/>
      <c r="CS164" s="721"/>
      <c r="CT164" s="721"/>
      <c r="CU164" s="721"/>
      <c r="CV164" s="721"/>
      <c r="CW164" s="721"/>
      <c r="CX164" s="721"/>
    </row>
    <row r="165" spans="1:102" ht="12" customHeight="1" x14ac:dyDescent="0.2">
      <c r="A165" s="721"/>
      <c r="B165" s="721"/>
      <c r="C165" s="721"/>
      <c r="D165" s="721"/>
      <c r="E165" s="721"/>
      <c r="F165" s="721"/>
      <c r="G165" s="721"/>
      <c r="H165" s="721"/>
      <c r="I165" s="721"/>
      <c r="J165" s="721"/>
      <c r="K165" s="721"/>
      <c r="L165" s="721"/>
      <c r="M165" s="721"/>
      <c r="N165" s="721"/>
      <c r="O165" s="721"/>
      <c r="P165" s="721"/>
      <c r="Q165" s="721"/>
      <c r="R165" s="721"/>
      <c r="S165" s="721"/>
      <c r="T165" s="721"/>
      <c r="U165" s="721"/>
      <c r="V165" s="721"/>
      <c r="W165" s="204"/>
      <c r="X165" s="723"/>
      <c r="Y165" s="723"/>
      <c r="Z165" s="723"/>
      <c r="AA165" s="723"/>
      <c r="AB165" s="723"/>
      <c r="AC165" s="723"/>
      <c r="AD165" s="723"/>
      <c r="AE165" s="723"/>
      <c r="AF165" s="723"/>
      <c r="AG165" s="723"/>
      <c r="AH165" s="723"/>
      <c r="AI165" s="723"/>
      <c r="AJ165" s="723"/>
      <c r="AK165" s="723"/>
      <c r="AL165" s="723"/>
      <c r="AM165" s="721"/>
      <c r="AN165" s="721"/>
      <c r="AO165" s="723"/>
      <c r="AP165" s="721"/>
      <c r="AQ165" s="723"/>
      <c r="AR165" s="721"/>
      <c r="AS165" s="723"/>
      <c r="AT165" s="721"/>
      <c r="AU165" s="723"/>
      <c r="AV165" s="721"/>
      <c r="AW165" s="721"/>
      <c r="AX165" s="721"/>
      <c r="AY165" s="721"/>
      <c r="AZ165" s="721"/>
      <c r="BA165" s="721"/>
      <c r="BB165" s="721"/>
      <c r="BC165" s="721"/>
      <c r="BD165" s="721"/>
      <c r="BE165" s="721"/>
      <c r="BF165" s="721"/>
      <c r="BG165" s="721"/>
      <c r="BH165" s="721"/>
      <c r="BI165" s="721"/>
      <c r="BJ165" s="721"/>
      <c r="BK165" s="721"/>
      <c r="BL165" s="721"/>
      <c r="BM165" s="721"/>
      <c r="BN165" s="721"/>
      <c r="BO165" s="721"/>
      <c r="BP165" s="721"/>
      <c r="BQ165" s="721"/>
      <c r="BR165" s="721"/>
      <c r="BS165" s="721"/>
      <c r="BT165" s="721"/>
      <c r="BU165" s="721"/>
      <c r="BV165" s="721"/>
      <c r="BW165" s="721"/>
      <c r="BX165" s="721"/>
      <c r="BY165" s="721"/>
      <c r="BZ165" s="721"/>
      <c r="CA165" s="721"/>
      <c r="CB165" s="721"/>
      <c r="CC165" s="721"/>
      <c r="CD165" s="721"/>
      <c r="CE165" s="721"/>
      <c r="CF165" s="721"/>
      <c r="CG165" s="721"/>
      <c r="CH165" s="721"/>
      <c r="CI165" s="721"/>
      <c r="CJ165" s="721"/>
      <c r="CK165" s="721"/>
      <c r="CL165" s="721"/>
      <c r="CM165" s="721"/>
      <c r="CN165" s="721"/>
      <c r="CO165" s="721"/>
      <c r="CP165" s="721"/>
      <c r="CQ165" s="721"/>
      <c r="CR165" s="721"/>
      <c r="CS165" s="721"/>
      <c r="CT165" s="721"/>
      <c r="CU165" s="721"/>
      <c r="CV165" s="721"/>
      <c r="CW165" s="721"/>
      <c r="CX165" s="721"/>
    </row>
    <row r="166" spans="1:102" ht="12" customHeight="1" x14ac:dyDescent="0.2">
      <c r="A166" s="721"/>
      <c r="B166" s="721"/>
      <c r="C166" s="721"/>
      <c r="D166" s="721"/>
      <c r="E166" s="721"/>
      <c r="F166" s="721"/>
      <c r="G166" s="721"/>
      <c r="H166" s="721"/>
      <c r="I166" s="721"/>
      <c r="J166" s="721"/>
      <c r="K166" s="721"/>
      <c r="L166" s="721"/>
      <c r="M166" s="721"/>
      <c r="N166" s="721"/>
      <c r="O166" s="721"/>
      <c r="P166" s="721"/>
      <c r="Q166" s="721"/>
      <c r="R166" s="721"/>
      <c r="S166" s="721"/>
      <c r="T166" s="721"/>
      <c r="U166" s="721"/>
      <c r="V166" s="721"/>
      <c r="W166" s="204"/>
      <c r="X166" s="723"/>
      <c r="Y166" s="723"/>
      <c r="Z166" s="723"/>
      <c r="AA166" s="723"/>
      <c r="AB166" s="723"/>
      <c r="AC166" s="723"/>
      <c r="AD166" s="723"/>
      <c r="AE166" s="723"/>
      <c r="AF166" s="723"/>
      <c r="AG166" s="723"/>
      <c r="AH166" s="723"/>
      <c r="AI166" s="723"/>
      <c r="AJ166" s="723"/>
      <c r="AK166" s="723"/>
      <c r="AL166" s="723"/>
      <c r="AM166" s="721"/>
      <c r="AN166" s="721"/>
      <c r="AO166" s="723"/>
      <c r="AP166" s="721"/>
      <c r="AQ166" s="723"/>
      <c r="AR166" s="721"/>
      <c r="AS166" s="723"/>
      <c r="AT166" s="721"/>
      <c r="AU166" s="723"/>
      <c r="AV166" s="721"/>
      <c r="AW166" s="721"/>
      <c r="AX166" s="721"/>
      <c r="AY166" s="721"/>
      <c r="AZ166" s="721"/>
      <c r="BA166" s="721"/>
      <c r="BB166" s="721"/>
      <c r="BC166" s="721"/>
      <c r="BD166" s="721"/>
      <c r="BE166" s="721"/>
      <c r="BF166" s="721"/>
      <c r="BG166" s="721"/>
      <c r="BH166" s="721"/>
      <c r="BI166" s="721"/>
      <c r="BJ166" s="721"/>
      <c r="BK166" s="721"/>
      <c r="BL166" s="721"/>
      <c r="BM166" s="721"/>
      <c r="BN166" s="721"/>
      <c r="BO166" s="721"/>
      <c r="BP166" s="721"/>
      <c r="BQ166" s="721"/>
      <c r="BR166" s="721"/>
      <c r="BS166" s="721"/>
      <c r="BT166" s="721"/>
      <c r="BU166" s="721"/>
      <c r="BV166" s="721"/>
      <c r="BW166" s="721"/>
      <c r="BX166" s="721"/>
      <c r="BY166" s="721"/>
      <c r="BZ166" s="721"/>
      <c r="CA166" s="721"/>
      <c r="CB166" s="721"/>
      <c r="CC166" s="721"/>
      <c r="CD166" s="721"/>
      <c r="CE166" s="721"/>
      <c r="CF166" s="721"/>
      <c r="CG166" s="721"/>
      <c r="CH166" s="721"/>
      <c r="CI166" s="721"/>
      <c r="CJ166" s="721"/>
      <c r="CK166" s="721"/>
      <c r="CL166" s="721"/>
      <c r="CM166" s="721"/>
      <c r="CN166" s="721"/>
      <c r="CO166" s="721"/>
      <c r="CP166" s="721"/>
      <c r="CQ166" s="721"/>
      <c r="CR166" s="721"/>
      <c r="CS166" s="721"/>
      <c r="CT166" s="721"/>
      <c r="CU166" s="721"/>
      <c r="CV166" s="721"/>
      <c r="CW166" s="721"/>
      <c r="CX166" s="721"/>
    </row>
    <row r="167" spans="1:102" ht="12" customHeight="1" x14ac:dyDescent="0.2">
      <c r="A167" s="721"/>
      <c r="B167" s="721"/>
      <c r="C167" s="721"/>
      <c r="D167" s="721"/>
      <c r="E167" s="721"/>
      <c r="F167" s="721"/>
      <c r="G167" s="721"/>
      <c r="H167" s="721"/>
      <c r="I167" s="721"/>
      <c r="J167" s="721"/>
      <c r="K167" s="721"/>
      <c r="L167" s="721"/>
      <c r="M167" s="721"/>
      <c r="N167" s="721"/>
      <c r="O167" s="721"/>
      <c r="P167" s="721"/>
      <c r="Q167" s="721"/>
      <c r="R167" s="721"/>
      <c r="S167" s="721"/>
      <c r="T167" s="721"/>
      <c r="U167" s="721"/>
      <c r="V167" s="721"/>
      <c r="W167" s="204"/>
      <c r="X167" s="723"/>
      <c r="Y167" s="723"/>
      <c r="Z167" s="723"/>
      <c r="AA167" s="723"/>
      <c r="AB167" s="723"/>
      <c r="AC167" s="723"/>
      <c r="AD167" s="723"/>
      <c r="AE167" s="723"/>
      <c r="AF167" s="723"/>
      <c r="AG167" s="723"/>
      <c r="AH167" s="723"/>
      <c r="AI167" s="723"/>
      <c r="AJ167" s="723"/>
      <c r="AK167" s="723"/>
      <c r="AL167" s="723"/>
      <c r="AM167" s="721"/>
      <c r="AN167" s="721"/>
      <c r="AO167" s="723"/>
      <c r="AP167" s="721"/>
      <c r="AQ167" s="723"/>
      <c r="AR167" s="721"/>
      <c r="AS167" s="723"/>
      <c r="AT167" s="721"/>
      <c r="AU167" s="723"/>
      <c r="AV167" s="721"/>
      <c r="AW167" s="721"/>
      <c r="AX167" s="721"/>
      <c r="AY167" s="721"/>
      <c r="AZ167" s="721"/>
      <c r="BA167" s="721"/>
      <c r="BB167" s="721"/>
      <c r="BC167" s="721"/>
      <c r="BD167" s="721"/>
      <c r="BE167" s="721"/>
      <c r="BF167" s="721"/>
      <c r="BG167" s="721"/>
      <c r="BH167" s="721"/>
      <c r="BI167" s="721"/>
      <c r="BJ167" s="721"/>
      <c r="BK167" s="721"/>
      <c r="BL167" s="721"/>
      <c r="BM167" s="721"/>
      <c r="BN167" s="721"/>
      <c r="BO167" s="721"/>
      <c r="BP167" s="721"/>
      <c r="BQ167" s="721"/>
      <c r="BR167" s="721"/>
      <c r="BS167" s="721"/>
      <c r="BT167" s="721"/>
      <c r="BU167" s="721"/>
      <c r="BV167" s="721"/>
      <c r="BW167" s="721"/>
      <c r="BX167" s="721"/>
      <c r="BY167" s="721"/>
      <c r="BZ167" s="721"/>
      <c r="CA167" s="721"/>
      <c r="CB167" s="721"/>
      <c r="CC167" s="721"/>
      <c r="CD167" s="721"/>
      <c r="CE167" s="721"/>
      <c r="CF167" s="721"/>
      <c r="CG167" s="721"/>
      <c r="CH167" s="721"/>
      <c r="CI167" s="721"/>
      <c r="CJ167" s="721"/>
      <c r="CK167" s="721"/>
      <c r="CL167" s="721"/>
      <c r="CM167" s="721"/>
      <c r="CN167" s="721"/>
      <c r="CO167" s="721"/>
      <c r="CP167" s="721"/>
      <c r="CQ167" s="721"/>
      <c r="CR167" s="721"/>
      <c r="CS167" s="721"/>
      <c r="CT167" s="721"/>
      <c r="CU167" s="721"/>
      <c r="CV167" s="721"/>
      <c r="CW167" s="721"/>
      <c r="CX167" s="721"/>
    </row>
    <row r="168" spans="1:102" ht="12" customHeight="1" x14ac:dyDescent="0.2">
      <c r="A168" s="721"/>
      <c r="B168" s="721"/>
      <c r="C168" s="721"/>
      <c r="D168" s="721"/>
      <c r="E168" s="721"/>
      <c r="F168" s="721"/>
      <c r="G168" s="721"/>
      <c r="H168" s="721"/>
      <c r="I168" s="721"/>
      <c r="J168" s="721"/>
      <c r="K168" s="721"/>
      <c r="L168" s="721"/>
      <c r="M168" s="721"/>
      <c r="N168" s="721"/>
      <c r="O168" s="721"/>
      <c r="P168" s="721"/>
      <c r="Q168" s="721"/>
      <c r="R168" s="721"/>
      <c r="S168" s="721"/>
      <c r="T168" s="721"/>
      <c r="U168" s="721"/>
      <c r="V168" s="721"/>
      <c r="W168" s="204"/>
      <c r="X168" s="723"/>
      <c r="Y168" s="723"/>
      <c r="Z168" s="723"/>
      <c r="AA168" s="723"/>
      <c r="AB168" s="723"/>
      <c r="AC168" s="723"/>
      <c r="AD168" s="723"/>
      <c r="AE168" s="723"/>
      <c r="AF168" s="723"/>
      <c r="AG168" s="723"/>
      <c r="AH168" s="723"/>
      <c r="AI168" s="723"/>
      <c r="AJ168" s="723"/>
      <c r="AK168" s="723"/>
      <c r="AL168" s="723"/>
      <c r="AM168" s="721"/>
      <c r="AN168" s="721"/>
      <c r="AO168" s="723"/>
      <c r="AP168" s="721"/>
      <c r="AQ168" s="723"/>
      <c r="AR168" s="721"/>
      <c r="AS168" s="723"/>
      <c r="AT168" s="721"/>
      <c r="AU168" s="723"/>
      <c r="AV168" s="721"/>
      <c r="AW168" s="721"/>
      <c r="AX168" s="721"/>
      <c r="AY168" s="721"/>
      <c r="AZ168" s="721"/>
      <c r="BA168" s="721"/>
      <c r="BB168" s="721"/>
      <c r="BC168" s="721"/>
      <c r="BD168" s="721"/>
      <c r="BE168" s="721"/>
      <c r="BF168" s="721"/>
      <c r="BG168" s="721"/>
      <c r="BH168" s="721"/>
      <c r="BI168" s="721"/>
      <c r="BJ168" s="721"/>
      <c r="BK168" s="721"/>
      <c r="BL168" s="721"/>
      <c r="BM168" s="721"/>
      <c r="BN168" s="721"/>
      <c r="BO168" s="721"/>
      <c r="BP168" s="721"/>
      <c r="BQ168" s="721"/>
      <c r="BR168" s="721"/>
      <c r="BS168" s="721"/>
      <c r="BT168" s="721"/>
      <c r="BU168" s="721"/>
      <c r="BV168" s="721"/>
      <c r="BW168" s="721"/>
      <c r="BX168" s="721"/>
      <c r="BY168" s="721"/>
      <c r="BZ168" s="721"/>
      <c r="CA168" s="721"/>
      <c r="CB168" s="721"/>
      <c r="CC168" s="721"/>
      <c r="CD168" s="721"/>
      <c r="CE168" s="721"/>
      <c r="CF168" s="721"/>
      <c r="CG168" s="721"/>
      <c r="CH168" s="721"/>
      <c r="CI168" s="721"/>
      <c r="CJ168" s="721"/>
      <c r="CK168" s="721"/>
      <c r="CL168" s="721"/>
      <c r="CM168" s="721"/>
      <c r="CN168" s="721"/>
      <c r="CO168" s="721"/>
      <c r="CP168" s="721"/>
      <c r="CQ168" s="721"/>
      <c r="CR168" s="721"/>
      <c r="CS168" s="721"/>
      <c r="CT168" s="721"/>
      <c r="CU168" s="721"/>
      <c r="CV168" s="721"/>
      <c r="CW168" s="721"/>
      <c r="CX168" s="721"/>
    </row>
    <row r="169" spans="1:102" ht="12" customHeight="1" x14ac:dyDescent="0.2">
      <c r="A169" s="721"/>
      <c r="B169" s="721"/>
      <c r="C169" s="721"/>
      <c r="D169" s="721"/>
      <c r="E169" s="721"/>
      <c r="F169" s="721"/>
      <c r="G169" s="721"/>
      <c r="H169" s="721"/>
      <c r="I169" s="721"/>
      <c r="J169" s="721"/>
      <c r="K169" s="721"/>
      <c r="L169" s="721"/>
      <c r="M169" s="721"/>
      <c r="N169" s="721"/>
      <c r="O169" s="721"/>
      <c r="P169" s="721"/>
      <c r="Q169" s="721"/>
      <c r="R169" s="721"/>
      <c r="S169" s="721"/>
      <c r="T169" s="721"/>
      <c r="U169" s="721"/>
      <c r="V169" s="721"/>
      <c r="W169" s="204"/>
      <c r="X169" s="723"/>
      <c r="Y169" s="723"/>
      <c r="Z169" s="723"/>
      <c r="AA169" s="723"/>
      <c r="AB169" s="723"/>
      <c r="AC169" s="723"/>
      <c r="AD169" s="723"/>
      <c r="AE169" s="723"/>
      <c r="AF169" s="723"/>
      <c r="AG169" s="723"/>
      <c r="AH169" s="723"/>
      <c r="AI169" s="723"/>
      <c r="AJ169" s="723"/>
      <c r="AK169" s="723"/>
      <c r="AL169" s="723"/>
      <c r="AM169" s="721"/>
      <c r="AN169" s="721"/>
      <c r="AO169" s="723"/>
      <c r="AP169" s="721"/>
      <c r="AQ169" s="723"/>
      <c r="AR169" s="721"/>
      <c r="AS169" s="723"/>
      <c r="AT169" s="721"/>
      <c r="AU169" s="723"/>
      <c r="AV169" s="721"/>
      <c r="AW169" s="721"/>
      <c r="AX169" s="721"/>
      <c r="AY169" s="721"/>
      <c r="AZ169" s="721"/>
      <c r="BA169" s="721"/>
      <c r="BB169" s="721"/>
      <c r="BC169" s="721"/>
      <c r="BD169" s="721"/>
      <c r="BE169" s="721"/>
      <c r="BF169" s="721"/>
      <c r="BG169" s="721"/>
      <c r="BH169" s="721"/>
      <c r="BI169" s="721"/>
      <c r="BJ169" s="721"/>
      <c r="BK169" s="721"/>
      <c r="BL169" s="721"/>
      <c r="BM169" s="721"/>
      <c r="BN169" s="721"/>
      <c r="BO169" s="721"/>
      <c r="BP169" s="721"/>
      <c r="BQ169" s="721"/>
      <c r="BR169" s="721"/>
      <c r="BS169" s="721"/>
      <c r="BT169" s="721"/>
      <c r="BU169" s="721"/>
      <c r="BV169" s="721"/>
      <c r="BW169" s="721"/>
      <c r="BX169" s="721"/>
      <c r="BY169" s="721"/>
      <c r="BZ169" s="721"/>
      <c r="CA169" s="721"/>
      <c r="CB169" s="721"/>
      <c r="CC169" s="721"/>
      <c r="CD169" s="721"/>
      <c r="CE169" s="721"/>
      <c r="CF169" s="721"/>
      <c r="CG169" s="721"/>
      <c r="CH169" s="721"/>
      <c r="CI169" s="721"/>
      <c r="CJ169" s="721"/>
      <c r="CK169" s="721"/>
      <c r="CL169" s="721"/>
      <c r="CM169" s="721"/>
      <c r="CN169" s="721"/>
      <c r="CO169" s="721"/>
      <c r="CP169" s="721"/>
      <c r="CQ169" s="721"/>
      <c r="CR169" s="721"/>
      <c r="CS169" s="721"/>
      <c r="CT169" s="721"/>
      <c r="CU169" s="721"/>
      <c r="CV169" s="721"/>
      <c r="CW169" s="721"/>
      <c r="CX169" s="721"/>
    </row>
    <row r="170" spans="1:102" ht="12" customHeight="1" x14ac:dyDescent="0.2">
      <c r="A170" s="721"/>
      <c r="B170" s="721"/>
      <c r="C170" s="721"/>
      <c r="D170" s="721"/>
      <c r="E170" s="721"/>
      <c r="F170" s="721"/>
      <c r="G170" s="721"/>
      <c r="H170" s="721"/>
      <c r="I170" s="721"/>
      <c r="J170" s="721"/>
      <c r="K170" s="721"/>
      <c r="L170" s="721"/>
      <c r="M170" s="721"/>
      <c r="N170" s="721"/>
      <c r="O170" s="721"/>
      <c r="P170" s="721"/>
      <c r="Q170" s="721"/>
      <c r="R170" s="721"/>
      <c r="S170" s="721"/>
      <c r="T170" s="721"/>
      <c r="U170" s="721"/>
      <c r="V170" s="721"/>
      <c r="W170" s="204"/>
      <c r="X170" s="723"/>
      <c r="Y170" s="723"/>
      <c r="Z170" s="723"/>
      <c r="AA170" s="723"/>
      <c r="AB170" s="723"/>
      <c r="AC170" s="723"/>
      <c r="AD170" s="723"/>
      <c r="AE170" s="723"/>
      <c r="AF170" s="723"/>
      <c r="AG170" s="723"/>
      <c r="AH170" s="723"/>
      <c r="AI170" s="723"/>
      <c r="AJ170" s="723"/>
      <c r="AK170" s="723"/>
      <c r="AL170" s="723"/>
      <c r="AM170" s="721"/>
      <c r="AN170" s="721"/>
      <c r="AO170" s="723"/>
      <c r="AP170" s="721"/>
      <c r="AQ170" s="723"/>
      <c r="AR170" s="721"/>
      <c r="AS170" s="723"/>
      <c r="AT170" s="721"/>
      <c r="AU170" s="723"/>
      <c r="AV170" s="721"/>
      <c r="AW170" s="721"/>
      <c r="AX170" s="721"/>
      <c r="AY170" s="721"/>
      <c r="AZ170" s="721"/>
      <c r="BA170" s="721"/>
      <c r="BB170" s="721"/>
      <c r="BC170" s="721"/>
      <c r="BD170" s="721"/>
      <c r="BE170" s="721"/>
      <c r="BF170" s="721"/>
      <c r="BG170" s="721"/>
      <c r="BH170" s="721"/>
      <c r="BI170" s="721"/>
      <c r="BJ170" s="721"/>
      <c r="BK170" s="721"/>
      <c r="BL170" s="721"/>
      <c r="BM170" s="721"/>
      <c r="BN170" s="721"/>
      <c r="BO170" s="721"/>
      <c r="BP170" s="721"/>
      <c r="BQ170" s="721"/>
      <c r="BR170" s="721"/>
      <c r="BS170" s="721"/>
      <c r="BT170" s="721"/>
      <c r="BU170" s="721"/>
      <c r="BV170" s="721"/>
      <c r="BW170" s="721"/>
      <c r="BX170" s="721"/>
      <c r="BY170" s="721"/>
      <c r="BZ170" s="721"/>
      <c r="CA170" s="721"/>
      <c r="CB170" s="721"/>
      <c r="CC170" s="721"/>
      <c r="CD170" s="721"/>
      <c r="CE170" s="721"/>
      <c r="CF170" s="721"/>
      <c r="CG170" s="721"/>
      <c r="CH170" s="721"/>
      <c r="CI170" s="721"/>
      <c r="CJ170" s="721"/>
      <c r="CK170" s="721"/>
      <c r="CL170" s="721"/>
      <c r="CM170" s="721"/>
      <c r="CN170" s="721"/>
      <c r="CO170" s="721"/>
      <c r="CP170" s="721"/>
      <c r="CQ170" s="721"/>
      <c r="CR170" s="721"/>
      <c r="CS170" s="721"/>
      <c r="CT170" s="721"/>
      <c r="CU170" s="721"/>
      <c r="CV170" s="721"/>
      <c r="CW170" s="721"/>
      <c r="CX170" s="721"/>
    </row>
    <row r="171" spans="1:102" ht="12" customHeight="1" x14ac:dyDescent="0.2">
      <c r="A171" s="721"/>
      <c r="B171" s="721"/>
      <c r="C171" s="721"/>
      <c r="D171" s="721"/>
      <c r="E171" s="721"/>
      <c r="F171" s="721"/>
      <c r="G171" s="721"/>
      <c r="H171" s="721"/>
      <c r="I171" s="721"/>
      <c r="J171" s="721"/>
      <c r="K171" s="721"/>
      <c r="L171" s="721"/>
      <c r="M171" s="721"/>
      <c r="N171" s="721"/>
      <c r="O171" s="721"/>
      <c r="P171" s="721"/>
      <c r="Q171" s="721"/>
      <c r="R171" s="721"/>
      <c r="S171" s="721"/>
      <c r="T171" s="721"/>
      <c r="U171" s="721"/>
      <c r="V171" s="721"/>
      <c r="W171" s="204"/>
      <c r="X171" s="723"/>
      <c r="Y171" s="723"/>
      <c r="Z171" s="723"/>
      <c r="AA171" s="723"/>
      <c r="AB171" s="723"/>
      <c r="AC171" s="723"/>
      <c r="AD171" s="723"/>
      <c r="AE171" s="723"/>
      <c r="AF171" s="723"/>
      <c r="AG171" s="723"/>
      <c r="AH171" s="723"/>
      <c r="AI171" s="723"/>
      <c r="AJ171" s="723"/>
      <c r="AK171" s="723"/>
      <c r="AL171" s="723"/>
      <c r="AM171" s="721"/>
      <c r="AN171" s="721"/>
      <c r="AO171" s="723"/>
      <c r="AP171" s="721"/>
      <c r="AQ171" s="723"/>
      <c r="AR171" s="721"/>
      <c r="AS171" s="723"/>
      <c r="AT171" s="721"/>
      <c r="AU171" s="723"/>
      <c r="AV171" s="721"/>
      <c r="AW171" s="721"/>
      <c r="AX171" s="721"/>
      <c r="AY171" s="721"/>
      <c r="AZ171" s="721"/>
      <c r="BA171" s="721"/>
      <c r="BB171" s="721"/>
      <c r="BC171" s="721"/>
      <c r="BD171" s="721"/>
      <c r="BE171" s="721"/>
      <c r="BF171" s="721"/>
      <c r="BG171" s="721"/>
      <c r="BH171" s="721"/>
      <c r="BI171" s="721"/>
      <c r="BJ171" s="721"/>
      <c r="BK171" s="721"/>
      <c r="BL171" s="721"/>
      <c r="BM171" s="721"/>
      <c r="BN171" s="721"/>
      <c r="BO171" s="721"/>
      <c r="BP171" s="721"/>
      <c r="BQ171" s="721"/>
      <c r="BR171" s="721"/>
      <c r="BS171" s="721"/>
      <c r="BT171" s="721"/>
      <c r="BU171" s="721"/>
      <c r="BV171" s="721"/>
      <c r="BW171" s="721"/>
      <c r="BX171" s="721"/>
      <c r="BY171" s="721"/>
      <c r="BZ171" s="721"/>
      <c r="CA171" s="721"/>
      <c r="CB171" s="721"/>
      <c r="CC171" s="721"/>
      <c r="CD171" s="721"/>
      <c r="CE171" s="721"/>
      <c r="CF171" s="721"/>
      <c r="CG171" s="721"/>
      <c r="CH171" s="721"/>
      <c r="CI171" s="721"/>
      <c r="CJ171" s="721"/>
      <c r="CK171" s="721"/>
      <c r="CL171" s="721"/>
      <c r="CM171" s="721"/>
      <c r="CN171" s="721"/>
      <c r="CO171" s="721"/>
      <c r="CP171" s="721"/>
      <c r="CQ171" s="721"/>
      <c r="CR171" s="721"/>
      <c r="CS171" s="721"/>
      <c r="CT171" s="721"/>
      <c r="CU171" s="721"/>
      <c r="CV171" s="721"/>
      <c r="CW171" s="721"/>
      <c r="CX171" s="721"/>
    </row>
    <row r="172" spans="1:102" ht="12" customHeight="1" x14ac:dyDescent="0.2">
      <c r="A172" s="721"/>
      <c r="B172" s="721"/>
      <c r="C172" s="721"/>
      <c r="D172" s="721"/>
      <c r="E172" s="721"/>
      <c r="F172" s="721"/>
      <c r="G172" s="721"/>
      <c r="H172" s="721"/>
      <c r="I172" s="721"/>
      <c r="J172" s="721"/>
      <c r="K172" s="721"/>
      <c r="L172" s="721"/>
      <c r="M172" s="721"/>
      <c r="N172" s="721"/>
      <c r="O172" s="721"/>
      <c r="P172" s="721"/>
      <c r="Q172" s="721"/>
      <c r="R172" s="721"/>
      <c r="S172" s="721"/>
      <c r="T172" s="721"/>
      <c r="U172" s="721"/>
      <c r="V172" s="721"/>
      <c r="W172" s="204"/>
      <c r="X172" s="723"/>
      <c r="Y172" s="723"/>
      <c r="Z172" s="723"/>
      <c r="AA172" s="723"/>
      <c r="AB172" s="723"/>
      <c r="AC172" s="723"/>
      <c r="AD172" s="723"/>
      <c r="AE172" s="723"/>
      <c r="AF172" s="723"/>
      <c r="AG172" s="723"/>
      <c r="AH172" s="723"/>
      <c r="AI172" s="723"/>
      <c r="AJ172" s="723"/>
      <c r="AK172" s="723"/>
      <c r="AL172" s="723"/>
      <c r="AM172" s="721"/>
      <c r="AN172" s="721"/>
      <c r="AO172" s="723"/>
      <c r="AP172" s="721"/>
      <c r="AQ172" s="723"/>
      <c r="AR172" s="721"/>
      <c r="AS172" s="723"/>
      <c r="AT172" s="721"/>
      <c r="AU172" s="723"/>
      <c r="AV172" s="721"/>
      <c r="AW172" s="721"/>
      <c r="AX172" s="721"/>
      <c r="AY172" s="721"/>
      <c r="AZ172" s="721"/>
      <c r="BA172" s="721"/>
      <c r="BB172" s="721"/>
      <c r="BC172" s="721"/>
      <c r="BD172" s="721"/>
      <c r="BE172" s="721"/>
      <c r="BF172" s="721"/>
      <c r="BG172" s="721"/>
      <c r="BH172" s="721"/>
      <c r="BI172" s="721"/>
      <c r="BJ172" s="721"/>
      <c r="BK172" s="721"/>
      <c r="BL172" s="721"/>
      <c r="BM172" s="721"/>
      <c r="BN172" s="721"/>
      <c r="BO172" s="721"/>
      <c r="BP172" s="721"/>
      <c r="BQ172" s="721"/>
      <c r="BR172" s="721"/>
      <c r="BS172" s="721"/>
      <c r="BT172" s="721"/>
      <c r="BU172" s="721"/>
      <c r="BV172" s="721"/>
      <c r="BW172" s="721"/>
      <c r="BX172" s="721"/>
      <c r="BY172" s="721"/>
      <c r="BZ172" s="721"/>
      <c r="CA172" s="721"/>
      <c r="CB172" s="721"/>
      <c r="CC172" s="721"/>
      <c r="CD172" s="721"/>
      <c r="CE172" s="721"/>
      <c r="CF172" s="721"/>
      <c r="CG172" s="721"/>
      <c r="CH172" s="721"/>
      <c r="CI172" s="721"/>
      <c r="CJ172" s="721"/>
      <c r="CK172" s="721"/>
      <c r="CL172" s="721"/>
      <c r="CM172" s="721"/>
      <c r="CN172" s="721"/>
      <c r="CO172" s="721"/>
      <c r="CP172" s="721"/>
      <c r="CQ172" s="721"/>
      <c r="CR172" s="721"/>
      <c r="CS172" s="721"/>
      <c r="CT172" s="721"/>
      <c r="CU172" s="721"/>
      <c r="CV172" s="721"/>
      <c r="CW172" s="721"/>
      <c r="CX172" s="721"/>
    </row>
    <row r="173" spans="1:102" ht="12" customHeight="1" x14ac:dyDescent="0.2">
      <c r="A173" s="721"/>
      <c r="B173" s="721"/>
      <c r="C173" s="721"/>
      <c r="D173" s="721"/>
      <c r="E173" s="721"/>
      <c r="F173" s="721"/>
      <c r="G173" s="721"/>
      <c r="H173" s="721"/>
      <c r="I173" s="721"/>
      <c r="J173" s="721"/>
      <c r="K173" s="721"/>
      <c r="L173" s="721"/>
      <c r="M173" s="721"/>
      <c r="N173" s="721"/>
      <c r="O173" s="721"/>
      <c r="P173" s="721"/>
      <c r="Q173" s="721"/>
      <c r="R173" s="721"/>
      <c r="S173" s="721"/>
      <c r="T173" s="721"/>
      <c r="U173" s="721"/>
      <c r="V173" s="721"/>
      <c r="W173" s="204"/>
      <c r="X173" s="723"/>
      <c r="Y173" s="723"/>
      <c r="Z173" s="723"/>
      <c r="AA173" s="723"/>
      <c r="AB173" s="723"/>
      <c r="AC173" s="723"/>
      <c r="AD173" s="723"/>
      <c r="AE173" s="723"/>
      <c r="AF173" s="723"/>
      <c r="AG173" s="723"/>
      <c r="AH173" s="723"/>
      <c r="AI173" s="723"/>
      <c r="AJ173" s="723"/>
      <c r="AK173" s="723"/>
      <c r="AL173" s="723"/>
      <c r="AM173" s="721"/>
      <c r="AN173" s="721"/>
      <c r="AO173" s="723"/>
      <c r="AP173" s="721"/>
      <c r="AQ173" s="723"/>
      <c r="AR173" s="721"/>
      <c r="AS173" s="723"/>
      <c r="AT173" s="721"/>
      <c r="AU173" s="723"/>
      <c r="AV173" s="721"/>
      <c r="AW173" s="721"/>
      <c r="AX173" s="721"/>
      <c r="AY173" s="721"/>
      <c r="AZ173" s="721"/>
      <c r="BA173" s="721"/>
      <c r="BB173" s="721"/>
      <c r="BC173" s="721"/>
      <c r="BD173" s="721"/>
      <c r="BE173" s="721"/>
      <c r="BF173" s="721"/>
      <c r="BG173" s="721"/>
      <c r="BH173" s="721"/>
      <c r="BI173" s="721"/>
      <c r="BJ173" s="721"/>
      <c r="BK173" s="721"/>
      <c r="BL173" s="721"/>
      <c r="BM173" s="721"/>
      <c r="BN173" s="721"/>
      <c r="BO173" s="721"/>
      <c r="BP173" s="721"/>
      <c r="BQ173" s="721"/>
      <c r="BR173" s="721"/>
      <c r="BS173" s="721"/>
      <c r="BT173" s="721"/>
      <c r="BU173" s="721"/>
      <c r="BV173" s="721"/>
      <c r="BW173" s="721"/>
      <c r="BX173" s="721"/>
      <c r="BY173" s="721"/>
      <c r="BZ173" s="721"/>
      <c r="CA173" s="721"/>
      <c r="CB173" s="721"/>
      <c r="CC173" s="721"/>
      <c r="CD173" s="721"/>
      <c r="CE173" s="721"/>
      <c r="CF173" s="721"/>
      <c r="CG173" s="721"/>
      <c r="CH173" s="721"/>
      <c r="CI173" s="721"/>
      <c r="CJ173" s="721"/>
      <c r="CK173" s="721"/>
      <c r="CL173" s="721"/>
      <c r="CM173" s="721"/>
      <c r="CN173" s="721"/>
      <c r="CO173" s="721"/>
      <c r="CP173" s="721"/>
      <c r="CQ173" s="721"/>
      <c r="CR173" s="721"/>
      <c r="CS173" s="721"/>
      <c r="CT173" s="721"/>
      <c r="CU173" s="721"/>
      <c r="CV173" s="721"/>
      <c r="CW173" s="721"/>
      <c r="CX173" s="721"/>
    </row>
    <row r="174" spans="1:102" ht="12" customHeight="1" x14ac:dyDescent="0.2">
      <c r="A174" s="721"/>
      <c r="B174" s="721"/>
      <c r="C174" s="721"/>
      <c r="D174" s="721"/>
      <c r="E174" s="721"/>
      <c r="F174" s="721"/>
      <c r="G174" s="721"/>
      <c r="H174" s="721"/>
      <c r="I174" s="721"/>
      <c r="J174" s="721"/>
      <c r="K174" s="721"/>
      <c r="L174" s="721"/>
      <c r="M174" s="721"/>
      <c r="N174" s="721"/>
      <c r="O174" s="721"/>
      <c r="P174" s="721"/>
      <c r="Q174" s="721"/>
      <c r="R174" s="721"/>
      <c r="S174" s="721"/>
      <c r="T174" s="721"/>
      <c r="U174" s="721"/>
      <c r="V174" s="721"/>
      <c r="W174" s="204"/>
      <c r="X174" s="723"/>
      <c r="Y174" s="723"/>
      <c r="Z174" s="723"/>
      <c r="AA174" s="723"/>
      <c r="AB174" s="723"/>
      <c r="AC174" s="723"/>
      <c r="AD174" s="723"/>
      <c r="AE174" s="723"/>
      <c r="AF174" s="723"/>
      <c r="AG174" s="723"/>
      <c r="AH174" s="723"/>
      <c r="AI174" s="723"/>
      <c r="AJ174" s="723"/>
      <c r="AK174" s="723"/>
      <c r="AL174" s="723"/>
      <c r="AM174" s="721"/>
      <c r="AN174" s="721"/>
      <c r="AO174" s="723"/>
      <c r="AP174" s="721"/>
      <c r="AQ174" s="723"/>
      <c r="AR174" s="721"/>
      <c r="AS174" s="723"/>
      <c r="AT174" s="721"/>
      <c r="AU174" s="723"/>
      <c r="AV174" s="721"/>
      <c r="AW174" s="721"/>
      <c r="AX174" s="721"/>
      <c r="AY174" s="721"/>
      <c r="AZ174" s="721"/>
      <c r="BA174" s="721"/>
      <c r="BB174" s="721"/>
      <c r="BC174" s="721"/>
      <c r="BD174" s="721"/>
      <c r="BE174" s="721"/>
      <c r="BF174" s="721"/>
      <c r="BG174" s="721"/>
      <c r="BH174" s="721"/>
      <c r="BI174" s="721"/>
      <c r="BJ174" s="721"/>
      <c r="BK174" s="721"/>
      <c r="BL174" s="721"/>
      <c r="BM174" s="721"/>
      <c r="BN174" s="721"/>
      <c r="BO174" s="721"/>
      <c r="BP174" s="721"/>
      <c r="BQ174" s="721"/>
      <c r="BR174" s="721"/>
      <c r="BS174" s="721"/>
      <c r="BT174" s="721"/>
      <c r="BU174" s="721"/>
      <c r="BV174" s="721"/>
      <c r="BW174" s="721"/>
      <c r="BX174" s="721"/>
      <c r="BY174" s="721"/>
      <c r="BZ174" s="721"/>
      <c r="CA174" s="721"/>
      <c r="CB174" s="721"/>
      <c r="CC174" s="721"/>
      <c r="CD174" s="721"/>
      <c r="CE174" s="721"/>
      <c r="CF174" s="721"/>
      <c r="CG174" s="721"/>
      <c r="CH174" s="721"/>
      <c r="CI174" s="721"/>
      <c r="CJ174" s="721"/>
      <c r="CK174" s="721"/>
      <c r="CL174" s="721"/>
      <c r="CM174" s="721"/>
      <c r="CN174" s="721"/>
      <c r="CO174" s="721"/>
      <c r="CP174" s="721"/>
      <c r="CQ174" s="721"/>
      <c r="CR174" s="721"/>
      <c r="CS174" s="721"/>
      <c r="CT174" s="721"/>
      <c r="CU174" s="721"/>
      <c r="CV174" s="721"/>
      <c r="CW174" s="721"/>
      <c r="CX174" s="721"/>
    </row>
    <row r="175" spans="1:102" ht="12" customHeight="1" x14ac:dyDescent="0.2">
      <c r="A175" s="721"/>
      <c r="B175" s="721"/>
      <c r="C175" s="721"/>
      <c r="D175" s="721"/>
      <c r="E175" s="721"/>
      <c r="F175" s="721"/>
      <c r="G175" s="721"/>
      <c r="H175" s="721"/>
      <c r="I175" s="721"/>
      <c r="J175" s="721"/>
      <c r="K175" s="721"/>
      <c r="L175" s="721"/>
      <c r="M175" s="721"/>
      <c r="N175" s="721"/>
      <c r="O175" s="721"/>
      <c r="P175" s="721"/>
      <c r="Q175" s="721"/>
      <c r="R175" s="721"/>
      <c r="S175" s="721"/>
      <c r="T175" s="721"/>
      <c r="U175" s="721"/>
      <c r="V175" s="721"/>
      <c r="W175" s="204"/>
      <c r="X175" s="723"/>
      <c r="Y175" s="723"/>
      <c r="Z175" s="723"/>
      <c r="AA175" s="723"/>
      <c r="AB175" s="723"/>
      <c r="AC175" s="723"/>
      <c r="AD175" s="723"/>
      <c r="AE175" s="723"/>
      <c r="AF175" s="723"/>
      <c r="AG175" s="723"/>
      <c r="AH175" s="723"/>
      <c r="AI175" s="723"/>
      <c r="AJ175" s="723"/>
      <c r="AK175" s="723"/>
      <c r="AL175" s="723"/>
      <c r="AM175" s="721"/>
      <c r="AN175" s="721"/>
      <c r="AO175" s="723"/>
      <c r="AP175" s="721"/>
      <c r="AQ175" s="723"/>
      <c r="AR175" s="721"/>
      <c r="AS175" s="723"/>
      <c r="AT175" s="721"/>
      <c r="AU175" s="723"/>
      <c r="AV175" s="721"/>
      <c r="AW175" s="721"/>
      <c r="AX175" s="721"/>
      <c r="AY175" s="721"/>
      <c r="AZ175" s="721"/>
      <c r="BA175" s="721"/>
      <c r="BB175" s="721"/>
      <c r="BC175" s="721"/>
      <c r="BD175" s="721"/>
      <c r="BE175" s="721"/>
      <c r="BF175" s="721"/>
      <c r="BG175" s="721"/>
      <c r="BH175" s="721"/>
      <c r="BI175" s="721"/>
      <c r="BJ175" s="721"/>
      <c r="BK175" s="721"/>
      <c r="BL175" s="721"/>
      <c r="BM175" s="721"/>
      <c r="BN175" s="721"/>
      <c r="BO175" s="721"/>
      <c r="BP175" s="721"/>
      <c r="BQ175" s="721"/>
      <c r="BR175" s="721"/>
      <c r="BS175" s="721"/>
      <c r="BT175" s="721"/>
      <c r="BU175" s="721"/>
      <c r="BV175" s="721"/>
      <c r="BW175" s="721"/>
      <c r="BX175" s="721"/>
      <c r="BY175" s="721"/>
      <c r="BZ175" s="721"/>
      <c r="CA175" s="721"/>
      <c r="CB175" s="721"/>
      <c r="CC175" s="721"/>
      <c r="CD175" s="721"/>
      <c r="CE175" s="721"/>
      <c r="CF175" s="721"/>
      <c r="CG175" s="721"/>
      <c r="CH175" s="721"/>
      <c r="CI175" s="721"/>
      <c r="CJ175" s="721"/>
      <c r="CK175" s="721"/>
      <c r="CL175" s="721"/>
      <c r="CM175" s="721"/>
      <c r="CN175" s="721"/>
      <c r="CO175" s="721"/>
      <c r="CP175" s="721"/>
      <c r="CQ175" s="721"/>
      <c r="CR175" s="721"/>
      <c r="CS175" s="721"/>
      <c r="CT175" s="721"/>
      <c r="CU175" s="721"/>
      <c r="CV175" s="721"/>
      <c r="CW175" s="721"/>
      <c r="CX175" s="721"/>
    </row>
    <row r="176" spans="1:102" ht="12" customHeight="1" x14ac:dyDescent="0.2">
      <c r="A176" s="721"/>
      <c r="B176" s="721"/>
      <c r="C176" s="721"/>
      <c r="D176" s="721"/>
      <c r="E176" s="721"/>
      <c r="F176" s="721"/>
      <c r="G176" s="721"/>
      <c r="H176" s="721"/>
      <c r="I176" s="721"/>
      <c r="J176" s="721"/>
      <c r="K176" s="721"/>
      <c r="L176" s="721"/>
      <c r="M176" s="721"/>
      <c r="N176" s="721"/>
      <c r="O176" s="721"/>
      <c r="P176" s="721"/>
      <c r="Q176" s="721"/>
      <c r="R176" s="721"/>
      <c r="S176" s="721"/>
      <c r="T176" s="721"/>
      <c r="U176" s="721"/>
      <c r="V176" s="721"/>
      <c r="W176" s="204"/>
      <c r="X176" s="723"/>
      <c r="Y176" s="723"/>
      <c r="Z176" s="723"/>
      <c r="AA176" s="723"/>
      <c r="AB176" s="723"/>
      <c r="AC176" s="723"/>
      <c r="AD176" s="723"/>
      <c r="AE176" s="723"/>
      <c r="AF176" s="723"/>
      <c r="AG176" s="723"/>
      <c r="AH176" s="723"/>
      <c r="AI176" s="723"/>
      <c r="AJ176" s="723"/>
      <c r="AK176" s="723"/>
      <c r="AL176" s="723"/>
      <c r="AM176" s="721"/>
      <c r="AN176" s="721"/>
      <c r="AO176" s="723"/>
      <c r="AP176" s="721"/>
      <c r="AQ176" s="723"/>
      <c r="AR176" s="721"/>
      <c r="AS176" s="723"/>
      <c r="AT176" s="721"/>
      <c r="AU176" s="723"/>
      <c r="AV176" s="721"/>
      <c r="AW176" s="721"/>
      <c r="AX176" s="721"/>
      <c r="AY176" s="721"/>
      <c r="AZ176" s="721"/>
      <c r="BA176" s="721"/>
      <c r="BB176" s="721"/>
      <c r="BC176" s="721"/>
      <c r="BD176" s="721"/>
      <c r="BE176" s="721"/>
      <c r="BF176" s="721"/>
      <c r="BG176" s="721"/>
      <c r="BH176" s="721"/>
      <c r="BI176" s="721"/>
      <c r="BJ176" s="721"/>
      <c r="BK176" s="721"/>
      <c r="BL176" s="721"/>
      <c r="BM176" s="721"/>
      <c r="BN176" s="721"/>
      <c r="BO176" s="721"/>
      <c r="BP176" s="721"/>
      <c r="BQ176" s="721"/>
      <c r="BR176" s="721"/>
      <c r="BS176" s="721"/>
      <c r="BT176" s="721"/>
      <c r="BU176" s="721"/>
      <c r="BV176" s="721"/>
      <c r="BW176" s="721"/>
      <c r="BX176" s="721"/>
      <c r="BY176" s="721"/>
      <c r="BZ176" s="721"/>
      <c r="CA176" s="721"/>
      <c r="CB176" s="721"/>
      <c r="CC176" s="721"/>
      <c r="CD176" s="721"/>
      <c r="CE176" s="721"/>
      <c r="CF176" s="721"/>
      <c r="CG176" s="721"/>
      <c r="CH176" s="721"/>
      <c r="CI176" s="721"/>
      <c r="CJ176" s="721"/>
      <c r="CK176" s="721"/>
      <c r="CL176" s="721"/>
      <c r="CM176" s="721"/>
      <c r="CN176" s="721"/>
      <c r="CO176" s="721"/>
      <c r="CP176" s="721"/>
      <c r="CQ176" s="721"/>
      <c r="CR176" s="721"/>
      <c r="CS176" s="721"/>
      <c r="CT176" s="721"/>
      <c r="CU176" s="721"/>
      <c r="CV176" s="721"/>
      <c r="CW176" s="721"/>
      <c r="CX176" s="721"/>
    </row>
    <row r="177" spans="1:102" ht="12" customHeight="1" x14ac:dyDescent="0.2">
      <c r="A177" s="721"/>
      <c r="B177" s="721"/>
      <c r="C177" s="721"/>
      <c r="D177" s="721"/>
      <c r="E177" s="721"/>
      <c r="F177" s="721"/>
      <c r="G177" s="721"/>
      <c r="H177" s="721"/>
      <c r="I177" s="721"/>
      <c r="J177" s="721"/>
      <c r="K177" s="721"/>
      <c r="L177" s="721"/>
      <c r="M177" s="721"/>
      <c r="N177" s="721"/>
      <c r="O177" s="721"/>
      <c r="P177" s="721"/>
      <c r="Q177" s="721"/>
      <c r="R177" s="721"/>
      <c r="S177" s="721"/>
      <c r="T177" s="721"/>
      <c r="U177" s="721"/>
      <c r="V177" s="721"/>
      <c r="W177" s="204"/>
      <c r="X177" s="723"/>
      <c r="Y177" s="723"/>
      <c r="Z177" s="723"/>
      <c r="AA177" s="723"/>
      <c r="AB177" s="723"/>
      <c r="AC177" s="723"/>
      <c r="AD177" s="723"/>
      <c r="AE177" s="723"/>
      <c r="AF177" s="723"/>
      <c r="AG177" s="723"/>
      <c r="AH177" s="723"/>
      <c r="AI177" s="723"/>
      <c r="AJ177" s="723"/>
      <c r="AK177" s="723"/>
      <c r="AL177" s="723"/>
      <c r="AM177" s="721"/>
      <c r="AN177" s="721"/>
      <c r="AO177" s="723"/>
      <c r="AP177" s="721"/>
      <c r="AQ177" s="723"/>
      <c r="AR177" s="721"/>
      <c r="AS177" s="723"/>
      <c r="AT177" s="721"/>
      <c r="AU177" s="723"/>
      <c r="AV177" s="721"/>
      <c r="AW177" s="721"/>
      <c r="AX177" s="721"/>
      <c r="AY177" s="721"/>
      <c r="AZ177" s="721"/>
      <c r="BA177" s="721"/>
      <c r="BB177" s="721"/>
      <c r="BC177" s="721"/>
      <c r="BD177" s="721"/>
      <c r="BE177" s="721"/>
      <c r="BF177" s="721"/>
      <c r="BG177" s="721"/>
      <c r="BH177" s="721"/>
      <c r="BI177" s="721"/>
      <c r="BJ177" s="721"/>
      <c r="BK177" s="721"/>
      <c r="BL177" s="721"/>
      <c r="BM177" s="721"/>
      <c r="BN177" s="721"/>
      <c r="BO177" s="721"/>
      <c r="BP177" s="721"/>
      <c r="BQ177" s="721"/>
      <c r="BR177" s="721"/>
      <c r="BS177" s="721"/>
      <c r="BT177" s="721"/>
      <c r="BU177" s="721"/>
      <c r="BV177" s="721"/>
      <c r="BW177" s="721"/>
      <c r="BX177" s="721"/>
      <c r="BY177" s="721"/>
      <c r="BZ177" s="721"/>
      <c r="CA177" s="721"/>
      <c r="CB177" s="721"/>
      <c r="CC177" s="721"/>
      <c r="CD177" s="721"/>
      <c r="CE177" s="721"/>
      <c r="CF177" s="721"/>
      <c r="CG177" s="721"/>
      <c r="CH177" s="721"/>
      <c r="CI177" s="721"/>
      <c r="CJ177" s="721"/>
      <c r="CK177" s="721"/>
      <c r="CL177" s="721"/>
      <c r="CM177" s="721"/>
      <c r="CN177" s="721"/>
      <c r="CO177" s="721"/>
      <c r="CP177" s="721"/>
      <c r="CQ177" s="721"/>
      <c r="CR177" s="721"/>
      <c r="CS177" s="721"/>
      <c r="CT177" s="721"/>
      <c r="CU177" s="721"/>
      <c r="CV177" s="721"/>
      <c r="CW177" s="721"/>
      <c r="CX177" s="721"/>
    </row>
    <row r="178" spans="1:102" ht="12" customHeight="1" x14ac:dyDescent="0.2">
      <c r="A178" s="721"/>
      <c r="B178" s="721"/>
      <c r="C178" s="721"/>
      <c r="D178" s="721"/>
      <c r="E178" s="721"/>
      <c r="F178" s="721"/>
      <c r="G178" s="721"/>
      <c r="H178" s="721"/>
      <c r="I178" s="721"/>
      <c r="J178" s="721"/>
      <c r="K178" s="721"/>
      <c r="L178" s="721"/>
      <c r="M178" s="721"/>
      <c r="N178" s="721"/>
      <c r="O178" s="721"/>
      <c r="P178" s="721"/>
      <c r="Q178" s="721"/>
      <c r="R178" s="721"/>
      <c r="S178" s="721"/>
      <c r="T178" s="721"/>
      <c r="U178" s="721"/>
      <c r="V178" s="721"/>
      <c r="W178" s="204"/>
      <c r="X178" s="723"/>
      <c r="Y178" s="723"/>
      <c r="Z178" s="723"/>
      <c r="AA178" s="723"/>
      <c r="AB178" s="723"/>
      <c r="AC178" s="723"/>
      <c r="AD178" s="723"/>
      <c r="AE178" s="723"/>
      <c r="AF178" s="723"/>
      <c r="AG178" s="723"/>
      <c r="AH178" s="723"/>
      <c r="AI178" s="723"/>
      <c r="AJ178" s="723"/>
      <c r="AK178" s="723"/>
      <c r="AL178" s="723"/>
      <c r="AM178" s="721"/>
      <c r="AN178" s="721"/>
      <c r="AO178" s="723"/>
      <c r="AP178" s="721"/>
      <c r="AQ178" s="723"/>
      <c r="AR178" s="721"/>
      <c r="AS178" s="723"/>
      <c r="AT178" s="721"/>
      <c r="AU178" s="723"/>
      <c r="AV178" s="721"/>
      <c r="AW178" s="721"/>
      <c r="AX178" s="721"/>
      <c r="AY178" s="721"/>
      <c r="AZ178" s="721"/>
      <c r="BA178" s="721"/>
      <c r="BB178" s="721"/>
      <c r="BC178" s="721"/>
      <c r="BD178" s="721"/>
      <c r="BE178" s="721"/>
      <c r="BF178" s="721"/>
      <c r="BG178" s="721"/>
      <c r="BH178" s="721"/>
      <c r="BI178" s="721"/>
      <c r="BJ178" s="721"/>
      <c r="BK178" s="721"/>
      <c r="BL178" s="721"/>
      <c r="BM178" s="721"/>
      <c r="BN178" s="721"/>
      <c r="BO178" s="721"/>
      <c r="BP178" s="721"/>
      <c r="BQ178" s="721"/>
      <c r="BR178" s="721"/>
      <c r="BS178" s="721"/>
      <c r="BT178" s="721"/>
      <c r="BU178" s="721"/>
      <c r="BV178" s="721"/>
      <c r="BW178" s="721"/>
      <c r="BX178" s="721"/>
      <c r="BY178" s="721"/>
      <c r="BZ178" s="721"/>
      <c r="CA178" s="721"/>
      <c r="CB178" s="721"/>
      <c r="CC178" s="721"/>
      <c r="CD178" s="721"/>
      <c r="CE178" s="721"/>
      <c r="CF178" s="721"/>
      <c r="CG178" s="721"/>
      <c r="CH178" s="721"/>
      <c r="CI178" s="721"/>
      <c r="CJ178" s="721"/>
      <c r="CK178" s="721"/>
      <c r="CL178" s="721"/>
      <c r="CM178" s="721"/>
      <c r="CN178" s="721"/>
      <c r="CO178" s="721"/>
      <c r="CP178" s="721"/>
      <c r="CQ178" s="721"/>
      <c r="CR178" s="721"/>
      <c r="CS178" s="721"/>
      <c r="CT178" s="721"/>
      <c r="CU178" s="721"/>
      <c r="CV178" s="721"/>
      <c r="CW178" s="721"/>
      <c r="CX178" s="721"/>
    </row>
    <row r="179" spans="1:102" ht="12" customHeight="1" x14ac:dyDescent="0.2">
      <c r="A179" s="721"/>
      <c r="B179" s="721"/>
      <c r="C179" s="721"/>
      <c r="D179" s="721"/>
      <c r="E179" s="721"/>
      <c r="F179" s="721"/>
      <c r="G179" s="721"/>
      <c r="H179" s="721"/>
      <c r="I179" s="721"/>
      <c r="J179" s="721"/>
      <c r="K179" s="721"/>
      <c r="L179" s="721"/>
      <c r="M179" s="721"/>
      <c r="N179" s="721"/>
      <c r="O179" s="721"/>
      <c r="P179" s="721"/>
      <c r="Q179" s="721"/>
      <c r="R179" s="721"/>
      <c r="S179" s="721"/>
      <c r="T179" s="721"/>
      <c r="U179" s="721"/>
      <c r="V179" s="721"/>
      <c r="W179" s="204"/>
      <c r="X179" s="723"/>
      <c r="Y179" s="723"/>
      <c r="Z179" s="723"/>
      <c r="AA179" s="723"/>
      <c r="AB179" s="723"/>
      <c r="AC179" s="723"/>
      <c r="AD179" s="723"/>
      <c r="AE179" s="723"/>
      <c r="AF179" s="723"/>
      <c r="AG179" s="723"/>
      <c r="AH179" s="723"/>
      <c r="AI179" s="723"/>
      <c r="AJ179" s="723"/>
      <c r="AK179" s="723"/>
      <c r="AL179" s="723"/>
      <c r="AM179" s="721"/>
      <c r="AN179" s="721"/>
      <c r="AO179" s="723"/>
      <c r="AP179" s="721"/>
      <c r="AQ179" s="723"/>
      <c r="AR179" s="721"/>
      <c r="AS179" s="723"/>
      <c r="AT179" s="721"/>
      <c r="AU179" s="723"/>
      <c r="AV179" s="721"/>
      <c r="AW179" s="721"/>
      <c r="AX179" s="721"/>
      <c r="AY179" s="721"/>
      <c r="AZ179" s="721"/>
      <c r="BA179" s="721"/>
      <c r="BB179" s="721"/>
      <c r="BC179" s="721"/>
      <c r="BD179" s="721"/>
      <c r="BE179" s="721"/>
      <c r="BF179" s="721"/>
      <c r="BG179" s="721"/>
      <c r="BH179" s="721"/>
      <c r="BI179" s="721"/>
      <c r="BJ179" s="721"/>
      <c r="BK179" s="721"/>
      <c r="BL179" s="721"/>
      <c r="BM179" s="721"/>
      <c r="BN179" s="721"/>
      <c r="BO179" s="721"/>
      <c r="BP179" s="721"/>
      <c r="BQ179" s="721"/>
      <c r="BR179" s="721"/>
      <c r="BS179" s="721"/>
      <c r="BT179" s="721"/>
      <c r="BU179" s="721"/>
      <c r="BV179" s="721"/>
      <c r="BW179" s="721"/>
      <c r="BX179" s="721"/>
      <c r="BY179" s="721"/>
      <c r="BZ179" s="721"/>
      <c r="CA179" s="721"/>
      <c r="CB179" s="721"/>
      <c r="CC179" s="721"/>
      <c r="CD179" s="721"/>
      <c r="CE179" s="721"/>
      <c r="CF179" s="721"/>
      <c r="CG179" s="721"/>
      <c r="CH179" s="721"/>
      <c r="CI179" s="721"/>
      <c r="CJ179" s="721"/>
      <c r="CK179" s="721"/>
      <c r="CL179" s="721"/>
      <c r="CM179" s="721"/>
      <c r="CN179" s="721"/>
      <c r="CO179" s="721"/>
      <c r="CP179" s="721"/>
      <c r="CQ179" s="721"/>
      <c r="CR179" s="721"/>
      <c r="CS179" s="721"/>
      <c r="CT179" s="721"/>
      <c r="CU179" s="721"/>
      <c r="CV179" s="721"/>
      <c r="CW179" s="721"/>
      <c r="CX179" s="721"/>
    </row>
    <row r="180" spans="1:102" ht="12" customHeight="1" x14ac:dyDescent="0.2">
      <c r="A180" s="721"/>
      <c r="B180" s="721"/>
      <c r="C180" s="721"/>
      <c r="D180" s="721"/>
      <c r="E180" s="721"/>
      <c r="F180" s="721"/>
      <c r="G180" s="721"/>
      <c r="H180" s="721"/>
      <c r="I180" s="721"/>
      <c r="J180" s="721"/>
      <c r="K180" s="721"/>
      <c r="L180" s="721"/>
      <c r="M180" s="721"/>
      <c r="N180" s="721"/>
      <c r="O180" s="721"/>
      <c r="P180" s="721"/>
      <c r="Q180" s="721"/>
      <c r="R180" s="721"/>
      <c r="S180" s="721"/>
      <c r="T180" s="721"/>
      <c r="U180" s="721"/>
      <c r="V180" s="721"/>
      <c r="W180" s="204"/>
      <c r="X180" s="723"/>
      <c r="Y180" s="723"/>
      <c r="Z180" s="723"/>
      <c r="AA180" s="723"/>
      <c r="AB180" s="723"/>
      <c r="AC180" s="723"/>
      <c r="AD180" s="723"/>
      <c r="AE180" s="723"/>
      <c r="AF180" s="723"/>
      <c r="AG180" s="723"/>
      <c r="AH180" s="723"/>
      <c r="AI180" s="723"/>
      <c r="AJ180" s="723"/>
      <c r="AK180" s="723"/>
      <c r="AL180" s="723"/>
      <c r="AM180" s="721"/>
      <c r="AN180" s="721"/>
      <c r="AO180" s="723"/>
      <c r="AP180" s="721"/>
      <c r="AQ180" s="723"/>
      <c r="AR180" s="721"/>
      <c r="AS180" s="723"/>
      <c r="AT180" s="721"/>
      <c r="AU180" s="723"/>
      <c r="AV180" s="721"/>
      <c r="AW180" s="721"/>
      <c r="AX180" s="721"/>
      <c r="AY180" s="721"/>
      <c r="AZ180" s="721"/>
      <c r="BA180" s="721"/>
      <c r="BB180" s="721"/>
      <c r="BC180" s="721"/>
      <c r="BD180" s="721"/>
      <c r="BE180" s="721"/>
      <c r="BF180" s="721"/>
      <c r="BG180" s="721"/>
      <c r="BH180" s="721"/>
      <c r="BI180" s="721"/>
      <c r="BJ180" s="721"/>
      <c r="BK180" s="721"/>
      <c r="BL180" s="721"/>
      <c r="BM180" s="721"/>
      <c r="BN180" s="721"/>
      <c r="BO180" s="721"/>
      <c r="BP180" s="721"/>
      <c r="BQ180" s="721"/>
      <c r="BR180" s="721"/>
      <c r="BS180" s="721"/>
      <c r="BT180" s="721"/>
      <c r="BU180" s="721"/>
      <c r="BV180" s="721"/>
      <c r="BW180" s="721"/>
      <c r="BX180" s="721"/>
      <c r="BY180" s="721"/>
      <c r="BZ180" s="721"/>
      <c r="CA180" s="721"/>
      <c r="CB180" s="721"/>
      <c r="CC180" s="721"/>
      <c r="CD180" s="721"/>
      <c r="CE180" s="721"/>
      <c r="CF180" s="721"/>
      <c r="CG180" s="721"/>
      <c r="CH180" s="721"/>
      <c r="CI180" s="721"/>
      <c r="CJ180" s="721"/>
      <c r="CK180" s="721"/>
      <c r="CL180" s="721"/>
      <c r="CM180" s="721"/>
      <c r="CN180" s="721"/>
      <c r="CO180" s="721"/>
      <c r="CP180" s="721"/>
      <c r="CQ180" s="721"/>
      <c r="CR180" s="721"/>
      <c r="CS180" s="721"/>
      <c r="CT180" s="721"/>
      <c r="CU180" s="721"/>
      <c r="CV180" s="721"/>
      <c r="CW180" s="721"/>
      <c r="CX180" s="721"/>
    </row>
    <row r="181" spans="1:102" ht="12" customHeight="1" x14ac:dyDescent="0.2">
      <c r="A181" s="721"/>
      <c r="B181" s="721"/>
      <c r="C181" s="721"/>
      <c r="D181" s="721"/>
      <c r="E181" s="721"/>
      <c r="F181" s="721"/>
      <c r="G181" s="721"/>
      <c r="H181" s="721"/>
      <c r="I181" s="721"/>
      <c r="J181" s="721"/>
      <c r="K181" s="721"/>
      <c r="L181" s="721"/>
      <c r="M181" s="721"/>
      <c r="N181" s="721"/>
      <c r="O181" s="721"/>
      <c r="P181" s="721"/>
      <c r="Q181" s="721"/>
      <c r="R181" s="721"/>
      <c r="S181" s="721"/>
      <c r="T181" s="721"/>
      <c r="U181" s="721"/>
      <c r="V181" s="721"/>
      <c r="W181" s="204"/>
      <c r="X181" s="723"/>
      <c r="Y181" s="723"/>
      <c r="Z181" s="723"/>
      <c r="AA181" s="723"/>
      <c r="AB181" s="723"/>
      <c r="AC181" s="723"/>
      <c r="AD181" s="723"/>
      <c r="AE181" s="723"/>
      <c r="AF181" s="723"/>
      <c r="AG181" s="723"/>
      <c r="AH181" s="723"/>
      <c r="AI181" s="723"/>
      <c r="AJ181" s="723"/>
      <c r="AK181" s="723"/>
      <c r="AL181" s="723"/>
      <c r="AM181" s="721"/>
      <c r="AN181" s="721"/>
      <c r="AO181" s="723"/>
      <c r="AP181" s="721"/>
      <c r="AQ181" s="723"/>
      <c r="AR181" s="721"/>
      <c r="AS181" s="723"/>
      <c r="AT181" s="721"/>
      <c r="AU181" s="723"/>
      <c r="AV181" s="721"/>
      <c r="AW181" s="721"/>
      <c r="AX181" s="721"/>
      <c r="AY181" s="721"/>
      <c r="AZ181" s="721"/>
      <c r="BA181" s="721"/>
      <c r="BB181" s="721"/>
      <c r="BC181" s="721"/>
      <c r="BD181" s="721"/>
      <c r="BE181" s="721"/>
      <c r="BF181" s="721"/>
      <c r="BG181" s="721"/>
      <c r="BH181" s="721"/>
      <c r="BI181" s="721"/>
      <c r="BJ181" s="721"/>
      <c r="BK181" s="721"/>
      <c r="BL181" s="721"/>
      <c r="BM181" s="721"/>
      <c r="BN181" s="721"/>
      <c r="BO181" s="721"/>
      <c r="BP181" s="721"/>
      <c r="BQ181" s="721"/>
      <c r="BR181" s="721"/>
      <c r="BS181" s="721"/>
      <c r="BT181" s="721"/>
      <c r="BU181" s="721"/>
      <c r="BV181" s="721"/>
      <c r="BW181" s="721"/>
      <c r="BX181" s="721"/>
      <c r="BY181" s="721"/>
      <c r="BZ181" s="721"/>
      <c r="CA181" s="721"/>
      <c r="CB181" s="721"/>
      <c r="CC181" s="721"/>
      <c r="CD181" s="721"/>
      <c r="CE181" s="721"/>
      <c r="CF181" s="721"/>
      <c r="CG181" s="721"/>
      <c r="CH181" s="721"/>
      <c r="CI181" s="721"/>
      <c r="CJ181" s="721"/>
      <c r="CK181" s="721"/>
      <c r="CL181" s="721"/>
      <c r="CM181" s="721"/>
      <c r="CN181" s="721"/>
      <c r="CO181" s="721"/>
      <c r="CP181" s="721"/>
      <c r="CQ181" s="721"/>
      <c r="CR181" s="721"/>
      <c r="CS181" s="721"/>
      <c r="CT181" s="721"/>
      <c r="CU181" s="721"/>
      <c r="CV181" s="721"/>
      <c r="CW181" s="721"/>
      <c r="CX181" s="721"/>
    </row>
    <row r="182" spans="1:102" ht="12" customHeight="1" x14ac:dyDescent="0.2">
      <c r="A182" s="721"/>
      <c r="B182" s="721"/>
      <c r="C182" s="721"/>
      <c r="D182" s="721"/>
      <c r="E182" s="721"/>
      <c r="F182" s="721"/>
      <c r="G182" s="721"/>
      <c r="H182" s="721"/>
      <c r="I182" s="721"/>
      <c r="J182" s="721"/>
      <c r="K182" s="721"/>
      <c r="L182" s="721"/>
      <c r="M182" s="721"/>
      <c r="N182" s="721"/>
      <c r="O182" s="721"/>
      <c r="P182" s="721"/>
      <c r="Q182" s="721"/>
      <c r="R182" s="721"/>
      <c r="S182" s="721"/>
      <c r="T182" s="721"/>
      <c r="U182" s="721"/>
      <c r="V182" s="721"/>
      <c r="W182" s="204"/>
      <c r="X182" s="723"/>
      <c r="Y182" s="723"/>
      <c r="Z182" s="723"/>
      <c r="AA182" s="723"/>
      <c r="AB182" s="723"/>
      <c r="AC182" s="723"/>
      <c r="AD182" s="723"/>
      <c r="AE182" s="723"/>
      <c r="AF182" s="723"/>
      <c r="AG182" s="723"/>
      <c r="AH182" s="723"/>
      <c r="AI182" s="723"/>
      <c r="AJ182" s="723"/>
      <c r="AK182" s="723"/>
      <c r="AL182" s="723"/>
      <c r="AM182" s="721"/>
      <c r="AN182" s="721"/>
      <c r="AO182" s="723"/>
      <c r="AP182" s="721"/>
      <c r="AQ182" s="723"/>
      <c r="AR182" s="721"/>
      <c r="AS182" s="723"/>
      <c r="AT182" s="721"/>
      <c r="AU182" s="723"/>
      <c r="AV182" s="721"/>
      <c r="AW182" s="721"/>
      <c r="AX182" s="721"/>
      <c r="AY182" s="721"/>
      <c r="AZ182" s="721"/>
      <c r="BA182" s="721"/>
      <c r="BB182" s="721"/>
      <c r="BC182" s="721"/>
      <c r="BD182" s="721"/>
      <c r="BE182" s="721"/>
      <c r="BF182" s="721"/>
      <c r="BG182" s="721"/>
      <c r="BH182" s="721"/>
      <c r="BI182" s="721"/>
      <c r="BJ182" s="721"/>
      <c r="BK182" s="721"/>
      <c r="BL182" s="721"/>
      <c r="BM182" s="721"/>
      <c r="BN182" s="721"/>
      <c r="BO182" s="721"/>
      <c r="BP182" s="721"/>
      <c r="BQ182" s="721"/>
      <c r="BR182" s="721"/>
      <c r="BS182" s="721"/>
      <c r="BT182" s="721"/>
      <c r="BU182" s="721"/>
      <c r="BV182" s="721"/>
      <c r="BW182" s="721"/>
      <c r="BX182" s="721"/>
      <c r="BY182" s="721"/>
      <c r="BZ182" s="721"/>
      <c r="CA182" s="721"/>
      <c r="CB182" s="721"/>
      <c r="CC182" s="721"/>
      <c r="CD182" s="721"/>
      <c r="CE182" s="721"/>
      <c r="CF182" s="721"/>
      <c r="CG182" s="721"/>
      <c r="CH182" s="721"/>
      <c r="CI182" s="721"/>
      <c r="CJ182" s="721"/>
      <c r="CK182" s="721"/>
      <c r="CL182" s="721"/>
      <c r="CM182" s="721"/>
      <c r="CN182" s="721"/>
      <c r="CO182" s="721"/>
      <c r="CP182" s="721"/>
      <c r="CQ182" s="721"/>
      <c r="CR182" s="721"/>
      <c r="CS182" s="721"/>
      <c r="CT182" s="721"/>
      <c r="CU182" s="721"/>
      <c r="CV182" s="721"/>
      <c r="CW182" s="721"/>
      <c r="CX182" s="721"/>
    </row>
    <row r="183" spans="1:102" ht="12" customHeight="1" x14ac:dyDescent="0.2">
      <c r="A183" s="721"/>
      <c r="B183" s="721"/>
      <c r="C183" s="721"/>
      <c r="D183" s="721"/>
      <c r="E183" s="721"/>
      <c r="F183" s="721"/>
      <c r="G183" s="721"/>
      <c r="H183" s="721"/>
      <c r="I183" s="721"/>
      <c r="J183" s="721"/>
      <c r="K183" s="721"/>
      <c r="L183" s="721"/>
      <c r="M183" s="721"/>
      <c r="N183" s="721"/>
      <c r="O183" s="721"/>
      <c r="P183" s="721"/>
      <c r="Q183" s="721"/>
      <c r="R183" s="721"/>
      <c r="S183" s="721"/>
      <c r="T183" s="721"/>
      <c r="U183" s="721"/>
      <c r="V183" s="721"/>
      <c r="W183" s="204"/>
      <c r="X183" s="723"/>
      <c r="Y183" s="723"/>
      <c r="Z183" s="723"/>
      <c r="AA183" s="723"/>
      <c r="AB183" s="723"/>
      <c r="AC183" s="723"/>
      <c r="AD183" s="723"/>
      <c r="AE183" s="723"/>
      <c r="AF183" s="723"/>
      <c r="AG183" s="723"/>
      <c r="AH183" s="723"/>
      <c r="AI183" s="723"/>
      <c r="AJ183" s="723"/>
      <c r="AK183" s="723"/>
      <c r="AL183" s="723"/>
      <c r="AM183" s="721"/>
      <c r="AN183" s="721"/>
      <c r="AO183" s="723"/>
      <c r="AP183" s="721"/>
      <c r="AQ183" s="723"/>
      <c r="AR183" s="721"/>
      <c r="AS183" s="723"/>
      <c r="AT183" s="721"/>
      <c r="AU183" s="723"/>
      <c r="AV183" s="721"/>
      <c r="AW183" s="721"/>
      <c r="AX183" s="721"/>
      <c r="AY183" s="721"/>
      <c r="AZ183" s="721"/>
      <c r="BA183" s="721"/>
      <c r="BB183" s="721"/>
      <c r="BC183" s="721"/>
      <c r="BD183" s="721"/>
      <c r="BE183" s="721"/>
      <c r="BF183" s="721"/>
      <c r="BG183" s="721"/>
      <c r="BH183" s="721"/>
      <c r="BI183" s="721"/>
      <c r="BJ183" s="721"/>
      <c r="BK183" s="721"/>
      <c r="BL183" s="721"/>
      <c r="BM183" s="721"/>
      <c r="BN183" s="721"/>
      <c r="BO183" s="721"/>
      <c r="BP183" s="721"/>
      <c r="BQ183" s="721"/>
      <c r="BR183" s="721"/>
      <c r="BS183" s="721"/>
      <c r="BT183" s="721"/>
      <c r="BU183" s="721"/>
      <c r="BV183" s="721"/>
      <c r="BW183" s="721"/>
      <c r="BX183" s="721"/>
      <c r="BY183" s="721"/>
      <c r="BZ183" s="721"/>
      <c r="CA183" s="721"/>
      <c r="CB183" s="721"/>
      <c r="CC183" s="721"/>
      <c r="CD183" s="721"/>
      <c r="CE183" s="721"/>
      <c r="CF183" s="721"/>
      <c r="CG183" s="721"/>
      <c r="CH183" s="721"/>
      <c r="CI183" s="721"/>
      <c r="CJ183" s="721"/>
      <c r="CK183" s="721"/>
      <c r="CL183" s="721"/>
      <c r="CM183" s="721"/>
      <c r="CN183" s="721"/>
      <c r="CO183" s="721"/>
      <c r="CP183" s="721"/>
      <c r="CQ183" s="721"/>
      <c r="CR183" s="721"/>
      <c r="CS183" s="721"/>
      <c r="CT183" s="721"/>
      <c r="CU183" s="721"/>
      <c r="CV183" s="721"/>
      <c r="CW183" s="721"/>
      <c r="CX183" s="721"/>
    </row>
    <row r="184" spans="1:102" ht="12" customHeight="1" x14ac:dyDescent="0.2">
      <c r="A184" s="721"/>
      <c r="B184" s="721"/>
      <c r="C184" s="721"/>
      <c r="D184" s="721"/>
      <c r="E184" s="721"/>
      <c r="F184" s="721"/>
      <c r="G184" s="721"/>
      <c r="H184" s="721"/>
      <c r="I184" s="721"/>
      <c r="J184" s="721"/>
      <c r="K184" s="721"/>
      <c r="L184" s="721"/>
      <c r="M184" s="721"/>
      <c r="N184" s="721"/>
      <c r="O184" s="721"/>
      <c r="P184" s="721"/>
      <c r="Q184" s="721"/>
      <c r="R184" s="721"/>
      <c r="S184" s="721"/>
      <c r="T184" s="721"/>
      <c r="U184" s="721"/>
      <c r="V184" s="721"/>
      <c r="W184" s="204"/>
      <c r="X184" s="723"/>
      <c r="Y184" s="723"/>
      <c r="Z184" s="723"/>
      <c r="AA184" s="723"/>
      <c r="AB184" s="723"/>
      <c r="AC184" s="723"/>
      <c r="AD184" s="723"/>
      <c r="AE184" s="723"/>
      <c r="AF184" s="723"/>
      <c r="AG184" s="723"/>
      <c r="AH184" s="723"/>
      <c r="AI184" s="723"/>
      <c r="AJ184" s="723"/>
      <c r="AK184" s="723"/>
      <c r="AL184" s="723"/>
      <c r="AM184" s="721"/>
      <c r="AN184" s="721"/>
      <c r="AO184" s="723"/>
      <c r="AP184" s="721"/>
      <c r="AQ184" s="723"/>
      <c r="AR184" s="721"/>
      <c r="AS184" s="723"/>
      <c r="AT184" s="721"/>
      <c r="AU184" s="723"/>
      <c r="AV184" s="721"/>
      <c r="AW184" s="721"/>
      <c r="AX184" s="721"/>
      <c r="AY184" s="721"/>
      <c r="AZ184" s="721"/>
      <c r="BA184" s="721"/>
      <c r="BB184" s="721"/>
      <c r="BC184" s="721"/>
      <c r="BD184" s="721"/>
      <c r="BE184" s="721"/>
      <c r="BF184" s="721"/>
      <c r="BG184" s="721"/>
      <c r="BH184" s="721"/>
      <c r="BI184" s="721"/>
      <c r="BJ184" s="721"/>
      <c r="BK184" s="721"/>
      <c r="BL184" s="721"/>
      <c r="BM184" s="721"/>
      <c r="BN184" s="721"/>
      <c r="BO184" s="721"/>
      <c r="BP184" s="721"/>
      <c r="BQ184" s="721"/>
      <c r="BR184" s="721"/>
      <c r="BS184" s="721"/>
      <c r="BT184" s="721"/>
      <c r="BU184" s="721"/>
      <c r="BV184" s="721"/>
      <c r="BW184" s="721"/>
      <c r="BX184" s="721"/>
      <c r="BY184" s="721"/>
      <c r="BZ184" s="721"/>
      <c r="CA184" s="721"/>
      <c r="CB184" s="721"/>
      <c r="CC184" s="721"/>
      <c r="CD184" s="721"/>
      <c r="CE184" s="721"/>
      <c r="CF184" s="721"/>
      <c r="CG184" s="721"/>
      <c r="CH184" s="721"/>
      <c r="CI184" s="721"/>
      <c r="CJ184" s="721"/>
      <c r="CK184" s="721"/>
      <c r="CL184" s="721"/>
      <c r="CM184" s="721"/>
      <c r="CN184" s="721"/>
      <c r="CO184" s="721"/>
      <c r="CP184" s="721"/>
      <c r="CQ184" s="721"/>
      <c r="CR184" s="721"/>
      <c r="CS184" s="721"/>
      <c r="CT184" s="721"/>
      <c r="CU184" s="721"/>
      <c r="CV184" s="721"/>
      <c r="CW184" s="721"/>
      <c r="CX184" s="721"/>
    </row>
    <row r="185" spans="1:102" ht="12" customHeight="1" x14ac:dyDescent="0.2">
      <c r="A185" s="721"/>
      <c r="B185" s="721"/>
      <c r="C185" s="721"/>
      <c r="D185" s="721"/>
      <c r="E185" s="721"/>
      <c r="F185" s="721"/>
      <c r="G185" s="721"/>
      <c r="H185" s="721"/>
      <c r="I185" s="721"/>
      <c r="J185" s="721"/>
      <c r="K185" s="721"/>
      <c r="L185" s="721"/>
      <c r="M185" s="721"/>
      <c r="N185" s="721"/>
      <c r="O185" s="721"/>
      <c r="P185" s="721"/>
      <c r="Q185" s="721"/>
      <c r="R185" s="721"/>
      <c r="S185" s="721"/>
      <c r="T185" s="721"/>
      <c r="U185" s="721"/>
      <c r="V185" s="721"/>
      <c r="W185" s="204"/>
      <c r="X185" s="723"/>
      <c r="Y185" s="723"/>
      <c r="Z185" s="723"/>
      <c r="AA185" s="723"/>
      <c r="AB185" s="723"/>
      <c r="AC185" s="723"/>
      <c r="AD185" s="723"/>
      <c r="AE185" s="723"/>
      <c r="AF185" s="723"/>
      <c r="AG185" s="723"/>
      <c r="AH185" s="723"/>
      <c r="AI185" s="723"/>
      <c r="AJ185" s="723"/>
      <c r="AK185" s="723"/>
      <c r="AL185" s="723"/>
      <c r="AM185" s="721"/>
      <c r="AN185" s="721"/>
      <c r="AO185" s="723"/>
      <c r="AP185" s="721"/>
      <c r="AQ185" s="723"/>
      <c r="AR185" s="721"/>
      <c r="AS185" s="723"/>
      <c r="AT185" s="721"/>
      <c r="AU185" s="723"/>
      <c r="AV185" s="721"/>
      <c r="AW185" s="721"/>
      <c r="AX185" s="721"/>
      <c r="AY185" s="721"/>
      <c r="AZ185" s="721"/>
      <c r="BA185" s="721"/>
      <c r="BB185" s="721"/>
      <c r="BC185" s="721"/>
      <c r="BD185" s="721"/>
      <c r="BE185" s="721"/>
      <c r="BF185" s="721"/>
      <c r="BG185" s="721"/>
      <c r="BH185" s="721"/>
      <c r="BI185" s="721"/>
      <c r="BJ185" s="721"/>
      <c r="BK185" s="721"/>
      <c r="BL185" s="721"/>
      <c r="BM185" s="721"/>
      <c r="BN185" s="721"/>
      <c r="BO185" s="721"/>
      <c r="BP185" s="721"/>
      <c r="BQ185" s="721"/>
      <c r="BR185" s="721"/>
      <c r="BS185" s="721"/>
      <c r="BT185" s="721"/>
      <c r="BU185" s="721"/>
      <c r="BV185" s="721"/>
      <c r="BW185" s="721"/>
      <c r="BX185" s="721"/>
      <c r="BY185" s="721"/>
      <c r="BZ185" s="721"/>
      <c r="CA185" s="721"/>
      <c r="CB185" s="721"/>
      <c r="CC185" s="721"/>
      <c r="CD185" s="721"/>
      <c r="CE185" s="721"/>
      <c r="CF185" s="721"/>
      <c r="CG185" s="721"/>
      <c r="CH185" s="721"/>
      <c r="CI185" s="721"/>
      <c r="CJ185" s="721"/>
      <c r="CK185" s="721"/>
      <c r="CL185" s="721"/>
      <c r="CM185" s="721"/>
      <c r="CN185" s="721"/>
      <c r="CO185" s="721"/>
      <c r="CP185" s="721"/>
      <c r="CQ185" s="721"/>
      <c r="CR185" s="721"/>
      <c r="CS185" s="721"/>
      <c r="CT185" s="721"/>
      <c r="CU185" s="721"/>
      <c r="CV185" s="721"/>
      <c r="CW185" s="721"/>
      <c r="CX185" s="721"/>
    </row>
    <row r="186" spans="1:102" ht="12" customHeight="1" x14ac:dyDescent="0.2">
      <c r="A186" s="721"/>
      <c r="B186" s="721"/>
      <c r="C186" s="721"/>
      <c r="D186" s="721"/>
      <c r="E186" s="721"/>
      <c r="F186" s="721"/>
      <c r="G186" s="721"/>
      <c r="H186" s="721"/>
      <c r="I186" s="721"/>
      <c r="J186" s="721"/>
      <c r="K186" s="721"/>
      <c r="L186" s="721"/>
      <c r="M186" s="721"/>
      <c r="N186" s="721"/>
      <c r="O186" s="721"/>
      <c r="P186" s="721"/>
      <c r="Q186" s="721"/>
      <c r="R186" s="721"/>
      <c r="S186" s="721"/>
      <c r="T186" s="721"/>
      <c r="U186" s="721"/>
      <c r="V186" s="721"/>
      <c r="W186" s="204"/>
      <c r="X186" s="723"/>
      <c r="Y186" s="723"/>
      <c r="Z186" s="723"/>
      <c r="AA186" s="723"/>
      <c r="AB186" s="723"/>
      <c r="AC186" s="723"/>
      <c r="AD186" s="723"/>
      <c r="AE186" s="723"/>
      <c r="AF186" s="723"/>
      <c r="AG186" s="723"/>
      <c r="AH186" s="723"/>
      <c r="AI186" s="723"/>
      <c r="AJ186" s="723"/>
      <c r="AK186" s="723"/>
      <c r="AL186" s="723"/>
      <c r="AM186" s="721"/>
      <c r="AN186" s="721"/>
      <c r="AO186" s="723"/>
      <c r="AP186" s="721"/>
      <c r="AQ186" s="723"/>
      <c r="AR186" s="721"/>
      <c r="AS186" s="723"/>
      <c r="AT186" s="721"/>
      <c r="AU186" s="723"/>
      <c r="AV186" s="721"/>
      <c r="AW186" s="721"/>
      <c r="AX186" s="721"/>
      <c r="AY186" s="721"/>
      <c r="AZ186" s="721"/>
      <c r="BA186" s="721"/>
      <c r="BB186" s="721"/>
      <c r="BC186" s="721"/>
      <c r="BD186" s="721"/>
      <c r="BE186" s="721"/>
      <c r="BF186" s="721"/>
      <c r="BG186" s="721"/>
      <c r="BH186" s="721"/>
      <c r="BI186" s="721"/>
      <c r="BJ186" s="721"/>
      <c r="BK186" s="721"/>
      <c r="BL186" s="721"/>
      <c r="BM186" s="721"/>
      <c r="BN186" s="721"/>
      <c r="BO186" s="721"/>
      <c r="BP186" s="721"/>
      <c r="BQ186" s="721"/>
      <c r="BR186" s="721"/>
      <c r="BS186" s="721"/>
      <c r="BT186" s="721"/>
      <c r="BU186" s="721"/>
      <c r="BV186" s="721"/>
      <c r="BW186" s="721"/>
      <c r="BX186" s="721"/>
      <c r="BY186" s="721"/>
      <c r="BZ186" s="721"/>
      <c r="CA186" s="721"/>
      <c r="CB186" s="721"/>
      <c r="CC186" s="721"/>
      <c r="CD186" s="721"/>
      <c r="CE186" s="721"/>
      <c r="CF186" s="721"/>
      <c r="CG186" s="721"/>
      <c r="CH186" s="721"/>
      <c r="CI186" s="721"/>
      <c r="CJ186" s="721"/>
      <c r="CK186" s="721"/>
      <c r="CL186" s="721"/>
      <c r="CM186" s="721"/>
      <c r="CN186" s="721"/>
      <c r="CO186" s="721"/>
      <c r="CP186" s="721"/>
      <c r="CQ186" s="721"/>
      <c r="CR186" s="721"/>
      <c r="CS186" s="721"/>
      <c r="CT186" s="721"/>
      <c r="CU186" s="721"/>
      <c r="CV186" s="721"/>
      <c r="CW186" s="721"/>
      <c r="CX186" s="721"/>
    </row>
    <row r="187" spans="1:102" ht="12" customHeight="1" x14ac:dyDescent="0.2">
      <c r="A187" s="721"/>
      <c r="B187" s="721"/>
      <c r="C187" s="721"/>
      <c r="D187" s="721"/>
      <c r="E187" s="721"/>
      <c r="F187" s="721"/>
      <c r="G187" s="721"/>
      <c r="H187" s="721"/>
      <c r="I187" s="721"/>
      <c r="J187" s="721"/>
      <c r="K187" s="721"/>
      <c r="L187" s="721"/>
      <c r="M187" s="721"/>
      <c r="N187" s="721"/>
      <c r="O187" s="721"/>
      <c r="P187" s="721"/>
      <c r="Q187" s="721"/>
      <c r="R187" s="721"/>
      <c r="S187" s="721"/>
      <c r="T187" s="721"/>
      <c r="U187" s="721"/>
      <c r="V187" s="721"/>
      <c r="W187" s="204"/>
      <c r="X187" s="723"/>
      <c r="Y187" s="723"/>
      <c r="Z187" s="723"/>
      <c r="AA187" s="723"/>
      <c r="AB187" s="723"/>
      <c r="AC187" s="723"/>
      <c r="AD187" s="723"/>
      <c r="AE187" s="723"/>
      <c r="AF187" s="723"/>
      <c r="AG187" s="723"/>
      <c r="AH187" s="723"/>
      <c r="AI187" s="723"/>
      <c r="AJ187" s="723"/>
      <c r="AK187" s="723"/>
      <c r="AL187" s="723"/>
      <c r="AM187" s="721"/>
      <c r="AN187" s="721"/>
      <c r="AO187" s="723"/>
      <c r="AP187" s="721"/>
      <c r="AQ187" s="723"/>
      <c r="AR187" s="721"/>
      <c r="AS187" s="723"/>
      <c r="AT187" s="721"/>
      <c r="AU187" s="723"/>
      <c r="AV187" s="721"/>
      <c r="AW187" s="721"/>
      <c r="AX187" s="721"/>
      <c r="AY187" s="721"/>
      <c r="AZ187" s="721"/>
      <c r="BA187" s="721"/>
      <c r="BB187" s="721"/>
      <c r="BC187" s="721"/>
      <c r="BD187" s="721"/>
      <c r="BE187" s="721"/>
      <c r="BF187" s="721"/>
      <c r="BG187" s="721"/>
      <c r="BH187" s="721"/>
      <c r="BI187" s="721"/>
      <c r="BJ187" s="721"/>
      <c r="BK187" s="721"/>
      <c r="BL187" s="721"/>
      <c r="BM187" s="721"/>
      <c r="BN187" s="721"/>
      <c r="BO187" s="721"/>
      <c r="BP187" s="721"/>
      <c r="BQ187" s="721"/>
      <c r="BR187" s="721"/>
      <c r="BS187" s="721"/>
      <c r="BT187" s="721"/>
      <c r="BU187" s="721"/>
      <c r="BV187" s="721"/>
      <c r="BW187" s="721"/>
      <c r="BX187" s="721"/>
      <c r="BY187" s="721"/>
      <c r="BZ187" s="721"/>
      <c r="CA187" s="721"/>
      <c r="CB187" s="721"/>
      <c r="CC187" s="721"/>
      <c r="CD187" s="721"/>
      <c r="CE187" s="721"/>
      <c r="CF187" s="721"/>
      <c r="CG187" s="721"/>
      <c r="CH187" s="721"/>
      <c r="CI187" s="721"/>
      <c r="CJ187" s="721"/>
      <c r="CK187" s="721"/>
      <c r="CL187" s="721"/>
      <c r="CM187" s="721"/>
      <c r="CN187" s="721"/>
      <c r="CO187" s="721"/>
      <c r="CP187" s="721"/>
      <c r="CQ187" s="721"/>
      <c r="CR187" s="721"/>
      <c r="CS187" s="721"/>
      <c r="CT187" s="721"/>
      <c r="CU187" s="721"/>
      <c r="CV187" s="721"/>
      <c r="CW187" s="721"/>
      <c r="CX187" s="721"/>
    </row>
    <row r="188" spans="1:102" ht="12" customHeight="1" x14ac:dyDescent="0.2">
      <c r="A188" s="721"/>
      <c r="B188" s="721"/>
      <c r="C188" s="721"/>
      <c r="D188" s="721"/>
      <c r="E188" s="721"/>
      <c r="F188" s="721"/>
      <c r="G188" s="721"/>
      <c r="H188" s="721"/>
      <c r="I188" s="721"/>
      <c r="J188" s="721"/>
      <c r="K188" s="721"/>
      <c r="L188" s="721"/>
      <c r="M188" s="721"/>
      <c r="N188" s="721"/>
      <c r="O188" s="721"/>
      <c r="P188" s="721"/>
      <c r="Q188" s="721"/>
      <c r="R188" s="721"/>
      <c r="S188" s="721"/>
      <c r="T188" s="721"/>
      <c r="U188" s="721"/>
      <c r="V188" s="721"/>
      <c r="W188" s="204"/>
      <c r="X188" s="723"/>
      <c r="Y188" s="723"/>
      <c r="Z188" s="723"/>
      <c r="AA188" s="723"/>
      <c r="AB188" s="723"/>
      <c r="AC188" s="723"/>
      <c r="AD188" s="723"/>
      <c r="AE188" s="723"/>
      <c r="AF188" s="723"/>
      <c r="AG188" s="723"/>
      <c r="AH188" s="723"/>
      <c r="AI188" s="723"/>
      <c r="AJ188" s="723"/>
      <c r="AK188" s="723"/>
      <c r="AL188" s="723"/>
      <c r="AM188" s="721"/>
      <c r="AN188" s="721"/>
      <c r="AO188" s="723"/>
      <c r="AP188" s="721"/>
      <c r="AQ188" s="723"/>
      <c r="AR188" s="721"/>
      <c r="AS188" s="723"/>
      <c r="AT188" s="721"/>
      <c r="AU188" s="723"/>
      <c r="AV188" s="721"/>
      <c r="AW188" s="721"/>
      <c r="AX188" s="721"/>
      <c r="AY188" s="721"/>
      <c r="AZ188" s="721"/>
      <c r="BA188" s="721"/>
      <c r="BB188" s="721"/>
      <c r="BC188" s="721"/>
      <c r="BD188" s="721"/>
      <c r="BE188" s="721"/>
      <c r="BF188" s="721"/>
      <c r="BG188" s="721"/>
      <c r="BH188" s="721"/>
      <c r="BI188" s="721"/>
      <c r="BJ188" s="721"/>
      <c r="BK188" s="721"/>
      <c r="BL188" s="721"/>
      <c r="BM188" s="721"/>
      <c r="BN188" s="721"/>
      <c r="BO188" s="721"/>
      <c r="BP188" s="721"/>
      <c r="BQ188" s="721"/>
      <c r="BR188" s="721"/>
      <c r="BS188" s="721"/>
      <c r="BT188" s="721"/>
      <c r="BU188" s="721"/>
      <c r="BV188" s="721"/>
      <c r="BW188" s="721"/>
      <c r="BX188" s="721"/>
      <c r="BY188" s="721"/>
      <c r="BZ188" s="721"/>
      <c r="CA188" s="721"/>
      <c r="CB188" s="721"/>
      <c r="CC188" s="721"/>
      <c r="CD188" s="721"/>
      <c r="CE188" s="721"/>
      <c r="CF188" s="721"/>
      <c r="CG188" s="721"/>
      <c r="CH188" s="721"/>
      <c r="CI188" s="721"/>
      <c r="CJ188" s="721"/>
      <c r="CK188" s="721"/>
      <c r="CL188" s="721"/>
      <c r="CM188" s="721"/>
      <c r="CN188" s="721"/>
      <c r="CO188" s="721"/>
      <c r="CP188" s="721"/>
      <c r="CQ188" s="721"/>
      <c r="CR188" s="721"/>
      <c r="CS188" s="721"/>
      <c r="CT188" s="721"/>
      <c r="CU188" s="721"/>
      <c r="CV188" s="721"/>
      <c r="CW188" s="721"/>
      <c r="CX188" s="721"/>
    </row>
    <row r="189" spans="1:102" ht="12" customHeight="1" x14ac:dyDescent="0.2">
      <c r="A189" s="721"/>
      <c r="B189" s="721"/>
      <c r="C189" s="721"/>
      <c r="D189" s="721"/>
      <c r="E189" s="721"/>
      <c r="F189" s="721"/>
      <c r="G189" s="721"/>
      <c r="H189" s="721"/>
      <c r="I189" s="721"/>
      <c r="J189" s="721"/>
      <c r="K189" s="721"/>
      <c r="L189" s="721"/>
      <c r="M189" s="721"/>
      <c r="N189" s="721"/>
      <c r="O189" s="721"/>
      <c r="P189" s="721"/>
      <c r="Q189" s="721"/>
      <c r="R189" s="721"/>
      <c r="S189" s="721"/>
      <c r="T189" s="721"/>
      <c r="U189" s="721"/>
      <c r="V189" s="721"/>
      <c r="W189" s="204"/>
      <c r="X189" s="723"/>
      <c r="Y189" s="723"/>
      <c r="Z189" s="723"/>
      <c r="AA189" s="723"/>
      <c r="AB189" s="723"/>
      <c r="AC189" s="723"/>
      <c r="AD189" s="723"/>
      <c r="AE189" s="723"/>
      <c r="AF189" s="723"/>
      <c r="AG189" s="723"/>
      <c r="AH189" s="723"/>
      <c r="AI189" s="723"/>
      <c r="AJ189" s="723"/>
      <c r="AK189" s="723"/>
      <c r="AL189" s="723"/>
      <c r="AM189" s="721"/>
      <c r="AN189" s="721"/>
      <c r="AO189" s="723"/>
      <c r="AP189" s="721"/>
      <c r="AQ189" s="723"/>
      <c r="AR189" s="721"/>
      <c r="AS189" s="723"/>
      <c r="AT189" s="721"/>
      <c r="AU189" s="723"/>
      <c r="AV189" s="721"/>
      <c r="AW189" s="721"/>
      <c r="AX189" s="721"/>
      <c r="AY189" s="721"/>
      <c r="AZ189" s="721"/>
      <c r="BA189" s="721"/>
      <c r="BB189" s="721"/>
      <c r="BC189" s="721"/>
      <c r="BD189" s="721"/>
      <c r="BE189" s="721"/>
      <c r="BF189" s="721"/>
      <c r="BG189" s="721"/>
      <c r="BH189" s="721"/>
      <c r="BI189" s="721"/>
      <c r="BJ189" s="721"/>
      <c r="BK189" s="721"/>
      <c r="BL189" s="721"/>
      <c r="BM189" s="721"/>
      <c r="BN189" s="721"/>
      <c r="BO189" s="721"/>
      <c r="BP189" s="721"/>
      <c r="BQ189" s="721"/>
      <c r="BR189" s="721"/>
      <c r="BS189" s="721"/>
      <c r="BT189" s="721"/>
      <c r="BU189" s="721"/>
      <c r="BV189" s="721"/>
      <c r="BW189" s="721"/>
      <c r="BX189" s="721"/>
      <c r="BY189" s="721"/>
      <c r="BZ189" s="721"/>
      <c r="CA189" s="721"/>
      <c r="CB189" s="721"/>
      <c r="CC189" s="721"/>
      <c r="CD189" s="721"/>
      <c r="CE189" s="721"/>
      <c r="CF189" s="721"/>
      <c r="CG189" s="721"/>
      <c r="CH189" s="721"/>
      <c r="CI189" s="721"/>
      <c r="CJ189" s="721"/>
      <c r="CK189" s="721"/>
      <c r="CL189" s="721"/>
      <c r="CM189" s="721"/>
      <c r="CN189" s="721"/>
      <c r="CO189" s="721"/>
      <c r="CP189" s="721"/>
      <c r="CQ189" s="721"/>
      <c r="CR189" s="721"/>
      <c r="CS189" s="721"/>
      <c r="CT189" s="721"/>
      <c r="CU189" s="721"/>
      <c r="CV189" s="721"/>
      <c r="CW189" s="721"/>
      <c r="CX189" s="721"/>
    </row>
    <row r="190" spans="1:102" ht="12" customHeight="1" x14ac:dyDescent="0.2">
      <c r="A190" s="721"/>
      <c r="B190" s="721"/>
      <c r="C190" s="721"/>
      <c r="D190" s="721"/>
      <c r="E190" s="721"/>
      <c r="F190" s="721"/>
      <c r="G190" s="721"/>
      <c r="H190" s="721"/>
      <c r="I190" s="721"/>
      <c r="J190" s="721"/>
      <c r="K190" s="721"/>
      <c r="L190" s="721"/>
      <c r="M190" s="721"/>
      <c r="N190" s="721"/>
      <c r="O190" s="721"/>
      <c r="P190" s="721"/>
      <c r="Q190" s="721"/>
      <c r="R190" s="721"/>
      <c r="S190" s="721"/>
      <c r="T190" s="721"/>
      <c r="U190" s="721"/>
      <c r="V190" s="721"/>
      <c r="W190" s="204"/>
      <c r="X190" s="723"/>
      <c r="Y190" s="723"/>
      <c r="Z190" s="723"/>
      <c r="AA190" s="723"/>
      <c r="AB190" s="723"/>
      <c r="AC190" s="723"/>
      <c r="AD190" s="723"/>
      <c r="AE190" s="723"/>
      <c r="AF190" s="723"/>
      <c r="AG190" s="723"/>
      <c r="AH190" s="723"/>
      <c r="AI190" s="723"/>
      <c r="AJ190" s="723"/>
      <c r="AK190" s="723"/>
      <c r="AL190" s="723"/>
      <c r="AM190" s="721"/>
      <c r="AN190" s="721"/>
      <c r="AO190" s="723"/>
      <c r="AP190" s="721"/>
      <c r="AQ190" s="723"/>
      <c r="AR190" s="721"/>
      <c r="AS190" s="723"/>
      <c r="AT190" s="721"/>
      <c r="AU190" s="723"/>
      <c r="AV190" s="721"/>
      <c r="AW190" s="721"/>
      <c r="AX190" s="721"/>
      <c r="AY190" s="721"/>
      <c r="AZ190" s="721"/>
      <c r="BA190" s="721"/>
      <c r="BB190" s="721"/>
      <c r="BC190" s="721"/>
      <c r="BD190" s="721"/>
      <c r="BE190" s="721"/>
      <c r="BF190" s="721"/>
      <c r="BG190" s="721"/>
      <c r="BH190" s="721"/>
      <c r="BI190" s="721"/>
      <c r="BJ190" s="721"/>
      <c r="BK190" s="721"/>
      <c r="BL190" s="721"/>
      <c r="BM190" s="721"/>
      <c r="BN190" s="721"/>
      <c r="BO190" s="721"/>
      <c r="BP190" s="721"/>
      <c r="BQ190" s="721"/>
      <c r="BR190" s="721"/>
      <c r="BS190" s="721"/>
      <c r="BT190" s="721"/>
      <c r="BU190" s="721"/>
      <c r="BV190" s="721"/>
      <c r="BW190" s="721"/>
      <c r="BX190" s="721"/>
      <c r="BY190" s="721"/>
      <c r="BZ190" s="721"/>
      <c r="CA190" s="721"/>
      <c r="CB190" s="721"/>
      <c r="CC190" s="721"/>
      <c r="CD190" s="721"/>
      <c r="CE190" s="721"/>
      <c r="CF190" s="721"/>
      <c r="CG190" s="721"/>
      <c r="CH190" s="721"/>
      <c r="CI190" s="721"/>
      <c r="CJ190" s="721"/>
      <c r="CK190" s="721"/>
      <c r="CL190" s="721"/>
      <c r="CM190" s="721"/>
      <c r="CN190" s="721"/>
      <c r="CO190" s="721"/>
      <c r="CP190" s="721"/>
      <c r="CQ190" s="721"/>
      <c r="CR190" s="721"/>
      <c r="CS190" s="721"/>
      <c r="CT190" s="721"/>
      <c r="CU190" s="721"/>
      <c r="CV190" s="721"/>
      <c r="CW190" s="721"/>
      <c r="CX190" s="721"/>
    </row>
    <row r="191" spans="1:102" ht="12" customHeight="1" x14ac:dyDescent="0.2">
      <c r="A191" s="721"/>
      <c r="B191" s="721"/>
      <c r="C191" s="721"/>
      <c r="D191" s="721"/>
      <c r="E191" s="721"/>
      <c r="F191" s="721"/>
      <c r="G191" s="721"/>
      <c r="H191" s="721"/>
      <c r="I191" s="721"/>
      <c r="J191" s="721"/>
      <c r="K191" s="721"/>
      <c r="L191" s="721"/>
      <c r="M191" s="721"/>
      <c r="N191" s="721"/>
      <c r="O191" s="721"/>
      <c r="P191" s="721"/>
      <c r="Q191" s="721"/>
      <c r="R191" s="721"/>
      <c r="S191" s="721"/>
      <c r="T191" s="721"/>
      <c r="U191" s="721"/>
      <c r="V191" s="721"/>
      <c r="W191" s="204"/>
      <c r="X191" s="723"/>
      <c r="Y191" s="723"/>
      <c r="Z191" s="723"/>
      <c r="AA191" s="723"/>
      <c r="AB191" s="723"/>
      <c r="AC191" s="723"/>
      <c r="AD191" s="723"/>
      <c r="AE191" s="723"/>
      <c r="AF191" s="723"/>
      <c r="AG191" s="723"/>
      <c r="AH191" s="723"/>
      <c r="AI191" s="723"/>
      <c r="AJ191" s="723"/>
      <c r="AK191" s="723"/>
      <c r="AL191" s="723"/>
      <c r="AM191" s="721"/>
      <c r="AN191" s="721"/>
      <c r="AO191" s="723"/>
      <c r="AP191" s="721"/>
      <c r="AQ191" s="723"/>
      <c r="AR191" s="721"/>
      <c r="AS191" s="723"/>
      <c r="AT191" s="721"/>
      <c r="AU191" s="723"/>
      <c r="AV191" s="721"/>
      <c r="AW191" s="721"/>
      <c r="AX191" s="721"/>
      <c r="AY191" s="721"/>
      <c r="AZ191" s="721"/>
      <c r="BA191" s="721"/>
      <c r="BB191" s="721"/>
      <c r="BC191" s="721"/>
      <c r="BD191" s="721"/>
      <c r="BE191" s="721"/>
      <c r="BF191" s="721"/>
      <c r="BG191" s="721"/>
      <c r="BH191" s="721"/>
      <c r="BI191" s="721"/>
      <c r="BJ191" s="721"/>
      <c r="BK191" s="721"/>
      <c r="BL191" s="721"/>
      <c r="BM191" s="721"/>
      <c r="BN191" s="721"/>
      <c r="BO191" s="721"/>
      <c r="BP191" s="721"/>
      <c r="BQ191" s="721"/>
      <c r="BR191" s="721"/>
      <c r="BS191" s="721"/>
      <c r="BT191" s="721"/>
      <c r="BU191" s="721"/>
      <c r="BV191" s="721"/>
      <c r="BW191" s="721"/>
      <c r="BX191" s="721"/>
      <c r="BY191" s="721"/>
      <c r="BZ191" s="721"/>
      <c r="CA191" s="721"/>
      <c r="CB191" s="721"/>
      <c r="CC191" s="721"/>
      <c r="CD191" s="721"/>
      <c r="CE191" s="721"/>
      <c r="CF191" s="721"/>
      <c r="CG191" s="721"/>
      <c r="CH191" s="721"/>
      <c r="CI191" s="721"/>
      <c r="CJ191" s="721"/>
      <c r="CK191" s="721"/>
      <c r="CL191" s="721"/>
      <c r="CM191" s="721"/>
      <c r="CN191" s="721"/>
      <c r="CO191" s="721"/>
      <c r="CP191" s="721"/>
      <c r="CQ191" s="721"/>
      <c r="CR191" s="721"/>
      <c r="CS191" s="721"/>
      <c r="CT191" s="721"/>
      <c r="CU191" s="721"/>
      <c r="CV191" s="721"/>
      <c r="CW191" s="721"/>
      <c r="CX191" s="721"/>
    </row>
    <row r="192" spans="1:102" ht="12" customHeight="1" x14ac:dyDescent="0.2">
      <c r="A192" s="721"/>
      <c r="B192" s="721"/>
      <c r="C192" s="721"/>
      <c r="D192" s="721"/>
      <c r="E192" s="721"/>
      <c r="F192" s="721"/>
      <c r="G192" s="721"/>
      <c r="H192" s="721"/>
      <c r="I192" s="721"/>
      <c r="J192" s="721"/>
      <c r="K192" s="721"/>
      <c r="L192" s="721"/>
      <c r="M192" s="721"/>
      <c r="N192" s="721"/>
      <c r="O192" s="721"/>
      <c r="P192" s="721"/>
      <c r="Q192" s="721"/>
      <c r="R192" s="721"/>
      <c r="S192" s="721"/>
      <c r="T192" s="721"/>
      <c r="U192" s="721"/>
      <c r="V192" s="721"/>
      <c r="W192" s="204"/>
      <c r="X192" s="723"/>
      <c r="Y192" s="723"/>
      <c r="Z192" s="723"/>
      <c r="AA192" s="723"/>
      <c r="AB192" s="723"/>
      <c r="AC192" s="723"/>
      <c r="AD192" s="723"/>
      <c r="AE192" s="723"/>
      <c r="AF192" s="723"/>
      <c r="AG192" s="723"/>
      <c r="AH192" s="723"/>
      <c r="AI192" s="723"/>
      <c r="AJ192" s="723"/>
      <c r="AK192" s="723"/>
      <c r="AL192" s="723"/>
      <c r="AM192" s="721"/>
      <c r="AN192" s="721"/>
      <c r="AO192" s="723"/>
      <c r="AP192" s="721"/>
      <c r="AQ192" s="723"/>
      <c r="AR192" s="721"/>
      <c r="AS192" s="723"/>
      <c r="AT192" s="721"/>
      <c r="AU192" s="723"/>
      <c r="AV192" s="721"/>
      <c r="AW192" s="721"/>
      <c r="AX192" s="721"/>
      <c r="AY192" s="721"/>
      <c r="AZ192" s="721"/>
      <c r="BA192" s="721"/>
      <c r="BB192" s="721"/>
      <c r="BC192" s="721"/>
      <c r="BD192" s="721"/>
      <c r="BE192" s="721"/>
      <c r="BF192" s="721"/>
      <c r="BG192" s="721"/>
      <c r="BH192" s="721"/>
      <c r="BI192" s="721"/>
      <c r="BJ192" s="721"/>
      <c r="BK192" s="721"/>
      <c r="BL192" s="721"/>
      <c r="BM192" s="721"/>
      <c r="BN192" s="721"/>
      <c r="BO192" s="721"/>
      <c r="BP192" s="721"/>
      <c r="BQ192" s="721"/>
      <c r="BR192" s="721"/>
      <c r="BS192" s="721"/>
      <c r="BT192" s="721"/>
      <c r="BU192" s="721"/>
      <c r="BV192" s="721"/>
      <c r="BW192" s="721"/>
      <c r="BX192" s="721"/>
      <c r="BY192" s="721"/>
      <c r="BZ192" s="721"/>
      <c r="CA192" s="721"/>
      <c r="CB192" s="721"/>
      <c r="CC192" s="721"/>
      <c r="CD192" s="721"/>
      <c r="CE192" s="721"/>
      <c r="CF192" s="721"/>
      <c r="CG192" s="721"/>
      <c r="CH192" s="721"/>
      <c r="CI192" s="721"/>
      <c r="CJ192" s="721"/>
      <c r="CK192" s="721"/>
      <c r="CL192" s="721"/>
      <c r="CM192" s="721"/>
      <c r="CN192" s="721"/>
      <c r="CO192" s="721"/>
      <c r="CP192" s="721"/>
      <c r="CQ192" s="721"/>
      <c r="CR192" s="721"/>
      <c r="CS192" s="721"/>
      <c r="CT192" s="721"/>
      <c r="CU192" s="721"/>
      <c r="CV192" s="721"/>
      <c r="CW192" s="721"/>
      <c r="CX192" s="721"/>
    </row>
    <row r="193" spans="1:102" ht="12" customHeight="1" x14ac:dyDescent="0.2">
      <c r="A193" s="721"/>
      <c r="B193" s="721"/>
      <c r="C193" s="721"/>
      <c r="D193" s="721"/>
      <c r="E193" s="721"/>
      <c r="F193" s="721"/>
      <c r="G193" s="721"/>
      <c r="H193" s="721"/>
      <c r="I193" s="721"/>
      <c r="J193" s="721"/>
      <c r="K193" s="721"/>
      <c r="L193" s="721"/>
      <c r="M193" s="721"/>
      <c r="N193" s="721"/>
      <c r="O193" s="721"/>
      <c r="P193" s="721"/>
      <c r="Q193" s="721"/>
      <c r="R193" s="721"/>
      <c r="S193" s="721"/>
      <c r="T193" s="721"/>
      <c r="U193" s="721"/>
      <c r="V193" s="721"/>
      <c r="W193" s="204"/>
      <c r="X193" s="723"/>
      <c r="Y193" s="723"/>
      <c r="Z193" s="723"/>
      <c r="AA193" s="723"/>
      <c r="AB193" s="723"/>
      <c r="AC193" s="723"/>
      <c r="AD193" s="723"/>
      <c r="AE193" s="723"/>
      <c r="AF193" s="723"/>
      <c r="AG193" s="723"/>
      <c r="AH193" s="723"/>
      <c r="AI193" s="723"/>
      <c r="AJ193" s="723"/>
      <c r="AK193" s="723"/>
      <c r="AL193" s="723"/>
      <c r="AM193" s="721"/>
      <c r="AN193" s="721"/>
      <c r="AO193" s="723"/>
      <c r="AP193" s="721"/>
      <c r="AQ193" s="723"/>
      <c r="AR193" s="721"/>
      <c r="AS193" s="723"/>
      <c r="AT193" s="721"/>
      <c r="AU193" s="723"/>
      <c r="AV193" s="721"/>
      <c r="AW193" s="721"/>
      <c r="AX193" s="721"/>
      <c r="AY193" s="721"/>
      <c r="AZ193" s="721"/>
      <c r="BA193" s="721"/>
      <c r="BB193" s="721"/>
      <c r="BC193" s="721"/>
      <c r="BD193" s="721"/>
      <c r="BE193" s="721"/>
      <c r="BF193" s="721"/>
      <c r="BG193" s="721"/>
      <c r="BH193" s="721"/>
      <c r="BI193" s="721"/>
      <c r="BJ193" s="721"/>
      <c r="BK193" s="721"/>
      <c r="BL193" s="721"/>
      <c r="BM193" s="721"/>
      <c r="BN193" s="721"/>
      <c r="BO193" s="721"/>
      <c r="BP193" s="721"/>
      <c r="BQ193" s="721"/>
      <c r="BR193" s="721"/>
      <c r="BS193" s="721"/>
      <c r="BT193" s="721"/>
      <c r="BU193" s="721"/>
      <c r="BV193" s="721"/>
      <c r="BW193" s="721"/>
      <c r="BX193" s="721"/>
      <c r="BY193" s="721"/>
      <c r="BZ193" s="721"/>
      <c r="CA193" s="721"/>
      <c r="CB193" s="721"/>
      <c r="CC193" s="721"/>
      <c r="CD193" s="721"/>
      <c r="CE193" s="721"/>
      <c r="CF193" s="721"/>
      <c r="CG193" s="721"/>
      <c r="CH193" s="721"/>
      <c r="CI193" s="721"/>
      <c r="CJ193" s="721"/>
      <c r="CK193" s="721"/>
      <c r="CL193" s="721"/>
      <c r="CM193" s="721"/>
      <c r="CN193" s="721"/>
      <c r="CO193" s="721"/>
      <c r="CP193" s="721"/>
      <c r="CQ193" s="721"/>
      <c r="CR193" s="721"/>
      <c r="CS193" s="721"/>
      <c r="CT193" s="721"/>
      <c r="CU193" s="721"/>
      <c r="CV193" s="721"/>
      <c r="CW193" s="721"/>
      <c r="CX193" s="721"/>
    </row>
    <row r="194" spans="1:102" ht="12" customHeight="1" x14ac:dyDescent="0.2">
      <c r="A194" s="721"/>
      <c r="B194" s="721"/>
      <c r="C194" s="721"/>
      <c r="D194" s="721"/>
      <c r="E194" s="721"/>
      <c r="F194" s="721"/>
      <c r="G194" s="721"/>
      <c r="H194" s="721"/>
      <c r="I194" s="721"/>
      <c r="J194" s="721"/>
      <c r="K194" s="721"/>
      <c r="L194" s="721"/>
      <c r="M194" s="721"/>
      <c r="N194" s="721"/>
      <c r="O194" s="721"/>
      <c r="P194" s="721"/>
      <c r="Q194" s="721"/>
      <c r="R194" s="721"/>
      <c r="S194" s="721"/>
      <c r="T194" s="721"/>
      <c r="U194" s="721"/>
      <c r="V194" s="721"/>
      <c r="W194" s="204"/>
      <c r="X194" s="723"/>
      <c r="Y194" s="723"/>
      <c r="Z194" s="723"/>
      <c r="AA194" s="723"/>
      <c r="AB194" s="723"/>
      <c r="AC194" s="723"/>
      <c r="AD194" s="723"/>
      <c r="AE194" s="723"/>
      <c r="AF194" s="723"/>
      <c r="AG194" s="723"/>
      <c r="AH194" s="723"/>
      <c r="AI194" s="723"/>
      <c r="AJ194" s="723"/>
      <c r="AK194" s="723"/>
      <c r="AL194" s="723"/>
      <c r="AM194" s="721"/>
      <c r="AN194" s="721"/>
      <c r="AO194" s="723"/>
      <c r="AP194" s="721"/>
      <c r="AQ194" s="723"/>
      <c r="AR194" s="721"/>
      <c r="AS194" s="723"/>
      <c r="AT194" s="721"/>
      <c r="AU194" s="723"/>
      <c r="AV194" s="721"/>
      <c r="AW194" s="721"/>
      <c r="AX194" s="721"/>
      <c r="AY194" s="721"/>
      <c r="AZ194" s="721"/>
      <c r="BA194" s="721"/>
      <c r="BB194" s="721"/>
      <c r="BC194" s="721"/>
      <c r="BD194" s="721"/>
      <c r="BE194" s="721"/>
      <c r="BF194" s="721"/>
      <c r="BG194" s="721"/>
      <c r="BH194" s="721"/>
      <c r="BI194" s="721"/>
      <c r="BJ194" s="721"/>
      <c r="BK194" s="721"/>
      <c r="BL194" s="721"/>
      <c r="BM194" s="721"/>
      <c r="BN194" s="721"/>
      <c r="BO194" s="721"/>
      <c r="BP194" s="721"/>
      <c r="BQ194" s="721"/>
      <c r="BR194" s="721"/>
      <c r="BS194" s="721"/>
      <c r="BT194" s="721"/>
      <c r="BU194" s="721"/>
      <c r="BV194" s="721"/>
      <c r="BW194" s="721"/>
      <c r="BX194" s="721"/>
      <c r="BY194" s="721"/>
      <c r="BZ194" s="721"/>
      <c r="CA194" s="721"/>
      <c r="CB194" s="721"/>
      <c r="CC194" s="721"/>
      <c r="CD194" s="721"/>
      <c r="CE194" s="721"/>
      <c r="CF194" s="721"/>
      <c r="CG194" s="721"/>
      <c r="CH194" s="721"/>
      <c r="CI194" s="721"/>
      <c r="CJ194" s="721"/>
      <c r="CK194" s="721"/>
      <c r="CL194" s="721"/>
      <c r="CM194" s="721"/>
      <c r="CN194" s="721"/>
      <c r="CO194" s="721"/>
      <c r="CP194" s="721"/>
      <c r="CQ194" s="721"/>
      <c r="CR194" s="721"/>
      <c r="CS194" s="721"/>
      <c r="CT194" s="721"/>
      <c r="CU194" s="721"/>
      <c r="CV194" s="721"/>
      <c r="CW194" s="721"/>
      <c r="CX194" s="721"/>
    </row>
    <row r="195" spans="1:102" ht="12" customHeight="1" x14ac:dyDescent="0.2">
      <c r="A195" s="721"/>
      <c r="B195" s="721"/>
      <c r="C195" s="721"/>
      <c r="D195" s="721"/>
      <c r="E195" s="721"/>
      <c r="F195" s="721"/>
      <c r="G195" s="721"/>
      <c r="H195" s="721"/>
      <c r="I195" s="721"/>
      <c r="J195" s="721"/>
      <c r="K195" s="721"/>
      <c r="L195" s="721"/>
      <c r="M195" s="721"/>
      <c r="N195" s="721"/>
      <c r="O195" s="721"/>
      <c r="P195" s="721"/>
      <c r="Q195" s="721"/>
      <c r="R195" s="721"/>
      <c r="S195" s="721"/>
      <c r="T195" s="721"/>
      <c r="U195" s="721"/>
      <c r="V195" s="721"/>
      <c r="W195" s="204"/>
      <c r="X195" s="723"/>
      <c r="Y195" s="723"/>
      <c r="Z195" s="723"/>
      <c r="AA195" s="723"/>
      <c r="AB195" s="723"/>
      <c r="AC195" s="723"/>
      <c r="AD195" s="723"/>
      <c r="AE195" s="723"/>
      <c r="AF195" s="723"/>
      <c r="AG195" s="723"/>
      <c r="AH195" s="723"/>
      <c r="AI195" s="723"/>
      <c r="AJ195" s="723"/>
      <c r="AK195" s="723"/>
      <c r="AL195" s="723"/>
      <c r="AM195" s="721"/>
      <c r="AN195" s="721"/>
      <c r="AO195" s="723"/>
      <c r="AP195" s="721"/>
      <c r="AQ195" s="723"/>
      <c r="AR195" s="721"/>
      <c r="AS195" s="723"/>
      <c r="AT195" s="721"/>
      <c r="AU195" s="723"/>
      <c r="AV195" s="721"/>
      <c r="AW195" s="721"/>
      <c r="AX195" s="721"/>
      <c r="AY195" s="721"/>
      <c r="AZ195" s="721"/>
      <c r="BA195" s="721"/>
      <c r="BB195" s="721"/>
      <c r="BC195" s="721"/>
      <c r="BD195" s="721"/>
      <c r="BE195" s="721"/>
      <c r="BF195" s="721"/>
      <c r="BG195" s="721"/>
      <c r="BH195" s="721"/>
      <c r="BI195" s="721"/>
      <c r="BJ195" s="721"/>
      <c r="BK195" s="721"/>
      <c r="BL195" s="721"/>
      <c r="BM195" s="721"/>
      <c r="BN195" s="721"/>
      <c r="BO195" s="721"/>
      <c r="BP195" s="721"/>
      <c r="BQ195" s="721"/>
      <c r="BR195" s="721"/>
      <c r="BS195" s="721"/>
      <c r="BT195" s="721"/>
      <c r="BU195" s="721"/>
      <c r="BV195" s="721"/>
      <c r="BW195" s="721"/>
      <c r="BX195" s="721"/>
      <c r="BY195" s="721"/>
      <c r="BZ195" s="721"/>
      <c r="CA195" s="721"/>
      <c r="CB195" s="721"/>
      <c r="CC195" s="721"/>
      <c r="CD195" s="721"/>
      <c r="CE195" s="721"/>
      <c r="CF195" s="721"/>
      <c r="CG195" s="721"/>
      <c r="CH195" s="721"/>
      <c r="CI195" s="721"/>
      <c r="CJ195" s="721"/>
      <c r="CK195" s="721"/>
      <c r="CL195" s="721"/>
      <c r="CM195" s="721"/>
      <c r="CN195" s="721"/>
      <c r="CO195" s="721"/>
      <c r="CP195" s="721"/>
      <c r="CQ195" s="721"/>
      <c r="CR195" s="721"/>
      <c r="CS195" s="721"/>
      <c r="CT195" s="721"/>
      <c r="CU195" s="721"/>
      <c r="CV195" s="721"/>
      <c r="CW195" s="721"/>
      <c r="CX195" s="721"/>
    </row>
    <row r="196" spans="1:102" ht="12" customHeight="1" x14ac:dyDescent="0.2">
      <c r="A196" s="721"/>
      <c r="B196" s="721"/>
      <c r="C196" s="721"/>
      <c r="D196" s="721"/>
      <c r="E196" s="721"/>
      <c r="F196" s="721"/>
      <c r="G196" s="721"/>
      <c r="H196" s="721"/>
      <c r="I196" s="721"/>
      <c r="J196" s="721"/>
      <c r="K196" s="721"/>
      <c r="L196" s="721"/>
      <c r="M196" s="721"/>
      <c r="N196" s="721"/>
      <c r="O196" s="721"/>
      <c r="P196" s="721"/>
      <c r="Q196" s="721"/>
      <c r="R196" s="721"/>
      <c r="S196" s="721"/>
      <c r="T196" s="721"/>
      <c r="U196" s="721"/>
      <c r="V196" s="721"/>
      <c r="W196" s="204"/>
      <c r="X196" s="723"/>
      <c r="Y196" s="723"/>
      <c r="Z196" s="723"/>
      <c r="AA196" s="723"/>
      <c r="AB196" s="723"/>
      <c r="AC196" s="723"/>
      <c r="AD196" s="723"/>
      <c r="AE196" s="723"/>
      <c r="AF196" s="723"/>
      <c r="AG196" s="723"/>
      <c r="AH196" s="723"/>
      <c r="AI196" s="723"/>
      <c r="AJ196" s="723"/>
      <c r="AK196" s="723"/>
      <c r="AL196" s="723"/>
      <c r="AM196" s="721"/>
      <c r="AN196" s="721"/>
      <c r="AO196" s="723"/>
      <c r="AP196" s="721"/>
      <c r="AQ196" s="723"/>
      <c r="AR196" s="721"/>
      <c r="AS196" s="723"/>
      <c r="AT196" s="721"/>
      <c r="AU196" s="723"/>
      <c r="AV196" s="721"/>
      <c r="AW196" s="721"/>
      <c r="AX196" s="721"/>
      <c r="AY196" s="721"/>
      <c r="AZ196" s="721"/>
      <c r="BA196" s="721"/>
      <c r="BB196" s="721"/>
      <c r="BC196" s="721"/>
      <c r="BD196" s="721"/>
      <c r="BE196" s="721"/>
      <c r="BF196" s="721"/>
      <c r="BG196" s="721"/>
      <c r="BH196" s="721"/>
      <c r="BI196" s="721"/>
      <c r="BJ196" s="721"/>
      <c r="BK196" s="721"/>
      <c r="BL196" s="721"/>
      <c r="BM196" s="721"/>
      <c r="BN196" s="721"/>
      <c r="BO196" s="721"/>
      <c r="BP196" s="721"/>
      <c r="BQ196" s="721"/>
      <c r="BR196" s="721"/>
      <c r="BS196" s="721"/>
      <c r="BT196" s="721"/>
      <c r="BU196" s="721"/>
      <c r="BV196" s="721"/>
      <c r="BW196" s="721"/>
      <c r="BX196" s="721"/>
      <c r="BY196" s="721"/>
      <c r="BZ196" s="721"/>
      <c r="CA196" s="721"/>
      <c r="CB196" s="721"/>
      <c r="CC196" s="721"/>
      <c r="CD196" s="721"/>
      <c r="CE196" s="721"/>
      <c r="CF196" s="721"/>
      <c r="CG196" s="721"/>
      <c r="CH196" s="721"/>
      <c r="CI196" s="721"/>
      <c r="CJ196" s="721"/>
      <c r="CK196" s="721"/>
      <c r="CL196" s="721"/>
      <c r="CM196" s="721"/>
      <c r="CN196" s="721"/>
      <c r="CO196" s="721"/>
      <c r="CP196" s="721"/>
      <c r="CQ196" s="721"/>
      <c r="CR196" s="721"/>
      <c r="CS196" s="721"/>
      <c r="CT196" s="721"/>
      <c r="CU196" s="721"/>
      <c r="CV196" s="721"/>
      <c r="CW196" s="721"/>
      <c r="CX196" s="721"/>
    </row>
    <row r="197" spans="1:102" ht="12" customHeight="1" x14ac:dyDescent="0.2">
      <c r="A197" s="721"/>
      <c r="B197" s="721"/>
      <c r="C197" s="721"/>
      <c r="D197" s="721"/>
      <c r="E197" s="721"/>
      <c r="F197" s="721"/>
      <c r="G197" s="721"/>
      <c r="H197" s="721"/>
      <c r="I197" s="721"/>
      <c r="J197" s="721"/>
      <c r="K197" s="721"/>
      <c r="L197" s="721"/>
      <c r="M197" s="721"/>
      <c r="N197" s="721"/>
      <c r="O197" s="721"/>
      <c r="P197" s="721"/>
      <c r="Q197" s="721"/>
      <c r="R197" s="721"/>
      <c r="S197" s="721"/>
      <c r="T197" s="721"/>
      <c r="U197" s="721"/>
      <c r="V197" s="721"/>
      <c r="W197" s="204"/>
      <c r="X197" s="723"/>
      <c r="Y197" s="723"/>
      <c r="Z197" s="723"/>
      <c r="AA197" s="723"/>
      <c r="AB197" s="723"/>
      <c r="AC197" s="723"/>
      <c r="AD197" s="723"/>
      <c r="AE197" s="723"/>
      <c r="AF197" s="723"/>
      <c r="AG197" s="723"/>
      <c r="AH197" s="723"/>
      <c r="AI197" s="723"/>
      <c r="AJ197" s="723"/>
      <c r="AK197" s="723"/>
      <c r="AL197" s="723"/>
      <c r="AM197" s="721"/>
      <c r="AN197" s="721"/>
      <c r="AO197" s="723"/>
      <c r="AP197" s="721"/>
      <c r="AQ197" s="723"/>
      <c r="AR197" s="721"/>
      <c r="AS197" s="723"/>
      <c r="AT197" s="721"/>
      <c r="AU197" s="723"/>
      <c r="AV197" s="721"/>
      <c r="AW197" s="721"/>
      <c r="AX197" s="721"/>
      <c r="AY197" s="721"/>
      <c r="AZ197" s="721"/>
      <c r="BA197" s="721"/>
      <c r="BB197" s="721"/>
      <c r="BC197" s="721"/>
      <c r="BD197" s="721"/>
      <c r="BE197" s="721"/>
      <c r="BF197" s="721"/>
      <c r="BG197" s="721"/>
      <c r="BH197" s="721"/>
      <c r="BI197" s="721"/>
      <c r="BJ197" s="721"/>
      <c r="BK197" s="721"/>
      <c r="BL197" s="721"/>
      <c r="BM197" s="721"/>
      <c r="BN197" s="721"/>
      <c r="BO197" s="721"/>
      <c r="BP197" s="721"/>
      <c r="BQ197" s="721"/>
      <c r="BR197" s="721"/>
      <c r="BS197" s="721"/>
      <c r="BT197" s="721"/>
      <c r="BU197" s="721"/>
      <c r="BV197" s="721"/>
      <c r="BW197" s="721"/>
      <c r="BX197" s="721"/>
      <c r="BY197" s="721"/>
      <c r="BZ197" s="721"/>
      <c r="CA197" s="721"/>
      <c r="CB197" s="721"/>
      <c r="CC197" s="721"/>
      <c r="CD197" s="721"/>
      <c r="CE197" s="721"/>
      <c r="CF197" s="721"/>
      <c r="CG197" s="721"/>
      <c r="CH197" s="721"/>
      <c r="CI197" s="721"/>
      <c r="CJ197" s="721"/>
      <c r="CK197" s="721"/>
      <c r="CL197" s="721"/>
      <c r="CM197" s="721"/>
      <c r="CN197" s="721"/>
      <c r="CO197" s="721"/>
      <c r="CP197" s="721"/>
      <c r="CQ197" s="721"/>
      <c r="CR197" s="721"/>
      <c r="CS197" s="721"/>
      <c r="CT197" s="721"/>
      <c r="CU197" s="721"/>
      <c r="CV197" s="721"/>
      <c r="CW197" s="721"/>
      <c r="CX197" s="721"/>
    </row>
    <row r="198" spans="1:102" ht="12" customHeight="1" x14ac:dyDescent="0.2">
      <c r="A198" s="721"/>
      <c r="B198" s="721"/>
      <c r="C198" s="721"/>
      <c r="D198" s="721"/>
      <c r="E198" s="721"/>
      <c r="F198" s="721"/>
      <c r="G198" s="721"/>
      <c r="H198" s="721"/>
      <c r="I198" s="721"/>
      <c r="J198" s="721"/>
      <c r="K198" s="721"/>
      <c r="L198" s="721"/>
      <c r="M198" s="721"/>
      <c r="N198" s="721"/>
      <c r="O198" s="721"/>
      <c r="P198" s="721"/>
      <c r="Q198" s="721"/>
      <c r="R198" s="721"/>
      <c r="S198" s="721"/>
      <c r="T198" s="721"/>
      <c r="U198" s="721"/>
      <c r="V198" s="721"/>
      <c r="W198" s="204"/>
      <c r="X198" s="723"/>
      <c r="Y198" s="723"/>
      <c r="Z198" s="723"/>
      <c r="AA198" s="723"/>
      <c r="AB198" s="723"/>
      <c r="AC198" s="723"/>
      <c r="AD198" s="723"/>
      <c r="AE198" s="723"/>
      <c r="AF198" s="723"/>
      <c r="AG198" s="723"/>
      <c r="AH198" s="723"/>
      <c r="AI198" s="723"/>
      <c r="AJ198" s="723"/>
      <c r="AK198" s="723"/>
      <c r="AL198" s="723"/>
      <c r="AM198" s="721"/>
      <c r="AN198" s="721"/>
      <c r="AO198" s="723"/>
      <c r="AP198" s="721"/>
      <c r="AQ198" s="723"/>
      <c r="AR198" s="721"/>
      <c r="AS198" s="723"/>
      <c r="AT198" s="721"/>
      <c r="AU198" s="723"/>
      <c r="AV198" s="721"/>
      <c r="AW198" s="721"/>
      <c r="AX198" s="721"/>
      <c r="AY198" s="721"/>
      <c r="AZ198" s="721"/>
      <c r="BA198" s="721"/>
      <c r="BB198" s="721"/>
      <c r="BC198" s="721"/>
      <c r="BD198" s="721"/>
      <c r="BE198" s="721"/>
      <c r="BF198" s="721"/>
      <c r="BG198" s="721"/>
      <c r="BH198" s="721"/>
      <c r="BI198" s="721"/>
      <c r="BJ198" s="721"/>
      <c r="BK198" s="721"/>
      <c r="BL198" s="721"/>
      <c r="BM198" s="721"/>
      <c r="BN198" s="721"/>
      <c r="BO198" s="721"/>
      <c r="BP198" s="721"/>
      <c r="BQ198" s="721"/>
      <c r="BR198" s="721"/>
      <c r="BS198" s="721"/>
      <c r="BT198" s="721"/>
      <c r="BU198" s="721"/>
      <c r="BV198" s="721"/>
      <c r="BW198" s="721"/>
      <c r="BX198" s="721"/>
      <c r="BY198" s="721"/>
      <c r="BZ198" s="721"/>
      <c r="CA198" s="721"/>
      <c r="CB198" s="721"/>
      <c r="CC198" s="721"/>
      <c r="CD198" s="721"/>
      <c r="CE198" s="721"/>
      <c r="CF198" s="721"/>
      <c r="CG198" s="721"/>
      <c r="CH198" s="721"/>
      <c r="CI198" s="721"/>
      <c r="CJ198" s="721"/>
      <c r="CK198" s="721"/>
      <c r="CL198" s="721"/>
      <c r="CM198" s="721"/>
      <c r="CN198" s="721"/>
      <c r="CO198" s="721"/>
      <c r="CP198" s="721"/>
      <c r="CQ198" s="721"/>
      <c r="CR198" s="721"/>
      <c r="CS198" s="721"/>
      <c r="CT198" s="721"/>
      <c r="CU198" s="721"/>
      <c r="CV198" s="721"/>
      <c r="CW198" s="721"/>
      <c r="CX198" s="721"/>
    </row>
    <row r="199" spans="1:102" ht="12" customHeight="1" x14ac:dyDescent="0.2">
      <c r="A199" s="721"/>
      <c r="B199" s="721"/>
      <c r="C199" s="721"/>
      <c r="D199" s="721"/>
      <c r="E199" s="721"/>
      <c r="F199" s="721"/>
      <c r="G199" s="721"/>
      <c r="H199" s="721"/>
      <c r="I199" s="721"/>
      <c r="J199" s="721"/>
      <c r="K199" s="721"/>
      <c r="L199" s="721"/>
      <c r="M199" s="721"/>
      <c r="N199" s="721"/>
      <c r="O199" s="721"/>
      <c r="P199" s="721"/>
      <c r="Q199" s="721"/>
      <c r="R199" s="721"/>
      <c r="S199" s="721"/>
      <c r="T199" s="721"/>
      <c r="U199" s="721"/>
      <c r="V199" s="721"/>
      <c r="W199" s="204"/>
      <c r="X199" s="723"/>
      <c r="Y199" s="723"/>
      <c r="Z199" s="723"/>
      <c r="AA199" s="723"/>
      <c r="AB199" s="723"/>
      <c r="AC199" s="723"/>
      <c r="AD199" s="723"/>
      <c r="AE199" s="723"/>
      <c r="AF199" s="723"/>
      <c r="AG199" s="723"/>
      <c r="AH199" s="723"/>
      <c r="AI199" s="723"/>
      <c r="AJ199" s="723"/>
      <c r="AK199" s="723"/>
      <c r="AL199" s="723"/>
      <c r="AM199" s="721"/>
      <c r="AN199" s="721"/>
      <c r="AO199" s="723"/>
      <c r="AP199" s="721"/>
      <c r="AQ199" s="723"/>
      <c r="AR199" s="721"/>
      <c r="AS199" s="723"/>
      <c r="AT199" s="721"/>
      <c r="AU199" s="723"/>
      <c r="AV199" s="721"/>
      <c r="AW199" s="721"/>
      <c r="AX199" s="721"/>
      <c r="AY199" s="721"/>
      <c r="AZ199" s="721"/>
      <c r="BA199" s="721"/>
      <c r="BB199" s="721"/>
      <c r="BC199" s="721"/>
      <c r="BD199" s="721"/>
      <c r="BE199" s="721"/>
      <c r="BF199" s="721"/>
      <c r="BG199" s="721"/>
      <c r="BH199" s="721"/>
      <c r="BI199" s="721"/>
      <c r="BJ199" s="721"/>
      <c r="BK199" s="721"/>
      <c r="BL199" s="721"/>
      <c r="BM199" s="721"/>
      <c r="BN199" s="721"/>
      <c r="BO199" s="721"/>
      <c r="BP199" s="721"/>
      <c r="BQ199" s="721"/>
      <c r="BR199" s="721"/>
      <c r="BS199" s="721"/>
      <c r="BT199" s="721"/>
      <c r="BU199" s="721"/>
      <c r="BV199" s="721"/>
      <c r="BW199" s="721"/>
      <c r="BX199" s="721"/>
      <c r="BY199" s="721"/>
      <c r="BZ199" s="721"/>
      <c r="CA199" s="721"/>
      <c r="CB199" s="721"/>
      <c r="CC199" s="721"/>
      <c r="CD199" s="721"/>
      <c r="CE199" s="721"/>
      <c r="CF199" s="721"/>
      <c r="CG199" s="721"/>
      <c r="CH199" s="721"/>
      <c r="CI199" s="721"/>
      <c r="CJ199" s="721"/>
      <c r="CK199" s="721"/>
      <c r="CL199" s="721"/>
      <c r="CM199" s="721"/>
      <c r="CN199" s="721"/>
      <c r="CO199" s="721"/>
      <c r="CP199" s="721"/>
      <c r="CQ199" s="721"/>
      <c r="CR199" s="721"/>
      <c r="CS199" s="721"/>
      <c r="CT199" s="721"/>
      <c r="CU199" s="721"/>
      <c r="CV199" s="721"/>
      <c r="CW199" s="721"/>
      <c r="CX199" s="721"/>
    </row>
    <row r="200" spans="1:102" ht="12" customHeight="1" x14ac:dyDescent="0.2">
      <c r="A200" s="721"/>
      <c r="B200" s="721"/>
      <c r="C200" s="721"/>
      <c r="D200" s="721"/>
      <c r="E200" s="721"/>
      <c r="F200" s="721"/>
      <c r="G200" s="721"/>
      <c r="H200" s="721"/>
      <c r="I200" s="721"/>
      <c r="J200" s="721"/>
      <c r="K200" s="721"/>
      <c r="L200" s="721"/>
      <c r="M200" s="721"/>
      <c r="N200" s="721"/>
      <c r="O200" s="721"/>
      <c r="P200" s="721"/>
      <c r="Q200" s="721"/>
      <c r="R200" s="721"/>
      <c r="S200" s="721"/>
      <c r="T200" s="721"/>
      <c r="U200" s="721"/>
      <c r="V200" s="721"/>
      <c r="W200" s="204"/>
      <c r="X200" s="723"/>
      <c r="Y200" s="723"/>
      <c r="Z200" s="723"/>
      <c r="AA200" s="723"/>
      <c r="AB200" s="723"/>
      <c r="AC200" s="723"/>
      <c r="AD200" s="723"/>
      <c r="AE200" s="723"/>
      <c r="AF200" s="723"/>
      <c r="AG200" s="723"/>
      <c r="AH200" s="723"/>
      <c r="AI200" s="723"/>
      <c r="AJ200" s="723"/>
      <c r="AK200" s="723"/>
      <c r="AL200" s="723"/>
      <c r="AM200" s="721"/>
      <c r="AN200" s="721"/>
      <c r="AO200" s="723"/>
      <c r="AP200" s="721"/>
      <c r="AQ200" s="723"/>
      <c r="AR200" s="721"/>
      <c r="AS200" s="723"/>
      <c r="AT200" s="721"/>
      <c r="AU200" s="723"/>
      <c r="AV200" s="721"/>
      <c r="AW200" s="721"/>
      <c r="AX200" s="721"/>
      <c r="AY200" s="721"/>
      <c r="AZ200" s="721"/>
      <c r="BA200" s="721"/>
      <c r="BB200" s="721"/>
      <c r="BC200" s="721"/>
      <c r="BD200" s="721"/>
      <c r="BE200" s="721"/>
      <c r="BF200" s="721"/>
      <c r="BG200" s="721"/>
      <c r="BH200" s="721"/>
      <c r="BI200" s="721"/>
      <c r="BJ200" s="721"/>
      <c r="BK200" s="721"/>
      <c r="BL200" s="721"/>
      <c r="BM200" s="721"/>
      <c r="BN200" s="721"/>
      <c r="BO200" s="721"/>
      <c r="BP200" s="721"/>
      <c r="BQ200" s="721"/>
      <c r="BR200" s="721"/>
      <c r="BS200" s="721"/>
      <c r="BT200" s="721"/>
      <c r="BU200" s="721"/>
      <c r="BV200" s="721"/>
      <c r="BW200" s="721"/>
      <c r="BX200" s="721"/>
      <c r="BY200" s="721"/>
      <c r="BZ200" s="721"/>
      <c r="CA200" s="721"/>
      <c r="CB200" s="721"/>
      <c r="CC200" s="721"/>
      <c r="CD200" s="721"/>
      <c r="CE200" s="721"/>
      <c r="CF200" s="721"/>
      <c r="CG200" s="721"/>
      <c r="CH200" s="721"/>
      <c r="CI200" s="721"/>
      <c r="CJ200" s="721"/>
      <c r="CK200" s="721"/>
      <c r="CL200" s="721"/>
      <c r="CM200" s="721"/>
      <c r="CN200" s="721"/>
      <c r="CO200" s="721"/>
      <c r="CP200" s="721"/>
      <c r="CQ200" s="721"/>
      <c r="CR200" s="721"/>
      <c r="CS200" s="721"/>
      <c r="CT200" s="721"/>
      <c r="CU200" s="721"/>
      <c r="CV200" s="721"/>
      <c r="CW200" s="721"/>
      <c r="CX200" s="721"/>
    </row>
    <row r="201" spans="1:102" ht="12" customHeight="1" x14ac:dyDescent="0.2">
      <c r="A201" s="721"/>
      <c r="B201" s="721"/>
      <c r="C201" s="721"/>
      <c r="D201" s="721"/>
      <c r="E201" s="721"/>
      <c r="F201" s="721"/>
      <c r="G201" s="721"/>
      <c r="H201" s="721"/>
      <c r="I201" s="721"/>
      <c r="J201" s="721"/>
      <c r="K201" s="721"/>
      <c r="L201" s="721"/>
      <c r="M201" s="721"/>
      <c r="N201" s="721"/>
      <c r="O201" s="721"/>
      <c r="P201" s="721"/>
      <c r="Q201" s="721"/>
      <c r="R201" s="721"/>
      <c r="S201" s="721"/>
      <c r="T201" s="721"/>
      <c r="U201" s="721"/>
      <c r="V201" s="721"/>
      <c r="W201" s="204"/>
      <c r="X201" s="723"/>
      <c r="Y201" s="723"/>
      <c r="Z201" s="723"/>
      <c r="AA201" s="723"/>
      <c r="AB201" s="723"/>
      <c r="AC201" s="723"/>
      <c r="AD201" s="723"/>
      <c r="AE201" s="723"/>
      <c r="AF201" s="723"/>
      <c r="AG201" s="723"/>
      <c r="AH201" s="723"/>
      <c r="AI201" s="723"/>
      <c r="AJ201" s="723"/>
      <c r="AK201" s="723"/>
      <c r="AL201" s="723"/>
      <c r="AM201" s="721"/>
      <c r="AN201" s="721"/>
      <c r="AO201" s="723"/>
      <c r="AP201" s="721"/>
      <c r="AQ201" s="723"/>
      <c r="AR201" s="721"/>
      <c r="AS201" s="723"/>
      <c r="AT201" s="721"/>
      <c r="AU201" s="723"/>
      <c r="AV201" s="721"/>
      <c r="AW201" s="721"/>
      <c r="AX201" s="721"/>
      <c r="AY201" s="721"/>
      <c r="AZ201" s="721"/>
      <c r="BA201" s="721"/>
      <c r="BB201" s="721"/>
      <c r="BC201" s="721"/>
      <c r="BD201" s="721"/>
      <c r="BE201" s="721"/>
      <c r="BF201" s="721"/>
      <c r="BG201" s="721"/>
      <c r="BH201" s="721"/>
      <c r="BI201" s="721"/>
      <c r="BJ201" s="721"/>
      <c r="BK201" s="721"/>
      <c r="BL201" s="721"/>
      <c r="BM201" s="721"/>
      <c r="BN201" s="721"/>
      <c r="BO201" s="721"/>
      <c r="BP201" s="721"/>
      <c r="BQ201" s="721"/>
      <c r="BR201" s="721"/>
      <c r="BS201" s="721"/>
      <c r="BT201" s="721"/>
      <c r="BU201" s="721"/>
      <c r="BV201" s="721"/>
      <c r="BW201" s="721"/>
      <c r="BX201" s="721"/>
      <c r="BY201" s="721"/>
      <c r="BZ201" s="721"/>
      <c r="CA201" s="721"/>
      <c r="CB201" s="721"/>
      <c r="CC201" s="721"/>
      <c r="CD201" s="721"/>
      <c r="CE201" s="721"/>
      <c r="CF201" s="721"/>
      <c r="CG201" s="721"/>
      <c r="CH201" s="721"/>
      <c r="CI201" s="721"/>
      <c r="CJ201" s="721"/>
      <c r="CK201" s="721"/>
      <c r="CL201" s="721"/>
      <c r="CM201" s="721"/>
      <c r="CN201" s="721"/>
      <c r="CO201" s="721"/>
      <c r="CP201" s="721"/>
      <c r="CQ201" s="721"/>
      <c r="CR201" s="721"/>
      <c r="CS201" s="721"/>
      <c r="CT201" s="721"/>
      <c r="CU201" s="721"/>
      <c r="CV201" s="721"/>
      <c r="CW201" s="721"/>
      <c r="CX201" s="721"/>
    </row>
    <row r="202" spans="1:102" ht="12" customHeight="1" x14ac:dyDescent="0.2">
      <c r="A202" s="721"/>
      <c r="B202" s="721"/>
      <c r="C202" s="721"/>
      <c r="D202" s="721"/>
      <c r="E202" s="721"/>
      <c r="F202" s="721"/>
      <c r="G202" s="721"/>
      <c r="H202" s="721"/>
      <c r="I202" s="721"/>
      <c r="J202" s="721"/>
      <c r="K202" s="721"/>
      <c r="L202" s="721"/>
      <c r="M202" s="721"/>
      <c r="N202" s="721"/>
      <c r="O202" s="721"/>
      <c r="P202" s="721"/>
      <c r="Q202" s="721"/>
      <c r="R202" s="721"/>
      <c r="S202" s="721"/>
      <c r="T202" s="721"/>
      <c r="U202" s="721"/>
      <c r="V202" s="721"/>
      <c r="W202" s="204"/>
      <c r="X202" s="723"/>
      <c r="Y202" s="723"/>
      <c r="Z202" s="723"/>
      <c r="AA202" s="723"/>
      <c r="AB202" s="723"/>
      <c r="AC202" s="723"/>
      <c r="AD202" s="723"/>
      <c r="AE202" s="723"/>
      <c r="AF202" s="723"/>
      <c r="AG202" s="723"/>
      <c r="AH202" s="723"/>
      <c r="AI202" s="723"/>
      <c r="AJ202" s="723"/>
      <c r="AK202" s="723"/>
      <c r="AL202" s="723"/>
      <c r="AM202" s="721"/>
      <c r="AN202" s="721"/>
      <c r="AO202" s="723"/>
      <c r="AP202" s="721"/>
      <c r="AQ202" s="723"/>
      <c r="AR202" s="721"/>
      <c r="AS202" s="723"/>
      <c r="AT202" s="721"/>
      <c r="AU202" s="723"/>
      <c r="AV202" s="721"/>
      <c r="AW202" s="721"/>
      <c r="AX202" s="721"/>
      <c r="AY202" s="721"/>
      <c r="AZ202" s="721"/>
      <c r="BA202" s="721"/>
      <c r="BB202" s="721"/>
      <c r="BC202" s="721"/>
      <c r="BD202" s="721"/>
      <c r="BE202" s="721"/>
      <c r="BF202" s="721"/>
      <c r="BG202" s="721"/>
      <c r="BH202" s="721"/>
      <c r="BI202" s="721"/>
      <c r="BJ202" s="721"/>
      <c r="BK202" s="721"/>
      <c r="BL202" s="721"/>
      <c r="BM202" s="721"/>
      <c r="BN202" s="721"/>
      <c r="BO202" s="721"/>
      <c r="BP202" s="721"/>
      <c r="BQ202" s="721"/>
      <c r="BR202" s="721"/>
      <c r="BS202" s="721"/>
      <c r="BT202" s="721"/>
      <c r="BU202" s="721"/>
      <c r="BV202" s="721"/>
      <c r="BW202" s="721"/>
      <c r="BX202" s="721"/>
      <c r="BY202" s="721"/>
      <c r="BZ202" s="721"/>
      <c r="CA202" s="721"/>
      <c r="CB202" s="721"/>
      <c r="CC202" s="721"/>
      <c r="CD202" s="721"/>
      <c r="CE202" s="721"/>
      <c r="CF202" s="721"/>
      <c r="CG202" s="721"/>
      <c r="CH202" s="721"/>
      <c r="CI202" s="721"/>
      <c r="CJ202" s="721"/>
      <c r="CK202" s="721"/>
      <c r="CL202" s="721"/>
      <c r="CM202" s="721"/>
      <c r="CN202" s="721"/>
      <c r="CO202" s="721"/>
      <c r="CP202" s="721"/>
      <c r="CQ202" s="721"/>
      <c r="CR202" s="721"/>
      <c r="CS202" s="721"/>
      <c r="CT202" s="721"/>
      <c r="CU202" s="721"/>
      <c r="CV202" s="721"/>
      <c r="CW202" s="721"/>
      <c r="CX202" s="721"/>
    </row>
    <row r="203" spans="1:102" ht="12" customHeight="1" x14ac:dyDescent="0.2">
      <c r="A203" s="721"/>
      <c r="B203" s="721"/>
      <c r="C203" s="721"/>
      <c r="D203" s="721"/>
      <c r="E203" s="721"/>
      <c r="F203" s="721"/>
      <c r="G203" s="721"/>
      <c r="H203" s="721"/>
      <c r="I203" s="721"/>
      <c r="J203" s="721"/>
      <c r="K203" s="721"/>
      <c r="L203" s="721"/>
      <c r="M203" s="721"/>
      <c r="N203" s="721"/>
      <c r="O203" s="721"/>
      <c r="P203" s="721"/>
      <c r="Q203" s="721"/>
      <c r="R203" s="721"/>
      <c r="S203" s="721"/>
      <c r="T203" s="721"/>
      <c r="U203" s="721"/>
      <c r="V203" s="721"/>
      <c r="W203" s="204"/>
      <c r="X203" s="723"/>
      <c r="Y203" s="723"/>
      <c r="Z203" s="723"/>
      <c r="AA203" s="723"/>
      <c r="AB203" s="723"/>
      <c r="AC203" s="723"/>
      <c r="AD203" s="723"/>
      <c r="AE203" s="723"/>
      <c r="AF203" s="723"/>
      <c r="AG203" s="723"/>
      <c r="AH203" s="723"/>
      <c r="AI203" s="723"/>
      <c r="AJ203" s="723"/>
      <c r="AK203" s="723"/>
      <c r="AL203" s="723"/>
      <c r="AM203" s="721"/>
      <c r="AN203" s="721"/>
      <c r="AO203" s="723"/>
      <c r="AP203" s="721"/>
      <c r="AQ203" s="723"/>
      <c r="AR203" s="721"/>
      <c r="AS203" s="723"/>
      <c r="AT203" s="721"/>
      <c r="AU203" s="723"/>
      <c r="AV203" s="721"/>
      <c r="AW203" s="721"/>
      <c r="AX203" s="721"/>
      <c r="AY203" s="721"/>
      <c r="AZ203" s="721"/>
      <c r="BA203" s="721"/>
      <c r="BB203" s="721"/>
      <c r="BC203" s="721"/>
      <c r="BD203" s="721"/>
      <c r="BE203" s="721"/>
      <c r="BF203" s="721"/>
      <c r="BG203" s="721"/>
      <c r="BH203" s="721"/>
      <c r="BI203" s="721"/>
      <c r="BJ203" s="721"/>
      <c r="BK203" s="721"/>
      <c r="BL203" s="721"/>
      <c r="BM203" s="721"/>
      <c r="BN203" s="721"/>
      <c r="BO203" s="721"/>
      <c r="BP203" s="721"/>
      <c r="BQ203" s="721"/>
      <c r="BR203" s="721"/>
      <c r="BS203" s="721"/>
      <c r="BT203" s="721"/>
      <c r="BU203" s="721"/>
      <c r="BV203" s="721"/>
      <c r="BW203" s="721"/>
      <c r="BX203" s="721"/>
      <c r="BY203" s="721"/>
      <c r="BZ203" s="721"/>
      <c r="CA203" s="721"/>
      <c r="CB203" s="721"/>
      <c r="CC203" s="721"/>
      <c r="CD203" s="721"/>
      <c r="CE203" s="721"/>
      <c r="CF203" s="721"/>
      <c r="CG203" s="721"/>
      <c r="CH203" s="721"/>
      <c r="CI203" s="721"/>
      <c r="CJ203" s="721"/>
      <c r="CK203" s="721"/>
      <c r="CL203" s="721"/>
      <c r="CM203" s="721"/>
      <c r="CN203" s="721"/>
      <c r="CO203" s="721"/>
      <c r="CP203" s="721"/>
      <c r="CQ203" s="721"/>
      <c r="CR203" s="721"/>
      <c r="CS203" s="721"/>
      <c r="CT203" s="721"/>
      <c r="CU203" s="721"/>
      <c r="CV203" s="721"/>
      <c r="CW203" s="721"/>
      <c r="CX203" s="721"/>
    </row>
    <row r="204" spans="1:102" ht="12" customHeight="1" x14ac:dyDescent="0.2">
      <c r="A204" s="721"/>
      <c r="B204" s="721"/>
      <c r="C204" s="721"/>
      <c r="D204" s="721"/>
      <c r="E204" s="721"/>
      <c r="F204" s="721"/>
      <c r="G204" s="721"/>
      <c r="H204" s="721"/>
      <c r="I204" s="721"/>
      <c r="J204" s="721"/>
      <c r="K204" s="721"/>
      <c r="L204" s="721"/>
      <c r="M204" s="721"/>
      <c r="N204" s="721"/>
      <c r="O204" s="721"/>
      <c r="P204" s="721"/>
      <c r="Q204" s="721"/>
      <c r="R204" s="721"/>
      <c r="S204" s="721"/>
      <c r="T204" s="721"/>
      <c r="U204" s="721"/>
      <c r="V204" s="721"/>
      <c r="W204" s="204"/>
      <c r="X204" s="723"/>
      <c r="Y204" s="723"/>
      <c r="Z204" s="723"/>
      <c r="AA204" s="723"/>
      <c r="AB204" s="723"/>
      <c r="AC204" s="723"/>
      <c r="AD204" s="723"/>
      <c r="AE204" s="723"/>
      <c r="AF204" s="723"/>
      <c r="AG204" s="723"/>
      <c r="AH204" s="723"/>
      <c r="AI204" s="723"/>
      <c r="AJ204" s="723"/>
      <c r="AK204" s="723"/>
      <c r="AL204" s="723"/>
      <c r="AM204" s="721"/>
      <c r="AN204" s="721"/>
      <c r="AO204" s="723"/>
      <c r="AP204" s="721"/>
      <c r="AQ204" s="723"/>
      <c r="AR204" s="721"/>
      <c r="AS204" s="723"/>
      <c r="AT204" s="721"/>
      <c r="AU204" s="723"/>
      <c r="AV204" s="721"/>
      <c r="AW204" s="721"/>
      <c r="AX204" s="721"/>
      <c r="AY204" s="721"/>
      <c r="AZ204" s="721"/>
      <c r="BA204" s="721"/>
      <c r="BB204" s="721"/>
      <c r="BC204" s="721"/>
      <c r="BD204" s="721"/>
      <c r="BE204" s="721"/>
      <c r="BF204" s="721"/>
      <c r="BG204" s="721"/>
      <c r="BH204" s="721"/>
      <c r="BI204" s="721"/>
      <c r="BJ204" s="721"/>
      <c r="BK204" s="721"/>
      <c r="BL204" s="721"/>
      <c r="BM204" s="721"/>
      <c r="BN204" s="721"/>
      <c r="BO204" s="721"/>
      <c r="BP204" s="721"/>
      <c r="BQ204" s="721"/>
      <c r="BR204" s="721"/>
      <c r="BS204" s="721"/>
      <c r="BT204" s="721"/>
      <c r="BU204" s="721"/>
      <c r="BV204" s="721"/>
      <c r="BW204" s="721"/>
      <c r="BX204" s="721"/>
      <c r="BY204" s="721"/>
      <c r="BZ204" s="721"/>
      <c r="CA204" s="721"/>
      <c r="CB204" s="721"/>
      <c r="CC204" s="721"/>
      <c r="CD204" s="721"/>
      <c r="CE204" s="721"/>
      <c r="CF204" s="721"/>
      <c r="CG204" s="721"/>
      <c r="CH204" s="721"/>
      <c r="CI204" s="721"/>
      <c r="CJ204" s="721"/>
      <c r="CK204" s="721"/>
      <c r="CL204" s="721"/>
      <c r="CM204" s="721"/>
      <c r="CN204" s="721"/>
      <c r="CO204" s="721"/>
      <c r="CP204" s="721"/>
      <c r="CQ204" s="721"/>
      <c r="CR204" s="721"/>
      <c r="CS204" s="721"/>
      <c r="CT204" s="721"/>
      <c r="CU204" s="721"/>
      <c r="CV204" s="721"/>
      <c r="CW204" s="721"/>
      <c r="CX204" s="721"/>
    </row>
    <row r="205" spans="1:102" ht="12" customHeight="1" x14ac:dyDescent="0.2">
      <c r="A205" s="721"/>
      <c r="B205" s="721"/>
      <c r="C205" s="721"/>
      <c r="D205" s="721"/>
      <c r="E205" s="721"/>
      <c r="F205" s="721"/>
      <c r="G205" s="721"/>
      <c r="H205" s="721"/>
      <c r="I205" s="721"/>
      <c r="J205" s="721"/>
      <c r="K205" s="721"/>
      <c r="L205" s="721"/>
      <c r="M205" s="721"/>
      <c r="N205" s="721"/>
      <c r="O205" s="721"/>
      <c r="P205" s="721"/>
      <c r="Q205" s="721"/>
      <c r="R205" s="721"/>
      <c r="S205" s="721"/>
      <c r="T205" s="721"/>
      <c r="U205" s="721"/>
      <c r="V205" s="721"/>
      <c r="W205" s="204"/>
      <c r="X205" s="723"/>
      <c r="Y205" s="723"/>
      <c r="Z205" s="723"/>
      <c r="AA205" s="723"/>
      <c r="AB205" s="723"/>
      <c r="AC205" s="723"/>
      <c r="AD205" s="723"/>
      <c r="AE205" s="723"/>
      <c r="AF205" s="723"/>
      <c r="AG205" s="723"/>
      <c r="AH205" s="723"/>
      <c r="AI205" s="723"/>
      <c r="AJ205" s="723"/>
      <c r="AK205" s="723"/>
      <c r="AL205" s="723"/>
      <c r="AM205" s="721"/>
      <c r="AN205" s="721"/>
      <c r="AO205" s="723"/>
      <c r="AP205" s="721"/>
      <c r="AQ205" s="723"/>
      <c r="AR205" s="721"/>
      <c r="AS205" s="723"/>
      <c r="AT205" s="721"/>
      <c r="AU205" s="723"/>
      <c r="AV205" s="721"/>
      <c r="AW205" s="721"/>
      <c r="AX205" s="721"/>
      <c r="AY205" s="721"/>
      <c r="AZ205" s="721"/>
      <c r="BA205" s="721"/>
      <c r="BB205" s="721"/>
      <c r="BC205" s="721"/>
      <c r="BD205" s="721"/>
      <c r="BE205" s="721"/>
      <c r="BF205" s="721"/>
      <c r="BG205" s="721"/>
      <c r="BH205" s="721"/>
      <c r="BI205" s="721"/>
      <c r="BJ205" s="721"/>
      <c r="BK205" s="721"/>
      <c r="BL205" s="721"/>
      <c r="BM205" s="721"/>
      <c r="BN205" s="721"/>
      <c r="BO205" s="721"/>
      <c r="BP205" s="721"/>
      <c r="BQ205" s="721"/>
      <c r="BR205" s="721"/>
      <c r="BS205" s="721"/>
      <c r="BT205" s="721"/>
      <c r="BU205" s="721"/>
      <c r="BV205" s="721"/>
      <c r="BW205" s="721"/>
      <c r="BX205" s="721"/>
      <c r="BY205" s="721"/>
      <c r="BZ205" s="721"/>
      <c r="CA205" s="721"/>
      <c r="CB205" s="721"/>
      <c r="CC205" s="721"/>
      <c r="CD205" s="721"/>
      <c r="CE205" s="721"/>
      <c r="CF205" s="721"/>
      <c r="CG205" s="721"/>
      <c r="CH205" s="721"/>
      <c r="CI205" s="721"/>
      <c r="CJ205" s="721"/>
      <c r="CK205" s="721"/>
      <c r="CL205" s="721"/>
      <c r="CM205" s="721"/>
      <c r="CN205" s="721"/>
      <c r="CO205" s="721"/>
      <c r="CP205" s="721"/>
      <c r="CQ205" s="721"/>
      <c r="CR205" s="721"/>
      <c r="CS205" s="721"/>
      <c r="CT205" s="721"/>
      <c r="CU205" s="721"/>
      <c r="CV205" s="721"/>
      <c r="CW205" s="721"/>
      <c r="CX205" s="721"/>
    </row>
    <row r="206" spans="1:102" ht="12" customHeight="1" x14ac:dyDescent="0.2">
      <c r="A206" s="721"/>
      <c r="B206" s="721"/>
      <c r="C206" s="721"/>
      <c r="D206" s="721"/>
      <c r="E206" s="721"/>
      <c r="F206" s="721"/>
      <c r="G206" s="721"/>
      <c r="H206" s="721"/>
      <c r="I206" s="721"/>
      <c r="J206" s="721"/>
      <c r="K206" s="721"/>
      <c r="L206" s="721"/>
      <c r="M206" s="721"/>
      <c r="N206" s="721"/>
      <c r="O206" s="721"/>
      <c r="P206" s="721"/>
      <c r="Q206" s="721"/>
      <c r="R206" s="721"/>
      <c r="S206" s="721"/>
      <c r="T206" s="721"/>
      <c r="U206" s="721"/>
      <c r="V206" s="721"/>
      <c r="W206" s="204"/>
      <c r="X206" s="723"/>
      <c r="Y206" s="723"/>
      <c r="Z206" s="723"/>
      <c r="AA206" s="723"/>
      <c r="AB206" s="723"/>
      <c r="AC206" s="723"/>
      <c r="AD206" s="723"/>
      <c r="AE206" s="723"/>
      <c r="AF206" s="723"/>
      <c r="AG206" s="723"/>
      <c r="AH206" s="723"/>
      <c r="AI206" s="723"/>
      <c r="AJ206" s="723"/>
      <c r="AK206" s="723"/>
      <c r="AL206" s="723"/>
      <c r="AM206" s="721"/>
      <c r="AN206" s="721"/>
      <c r="AO206" s="723"/>
      <c r="AP206" s="721"/>
      <c r="AQ206" s="723"/>
      <c r="AR206" s="721"/>
      <c r="AS206" s="723"/>
      <c r="AT206" s="721"/>
      <c r="AU206" s="723"/>
      <c r="AV206" s="721"/>
      <c r="AW206" s="721"/>
      <c r="AX206" s="721"/>
      <c r="AY206" s="721"/>
      <c r="AZ206" s="721"/>
      <c r="BA206" s="721"/>
      <c r="BB206" s="721"/>
      <c r="BC206" s="721"/>
      <c r="BD206" s="721"/>
      <c r="BE206" s="721"/>
      <c r="BF206" s="721"/>
      <c r="BG206" s="721"/>
      <c r="BH206" s="721"/>
      <c r="BI206" s="721"/>
      <c r="BJ206" s="721"/>
      <c r="BK206" s="721"/>
      <c r="BL206" s="721"/>
      <c r="BM206" s="721"/>
      <c r="BN206" s="721"/>
      <c r="BO206" s="721"/>
      <c r="BP206" s="721"/>
      <c r="BQ206" s="721"/>
      <c r="BR206" s="721"/>
      <c r="BS206" s="721"/>
      <c r="BT206" s="721"/>
      <c r="BU206" s="721"/>
      <c r="BV206" s="721"/>
      <c r="BW206" s="721"/>
      <c r="BX206" s="721"/>
      <c r="BY206" s="721"/>
      <c r="BZ206" s="721"/>
      <c r="CA206" s="721"/>
      <c r="CB206" s="721"/>
      <c r="CC206" s="721"/>
      <c r="CD206" s="721"/>
      <c r="CE206" s="721"/>
      <c r="CF206" s="721"/>
      <c r="CG206" s="721"/>
      <c r="CH206" s="721"/>
      <c r="CI206" s="721"/>
      <c r="CJ206" s="721"/>
      <c r="CK206" s="721"/>
      <c r="CL206" s="721"/>
      <c r="CM206" s="721"/>
      <c r="CN206" s="721"/>
      <c r="CO206" s="721"/>
      <c r="CP206" s="721"/>
      <c r="CQ206" s="721"/>
      <c r="CR206" s="721"/>
      <c r="CS206" s="721"/>
      <c r="CT206" s="721"/>
      <c r="CU206" s="721"/>
      <c r="CV206" s="721"/>
      <c r="CW206" s="721"/>
      <c r="CX206" s="721"/>
    </row>
    <row r="207" spans="1:102" ht="12" customHeight="1" x14ac:dyDescent="0.2">
      <c r="A207" s="721"/>
      <c r="B207" s="721"/>
      <c r="C207" s="721"/>
      <c r="D207" s="721"/>
      <c r="E207" s="721"/>
      <c r="F207" s="721"/>
      <c r="G207" s="721"/>
      <c r="H207" s="721"/>
      <c r="I207" s="721"/>
      <c r="J207" s="721"/>
      <c r="K207" s="721"/>
      <c r="L207" s="721"/>
      <c r="M207" s="721"/>
      <c r="N207" s="721"/>
      <c r="O207" s="721"/>
      <c r="P207" s="721"/>
      <c r="Q207" s="721"/>
      <c r="R207" s="721"/>
      <c r="S207" s="721"/>
      <c r="T207" s="721"/>
      <c r="U207" s="721"/>
      <c r="V207" s="721"/>
      <c r="W207" s="204"/>
      <c r="X207" s="723"/>
      <c r="Y207" s="723"/>
      <c r="Z207" s="723"/>
      <c r="AA207" s="723"/>
      <c r="AB207" s="723"/>
      <c r="AC207" s="723"/>
      <c r="AD207" s="723"/>
      <c r="AE207" s="723"/>
      <c r="AF207" s="723"/>
      <c r="AG207" s="723"/>
      <c r="AH207" s="723"/>
      <c r="AI207" s="723"/>
      <c r="AJ207" s="723"/>
      <c r="AK207" s="723"/>
      <c r="AL207" s="723"/>
      <c r="AM207" s="721"/>
      <c r="AN207" s="721"/>
      <c r="AO207" s="723"/>
      <c r="AP207" s="721"/>
      <c r="AQ207" s="723"/>
      <c r="AR207" s="721"/>
      <c r="AS207" s="723"/>
      <c r="AT207" s="721"/>
      <c r="AU207" s="723"/>
      <c r="AV207" s="721"/>
      <c r="AW207" s="721"/>
      <c r="AX207" s="721"/>
      <c r="AY207" s="721"/>
      <c r="AZ207" s="721"/>
      <c r="BA207" s="721"/>
      <c r="BB207" s="721"/>
      <c r="BC207" s="721"/>
      <c r="BD207" s="721"/>
      <c r="BE207" s="721"/>
      <c r="BF207" s="721"/>
      <c r="BG207" s="721"/>
      <c r="BH207" s="721"/>
      <c r="BI207" s="721"/>
      <c r="BJ207" s="721"/>
      <c r="BK207" s="721"/>
      <c r="BL207" s="721"/>
      <c r="BM207" s="721"/>
      <c r="BN207" s="721"/>
      <c r="BO207" s="721"/>
      <c r="BP207" s="721"/>
      <c r="BQ207" s="721"/>
      <c r="BR207" s="721"/>
      <c r="BS207" s="721"/>
      <c r="BT207" s="721"/>
      <c r="BU207" s="721"/>
      <c r="BV207" s="721"/>
      <c r="BW207" s="721"/>
      <c r="BX207" s="721"/>
      <c r="BY207" s="721"/>
      <c r="BZ207" s="721"/>
      <c r="CA207" s="721"/>
      <c r="CB207" s="721"/>
      <c r="CC207" s="721"/>
      <c r="CD207" s="721"/>
      <c r="CE207" s="721"/>
      <c r="CF207" s="721"/>
      <c r="CG207" s="721"/>
      <c r="CH207" s="721"/>
      <c r="CI207" s="721"/>
      <c r="CJ207" s="721"/>
      <c r="CK207" s="721"/>
      <c r="CL207" s="721"/>
      <c r="CM207" s="721"/>
      <c r="CN207" s="721"/>
      <c r="CO207" s="721"/>
      <c r="CP207" s="721"/>
      <c r="CQ207" s="721"/>
      <c r="CR207" s="721"/>
      <c r="CS207" s="721"/>
      <c r="CT207" s="721"/>
      <c r="CU207" s="721"/>
      <c r="CV207" s="721"/>
      <c r="CW207" s="721"/>
      <c r="CX207" s="721"/>
    </row>
    <row r="208" spans="1:102" ht="12" customHeight="1" x14ac:dyDescent="0.2">
      <c r="A208" s="721"/>
      <c r="B208" s="721"/>
      <c r="C208" s="721"/>
      <c r="D208" s="721"/>
      <c r="E208" s="721"/>
      <c r="F208" s="721"/>
      <c r="G208" s="721"/>
      <c r="H208" s="721"/>
      <c r="I208" s="721"/>
      <c r="J208" s="721"/>
      <c r="K208" s="721"/>
      <c r="L208" s="721"/>
      <c r="M208" s="721"/>
      <c r="N208" s="721"/>
      <c r="O208" s="721"/>
      <c r="P208" s="721"/>
      <c r="Q208" s="721"/>
      <c r="R208" s="721"/>
      <c r="S208" s="721"/>
      <c r="T208" s="721"/>
      <c r="U208" s="721"/>
      <c r="V208" s="721"/>
      <c r="W208" s="204"/>
      <c r="X208" s="723"/>
      <c r="Y208" s="723"/>
      <c r="Z208" s="723"/>
      <c r="AA208" s="723"/>
      <c r="AB208" s="723"/>
      <c r="AC208" s="723"/>
      <c r="AD208" s="723"/>
      <c r="AE208" s="723"/>
      <c r="AF208" s="723"/>
      <c r="AG208" s="723"/>
      <c r="AH208" s="723"/>
      <c r="AI208" s="723"/>
      <c r="AJ208" s="723"/>
      <c r="AK208" s="723"/>
      <c r="AL208" s="723"/>
      <c r="AM208" s="721"/>
      <c r="AN208" s="721"/>
      <c r="AO208" s="723"/>
      <c r="AP208" s="721"/>
      <c r="AQ208" s="723"/>
      <c r="AR208" s="721"/>
      <c r="AS208" s="723"/>
      <c r="AT208" s="721"/>
      <c r="AU208" s="723"/>
      <c r="AV208" s="721"/>
      <c r="AW208" s="721"/>
      <c r="AX208" s="721"/>
      <c r="AY208" s="721"/>
      <c r="AZ208" s="721"/>
      <c r="BA208" s="721"/>
      <c r="BB208" s="721"/>
      <c r="BC208" s="721"/>
      <c r="BD208" s="721"/>
      <c r="BE208" s="721"/>
      <c r="BF208" s="721"/>
      <c r="BG208" s="721"/>
      <c r="BH208" s="721"/>
      <c r="BI208" s="721"/>
      <c r="BJ208" s="721"/>
      <c r="BK208" s="721"/>
      <c r="BL208" s="721"/>
      <c r="BM208" s="721"/>
      <c r="BN208" s="721"/>
      <c r="BO208" s="721"/>
      <c r="BP208" s="721"/>
      <c r="BQ208" s="721"/>
      <c r="BR208" s="721"/>
      <c r="BS208" s="721"/>
      <c r="BT208" s="721"/>
      <c r="BU208" s="721"/>
      <c r="BV208" s="721"/>
      <c r="BW208" s="721"/>
      <c r="BX208" s="721"/>
      <c r="BY208" s="721"/>
      <c r="BZ208" s="721"/>
      <c r="CA208" s="721"/>
      <c r="CB208" s="721"/>
      <c r="CC208" s="721"/>
      <c r="CD208" s="721"/>
      <c r="CE208" s="721"/>
      <c r="CF208" s="721"/>
      <c r="CG208" s="721"/>
      <c r="CH208" s="721"/>
      <c r="CI208" s="721"/>
      <c r="CJ208" s="721"/>
      <c r="CK208" s="721"/>
      <c r="CL208" s="721"/>
      <c r="CM208" s="721"/>
      <c r="CN208" s="721"/>
      <c r="CO208" s="721"/>
      <c r="CP208" s="721"/>
      <c r="CQ208" s="721"/>
      <c r="CR208" s="721"/>
      <c r="CS208" s="721"/>
      <c r="CT208" s="721"/>
      <c r="CU208" s="721"/>
      <c r="CV208" s="721"/>
      <c r="CW208" s="721"/>
      <c r="CX208" s="721"/>
    </row>
    <row r="209" spans="1:102" ht="12" customHeight="1" x14ac:dyDescent="0.2">
      <c r="A209" s="721"/>
      <c r="B209" s="721"/>
      <c r="C209" s="721"/>
      <c r="D209" s="721"/>
      <c r="E209" s="721"/>
      <c r="F209" s="721"/>
      <c r="G209" s="721"/>
      <c r="H209" s="721"/>
      <c r="I209" s="721"/>
      <c r="J209" s="721"/>
      <c r="K209" s="721"/>
      <c r="L209" s="721"/>
      <c r="M209" s="721"/>
      <c r="N209" s="721"/>
      <c r="O209" s="721"/>
      <c r="P209" s="721"/>
      <c r="Q209" s="721"/>
      <c r="R209" s="721"/>
      <c r="S209" s="721"/>
      <c r="T209" s="721"/>
      <c r="U209" s="721"/>
      <c r="V209" s="721"/>
      <c r="W209" s="204"/>
      <c r="X209" s="723"/>
      <c r="Y209" s="723"/>
      <c r="Z209" s="723"/>
      <c r="AA209" s="723"/>
      <c r="AB209" s="723"/>
      <c r="AC209" s="723"/>
      <c r="AD209" s="723"/>
      <c r="AE209" s="723"/>
      <c r="AF209" s="723"/>
      <c r="AG209" s="723"/>
      <c r="AH209" s="723"/>
      <c r="AI209" s="723"/>
      <c r="AJ209" s="723"/>
      <c r="AK209" s="723"/>
      <c r="AL209" s="723"/>
      <c r="AM209" s="721"/>
      <c r="AN209" s="721"/>
      <c r="AO209" s="723"/>
      <c r="AP209" s="721"/>
      <c r="AQ209" s="723"/>
      <c r="AR209" s="721"/>
      <c r="AS209" s="723"/>
      <c r="AT209" s="721"/>
      <c r="AU209" s="723"/>
      <c r="AV209" s="721"/>
      <c r="AW209" s="721"/>
      <c r="AX209" s="721"/>
      <c r="AY209" s="721"/>
      <c r="AZ209" s="721"/>
      <c r="BA209" s="721"/>
      <c r="BB209" s="721"/>
      <c r="BC209" s="721"/>
      <c r="BD209" s="721"/>
      <c r="BE209" s="721"/>
      <c r="BF209" s="721"/>
      <c r="BG209" s="721"/>
      <c r="BH209" s="721"/>
      <c r="BI209" s="721"/>
      <c r="BJ209" s="721"/>
      <c r="BK209" s="721"/>
      <c r="BL209" s="721"/>
      <c r="BM209" s="721"/>
      <c r="BN209" s="721"/>
      <c r="BO209" s="721"/>
      <c r="BP209" s="721"/>
      <c r="BQ209" s="721"/>
      <c r="BR209" s="721"/>
      <c r="BS209" s="721"/>
      <c r="BT209" s="721"/>
      <c r="BU209" s="721"/>
      <c r="BV209" s="721"/>
      <c r="BW209" s="721"/>
      <c r="BX209" s="721"/>
      <c r="BY209" s="721"/>
      <c r="BZ209" s="721"/>
      <c r="CA209" s="721"/>
      <c r="CB209" s="721"/>
      <c r="CC209" s="721"/>
      <c r="CD209" s="721"/>
      <c r="CE209" s="721"/>
      <c r="CF209" s="721"/>
      <c r="CG209" s="721"/>
      <c r="CH209" s="721"/>
      <c r="CI209" s="721"/>
      <c r="CJ209" s="721"/>
      <c r="CK209" s="721"/>
      <c r="CL209" s="721"/>
      <c r="CM209" s="721"/>
      <c r="CN209" s="721"/>
      <c r="CO209" s="721"/>
      <c r="CP209" s="721"/>
      <c r="CQ209" s="721"/>
      <c r="CR209" s="721"/>
      <c r="CS209" s="721"/>
      <c r="CT209" s="721"/>
      <c r="CU209" s="721"/>
      <c r="CV209" s="721"/>
      <c r="CW209" s="721"/>
      <c r="CX209" s="721"/>
    </row>
    <row r="210" spans="1:102" ht="12" customHeight="1" x14ac:dyDescent="0.2">
      <c r="A210" s="721"/>
      <c r="B210" s="721"/>
      <c r="C210" s="721"/>
      <c r="D210" s="721"/>
      <c r="E210" s="721"/>
      <c r="F210" s="721"/>
      <c r="G210" s="721"/>
      <c r="H210" s="721"/>
      <c r="I210" s="721"/>
      <c r="J210" s="721"/>
      <c r="K210" s="721"/>
      <c r="L210" s="721"/>
      <c r="M210" s="721"/>
      <c r="N210" s="721"/>
      <c r="O210" s="721"/>
      <c r="P210" s="721"/>
      <c r="Q210" s="721"/>
      <c r="R210" s="721"/>
      <c r="S210" s="721"/>
      <c r="T210" s="721"/>
      <c r="U210" s="721"/>
      <c r="V210" s="721"/>
      <c r="W210" s="204"/>
      <c r="X210" s="723"/>
      <c r="Y210" s="723"/>
      <c r="Z210" s="723"/>
      <c r="AA210" s="723"/>
      <c r="AB210" s="723"/>
      <c r="AC210" s="723"/>
      <c r="AD210" s="723"/>
      <c r="AE210" s="723"/>
      <c r="AF210" s="723"/>
      <c r="AG210" s="723"/>
      <c r="AH210" s="723"/>
      <c r="AI210" s="723"/>
      <c r="AJ210" s="723"/>
      <c r="AK210" s="723"/>
      <c r="AL210" s="723"/>
      <c r="AM210" s="721"/>
      <c r="AN210" s="721"/>
      <c r="AO210" s="723"/>
      <c r="AP210" s="721"/>
      <c r="AQ210" s="723"/>
      <c r="AR210" s="721"/>
      <c r="AS210" s="723"/>
      <c r="AT210" s="721"/>
      <c r="AU210" s="723"/>
      <c r="AV210" s="721"/>
      <c r="AW210" s="721"/>
      <c r="AX210" s="721"/>
      <c r="AY210" s="721"/>
      <c r="AZ210" s="721"/>
      <c r="BA210" s="721"/>
      <c r="BB210" s="721"/>
      <c r="BC210" s="721"/>
      <c r="BD210" s="721"/>
      <c r="BE210" s="721"/>
      <c r="BF210" s="721"/>
      <c r="BG210" s="721"/>
      <c r="BH210" s="721"/>
      <c r="BI210" s="721"/>
      <c r="BJ210" s="721"/>
      <c r="BK210" s="721"/>
      <c r="BL210" s="721"/>
      <c r="BM210" s="721"/>
      <c r="BN210" s="721"/>
      <c r="BO210" s="721"/>
      <c r="BP210" s="721"/>
      <c r="BQ210" s="721"/>
      <c r="BR210" s="721"/>
      <c r="BS210" s="721"/>
      <c r="BT210" s="721"/>
      <c r="BU210" s="721"/>
      <c r="BV210" s="721"/>
      <c r="BW210" s="721"/>
      <c r="BX210" s="721"/>
      <c r="BY210" s="721"/>
      <c r="BZ210" s="721"/>
      <c r="CA210" s="721"/>
      <c r="CB210" s="721"/>
      <c r="CC210" s="721"/>
      <c r="CD210" s="721"/>
      <c r="CE210" s="721"/>
      <c r="CF210" s="721"/>
      <c r="CG210" s="721"/>
      <c r="CH210" s="721"/>
      <c r="CI210" s="721"/>
      <c r="CJ210" s="721"/>
      <c r="CK210" s="721"/>
      <c r="CL210" s="721"/>
      <c r="CM210" s="721"/>
      <c r="CN210" s="721"/>
      <c r="CO210" s="721"/>
      <c r="CP210" s="721"/>
      <c r="CQ210" s="721"/>
      <c r="CR210" s="721"/>
      <c r="CS210" s="721"/>
      <c r="CT210" s="721"/>
      <c r="CU210" s="721"/>
      <c r="CV210" s="721"/>
      <c r="CW210" s="721"/>
      <c r="CX210" s="721"/>
    </row>
    <row r="211" spans="1:102" ht="12" customHeight="1" x14ac:dyDescent="0.2">
      <c r="A211" s="721"/>
      <c r="B211" s="721"/>
      <c r="C211" s="721"/>
      <c r="D211" s="721"/>
      <c r="E211" s="721"/>
      <c r="F211" s="721"/>
      <c r="G211" s="721"/>
      <c r="H211" s="721"/>
      <c r="I211" s="721"/>
      <c r="J211" s="721"/>
      <c r="K211" s="721"/>
      <c r="L211" s="721"/>
      <c r="M211" s="721"/>
      <c r="N211" s="721"/>
      <c r="O211" s="721"/>
      <c r="P211" s="721"/>
      <c r="Q211" s="721"/>
      <c r="R211" s="721"/>
      <c r="S211" s="721"/>
      <c r="T211" s="721"/>
      <c r="U211" s="721"/>
      <c r="V211" s="721"/>
      <c r="W211" s="204"/>
      <c r="X211" s="723"/>
      <c r="Y211" s="723"/>
      <c r="Z211" s="723"/>
      <c r="AA211" s="723"/>
      <c r="AB211" s="723"/>
      <c r="AC211" s="723"/>
      <c r="AD211" s="723"/>
      <c r="AE211" s="723"/>
      <c r="AF211" s="723"/>
      <c r="AG211" s="723"/>
      <c r="AH211" s="723"/>
      <c r="AI211" s="723"/>
      <c r="AJ211" s="723"/>
      <c r="AK211" s="723"/>
      <c r="AL211" s="723"/>
      <c r="AM211" s="721"/>
      <c r="AN211" s="721"/>
      <c r="AO211" s="723"/>
      <c r="AP211" s="721"/>
      <c r="AQ211" s="723"/>
      <c r="AR211" s="721"/>
      <c r="AS211" s="723"/>
      <c r="AT211" s="721"/>
      <c r="AU211" s="723"/>
      <c r="AV211" s="721"/>
      <c r="AW211" s="721"/>
      <c r="AX211" s="721"/>
      <c r="AY211" s="721"/>
      <c r="AZ211" s="721"/>
      <c r="BA211" s="721"/>
      <c r="BB211" s="721"/>
      <c r="BC211" s="721"/>
      <c r="BD211" s="721"/>
      <c r="BE211" s="721"/>
      <c r="BF211" s="721"/>
      <c r="BG211" s="721"/>
      <c r="BH211" s="721"/>
      <c r="BI211" s="721"/>
      <c r="BJ211" s="721"/>
      <c r="BK211" s="721"/>
      <c r="BL211" s="721"/>
      <c r="BM211" s="721"/>
      <c r="BN211" s="721"/>
      <c r="BO211" s="721"/>
      <c r="BP211" s="721"/>
      <c r="BQ211" s="721"/>
      <c r="BR211" s="721"/>
      <c r="BS211" s="721"/>
      <c r="BT211" s="721"/>
      <c r="BU211" s="721"/>
      <c r="BV211" s="721"/>
      <c r="BW211" s="721"/>
      <c r="BX211" s="721"/>
      <c r="BY211" s="721"/>
      <c r="BZ211" s="721"/>
      <c r="CA211" s="721"/>
      <c r="CB211" s="721"/>
      <c r="CC211" s="721"/>
      <c r="CD211" s="721"/>
      <c r="CE211" s="721"/>
      <c r="CF211" s="721"/>
      <c r="CG211" s="721"/>
      <c r="CH211" s="721"/>
      <c r="CI211" s="721"/>
      <c r="CJ211" s="721"/>
      <c r="CK211" s="721"/>
      <c r="CL211" s="721"/>
      <c r="CM211" s="721"/>
      <c r="CN211" s="721"/>
      <c r="CO211" s="721"/>
      <c r="CP211" s="721"/>
      <c r="CQ211" s="721"/>
      <c r="CR211" s="721"/>
      <c r="CS211" s="721"/>
      <c r="CT211" s="721"/>
      <c r="CU211" s="721"/>
      <c r="CV211" s="721"/>
      <c r="CW211" s="721"/>
      <c r="CX211" s="721"/>
    </row>
    <row r="212" spans="1:102" ht="12" customHeight="1" x14ac:dyDescent="0.2">
      <c r="A212" s="721"/>
      <c r="B212" s="721"/>
      <c r="C212" s="721"/>
      <c r="D212" s="721"/>
      <c r="E212" s="721"/>
      <c r="F212" s="721"/>
      <c r="G212" s="721"/>
      <c r="H212" s="721"/>
      <c r="I212" s="721"/>
      <c r="J212" s="721"/>
      <c r="K212" s="721"/>
      <c r="L212" s="721"/>
      <c r="M212" s="721"/>
      <c r="N212" s="721"/>
      <c r="O212" s="721"/>
      <c r="P212" s="721"/>
      <c r="Q212" s="721"/>
      <c r="R212" s="721"/>
      <c r="S212" s="721"/>
      <c r="T212" s="721"/>
      <c r="U212" s="721"/>
      <c r="V212" s="721"/>
      <c r="W212" s="204"/>
      <c r="X212" s="723"/>
      <c r="Y212" s="723"/>
      <c r="Z212" s="723"/>
      <c r="AA212" s="723"/>
      <c r="AB212" s="723"/>
      <c r="AC212" s="723"/>
      <c r="AD212" s="723"/>
      <c r="AE212" s="723"/>
      <c r="AF212" s="723"/>
      <c r="AG212" s="723"/>
      <c r="AH212" s="723"/>
      <c r="AI212" s="723"/>
      <c r="AJ212" s="723"/>
      <c r="AK212" s="723"/>
      <c r="AL212" s="723"/>
      <c r="AM212" s="721"/>
      <c r="AN212" s="721"/>
      <c r="AO212" s="723"/>
      <c r="AP212" s="721"/>
      <c r="AQ212" s="723"/>
      <c r="AR212" s="721"/>
      <c r="AS212" s="723"/>
      <c r="AT212" s="721"/>
      <c r="AU212" s="723"/>
      <c r="AV212" s="721"/>
      <c r="AW212" s="721"/>
      <c r="AX212" s="721"/>
      <c r="AY212" s="721"/>
      <c r="AZ212" s="721"/>
      <c r="BA212" s="721"/>
      <c r="BB212" s="721"/>
      <c r="BC212" s="721"/>
      <c r="BD212" s="721"/>
      <c r="BE212" s="721"/>
      <c r="BF212" s="721"/>
      <c r="BG212" s="721"/>
      <c r="BH212" s="721"/>
      <c r="BI212" s="721"/>
      <c r="BJ212" s="721"/>
      <c r="BK212" s="721"/>
      <c r="BL212" s="721"/>
      <c r="BM212" s="721"/>
      <c r="BN212" s="721"/>
      <c r="BO212" s="721"/>
      <c r="BP212" s="721"/>
      <c r="BQ212" s="721"/>
      <c r="BR212" s="721"/>
      <c r="BS212" s="721"/>
      <c r="BT212" s="721"/>
      <c r="BU212" s="721"/>
      <c r="BV212" s="721"/>
      <c r="BW212" s="721"/>
      <c r="BX212" s="721"/>
      <c r="BY212" s="721"/>
      <c r="BZ212" s="721"/>
      <c r="CA212" s="721"/>
      <c r="CB212" s="721"/>
      <c r="CC212" s="721"/>
      <c r="CD212" s="721"/>
      <c r="CE212" s="721"/>
      <c r="CF212" s="721"/>
      <c r="CG212" s="721"/>
      <c r="CH212" s="721"/>
      <c r="CI212" s="721"/>
      <c r="CJ212" s="721"/>
      <c r="CK212" s="721"/>
      <c r="CL212" s="721"/>
      <c r="CM212" s="721"/>
      <c r="CN212" s="721"/>
      <c r="CO212" s="721"/>
      <c r="CP212" s="721"/>
      <c r="CQ212" s="721"/>
      <c r="CR212" s="721"/>
      <c r="CS212" s="721"/>
      <c r="CT212" s="721"/>
      <c r="CU212" s="721"/>
      <c r="CV212" s="721"/>
      <c r="CW212" s="721"/>
      <c r="CX212" s="721"/>
    </row>
    <row r="213" spans="1:102" ht="12" customHeight="1" x14ac:dyDescent="0.2">
      <c r="A213" s="721"/>
      <c r="B213" s="721"/>
      <c r="C213" s="721"/>
      <c r="D213" s="721"/>
      <c r="E213" s="721"/>
      <c r="F213" s="721"/>
      <c r="G213" s="721"/>
      <c r="H213" s="721"/>
      <c r="I213" s="721"/>
      <c r="J213" s="721"/>
      <c r="K213" s="721"/>
      <c r="L213" s="721"/>
      <c r="M213" s="721"/>
      <c r="N213" s="721"/>
      <c r="O213" s="721"/>
      <c r="P213" s="721"/>
      <c r="Q213" s="721"/>
      <c r="R213" s="721"/>
      <c r="S213" s="721"/>
      <c r="T213" s="721"/>
      <c r="U213" s="721"/>
      <c r="V213" s="721"/>
      <c r="W213" s="204"/>
      <c r="X213" s="723"/>
      <c r="Y213" s="723"/>
      <c r="Z213" s="723"/>
      <c r="AA213" s="723"/>
      <c r="AB213" s="723"/>
      <c r="AC213" s="723"/>
      <c r="AD213" s="723"/>
      <c r="AE213" s="723"/>
      <c r="AF213" s="723"/>
      <c r="AG213" s="723"/>
      <c r="AH213" s="723"/>
      <c r="AI213" s="723"/>
      <c r="AJ213" s="723"/>
      <c r="AK213" s="723"/>
      <c r="AL213" s="723"/>
      <c r="AM213" s="721"/>
      <c r="AN213" s="721"/>
      <c r="AO213" s="723"/>
      <c r="AP213" s="721"/>
      <c r="AQ213" s="723"/>
      <c r="AR213" s="721"/>
      <c r="AS213" s="723"/>
      <c r="AT213" s="721"/>
      <c r="AU213" s="723"/>
      <c r="AV213" s="721"/>
      <c r="AW213" s="721"/>
      <c r="AX213" s="721"/>
      <c r="AY213" s="721"/>
      <c r="AZ213" s="721"/>
      <c r="BA213" s="721"/>
      <c r="BB213" s="721"/>
      <c r="BC213" s="721"/>
      <c r="BD213" s="721"/>
      <c r="BE213" s="721"/>
      <c r="BF213" s="721"/>
      <c r="BG213" s="721"/>
      <c r="BH213" s="721"/>
      <c r="BI213" s="721"/>
      <c r="BJ213" s="721"/>
      <c r="BK213" s="721"/>
      <c r="BL213" s="721"/>
      <c r="BM213" s="721"/>
      <c r="BN213" s="721"/>
      <c r="BO213" s="721"/>
      <c r="BP213" s="721"/>
      <c r="BQ213" s="721"/>
      <c r="BR213" s="721"/>
      <c r="BS213" s="721"/>
      <c r="BT213" s="721"/>
      <c r="BU213" s="721"/>
      <c r="BV213" s="721"/>
      <c r="BW213" s="721"/>
      <c r="BX213" s="721"/>
      <c r="BY213" s="721"/>
      <c r="BZ213" s="721"/>
      <c r="CA213" s="721"/>
      <c r="CB213" s="721"/>
      <c r="CC213" s="721"/>
      <c r="CD213" s="721"/>
      <c r="CE213" s="721"/>
      <c r="CF213" s="721"/>
      <c r="CG213" s="721"/>
      <c r="CH213" s="721"/>
      <c r="CI213" s="721"/>
      <c r="CJ213" s="721"/>
      <c r="CK213" s="721"/>
      <c r="CL213" s="721"/>
      <c r="CM213" s="721"/>
      <c r="CN213" s="721"/>
      <c r="CO213" s="721"/>
      <c r="CP213" s="721"/>
      <c r="CQ213" s="721"/>
      <c r="CR213" s="721"/>
      <c r="CS213" s="721"/>
      <c r="CT213" s="721"/>
      <c r="CU213" s="721"/>
      <c r="CV213" s="721"/>
      <c r="CW213" s="721"/>
      <c r="CX213" s="721"/>
    </row>
    <row r="214" spans="1:102" ht="12" customHeight="1" x14ac:dyDescent="0.2">
      <c r="A214" s="721"/>
      <c r="B214" s="721"/>
      <c r="C214" s="721"/>
      <c r="D214" s="721"/>
      <c r="E214" s="721"/>
      <c r="F214" s="721"/>
      <c r="G214" s="721"/>
      <c r="H214" s="721"/>
      <c r="I214" s="721"/>
      <c r="J214" s="721"/>
      <c r="K214" s="721"/>
      <c r="L214" s="721"/>
      <c r="M214" s="721"/>
      <c r="N214" s="721"/>
      <c r="O214" s="721"/>
      <c r="P214" s="721"/>
      <c r="Q214" s="721"/>
      <c r="R214" s="721"/>
      <c r="S214" s="721"/>
      <c r="T214" s="721"/>
      <c r="U214" s="721"/>
      <c r="V214" s="721"/>
      <c r="W214" s="204"/>
      <c r="X214" s="723"/>
      <c r="Y214" s="723"/>
      <c r="Z214" s="723"/>
      <c r="AA214" s="723"/>
      <c r="AB214" s="723"/>
      <c r="AC214" s="723"/>
      <c r="AD214" s="723"/>
      <c r="AE214" s="723"/>
      <c r="AF214" s="723"/>
      <c r="AG214" s="723"/>
      <c r="AH214" s="723"/>
      <c r="AI214" s="723"/>
      <c r="AJ214" s="723"/>
      <c r="AK214" s="723"/>
      <c r="AL214" s="723"/>
      <c r="AM214" s="721"/>
      <c r="AN214" s="721"/>
      <c r="AO214" s="723"/>
      <c r="AP214" s="721"/>
      <c r="AQ214" s="723"/>
      <c r="AR214" s="721"/>
      <c r="AS214" s="723"/>
      <c r="AT214" s="721"/>
      <c r="AU214" s="723"/>
      <c r="AV214" s="721"/>
      <c r="AW214" s="721"/>
      <c r="AX214" s="721"/>
      <c r="AY214" s="721"/>
      <c r="AZ214" s="721"/>
      <c r="BA214" s="721"/>
      <c r="BB214" s="721"/>
      <c r="BC214" s="721"/>
      <c r="BD214" s="721"/>
      <c r="BE214" s="721"/>
      <c r="BF214" s="721"/>
      <c r="BG214" s="721"/>
      <c r="BH214" s="721"/>
      <c r="BI214" s="721"/>
      <c r="BJ214" s="721"/>
      <c r="BK214" s="721"/>
      <c r="BL214" s="721"/>
      <c r="BM214" s="721"/>
      <c r="BN214" s="721"/>
      <c r="BO214" s="721"/>
      <c r="BP214" s="721"/>
      <c r="BQ214" s="721"/>
      <c r="BR214" s="721"/>
      <c r="BS214" s="721"/>
      <c r="BT214" s="721"/>
      <c r="BU214" s="721"/>
      <c r="BV214" s="721"/>
      <c r="BW214" s="721"/>
      <c r="BX214" s="721"/>
      <c r="BY214" s="721"/>
      <c r="BZ214" s="721"/>
      <c r="CA214" s="721"/>
      <c r="CB214" s="721"/>
      <c r="CC214" s="721"/>
      <c r="CD214" s="721"/>
      <c r="CE214" s="721"/>
      <c r="CF214" s="721"/>
      <c r="CG214" s="721"/>
      <c r="CH214" s="721"/>
      <c r="CI214" s="721"/>
      <c r="CJ214" s="721"/>
      <c r="CK214" s="721"/>
      <c r="CL214" s="721"/>
      <c r="CM214" s="721"/>
      <c r="CN214" s="721"/>
      <c r="CO214" s="721"/>
      <c r="CP214" s="721"/>
      <c r="CQ214" s="721"/>
      <c r="CR214" s="721"/>
      <c r="CS214" s="721"/>
      <c r="CT214" s="721"/>
      <c r="CU214" s="721"/>
      <c r="CV214" s="721"/>
      <c r="CW214" s="721"/>
      <c r="CX214" s="721"/>
    </row>
    <row r="215" spans="1:102" ht="12" customHeight="1" x14ac:dyDescent="0.2">
      <c r="A215" s="721"/>
      <c r="B215" s="721"/>
      <c r="C215" s="721"/>
      <c r="D215" s="721"/>
      <c r="E215" s="721"/>
      <c r="F215" s="721"/>
      <c r="G215" s="721"/>
      <c r="H215" s="721"/>
      <c r="I215" s="721"/>
      <c r="J215" s="721"/>
      <c r="K215" s="721"/>
      <c r="L215" s="721"/>
      <c r="M215" s="721"/>
      <c r="N215" s="721"/>
      <c r="O215" s="721"/>
      <c r="P215" s="721"/>
      <c r="Q215" s="721"/>
      <c r="R215" s="721"/>
      <c r="S215" s="721"/>
      <c r="T215" s="721"/>
      <c r="U215" s="721"/>
      <c r="V215" s="721"/>
      <c r="W215" s="204"/>
      <c r="X215" s="723"/>
      <c r="Y215" s="723"/>
      <c r="Z215" s="723"/>
      <c r="AA215" s="723"/>
      <c r="AB215" s="723"/>
      <c r="AC215" s="723"/>
      <c r="AD215" s="723"/>
      <c r="AE215" s="723"/>
      <c r="AF215" s="723"/>
      <c r="AG215" s="723"/>
      <c r="AH215" s="723"/>
      <c r="AI215" s="723"/>
      <c r="AJ215" s="723"/>
      <c r="AK215" s="723"/>
      <c r="AL215" s="723"/>
      <c r="AM215" s="721"/>
      <c r="AN215" s="721"/>
      <c r="AO215" s="723"/>
      <c r="AP215" s="721"/>
      <c r="AQ215" s="723"/>
      <c r="AR215" s="721"/>
      <c r="AS215" s="723"/>
      <c r="AT215" s="721"/>
      <c r="AU215" s="723"/>
      <c r="AV215" s="721"/>
      <c r="AW215" s="721"/>
      <c r="AX215" s="721"/>
      <c r="AY215" s="721"/>
      <c r="AZ215" s="721"/>
      <c r="BA215" s="721"/>
      <c r="BB215" s="721"/>
      <c r="BC215" s="721"/>
      <c r="BD215" s="721"/>
      <c r="BE215" s="721"/>
      <c r="BF215" s="721"/>
      <c r="BG215" s="721"/>
      <c r="BH215" s="721"/>
      <c r="BI215" s="721"/>
      <c r="BJ215" s="721"/>
      <c r="BK215" s="721"/>
      <c r="BL215" s="721"/>
      <c r="BM215" s="721"/>
      <c r="BN215" s="721"/>
      <c r="BO215" s="721"/>
      <c r="BP215" s="721"/>
      <c r="BQ215" s="721"/>
      <c r="BR215" s="721"/>
      <c r="BS215" s="721"/>
      <c r="BT215" s="721"/>
      <c r="BU215" s="721"/>
      <c r="BV215" s="721"/>
      <c r="BW215" s="721"/>
      <c r="BX215" s="721"/>
      <c r="BY215" s="721"/>
      <c r="BZ215" s="721"/>
      <c r="CA215" s="721"/>
      <c r="CB215" s="721"/>
      <c r="CC215" s="721"/>
      <c r="CD215" s="721"/>
      <c r="CE215" s="721"/>
      <c r="CF215" s="721"/>
      <c r="CG215" s="721"/>
      <c r="CH215" s="721"/>
      <c r="CI215" s="721"/>
      <c r="CJ215" s="721"/>
      <c r="CK215" s="721"/>
      <c r="CL215" s="721"/>
      <c r="CM215" s="721"/>
      <c r="CN215" s="721"/>
      <c r="CO215" s="721"/>
      <c r="CP215" s="721"/>
      <c r="CQ215" s="721"/>
      <c r="CR215" s="721"/>
      <c r="CS215" s="721"/>
      <c r="CT215" s="721"/>
      <c r="CU215" s="721"/>
      <c r="CV215" s="721"/>
      <c r="CW215" s="721"/>
      <c r="CX215" s="721"/>
    </row>
    <row r="216" spans="1:102" ht="12" customHeight="1" x14ac:dyDescent="0.2">
      <c r="A216" s="721"/>
      <c r="B216" s="721"/>
      <c r="C216" s="721"/>
      <c r="D216" s="721"/>
      <c r="E216" s="721"/>
      <c r="F216" s="721"/>
      <c r="G216" s="721"/>
      <c r="H216" s="721"/>
      <c r="I216" s="721"/>
      <c r="J216" s="721"/>
      <c r="K216" s="721"/>
      <c r="L216" s="721"/>
      <c r="M216" s="721"/>
      <c r="N216" s="721"/>
      <c r="O216" s="721"/>
      <c r="P216" s="721"/>
      <c r="Q216" s="721"/>
      <c r="R216" s="721"/>
      <c r="S216" s="721"/>
      <c r="T216" s="721"/>
      <c r="U216" s="721"/>
      <c r="V216" s="721"/>
      <c r="W216" s="204"/>
      <c r="X216" s="723"/>
      <c r="Y216" s="723"/>
      <c r="Z216" s="723"/>
      <c r="AA216" s="723"/>
      <c r="AB216" s="723"/>
      <c r="AC216" s="723"/>
      <c r="AD216" s="723"/>
      <c r="AE216" s="723"/>
      <c r="AF216" s="723"/>
      <c r="AG216" s="723"/>
      <c r="AH216" s="723"/>
      <c r="AI216" s="723"/>
      <c r="AJ216" s="723"/>
      <c r="AK216" s="723"/>
      <c r="AL216" s="723"/>
      <c r="AM216" s="721"/>
      <c r="AN216" s="721"/>
      <c r="AO216" s="723"/>
      <c r="AP216" s="721"/>
      <c r="AQ216" s="723"/>
      <c r="AR216" s="721"/>
      <c r="AS216" s="723"/>
      <c r="AT216" s="721"/>
      <c r="AU216" s="723"/>
      <c r="AV216" s="721"/>
      <c r="AW216" s="721"/>
      <c r="AX216" s="721"/>
      <c r="AY216" s="721"/>
      <c r="AZ216" s="721"/>
      <c r="BA216" s="721"/>
      <c r="BB216" s="721"/>
      <c r="BC216" s="721"/>
      <c r="BD216" s="721"/>
      <c r="BE216" s="721"/>
      <c r="BF216" s="721"/>
      <c r="BG216" s="721"/>
      <c r="BH216" s="721"/>
      <c r="BI216" s="721"/>
      <c r="BJ216" s="721"/>
      <c r="BK216" s="721"/>
      <c r="BL216" s="721"/>
      <c r="BM216" s="721"/>
      <c r="BN216" s="721"/>
      <c r="BO216" s="721"/>
      <c r="BP216" s="721"/>
      <c r="BQ216" s="721"/>
      <c r="BR216" s="721"/>
      <c r="BS216" s="721"/>
      <c r="BT216" s="721"/>
      <c r="BU216" s="721"/>
      <c r="BV216" s="721"/>
      <c r="BW216" s="721"/>
      <c r="BX216" s="721"/>
      <c r="BY216" s="721"/>
      <c r="BZ216" s="721"/>
      <c r="CA216" s="721"/>
      <c r="CB216" s="721"/>
      <c r="CC216" s="721"/>
      <c r="CD216" s="721"/>
      <c r="CE216" s="721"/>
      <c r="CF216" s="721"/>
      <c r="CG216" s="721"/>
      <c r="CH216" s="721"/>
      <c r="CI216" s="721"/>
      <c r="CJ216" s="721"/>
      <c r="CK216" s="721"/>
      <c r="CL216" s="721"/>
      <c r="CM216" s="721"/>
      <c r="CN216" s="721"/>
      <c r="CO216" s="721"/>
      <c r="CP216" s="721"/>
      <c r="CQ216" s="721"/>
      <c r="CR216" s="721"/>
      <c r="CS216" s="721"/>
      <c r="CT216" s="721"/>
      <c r="CU216" s="721"/>
      <c r="CV216" s="721"/>
      <c r="CW216" s="721"/>
      <c r="CX216" s="721"/>
    </row>
    <row r="217" spans="1:102" ht="12" customHeight="1" x14ac:dyDescent="0.2">
      <c r="A217" s="721"/>
      <c r="B217" s="721"/>
      <c r="C217" s="721"/>
      <c r="D217" s="721"/>
      <c r="E217" s="721"/>
      <c r="F217" s="721"/>
      <c r="G217" s="721"/>
      <c r="H217" s="721"/>
      <c r="I217" s="721"/>
      <c r="J217" s="721"/>
      <c r="K217" s="721"/>
      <c r="L217" s="721"/>
      <c r="M217" s="721"/>
      <c r="N217" s="721"/>
      <c r="O217" s="721"/>
      <c r="P217" s="721"/>
      <c r="Q217" s="721"/>
      <c r="R217" s="721"/>
      <c r="S217" s="721"/>
      <c r="T217" s="721"/>
      <c r="U217" s="721"/>
      <c r="V217" s="721"/>
      <c r="W217" s="204"/>
      <c r="X217" s="723"/>
      <c r="Y217" s="723"/>
      <c r="Z217" s="723"/>
      <c r="AA217" s="723"/>
      <c r="AB217" s="723"/>
      <c r="AC217" s="723"/>
      <c r="AD217" s="723"/>
      <c r="AE217" s="723"/>
      <c r="AF217" s="723"/>
      <c r="AG217" s="723"/>
      <c r="AH217" s="723"/>
      <c r="AI217" s="723"/>
      <c r="AJ217" s="723"/>
      <c r="AK217" s="723"/>
      <c r="AL217" s="723"/>
      <c r="AM217" s="721"/>
      <c r="AN217" s="721"/>
      <c r="AO217" s="723"/>
      <c r="AP217" s="721"/>
      <c r="AQ217" s="723"/>
      <c r="AR217" s="721"/>
      <c r="AS217" s="723"/>
      <c r="AT217" s="721"/>
      <c r="AU217" s="723"/>
      <c r="AV217" s="721"/>
      <c r="AW217" s="721"/>
      <c r="AX217" s="721"/>
      <c r="AY217" s="721"/>
      <c r="AZ217" s="721"/>
      <c r="BA217" s="721"/>
      <c r="BB217" s="721"/>
      <c r="BC217" s="721"/>
      <c r="BD217" s="721"/>
      <c r="BE217" s="721"/>
      <c r="BF217" s="721"/>
      <c r="BG217" s="721"/>
      <c r="BH217" s="721"/>
      <c r="BI217" s="721"/>
      <c r="BJ217" s="721"/>
      <c r="BK217" s="721"/>
      <c r="BL217" s="721"/>
      <c r="BM217" s="721"/>
      <c r="BN217" s="721"/>
      <c r="BO217" s="721"/>
      <c r="BP217" s="721"/>
      <c r="BQ217" s="721"/>
      <c r="BR217" s="721"/>
      <c r="BS217" s="721"/>
      <c r="BT217" s="721"/>
      <c r="BU217" s="721"/>
      <c r="BV217" s="721"/>
      <c r="BW217" s="721"/>
      <c r="BX217" s="721"/>
      <c r="BY217" s="721"/>
      <c r="BZ217" s="721"/>
      <c r="CA217" s="721"/>
      <c r="CB217" s="721"/>
      <c r="CC217" s="721"/>
      <c r="CD217" s="721"/>
      <c r="CE217" s="721"/>
      <c r="CF217" s="721"/>
      <c r="CG217" s="721"/>
      <c r="CH217" s="721"/>
      <c r="CI217" s="721"/>
      <c r="CJ217" s="721"/>
      <c r="CK217" s="721"/>
      <c r="CL217" s="721"/>
      <c r="CM217" s="721"/>
      <c r="CN217" s="721"/>
      <c r="CO217" s="721"/>
      <c r="CP217" s="721"/>
      <c r="CQ217" s="721"/>
      <c r="CR217" s="721"/>
      <c r="CS217" s="721"/>
      <c r="CT217" s="721"/>
      <c r="CU217" s="721"/>
      <c r="CV217" s="721"/>
      <c r="CW217" s="721"/>
      <c r="CX217" s="721"/>
    </row>
    <row r="218" spans="1:102" ht="12" customHeight="1" x14ac:dyDescent="0.2">
      <c r="A218" s="721"/>
      <c r="B218" s="721"/>
      <c r="C218" s="721"/>
      <c r="D218" s="721"/>
      <c r="E218" s="721"/>
      <c r="F218" s="721"/>
      <c r="G218" s="721"/>
      <c r="H218" s="721"/>
      <c r="I218" s="721"/>
      <c r="J218" s="721"/>
      <c r="K218" s="721"/>
      <c r="L218" s="721"/>
      <c r="M218" s="721"/>
      <c r="N218" s="721"/>
      <c r="O218" s="721"/>
      <c r="P218" s="721"/>
      <c r="Q218" s="721"/>
      <c r="R218" s="721"/>
      <c r="S218" s="721"/>
      <c r="T218" s="721"/>
      <c r="U218" s="721"/>
      <c r="V218" s="721"/>
      <c r="W218" s="204"/>
      <c r="X218" s="723"/>
      <c r="Y218" s="723"/>
      <c r="Z218" s="723"/>
      <c r="AA218" s="723"/>
      <c r="AB218" s="723"/>
      <c r="AC218" s="723"/>
      <c r="AD218" s="723"/>
      <c r="AE218" s="723"/>
      <c r="AF218" s="723"/>
      <c r="AG218" s="723"/>
      <c r="AH218" s="723"/>
      <c r="AI218" s="723"/>
      <c r="AJ218" s="723"/>
      <c r="AK218" s="723"/>
      <c r="AL218" s="723"/>
      <c r="AM218" s="721"/>
      <c r="AN218" s="721"/>
      <c r="AO218" s="723"/>
      <c r="AP218" s="721"/>
      <c r="AQ218" s="723"/>
      <c r="AR218" s="721"/>
      <c r="AS218" s="723"/>
      <c r="AT218" s="721"/>
      <c r="AU218" s="723"/>
      <c r="AV218" s="721"/>
      <c r="AW218" s="721"/>
      <c r="AX218" s="721"/>
      <c r="AY218" s="721"/>
      <c r="AZ218" s="721"/>
      <c r="BA218" s="721"/>
      <c r="BB218" s="721"/>
      <c r="BC218" s="721"/>
      <c r="BD218" s="721"/>
      <c r="BE218" s="721"/>
      <c r="BF218" s="721"/>
      <c r="BG218" s="721"/>
      <c r="BH218" s="721"/>
      <c r="BI218" s="721"/>
      <c r="BJ218" s="721"/>
      <c r="BK218" s="721"/>
      <c r="BL218" s="721"/>
      <c r="BM218" s="721"/>
      <c r="BN218" s="721"/>
      <c r="BO218" s="721"/>
      <c r="BP218" s="721"/>
      <c r="BQ218" s="721"/>
      <c r="BR218" s="721"/>
      <c r="BS218" s="721"/>
      <c r="BT218" s="721"/>
      <c r="BU218" s="721"/>
      <c r="BV218" s="721"/>
      <c r="BW218" s="721"/>
      <c r="BX218" s="721"/>
      <c r="BY218" s="721"/>
      <c r="BZ218" s="721"/>
      <c r="CA218" s="721"/>
      <c r="CB218" s="721"/>
      <c r="CC218" s="721"/>
      <c r="CD218" s="721"/>
      <c r="CE218" s="721"/>
      <c r="CF218" s="721"/>
      <c r="CG218" s="721"/>
      <c r="CH218" s="721"/>
      <c r="CI218" s="721"/>
      <c r="CJ218" s="721"/>
      <c r="CK218" s="721"/>
      <c r="CL218" s="721"/>
      <c r="CM218" s="721"/>
      <c r="CN218" s="721"/>
      <c r="CO218" s="721"/>
      <c r="CP218" s="721"/>
      <c r="CQ218" s="721"/>
      <c r="CR218" s="721"/>
      <c r="CS218" s="721"/>
      <c r="CT218" s="721"/>
      <c r="CU218" s="721"/>
      <c r="CV218" s="721"/>
      <c r="CW218" s="721"/>
      <c r="CX218" s="721"/>
    </row>
    <row r="219" spans="1:102" ht="12" customHeight="1" x14ac:dyDescent="0.2">
      <c r="A219" s="721"/>
      <c r="B219" s="721"/>
      <c r="C219" s="721"/>
      <c r="D219" s="721"/>
      <c r="E219" s="721"/>
      <c r="F219" s="721"/>
      <c r="G219" s="721"/>
      <c r="H219" s="721"/>
      <c r="I219" s="721"/>
      <c r="J219" s="721"/>
      <c r="K219" s="721"/>
      <c r="L219" s="721"/>
      <c r="M219" s="721"/>
      <c r="N219" s="721"/>
      <c r="O219" s="721"/>
      <c r="P219" s="721"/>
      <c r="Q219" s="721"/>
      <c r="R219" s="721"/>
      <c r="S219" s="721"/>
      <c r="T219" s="721"/>
      <c r="U219" s="721"/>
      <c r="V219" s="721"/>
      <c r="W219" s="204"/>
      <c r="X219" s="723"/>
      <c r="Y219" s="723"/>
      <c r="Z219" s="723"/>
      <c r="AA219" s="723"/>
      <c r="AB219" s="723"/>
      <c r="AC219" s="723"/>
      <c r="AD219" s="723"/>
      <c r="AE219" s="723"/>
      <c r="AF219" s="723"/>
      <c r="AG219" s="723"/>
      <c r="AH219" s="723"/>
      <c r="AI219" s="723"/>
      <c r="AJ219" s="723"/>
      <c r="AK219" s="723"/>
      <c r="AL219" s="723"/>
      <c r="AM219" s="721"/>
      <c r="AN219" s="721"/>
      <c r="AO219" s="723"/>
      <c r="AP219" s="721"/>
      <c r="AQ219" s="723"/>
      <c r="AR219" s="721"/>
      <c r="AS219" s="723"/>
      <c r="AT219" s="721"/>
      <c r="AU219" s="723"/>
      <c r="AV219" s="721"/>
      <c r="AW219" s="721"/>
      <c r="AX219" s="721"/>
      <c r="AY219" s="721"/>
      <c r="AZ219" s="721"/>
      <c r="BA219" s="721"/>
      <c r="BB219" s="721"/>
      <c r="BC219" s="721"/>
      <c r="BD219" s="721"/>
      <c r="BE219" s="721"/>
      <c r="BF219" s="721"/>
      <c r="BG219" s="721"/>
      <c r="BH219" s="721"/>
      <c r="BI219" s="721"/>
      <c r="BJ219" s="721"/>
      <c r="BK219" s="721"/>
      <c r="BL219" s="721"/>
      <c r="BM219" s="721"/>
      <c r="BN219" s="721"/>
      <c r="BO219" s="721"/>
      <c r="BP219" s="721"/>
      <c r="BQ219" s="721"/>
      <c r="BR219" s="721"/>
      <c r="BS219" s="721"/>
      <c r="BT219" s="721"/>
      <c r="BU219" s="721"/>
      <c r="BV219" s="721"/>
      <c r="BW219" s="721"/>
      <c r="BX219" s="721"/>
      <c r="BY219" s="721"/>
      <c r="BZ219" s="721"/>
      <c r="CA219" s="721"/>
      <c r="CB219" s="721"/>
      <c r="CC219" s="721"/>
      <c r="CD219" s="721"/>
      <c r="CE219" s="721"/>
      <c r="CF219" s="721"/>
      <c r="CG219" s="721"/>
      <c r="CH219" s="721"/>
      <c r="CI219" s="721"/>
      <c r="CJ219" s="721"/>
      <c r="CK219" s="721"/>
      <c r="CL219" s="721"/>
      <c r="CM219" s="721"/>
      <c r="CN219" s="721"/>
      <c r="CO219" s="721"/>
      <c r="CP219" s="721"/>
      <c r="CQ219" s="721"/>
      <c r="CR219" s="721"/>
      <c r="CS219" s="721"/>
      <c r="CT219" s="721"/>
      <c r="CU219" s="721"/>
      <c r="CV219" s="721"/>
      <c r="CW219" s="721"/>
      <c r="CX219" s="721"/>
    </row>
    <row r="220" spans="1:102" ht="12" customHeight="1" x14ac:dyDescent="0.2">
      <c r="A220" s="721"/>
      <c r="B220" s="721"/>
      <c r="C220" s="721"/>
      <c r="D220" s="721"/>
      <c r="E220" s="721"/>
      <c r="F220" s="721"/>
      <c r="G220" s="721"/>
      <c r="H220" s="721"/>
      <c r="I220" s="721"/>
      <c r="J220" s="721"/>
      <c r="K220" s="721"/>
      <c r="L220" s="721"/>
      <c r="M220" s="721"/>
      <c r="N220" s="721"/>
      <c r="O220" s="721"/>
      <c r="P220" s="721"/>
      <c r="Q220" s="721"/>
      <c r="R220" s="721"/>
      <c r="S220" s="721"/>
      <c r="T220" s="721"/>
      <c r="U220" s="721"/>
      <c r="V220" s="721"/>
      <c r="W220" s="204"/>
      <c r="X220" s="723"/>
      <c r="Y220" s="723"/>
      <c r="Z220" s="723"/>
      <c r="AA220" s="723"/>
      <c r="AB220" s="723"/>
      <c r="AC220" s="723"/>
      <c r="AD220" s="723"/>
      <c r="AE220" s="723"/>
      <c r="AF220" s="723"/>
      <c r="AG220" s="723"/>
      <c r="AH220" s="723"/>
      <c r="AI220" s="723"/>
      <c r="AJ220" s="723"/>
      <c r="AK220" s="723"/>
      <c r="AL220" s="723"/>
      <c r="AM220" s="721"/>
      <c r="AN220" s="721"/>
      <c r="AO220" s="723"/>
      <c r="AP220" s="721"/>
      <c r="AQ220" s="723"/>
      <c r="AR220" s="721"/>
      <c r="AS220" s="723"/>
      <c r="AT220" s="721"/>
      <c r="AU220" s="723"/>
      <c r="AV220" s="721"/>
      <c r="AW220" s="721"/>
      <c r="AX220" s="721"/>
      <c r="AY220" s="721"/>
      <c r="AZ220" s="721"/>
      <c r="BA220" s="721"/>
      <c r="BB220" s="721"/>
      <c r="BC220" s="721"/>
      <c r="BD220" s="721"/>
      <c r="BE220" s="721"/>
      <c r="BF220" s="721"/>
      <c r="BG220" s="721"/>
      <c r="BH220" s="721"/>
      <c r="BI220" s="721"/>
      <c r="BJ220" s="721"/>
      <c r="BK220" s="721"/>
      <c r="BL220" s="721"/>
      <c r="BM220" s="721"/>
      <c r="BN220" s="721"/>
      <c r="BO220" s="721"/>
      <c r="BP220" s="721"/>
      <c r="BQ220" s="721"/>
      <c r="BR220" s="721"/>
      <c r="BS220" s="721"/>
      <c r="BT220" s="721"/>
      <c r="BU220" s="721"/>
      <c r="BV220" s="721"/>
      <c r="BW220" s="721"/>
      <c r="BX220" s="721"/>
      <c r="BY220" s="721"/>
      <c r="BZ220" s="721"/>
      <c r="CA220" s="721"/>
      <c r="CB220" s="721"/>
      <c r="CC220" s="721"/>
      <c r="CD220" s="721"/>
      <c r="CE220" s="721"/>
      <c r="CF220" s="721"/>
      <c r="CG220" s="721"/>
      <c r="CH220" s="721"/>
      <c r="CI220" s="721"/>
      <c r="CJ220" s="721"/>
      <c r="CK220" s="721"/>
      <c r="CL220" s="721"/>
      <c r="CM220" s="721"/>
      <c r="CN220" s="721"/>
      <c r="CO220" s="721"/>
      <c r="CP220" s="721"/>
      <c r="CQ220" s="721"/>
      <c r="CR220" s="721"/>
      <c r="CS220" s="721"/>
      <c r="CT220" s="721"/>
      <c r="CU220" s="721"/>
      <c r="CV220" s="721"/>
      <c r="CW220" s="721"/>
      <c r="CX220" s="721"/>
    </row>
    <row r="221" spans="1:102" ht="12" customHeight="1" x14ac:dyDescent="0.2">
      <c r="A221" s="721"/>
      <c r="B221" s="721"/>
      <c r="C221" s="721"/>
      <c r="D221" s="721"/>
      <c r="E221" s="721"/>
      <c r="F221" s="721"/>
      <c r="G221" s="721"/>
      <c r="H221" s="721"/>
      <c r="I221" s="721"/>
      <c r="J221" s="721"/>
      <c r="K221" s="721"/>
      <c r="L221" s="721"/>
      <c r="M221" s="721"/>
      <c r="N221" s="721"/>
      <c r="O221" s="721"/>
      <c r="P221" s="721"/>
      <c r="Q221" s="721"/>
      <c r="R221" s="721"/>
      <c r="S221" s="721"/>
      <c r="T221" s="721"/>
      <c r="U221" s="721"/>
      <c r="V221" s="721"/>
      <c r="W221" s="204"/>
      <c r="X221" s="723"/>
      <c r="Y221" s="723"/>
      <c r="Z221" s="723"/>
      <c r="AA221" s="723"/>
      <c r="AB221" s="723"/>
      <c r="AC221" s="723"/>
      <c r="AD221" s="723"/>
      <c r="AE221" s="723"/>
      <c r="AF221" s="723"/>
      <c r="AG221" s="723"/>
      <c r="AH221" s="723"/>
      <c r="AI221" s="723"/>
      <c r="AJ221" s="723"/>
      <c r="AK221" s="723"/>
      <c r="AL221" s="723"/>
      <c r="AM221" s="721"/>
      <c r="AN221" s="721"/>
      <c r="AO221" s="723"/>
      <c r="AP221" s="721"/>
      <c r="AQ221" s="723"/>
      <c r="AR221" s="721"/>
      <c r="AS221" s="723"/>
      <c r="AT221" s="721"/>
      <c r="AU221" s="723"/>
      <c r="AV221" s="721"/>
      <c r="AW221" s="721"/>
      <c r="AX221" s="721"/>
      <c r="AY221" s="721"/>
      <c r="AZ221" s="721"/>
      <c r="BA221" s="721"/>
      <c r="BB221" s="721"/>
      <c r="BC221" s="721"/>
      <c r="BD221" s="721"/>
      <c r="BE221" s="721"/>
      <c r="BF221" s="721"/>
      <c r="BG221" s="721"/>
      <c r="BH221" s="721"/>
      <c r="BI221" s="721"/>
      <c r="BJ221" s="721"/>
      <c r="BK221" s="721"/>
      <c r="BL221" s="721"/>
      <c r="BM221" s="721"/>
      <c r="BN221" s="721"/>
      <c r="BO221" s="721"/>
      <c r="BP221" s="721"/>
      <c r="BQ221" s="721"/>
      <c r="BR221" s="721"/>
      <c r="BS221" s="721"/>
      <c r="BT221" s="721"/>
      <c r="BU221" s="721"/>
      <c r="BV221" s="721"/>
      <c r="BW221" s="721"/>
      <c r="BX221" s="721"/>
      <c r="BY221" s="721"/>
      <c r="BZ221" s="721"/>
      <c r="CA221" s="721"/>
      <c r="CB221" s="721"/>
      <c r="CC221" s="721"/>
      <c r="CD221" s="721"/>
      <c r="CE221" s="721"/>
      <c r="CF221" s="721"/>
      <c r="CG221" s="721"/>
      <c r="CH221" s="721"/>
      <c r="CI221" s="721"/>
      <c r="CJ221" s="721"/>
      <c r="CK221" s="721"/>
      <c r="CL221" s="721"/>
      <c r="CM221" s="721"/>
      <c r="CN221" s="721"/>
      <c r="CO221" s="721"/>
      <c r="CP221" s="721"/>
      <c r="CQ221" s="721"/>
      <c r="CR221" s="721"/>
      <c r="CS221" s="721"/>
      <c r="CT221" s="721"/>
      <c r="CU221" s="721"/>
      <c r="CV221" s="721"/>
      <c r="CW221" s="721"/>
      <c r="CX221" s="721"/>
    </row>
    <row r="222" spans="1:102" ht="12" customHeight="1" x14ac:dyDescent="0.2">
      <c r="A222" s="721"/>
      <c r="B222" s="721"/>
      <c r="C222" s="721"/>
      <c r="D222" s="721"/>
      <c r="E222" s="721"/>
      <c r="F222" s="721"/>
      <c r="G222" s="721"/>
      <c r="H222" s="721"/>
      <c r="I222" s="721"/>
      <c r="J222" s="721"/>
      <c r="K222" s="721"/>
      <c r="L222" s="721"/>
      <c r="M222" s="721"/>
      <c r="N222" s="721"/>
      <c r="O222" s="721"/>
      <c r="P222" s="721"/>
      <c r="Q222" s="721"/>
      <c r="R222" s="721"/>
      <c r="S222" s="721"/>
      <c r="T222" s="721"/>
      <c r="U222" s="721"/>
      <c r="V222" s="721"/>
      <c r="W222" s="204"/>
      <c r="X222" s="723"/>
      <c r="Y222" s="723"/>
      <c r="Z222" s="723"/>
      <c r="AA222" s="723"/>
      <c r="AB222" s="723"/>
      <c r="AC222" s="723"/>
      <c r="AD222" s="723"/>
      <c r="AE222" s="723"/>
      <c r="AF222" s="723"/>
      <c r="AG222" s="723"/>
      <c r="AH222" s="723"/>
      <c r="AI222" s="723"/>
      <c r="AJ222" s="723"/>
      <c r="AK222" s="723"/>
      <c r="AL222" s="723"/>
      <c r="AM222" s="721"/>
      <c r="AN222" s="721"/>
      <c r="AO222" s="723"/>
      <c r="AP222" s="721"/>
      <c r="AQ222" s="723"/>
      <c r="AR222" s="721"/>
      <c r="AS222" s="723"/>
      <c r="AT222" s="721"/>
      <c r="AU222" s="723"/>
      <c r="AV222" s="721"/>
      <c r="AW222" s="721"/>
      <c r="AX222" s="721"/>
      <c r="AY222" s="721"/>
      <c r="AZ222" s="721"/>
      <c r="BA222" s="721"/>
      <c r="BB222" s="721"/>
      <c r="BC222" s="721"/>
      <c r="BD222" s="721"/>
      <c r="BE222" s="721"/>
      <c r="BF222" s="721"/>
      <c r="BG222" s="721"/>
      <c r="BH222" s="721"/>
      <c r="BI222" s="721"/>
      <c r="BJ222" s="721"/>
      <c r="BK222" s="721"/>
      <c r="BL222" s="721"/>
      <c r="BM222" s="721"/>
      <c r="BN222" s="721"/>
      <c r="BO222" s="721"/>
      <c r="BP222" s="721"/>
      <c r="BQ222" s="721"/>
      <c r="BR222" s="721"/>
      <c r="BS222" s="721"/>
      <c r="BT222" s="721"/>
      <c r="BU222" s="721"/>
      <c r="BV222" s="721"/>
      <c r="BW222" s="721"/>
      <c r="BX222" s="721"/>
      <c r="BY222" s="721"/>
      <c r="BZ222" s="721"/>
      <c r="CA222" s="721"/>
      <c r="CB222" s="721"/>
      <c r="CC222" s="721"/>
      <c r="CD222" s="721"/>
      <c r="CE222" s="721"/>
      <c r="CF222" s="721"/>
      <c r="CG222" s="721"/>
      <c r="CH222" s="721"/>
      <c r="CI222" s="721"/>
      <c r="CJ222" s="721"/>
      <c r="CK222" s="721"/>
      <c r="CL222" s="721"/>
      <c r="CM222" s="721"/>
      <c r="CN222" s="721"/>
      <c r="CO222" s="721"/>
      <c r="CP222" s="721"/>
      <c r="CQ222" s="721"/>
      <c r="CR222" s="721"/>
      <c r="CS222" s="721"/>
      <c r="CT222" s="721"/>
      <c r="CU222" s="721"/>
      <c r="CV222" s="721"/>
      <c r="CW222" s="721"/>
      <c r="CX222" s="721"/>
    </row>
    <row r="223" spans="1:102" ht="12" customHeight="1" x14ac:dyDescent="0.2">
      <c r="A223" s="721"/>
      <c r="B223" s="721"/>
      <c r="C223" s="721"/>
      <c r="D223" s="721"/>
      <c r="E223" s="721"/>
      <c r="F223" s="721"/>
      <c r="G223" s="721"/>
      <c r="H223" s="721"/>
      <c r="I223" s="721"/>
      <c r="J223" s="721"/>
      <c r="K223" s="721"/>
      <c r="L223" s="721"/>
      <c r="M223" s="721"/>
      <c r="N223" s="721"/>
      <c r="O223" s="721"/>
      <c r="P223" s="721"/>
      <c r="Q223" s="721"/>
      <c r="R223" s="721"/>
      <c r="S223" s="721"/>
      <c r="T223" s="721"/>
      <c r="U223" s="721"/>
      <c r="V223" s="721"/>
      <c r="W223" s="204"/>
      <c r="X223" s="723"/>
      <c r="Y223" s="723"/>
      <c r="Z223" s="723"/>
      <c r="AA223" s="723"/>
      <c r="AB223" s="723"/>
      <c r="AC223" s="723"/>
      <c r="AD223" s="723"/>
      <c r="AE223" s="723"/>
      <c r="AF223" s="723"/>
      <c r="AG223" s="723"/>
      <c r="AH223" s="723"/>
      <c r="AI223" s="723"/>
      <c r="AJ223" s="723"/>
      <c r="AK223" s="723"/>
      <c r="AL223" s="723"/>
      <c r="AM223" s="721"/>
      <c r="AN223" s="721"/>
      <c r="AO223" s="723"/>
      <c r="AP223" s="721"/>
      <c r="AQ223" s="723"/>
      <c r="AR223" s="721"/>
      <c r="AS223" s="723"/>
      <c r="AT223" s="721"/>
      <c r="AU223" s="723"/>
      <c r="AV223" s="721"/>
      <c r="AW223" s="721"/>
      <c r="AX223" s="721"/>
      <c r="AY223" s="721"/>
      <c r="AZ223" s="721"/>
      <c r="BA223" s="721"/>
      <c r="BB223" s="721"/>
      <c r="BC223" s="721"/>
      <c r="BD223" s="721"/>
      <c r="BE223" s="721"/>
      <c r="BF223" s="721"/>
      <c r="BG223" s="721"/>
      <c r="BH223" s="721"/>
      <c r="BI223" s="721"/>
      <c r="BJ223" s="721"/>
      <c r="BK223" s="721"/>
      <c r="BL223" s="721"/>
      <c r="BM223" s="721"/>
      <c r="BN223" s="721"/>
      <c r="BO223" s="721"/>
      <c r="BP223" s="721"/>
      <c r="BQ223" s="721"/>
      <c r="BR223" s="721"/>
      <c r="BS223" s="721"/>
      <c r="BT223" s="721"/>
      <c r="BU223" s="721"/>
      <c r="BV223" s="721"/>
      <c r="BW223" s="721"/>
      <c r="BX223" s="721"/>
      <c r="BY223" s="721"/>
      <c r="BZ223" s="721"/>
      <c r="CA223" s="721"/>
      <c r="CB223" s="721"/>
      <c r="CC223" s="721"/>
      <c r="CD223" s="721"/>
      <c r="CE223" s="721"/>
      <c r="CF223" s="721"/>
      <c r="CG223" s="721"/>
      <c r="CH223" s="721"/>
      <c r="CI223" s="721"/>
      <c r="CJ223" s="721"/>
      <c r="CK223" s="721"/>
      <c r="CL223" s="721"/>
      <c r="CM223" s="721"/>
      <c r="CN223" s="721"/>
      <c r="CO223" s="721"/>
      <c r="CP223" s="721"/>
      <c r="CQ223" s="721"/>
      <c r="CR223" s="721"/>
      <c r="CS223" s="721"/>
      <c r="CT223" s="721"/>
      <c r="CU223" s="721"/>
      <c r="CV223" s="721"/>
      <c r="CW223" s="721"/>
      <c r="CX223" s="721"/>
    </row>
    <row r="224" spans="1:102" ht="12" customHeight="1" x14ac:dyDescent="0.2">
      <c r="A224" s="721"/>
      <c r="B224" s="721"/>
      <c r="C224" s="721"/>
      <c r="D224" s="721"/>
      <c r="E224" s="721"/>
      <c r="F224" s="721"/>
      <c r="G224" s="721"/>
      <c r="H224" s="721"/>
      <c r="I224" s="721"/>
      <c r="J224" s="721"/>
      <c r="K224" s="721"/>
      <c r="L224" s="721"/>
      <c r="M224" s="721"/>
      <c r="N224" s="721"/>
      <c r="O224" s="721"/>
      <c r="P224" s="721"/>
      <c r="Q224" s="721"/>
      <c r="R224" s="721"/>
      <c r="S224" s="721"/>
      <c r="T224" s="721"/>
      <c r="U224" s="721"/>
      <c r="V224" s="721"/>
      <c r="W224" s="204"/>
      <c r="X224" s="723"/>
      <c r="Y224" s="723"/>
      <c r="Z224" s="723"/>
      <c r="AA224" s="723"/>
      <c r="AB224" s="723"/>
      <c r="AC224" s="723"/>
      <c r="AD224" s="723"/>
      <c r="AE224" s="723"/>
      <c r="AF224" s="723"/>
      <c r="AG224" s="723"/>
      <c r="AH224" s="723"/>
      <c r="AI224" s="723"/>
      <c r="AJ224" s="723"/>
      <c r="AK224" s="723"/>
      <c r="AL224" s="723"/>
      <c r="AM224" s="721"/>
      <c r="AN224" s="721"/>
      <c r="AO224" s="723"/>
      <c r="AP224" s="721"/>
      <c r="AQ224" s="723"/>
      <c r="AR224" s="721"/>
      <c r="AS224" s="723"/>
      <c r="AT224" s="721"/>
      <c r="AU224" s="723"/>
      <c r="AV224" s="721"/>
      <c r="AW224" s="721"/>
      <c r="AX224" s="721"/>
      <c r="AY224" s="721"/>
      <c r="AZ224" s="721"/>
      <c r="BA224" s="721"/>
      <c r="BB224" s="721"/>
      <c r="BC224" s="721"/>
      <c r="BD224" s="721"/>
      <c r="BE224" s="721"/>
      <c r="BF224" s="721"/>
      <c r="BG224" s="721"/>
      <c r="BH224" s="721"/>
      <c r="BI224" s="721"/>
      <c r="BJ224" s="721"/>
      <c r="BK224" s="721"/>
      <c r="BL224" s="721"/>
      <c r="BM224" s="721"/>
      <c r="BN224" s="721"/>
      <c r="BO224" s="721"/>
      <c r="BP224" s="721"/>
      <c r="BQ224" s="721"/>
      <c r="BR224" s="721"/>
      <c r="BS224" s="721"/>
      <c r="BT224" s="721"/>
      <c r="BU224" s="721"/>
      <c r="BV224" s="721"/>
      <c r="BW224" s="721"/>
      <c r="BX224" s="721"/>
      <c r="BY224" s="721"/>
      <c r="BZ224" s="721"/>
      <c r="CA224" s="721"/>
      <c r="CB224" s="721"/>
      <c r="CC224" s="721"/>
      <c r="CD224" s="721"/>
      <c r="CE224" s="721"/>
      <c r="CF224" s="721"/>
      <c r="CG224" s="721"/>
      <c r="CH224" s="721"/>
      <c r="CI224" s="721"/>
      <c r="CJ224" s="721"/>
      <c r="CK224" s="721"/>
      <c r="CL224" s="721"/>
      <c r="CM224" s="721"/>
      <c r="CN224" s="721"/>
      <c r="CO224" s="721"/>
      <c r="CP224" s="721"/>
      <c r="CQ224" s="721"/>
      <c r="CR224" s="721"/>
      <c r="CS224" s="721"/>
      <c r="CT224" s="721"/>
      <c r="CU224" s="721"/>
      <c r="CV224" s="721"/>
      <c r="CW224" s="721"/>
      <c r="CX224" s="721"/>
    </row>
    <row r="225" spans="1:102" ht="12" customHeight="1" x14ac:dyDescent="0.2">
      <c r="A225" s="721"/>
      <c r="B225" s="721"/>
      <c r="C225" s="721"/>
      <c r="D225" s="721"/>
      <c r="E225" s="721"/>
      <c r="F225" s="721"/>
      <c r="G225" s="721"/>
      <c r="H225" s="721"/>
      <c r="I225" s="721"/>
      <c r="J225" s="721"/>
      <c r="K225" s="721"/>
      <c r="L225" s="721"/>
      <c r="M225" s="721"/>
      <c r="N225" s="721"/>
      <c r="O225" s="721"/>
      <c r="P225" s="721"/>
      <c r="Q225" s="721"/>
      <c r="R225" s="721"/>
      <c r="S225" s="721"/>
      <c r="T225" s="721"/>
      <c r="U225" s="721"/>
      <c r="V225" s="721"/>
      <c r="W225" s="204"/>
      <c r="X225" s="723"/>
      <c r="Y225" s="723"/>
      <c r="Z225" s="723"/>
      <c r="AA225" s="723"/>
      <c r="AB225" s="723"/>
      <c r="AC225" s="723"/>
      <c r="AD225" s="723"/>
      <c r="AE225" s="723"/>
      <c r="AF225" s="723"/>
      <c r="AG225" s="723"/>
      <c r="AH225" s="723"/>
      <c r="AI225" s="723"/>
      <c r="AJ225" s="723"/>
      <c r="AK225" s="723"/>
      <c r="AL225" s="723"/>
      <c r="AM225" s="721"/>
      <c r="AN225" s="721"/>
      <c r="AO225" s="723"/>
      <c r="AP225" s="721"/>
      <c r="AQ225" s="723"/>
      <c r="AR225" s="721"/>
      <c r="AS225" s="723"/>
      <c r="AT225" s="721"/>
      <c r="AU225" s="723"/>
      <c r="AV225" s="721"/>
      <c r="AW225" s="721"/>
      <c r="AX225" s="721"/>
      <c r="AY225" s="721"/>
      <c r="AZ225" s="721"/>
      <c r="BA225" s="721"/>
      <c r="BB225" s="721"/>
      <c r="BC225" s="721"/>
      <c r="BD225" s="721"/>
      <c r="BE225" s="721"/>
      <c r="BF225" s="721"/>
      <c r="BG225" s="721"/>
      <c r="BH225" s="721"/>
      <c r="BI225" s="721"/>
      <c r="BJ225" s="721"/>
      <c r="BK225" s="721"/>
      <c r="BL225" s="721"/>
      <c r="BM225" s="721"/>
      <c r="BN225" s="721"/>
      <c r="BO225" s="721"/>
      <c r="BP225" s="721"/>
      <c r="BQ225" s="721"/>
      <c r="BR225" s="721"/>
      <c r="BS225" s="721"/>
      <c r="BT225" s="721"/>
      <c r="BU225" s="721"/>
      <c r="BV225" s="721"/>
      <c r="BW225" s="721"/>
      <c r="BX225" s="721"/>
      <c r="BY225" s="721"/>
      <c r="BZ225" s="721"/>
      <c r="CA225" s="721"/>
      <c r="CB225" s="721"/>
      <c r="CC225" s="721"/>
      <c r="CD225" s="721"/>
      <c r="CE225" s="721"/>
      <c r="CF225" s="721"/>
      <c r="CG225" s="721"/>
      <c r="CH225" s="721"/>
      <c r="CI225" s="721"/>
      <c r="CJ225" s="721"/>
      <c r="CK225" s="721"/>
      <c r="CL225" s="721"/>
      <c r="CM225" s="721"/>
      <c r="CN225" s="721"/>
      <c r="CO225" s="721"/>
      <c r="CP225" s="721"/>
      <c r="CQ225" s="721"/>
      <c r="CR225" s="721"/>
      <c r="CS225" s="721"/>
      <c r="CT225" s="721"/>
      <c r="CU225" s="721"/>
      <c r="CV225" s="721"/>
      <c r="CW225" s="721"/>
      <c r="CX225" s="721"/>
    </row>
    <row r="226" spans="1:102" ht="12" customHeight="1" x14ac:dyDescent="0.2">
      <c r="A226" s="721"/>
      <c r="B226" s="721"/>
      <c r="C226" s="721"/>
      <c r="D226" s="721"/>
      <c r="E226" s="721"/>
      <c r="F226" s="721"/>
      <c r="G226" s="721"/>
      <c r="H226" s="721"/>
      <c r="I226" s="721"/>
      <c r="J226" s="721"/>
      <c r="K226" s="721"/>
      <c r="L226" s="721"/>
      <c r="M226" s="721"/>
      <c r="N226" s="721"/>
      <c r="O226" s="721"/>
      <c r="P226" s="721"/>
      <c r="Q226" s="721"/>
      <c r="R226" s="721"/>
      <c r="S226" s="721"/>
      <c r="T226" s="721"/>
      <c r="U226" s="721"/>
      <c r="V226" s="721"/>
      <c r="W226" s="204"/>
      <c r="X226" s="723"/>
      <c r="Y226" s="723"/>
      <c r="Z226" s="723"/>
      <c r="AA226" s="723"/>
      <c r="AB226" s="723"/>
      <c r="AC226" s="723"/>
      <c r="AD226" s="723"/>
      <c r="AE226" s="723"/>
      <c r="AF226" s="723"/>
      <c r="AG226" s="723"/>
      <c r="AH226" s="723"/>
      <c r="AI226" s="723"/>
      <c r="AJ226" s="723"/>
      <c r="AK226" s="723"/>
      <c r="AL226" s="723"/>
      <c r="AM226" s="721"/>
      <c r="AN226" s="721"/>
      <c r="AO226" s="723"/>
      <c r="AP226" s="721"/>
      <c r="AQ226" s="723"/>
      <c r="AR226" s="721"/>
      <c r="AS226" s="723"/>
      <c r="AT226" s="721"/>
      <c r="AU226" s="723"/>
      <c r="AV226" s="721"/>
      <c r="AW226" s="721"/>
      <c r="AX226" s="721"/>
      <c r="AY226" s="721"/>
      <c r="AZ226" s="721"/>
      <c r="BA226" s="721"/>
      <c r="BB226" s="721"/>
      <c r="BC226" s="721"/>
      <c r="BD226" s="721"/>
      <c r="BE226" s="721"/>
      <c r="BF226" s="721"/>
      <c r="BG226" s="721"/>
      <c r="BH226" s="721"/>
      <c r="BI226" s="721"/>
      <c r="BJ226" s="721"/>
      <c r="BK226" s="721"/>
      <c r="BL226" s="721"/>
      <c r="BM226" s="721"/>
      <c r="BN226" s="721"/>
      <c r="BO226" s="721"/>
      <c r="BP226" s="721"/>
      <c r="BQ226" s="721"/>
      <c r="BR226" s="721"/>
      <c r="BS226" s="721"/>
      <c r="BT226" s="721"/>
      <c r="BU226" s="721"/>
      <c r="BV226" s="721"/>
      <c r="BW226" s="721"/>
      <c r="BX226" s="721"/>
      <c r="BY226" s="721"/>
      <c r="BZ226" s="721"/>
      <c r="CA226" s="721"/>
      <c r="CB226" s="721"/>
      <c r="CC226" s="721"/>
      <c r="CD226" s="721"/>
      <c r="CE226" s="721"/>
      <c r="CF226" s="721"/>
      <c r="CG226" s="721"/>
      <c r="CH226" s="721"/>
      <c r="CI226" s="721"/>
      <c r="CJ226" s="721"/>
      <c r="CK226" s="721"/>
      <c r="CL226" s="721"/>
      <c r="CM226" s="721"/>
      <c r="CN226" s="721"/>
      <c r="CO226" s="721"/>
      <c r="CP226" s="721"/>
      <c r="CQ226" s="721"/>
      <c r="CR226" s="721"/>
      <c r="CS226" s="721"/>
      <c r="CT226" s="721"/>
      <c r="CU226" s="721"/>
      <c r="CV226" s="721"/>
      <c r="CW226" s="721"/>
      <c r="CX226" s="721"/>
    </row>
    <row r="227" spans="1:102" ht="12" customHeight="1" x14ac:dyDescent="0.2">
      <c r="A227" s="721"/>
      <c r="B227" s="721"/>
      <c r="C227" s="721"/>
      <c r="D227" s="721"/>
      <c r="E227" s="721"/>
      <c r="F227" s="721"/>
      <c r="G227" s="721"/>
      <c r="H227" s="721"/>
      <c r="I227" s="721"/>
      <c r="J227" s="721"/>
      <c r="K227" s="721"/>
      <c r="L227" s="721"/>
      <c r="M227" s="721"/>
      <c r="N227" s="721"/>
      <c r="O227" s="721"/>
      <c r="P227" s="721"/>
      <c r="Q227" s="721"/>
      <c r="R227" s="721"/>
      <c r="S227" s="721"/>
      <c r="T227" s="721"/>
      <c r="U227" s="721"/>
      <c r="V227" s="721"/>
      <c r="W227" s="204"/>
      <c r="X227" s="723"/>
      <c r="Y227" s="723"/>
      <c r="Z227" s="723"/>
      <c r="AA227" s="723"/>
      <c r="AB227" s="723"/>
      <c r="AC227" s="723"/>
      <c r="AD227" s="723"/>
      <c r="AE227" s="723"/>
      <c r="AF227" s="723"/>
      <c r="AG227" s="723"/>
      <c r="AH227" s="723"/>
      <c r="AI227" s="723"/>
      <c r="AJ227" s="723"/>
      <c r="AK227" s="723"/>
      <c r="AL227" s="723"/>
      <c r="AM227" s="721"/>
      <c r="AN227" s="721"/>
      <c r="AO227" s="723"/>
      <c r="AP227" s="721"/>
      <c r="AQ227" s="723"/>
      <c r="AR227" s="721"/>
      <c r="AS227" s="723"/>
      <c r="AT227" s="721"/>
      <c r="AU227" s="723"/>
      <c r="AV227" s="721"/>
      <c r="AW227" s="721"/>
      <c r="AX227" s="721"/>
      <c r="AY227" s="721"/>
      <c r="AZ227" s="721"/>
      <c r="BA227" s="721"/>
      <c r="BB227" s="721"/>
      <c r="BC227" s="721"/>
      <c r="BD227" s="721"/>
      <c r="BE227" s="721"/>
      <c r="BF227" s="721"/>
      <c r="BG227" s="721"/>
      <c r="BH227" s="721"/>
      <c r="BI227" s="721"/>
      <c r="BJ227" s="721"/>
      <c r="BK227" s="721"/>
      <c r="BL227" s="721"/>
      <c r="BM227" s="721"/>
      <c r="BN227" s="721"/>
      <c r="BO227" s="721"/>
      <c r="BP227" s="721"/>
      <c r="BQ227" s="721"/>
      <c r="BR227" s="721"/>
      <c r="BS227" s="721"/>
      <c r="BT227" s="721"/>
      <c r="BU227" s="721"/>
      <c r="BV227" s="721"/>
      <c r="BW227" s="721"/>
      <c r="BX227" s="721"/>
      <c r="BY227" s="721"/>
      <c r="BZ227" s="721"/>
      <c r="CA227" s="721"/>
      <c r="CB227" s="721"/>
      <c r="CC227" s="721"/>
      <c r="CD227" s="721"/>
      <c r="CE227" s="721"/>
      <c r="CF227" s="721"/>
      <c r="CG227" s="721"/>
      <c r="CH227" s="721"/>
      <c r="CI227" s="721"/>
      <c r="CJ227" s="721"/>
      <c r="CK227" s="721"/>
      <c r="CL227" s="721"/>
      <c r="CM227" s="721"/>
      <c r="CN227" s="721"/>
      <c r="CO227" s="721"/>
      <c r="CP227" s="721"/>
      <c r="CQ227" s="721"/>
      <c r="CR227" s="721"/>
      <c r="CS227" s="721"/>
      <c r="CT227" s="721"/>
      <c r="CU227" s="721"/>
      <c r="CV227" s="721"/>
      <c r="CW227" s="721"/>
      <c r="CX227" s="721"/>
    </row>
    <row r="228" spans="1:102" ht="12" customHeight="1" x14ac:dyDescent="0.2">
      <c r="A228" s="721"/>
      <c r="B228" s="721"/>
      <c r="C228" s="721"/>
      <c r="D228" s="721"/>
      <c r="E228" s="721"/>
      <c r="F228" s="721"/>
      <c r="G228" s="721"/>
      <c r="H228" s="721"/>
      <c r="I228" s="721"/>
      <c r="J228" s="721"/>
      <c r="K228" s="721"/>
      <c r="L228" s="721"/>
      <c r="M228" s="721"/>
      <c r="N228" s="721"/>
      <c r="O228" s="721"/>
      <c r="P228" s="721"/>
      <c r="Q228" s="721"/>
      <c r="R228" s="721"/>
      <c r="S228" s="721"/>
      <c r="T228" s="721"/>
      <c r="U228" s="721"/>
      <c r="V228" s="721"/>
      <c r="W228" s="204"/>
      <c r="X228" s="723"/>
      <c r="Y228" s="723"/>
      <c r="Z228" s="723"/>
      <c r="AA228" s="723"/>
      <c r="AB228" s="723"/>
      <c r="AC228" s="723"/>
      <c r="AD228" s="723"/>
      <c r="AE228" s="723"/>
      <c r="AF228" s="723"/>
      <c r="AG228" s="723"/>
      <c r="AH228" s="723"/>
      <c r="AI228" s="723"/>
      <c r="AJ228" s="723"/>
      <c r="AK228" s="723"/>
      <c r="AL228" s="723"/>
      <c r="AM228" s="721"/>
      <c r="AN228" s="721"/>
      <c r="AO228" s="723"/>
      <c r="AP228" s="721"/>
      <c r="AQ228" s="723"/>
      <c r="AR228" s="721"/>
      <c r="AS228" s="723"/>
      <c r="AT228" s="721"/>
      <c r="AU228" s="723"/>
      <c r="AV228" s="721"/>
      <c r="AW228" s="721"/>
      <c r="AX228" s="721"/>
      <c r="AY228" s="721"/>
      <c r="AZ228" s="721"/>
      <c r="BA228" s="721"/>
      <c r="BB228" s="721"/>
      <c r="BC228" s="721"/>
      <c r="BD228" s="721"/>
      <c r="BE228" s="721"/>
      <c r="BF228" s="721"/>
      <c r="BG228" s="721"/>
      <c r="BH228" s="721"/>
      <c r="BI228" s="721"/>
      <c r="BJ228" s="721"/>
      <c r="BK228" s="721"/>
      <c r="BL228" s="721"/>
      <c r="BM228" s="721"/>
      <c r="BN228" s="721"/>
      <c r="BO228" s="721"/>
      <c r="BP228" s="721"/>
      <c r="BQ228" s="721"/>
      <c r="BR228" s="721"/>
      <c r="BS228" s="721"/>
      <c r="BT228" s="721"/>
      <c r="BU228" s="721"/>
      <c r="BV228" s="721"/>
      <c r="BW228" s="721"/>
      <c r="BX228" s="721"/>
      <c r="BY228" s="721"/>
      <c r="BZ228" s="721"/>
      <c r="CA228" s="721"/>
      <c r="CB228" s="721"/>
      <c r="CC228" s="721"/>
      <c r="CD228" s="721"/>
      <c r="CE228" s="721"/>
      <c r="CF228" s="721"/>
      <c r="CG228" s="721"/>
      <c r="CH228" s="721"/>
      <c r="CI228" s="721"/>
      <c r="CJ228" s="721"/>
      <c r="CK228" s="721"/>
      <c r="CL228" s="721"/>
      <c r="CM228" s="721"/>
      <c r="CN228" s="721"/>
      <c r="CO228" s="721"/>
      <c r="CP228" s="721"/>
      <c r="CQ228" s="721"/>
      <c r="CR228" s="721"/>
      <c r="CS228" s="721"/>
      <c r="CT228" s="721"/>
      <c r="CU228" s="721"/>
      <c r="CV228" s="721"/>
      <c r="CW228" s="721"/>
      <c r="CX228" s="721"/>
    </row>
    <row r="229" spans="1:102" ht="12" customHeight="1" x14ac:dyDescent="0.2">
      <c r="A229" s="721"/>
      <c r="B229" s="721"/>
      <c r="C229" s="721"/>
      <c r="D229" s="721"/>
      <c r="E229" s="721"/>
      <c r="F229" s="721"/>
      <c r="G229" s="721"/>
      <c r="H229" s="721"/>
      <c r="I229" s="721"/>
      <c r="J229" s="721"/>
      <c r="K229" s="721"/>
      <c r="L229" s="721"/>
      <c r="M229" s="721"/>
      <c r="N229" s="721"/>
      <c r="O229" s="721"/>
      <c r="P229" s="721"/>
      <c r="Q229" s="721"/>
      <c r="R229" s="721"/>
      <c r="S229" s="721"/>
      <c r="T229" s="721"/>
      <c r="U229" s="721"/>
      <c r="V229" s="721"/>
      <c r="W229" s="204"/>
      <c r="X229" s="723"/>
      <c r="Y229" s="723"/>
      <c r="Z229" s="723"/>
      <c r="AA229" s="723"/>
      <c r="AB229" s="723"/>
      <c r="AC229" s="723"/>
      <c r="AD229" s="723"/>
      <c r="AE229" s="723"/>
      <c r="AF229" s="723"/>
      <c r="AG229" s="723"/>
      <c r="AH229" s="723"/>
      <c r="AI229" s="723"/>
      <c r="AJ229" s="723"/>
      <c r="AK229" s="723"/>
      <c r="AL229" s="723"/>
      <c r="AM229" s="721"/>
      <c r="AN229" s="721"/>
      <c r="AO229" s="723"/>
      <c r="AP229" s="721"/>
      <c r="AQ229" s="723"/>
      <c r="AR229" s="721"/>
      <c r="AS229" s="723"/>
      <c r="AT229" s="721"/>
      <c r="AU229" s="723"/>
      <c r="AV229" s="721"/>
      <c r="AW229" s="721"/>
      <c r="AX229" s="721"/>
      <c r="AY229" s="721"/>
      <c r="AZ229" s="721"/>
      <c r="BA229" s="721"/>
      <c r="BB229" s="721"/>
      <c r="BC229" s="721"/>
      <c r="BD229" s="721"/>
      <c r="BE229" s="721"/>
      <c r="BF229" s="721"/>
      <c r="BG229" s="721"/>
      <c r="BH229" s="721"/>
      <c r="BI229" s="721"/>
      <c r="BJ229" s="721"/>
      <c r="BK229" s="721"/>
      <c r="BL229" s="721"/>
      <c r="BM229" s="721"/>
      <c r="BN229" s="721"/>
      <c r="BO229" s="721"/>
      <c r="BP229" s="721"/>
      <c r="BQ229" s="721"/>
      <c r="BR229" s="721"/>
      <c r="BS229" s="721"/>
      <c r="BT229" s="721"/>
      <c r="BU229" s="721"/>
      <c r="BV229" s="721"/>
      <c r="BW229" s="721"/>
      <c r="BX229" s="721"/>
      <c r="BY229" s="721"/>
      <c r="BZ229" s="721"/>
      <c r="CA229" s="721"/>
      <c r="CB229" s="721"/>
      <c r="CC229" s="721"/>
      <c r="CD229" s="721"/>
      <c r="CE229" s="721"/>
      <c r="CF229" s="721"/>
      <c r="CG229" s="721"/>
      <c r="CH229" s="721"/>
      <c r="CI229" s="721"/>
      <c r="CJ229" s="721"/>
      <c r="CK229" s="721"/>
      <c r="CL229" s="721"/>
      <c r="CM229" s="721"/>
      <c r="CN229" s="721"/>
      <c r="CO229" s="721"/>
      <c r="CP229" s="721"/>
      <c r="CQ229" s="721"/>
      <c r="CR229" s="721"/>
      <c r="CS229" s="721"/>
      <c r="CT229" s="721"/>
      <c r="CU229" s="721"/>
      <c r="CV229" s="721"/>
      <c r="CW229" s="721"/>
      <c r="CX229" s="721"/>
    </row>
    <row r="230" spans="1:102" ht="12" customHeight="1" x14ac:dyDescent="0.2">
      <c r="A230" s="721"/>
      <c r="B230" s="721"/>
      <c r="C230" s="721"/>
      <c r="D230" s="721"/>
      <c r="E230" s="721"/>
      <c r="F230" s="721"/>
      <c r="G230" s="721"/>
      <c r="H230" s="721"/>
      <c r="I230" s="721"/>
      <c r="J230" s="721"/>
      <c r="K230" s="721"/>
      <c r="L230" s="721"/>
      <c r="M230" s="721"/>
      <c r="N230" s="721"/>
      <c r="O230" s="721"/>
      <c r="P230" s="721"/>
      <c r="Q230" s="721"/>
      <c r="R230" s="721"/>
      <c r="S230" s="721"/>
      <c r="T230" s="721"/>
      <c r="U230" s="721"/>
      <c r="V230" s="721"/>
      <c r="W230" s="204"/>
      <c r="X230" s="723"/>
      <c r="Y230" s="723"/>
      <c r="Z230" s="723"/>
      <c r="AA230" s="723"/>
      <c r="AB230" s="723"/>
      <c r="AC230" s="723"/>
      <c r="AD230" s="723"/>
      <c r="AE230" s="723"/>
      <c r="AF230" s="723"/>
      <c r="AG230" s="723"/>
      <c r="AH230" s="723"/>
      <c r="AI230" s="723"/>
      <c r="AJ230" s="723"/>
      <c r="AK230" s="723"/>
      <c r="AL230" s="723"/>
      <c r="AM230" s="721"/>
      <c r="AN230" s="721"/>
      <c r="AO230" s="723"/>
      <c r="AP230" s="721"/>
      <c r="AQ230" s="723"/>
      <c r="AR230" s="721"/>
      <c r="AS230" s="723"/>
      <c r="AT230" s="721"/>
      <c r="AU230" s="723"/>
      <c r="AV230" s="721"/>
      <c r="AW230" s="721"/>
      <c r="AX230" s="721"/>
      <c r="AY230" s="721"/>
      <c r="AZ230" s="721"/>
      <c r="BA230" s="721"/>
      <c r="BB230" s="721"/>
      <c r="BC230" s="721"/>
      <c r="BD230" s="721"/>
      <c r="BE230" s="721"/>
      <c r="BF230" s="721"/>
      <c r="BG230" s="721"/>
      <c r="BH230" s="721"/>
      <c r="BI230" s="721"/>
      <c r="BJ230" s="721"/>
      <c r="BK230" s="721"/>
      <c r="BL230" s="721"/>
      <c r="BM230" s="721"/>
      <c r="BN230" s="721"/>
      <c r="BO230" s="721"/>
      <c r="BP230" s="721"/>
      <c r="BQ230" s="721"/>
      <c r="BR230" s="721"/>
      <c r="BS230" s="721"/>
      <c r="BT230" s="721"/>
      <c r="BU230" s="721"/>
      <c r="BV230" s="721"/>
      <c r="BW230" s="721"/>
      <c r="BX230" s="721"/>
      <c r="BY230" s="721"/>
      <c r="BZ230" s="721"/>
      <c r="CA230" s="721"/>
      <c r="CB230" s="721"/>
      <c r="CC230" s="721"/>
      <c r="CD230" s="721"/>
      <c r="CE230" s="721"/>
      <c r="CF230" s="721"/>
      <c r="CG230" s="721"/>
      <c r="CH230" s="721"/>
      <c r="CI230" s="721"/>
      <c r="CJ230" s="721"/>
      <c r="CK230" s="721"/>
      <c r="CL230" s="721"/>
      <c r="CM230" s="721"/>
      <c r="CN230" s="721"/>
      <c r="CO230" s="721"/>
      <c r="CP230" s="721"/>
      <c r="CQ230" s="721"/>
      <c r="CR230" s="721"/>
      <c r="CS230" s="721"/>
      <c r="CT230" s="721"/>
      <c r="CU230" s="721"/>
      <c r="CV230" s="721"/>
      <c r="CW230" s="721"/>
      <c r="CX230" s="721"/>
    </row>
    <row r="231" spans="1:102" ht="12" customHeight="1" x14ac:dyDescent="0.2">
      <c r="A231" s="721"/>
      <c r="B231" s="721"/>
      <c r="C231" s="721"/>
      <c r="D231" s="721"/>
      <c r="E231" s="721"/>
      <c r="F231" s="721"/>
      <c r="G231" s="721"/>
      <c r="H231" s="721"/>
      <c r="I231" s="721"/>
      <c r="J231" s="721"/>
      <c r="K231" s="721"/>
      <c r="L231" s="721"/>
      <c r="M231" s="721"/>
      <c r="N231" s="721"/>
      <c r="O231" s="721"/>
      <c r="P231" s="721"/>
      <c r="Q231" s="721"/>
      <c r="R231" s="721"/>
      <c r="S231" s="721"/>
      <c r="T231" s="721"/>
      <c r="U231" s="721"/>
      <c r="V231" s="721"/>
      <c r="W231" s="204"/>
      <c r="X231" s="723"/>
      <c r="Y231" s="723"/>
      <c r="Z231" s="723"/>
      <c r="AA231" s="723"/>
      <c r="AB231" s="723"/>
      <c r="AC231" s="723"/>
      <c r="AD231" s="723"/>
      <c r="AE231" s="723"/>
      <c r="AF231" s="723"/>
      <c r="AG231" s="723"/>
      <c r="AH231" s="723"/>
      <c r="AI231" s="723"/>
      <c r="AJ231" s="723"/>
      <c r="AK231" s="723"/>
      <c r="AL231" s="723"/>
      <c r="AM231" s="721"/>
      <c r="AN231" s="721"/>
      <c r="AO231" s="723"/>
      <c r="AP231" s="721"/>
      <c r="AQ231" s="723"/>
      <c r="AR231" s="721"/>
      <c r="AS231" s="723"/>
      <c r="AT231" s="721"/>
      <c r="AU231" s="723"/>
      <c r="AV231" s="721"/>
      <c r="AW231" s="721"/>
      <c r="AX231" s="721"/>
      <c r="AY231" s="721"/>
      <c r="AZ231" s="721"/>
      <c r="BA231" s="721"/>
      <c r="BB231" s="721"/>
      <c r="BC231" s="721"/>
      <c r="BD231" s="721"/>
      <c r="BE231" s="721"/>
      <c r="BF231" s="721"/>
      <c r="BG231" s="721"/>
      <c r="BH231" s="721"/>
      <c r="BI231" s="721"/>
      <c r="BJ231" s="721"/>
      <c r="BK231" s="721"/>
      <c r="BL231" s="721"/>
      <c r="BM231" s="721"/>
      <c r="BN231" s="721"/>
      <c r="BO231" s="721"/>
      <c r="BP231" s="721"/>
      <c r="BQ231" s="721"/>
      <c r="BR231" s="721"/>
      <c r="BS231" s="721"/>
      <c r="BT231" s="721"/>
      <c r="BU231" s="721"/>
      <c r="BV231" s="721"/>
      <c r="BW231" s="721"/>
      <c r="BX231" s="721"/>
      <c r="BY231" s="721"/>
      <c r="BZ231" s="721"/>
      <c r="CA231" s="721"/>
      <c r="CB231" s="721"/>
      <c r="CC231" s="721"/>
      <c r="CD231" s="721"/>
      <c r="CE231" s="721"/>
      <c r="CF231" s="721"/>
      <c r="CG231" s="721"/>
      <c r="CH231" s="721"/>
      <c r="CI231" s="721"/>
      <c r="CJ231" s="721"/>
      <c r="CK231" s="721"/>
      <c r="CL231" s="721"/>
      <c r="CM231" s="721"/>
      <c r="CN231" s="721"/>
      <c r="CO231" s="721"/>
      <c r="CP231" s="721"/>
      <c r="CQ231" s="721"/>
      <c r="CR231" s="721"/>
      <c r="CS231" s="721"/>
      <c r="CT231" s="721"/>
      <c r="CU231" s="721"/>
      <c r="CV231" s="721"/>
      <c r="CW231" s="721"/>
      <c r="CX231" s="721"/>
    </row>
    <row r="232" spans="1:102" ht="12" customHeight="1" x14ac:dyDescent="0.2">
      <c r="A232" s="721"/>
      <c r="B232" s="721"/>
      <c r="C232" s="721"/>
      <c r="D232" s="721"/>
      <c r="E232" s="721"/>
      <c r="F232" s="721"/>
      <c r="G232" s="721"/>
      <c r="H232" s="721"/>
      <c r="I232" s="721"/>
      <c r="J232" s="721"/>
      <c r="K232" s="721"/>
      <c r="L232" s="721"/>
      <c r="M232" s="721"/>
      <c r="N232" s="721"/>
      <c r="O232" s="721"/>
      <c r="P232" s="721"/>
      <c r="Q232" s="721"/>
      <c r="R232" s="721"/>
      <c r="S232" s="721"/>
      <c r="T232" s="721"/>
      <c r="U232" s="721"/>
      <c r="V232" s="721"/>
      <c r="W232" s="204"/>
      <c r="X232" s="723"/>
      <c r="Y232" s="723"/>
      <c r="Z232" s="723"/>
      <c r="AA232" s="723"/>
      <c r="AB232" s="723"/>
      <c r="AC232" s="723"/>
      <c r="AD232" s="723"/>
      <c r="AE232" s="723"/>
      <c r="AF232" s="723"/>
      <c r="AG232" s="723"/>
      <c r="AH232" s="723"/>
      <c r="AI232" s="723"/>
      <c r="AJ232" s="723"/>
      <c r="AK232" s="723"/>
      <c r="AL232" s="723"/>
      <c r="AM232" s="721"/>
      <c r="AN232" s="721"/>
      <c r="AO232" s="723"/>
      <c r="AP232" s="721"/>
      <c r="AQ232" s="723"/>
      <c r="AR232" s="721"/>
      <c r="AS232" s="723"/>
      <c r="AT232" s="721"/>
      <c r="AU232" s="723"/>
      <c r="AV232" s="721"/>
      <c r="AW232" s="721"/>
      <c r="AX232" s="721"/>
      <c r="AY232" s="721"/>
      <c r="AZ232" s="721"/>
      <c r="BA232" s="721"/>
      <c r="BB232" s="721"/>
      <c r="BC232" s="721"/>
      <c r="BD232" s="721"/>
      <c r="BE232" s="721"/>
      <c r="BF232" s="721"/>
      <c r="BG232" s="721"/>
      <c r="BH232" s="721"/>
      <c r="BI232" s="721"/>
      <c r="BJ232" s="721"/>
      <c r="BK232" s="721"/>
      <c r="BL232" s="721"/>
      <c r="BM232" s="721"/>
      <c r="BN232" s="721"/>
      <c r="BO232" s="721"/>
      <c r="BP232" s="721"/>
      <c r="BQ232" s="721"/>
      <c r="BR232" s="721"/>
      <c r="BS232" s="721"/>
      <c r="BT232" s="721"/>
      <c r="BU232" s="721"/>
      <c r="BV232" s="721"/>
      <c r="BW232" s="721"/>
      <c r="BX232" s="721"/>
      <c r="BY232" s="721"/>
      <c r="BZ232" s="721"/>
      <c r="CA232" s="721"/>
      <c r="CB232" s="721"/>
      <c r="CC232" s="721"/>
      <c r="CD232" s="721"/>
      <c r="CE232" s="721"/>
      <c r="CF232" s="721"/>
      <c r="CG232" s="721"/>
      <c r="CH232" s="721"/>
      <c r="CI232" s="721"/>
      <c r="CJ232" s="721"/>
      <c r="CK232" s="721"/>
      <c r="CL232" s="721"/>
      <c r="CM232" s="721"/>
      <c r="CN232" s="721"/>
      <c r="CO232" s="721"/>
      <c r="CP232" s="721"/>
      <c r="CQ232" s="721"/>
      <c r="CR232" s="721"/>
      <c r="CS232" s="721"/>
      <c r="CT232" s="721"/>
      <c r="CU232" s="721"/>
      <c r="CV232" s="721"/>
      <c r="CW232" s="721"/>
      <c r="CX232" s="721"/>
    </row>
    <row r="233" spans="1:102" ht="12" customHeight="1" x14ac:dyDescent="0.2">
      <c r="A233" s="721"/>
      <c r="B233" s="721"/>
      <c r="C233" s="721"/>
      <c r="D233" s="721"/>
      <c r="E233" s="721"/>
      <c r="F233" s="721"/>
      <c r="G233" s="721"/>
      <c r="H233" s="721"/>
      <c r="I233" s="721"/>
      <c r="J233" s="721"/>
      <c r="K233" s="721"/>
      <c r="L233" s="721"/>
      <c r="M233" s="721"/>
      <c r="N233" s="721"/>
      <c r="O233" s="721"/>
      <c r="P233" s="721"/>
      <c r="Q233" s="721"/>
      <c r="R233" s="721"/>
      <c r="S233" s="721"/>
      <c r="T233" s="721"/>
      <c r="U233" s="721"/>
      <c r="V233" s="721"/>
      <c r="W233" s="204"/>
      <c r="X233" s="723"/>
      <c r="Y233" s="723"/>
      <c r="Z233" s="723"/>
      <c r="AA233" s="723"/>
      <c r="AB233" s="723"/>
      <c r="AC233" s="723"/>
      <c r="AD233" s="723"/>
      <c r="AE233" s="723"/>
      <c r="AF233" s="723"/>
      <c r="AG233" s="723"/>
      <c r="AH233" s="723"/>
      <c r="AI233" s="723"/>
      <c r="AJ233" s="723"/>
      <c r="AK233" s="723"/>
      <c r="AL233" s="723"/>
      <c r="AM233" s="721"/>
      <c r="AN233" s="721"/>
      <c r="AO233" s="723"/>
      <c r="AP233" s="721"/>
      <c r="AQ233" s="723"/>
      <c r="AR233" s="721"/>
      <c r="AS233" s="723"/>
      <c r="AT233" s="721"/>
      <c r="AU233" s="723"/>
      <c r="AV233" s="721"/>
      <c r="AW233" s="721"/>
      <c r="AX233" s="721"/>
      <c r="AY233" s="721"/>
      <c r="AZ233" s="721"/>
      <c r="BA233" s="721"/>
      <c r="BB233" s="721"/>
      <c r="BC233" s="721"/>
      <c r="BD233" s="721"/>
      <c r="BE233" s="721"/>
      <c r="BF233" s="721"/>
      <c r="BG233" s="721"/>
      <c r="BH233" s="721"/>
      <c r="BI233" s="721"/>
      <c r="BJ233" s="721"/>
      <c r="BK233" s="721"/>
      <c r="BL233" s="721"/>
      <c r="BM233" s="721"/>
      <c r="BN233" s="721"/>
      <c r="BO233" s="721"/>
      <c r="BP233" s="721"/>
      <c r="BQ233" s="721"/>
      <c r="BR233" s="721"/>
      <c r="BS233" s="721"/>
      <c r="BT233" s="721"/>
      <c r="BU233" s="721"/>
      <c r="BV233" s="721"/>
      <c r="BW233" s="721"/>
      <c r="BX233" s="721"/>
      <c r="BY233" s="721"/>
      <c r="BZ233" s="721"/>
      <c r="CA233" s="721"/>
      <c r="CB233" s="721"/>
      <c r="CC233" s="721"/>
      <c r="CD233" s="721"/>
      <c r="CE233" s="721"/>
      <c r="CF233" s="721"/>
      <c r="CG233" s="721"/>
      <c r="CH233" s="721"/>
      <c r="CI233" s="721"/>
      <c r="CJ233" s="721"/>
      <c r="CK233" s="721"/>
      <c r="CL233" s="721"/>
      <c r="CM233" s="721"/>
      <c r="CN233" s="721"/>
      <c r="CO233" s="721"/>
      <c r="CP233" s="721"/>
      <c r="CQ233" s="721"/>
      <c r="CR233" s="721"/>
      <c r="CS233" s="721"/>
      <c r="CT233" s="721"/>
      <c r="CU233" s="721"/>
      <c r="CV233" s="721"/>
      <c r="CW233" s="721"/>
      <c r="CX233" s="721"/>
    </row>
    <row r="234" spans="1:102" ht="12" customHeight="1" x14ac:dyDescent="0.2">
      <c r="A234" s="721"/>
      <c r="B234" s="721"/>
      <c r="C234" s="721"/>
      <c r="D234" s="721"/>
      <c r="E234" s="721"/>
      <c r="F234" s="721"/>
      <c r="G234" s="721"/>
      <c r="H234" s="721"/>
      <c r="I234" s="721"/>
      <c r="J234" s="721"/>
      <c r="K234" s="721"/>
      <c r="L234" s="721"/>
      <c r="M234" s="721"/>
      <c r="N234" s="721"/>
      <c r="O234" s="721"/>
      <c r="P234" s="721"/>
      <c r="Q234" s="721"/>
      <c r="R234" s="721"/>
      <c r="S234" s="721"/>
      <c r="T234" s="721"/>
      <c r="U234" s="721"/>
      <c r="V234" s="721"/>
      <c r="W234" s="204"/>
      <c r="X234" s="723"/>
      <c r="Y234" s="723"/>
      <c r="Z234" s="723"/>
      <c r="AA234" s="723"/>
      <c r="AB234" s="723"/>
      <c r="AC234" s="723"/>
      <c r="AD234" s="723"/>
      <c r="AE234" s="723"/>
      <c r="AF234" s="723"/>
      <c r="AG234" s="723"/>
      <c r="AH234" s="723"/>
      <c r="AI234" s="723"/>
      <c r="AJ234" s="723"/>
      <c r="AK234" s="723"/>
      <c r="AL234" s="723"/>
      <c r="AM234" s="721"/>
      <c r="AN234" s="721"/>
      <c r="AO234" s="723"/>
      <c r="AP234" s="721"/>
      <c r="AQ234" s="723"/>
      <c r="AR234" s="721"/>
      <c r="AS234" s="723"/>
      <c r="AT234" s="721"/>
      <c r="AU234" s="723"/>
      <c r="AV234" s="721"/>
      <c r="AW234" s="721"/>
      <c r="AX234" s="721"/>
      <c r="AY234" s="721"/>
      <c r="AZ234" s="721"/>
      <c r="BA234" s="721"/>
      <c r="BB234" s="721"/>
      <c r="BC234" s="721"/>
      <c r="BD234" s="721"/>
      <c r="BE234" s="721"/>
      <c r="BF234" s="721"/>
      <c r="BG234" s="721"/>
      <c r="BH234" s="721"/>
      <c r="BI234" s="721"/>
      <c r="BJ234" s="721"/>
      <c r="BK234" s="721"/>
      <c r="BL234" s="721"/>
      <c r="BM234" s="721"/>
      <c r="BN234" s="721"/>
      <c r="BO234" s="721"/>
      <c r="BP234" s="721"/>
      <c r="BQ234" s="721"/>
      <c r="BR234" s="721"/>
      <c r="BS234" s="721"/>
      <c r="BT234" s="721"/>
      <c r="BU234" s="721"/>
      <c r="BV234" s="721"/>
      <c r="BW234" s="721"/>
      <c r="BX234" s="721"/>
      <c r="BY234" s="721"/>
      <c r="BZ234" s="721"/>
      <c r="CA234" s="721"/>
      <c r="CB234" s="721"/>
      <c r="CC234" s="721"/>
      <c r="CD234" s="721"/>
      <c r="CE234" s="721"/>
      <c r="CF234" s="721"/>
      <c r="CG234" s="721"/>
      <c r="CH234" s="721"/>
      <c r="CI234" s="721"/>
      <c r="CJ234" s="721"/>
      <c r="CK234" s="721"/>
      <c r="CL234" s="721"/>
      <c r="CM234" s="721"/>
      <c r="CN234" s="721"/>
      <c r="CO234" s="721"/>
      <c r="CP234" s="721"/>
      <c r="CQ234" s="721"/>
      <c r="CR234" s="721"/>
      <c r="CS234" s="721"/>
      <c r="CT234" s="721"/>
      <c r="CU234" s="721"/>
      <c r="CV234" s="721"/>
      <c r="CW234" s="721"/>
      <c r="CX234" s="721"/>
    </row>
    <row r="235" spans="1:102" ht="12" customHeight="1" x14ac:dyDescent="0.2">
      <c r="A235" s="721"/>
      <c r="B235" s="721"/>
      <c r="C235" s="721"/>
      <c r="D235" s="721"/>
      <c r="E235" s="721"/>
      <c r="F235" s="721"/>
      <c r="G235" s="721"/>
      <c r="H235" s="721"/>
      <c r="I235" s="721"/>
      <c r="J235" s="721"/>
      <c r="K235" s="721"/>
      <c r="L235" s="721"/>
      <c r="M235" s="721"/>
      <c r="N235" s="721"/>
      <c r="O235" s="721"/>
      <c r="P235" s="721"/>
      <c r="Q235" s="721"/>
      <c r="R235" s="721"/>
      <c r="S235" s="721"/>
      <c r="T235" s="721"/>
      <c r="U235" s="721"/>
      <c r="V235" s="721"/>
      <c r="W235" s="204"/>
      <c r="X235" s="723"/>
      <c r="Y235" s="723"/>
      <c r="Z235" s="723"/>
      <c r="AA235" s="723"/>
      <c r="AB235" s="723"/>
      <c r="AC235" s="723"/>
      <c r="AD235" s="723"/>
      <c r="AE235" s="723"/>
      <c r="AF235" s="723"/>
      <c r="AG235" s="723"/>
      <c r="AH235" s="723"/>
      <c r="AI235" s="723"/>
      <c r="AJ235" s="723"/>
      <c r="AK235" s="723"/>
      <c r="AL235" s="723"/>
      <c r="AM235" s="721"/>
      <c r="AN235" s="721"/>
      <c r="AO235" s="723"/>
      <c r="AP235" s="721"/>
      <c r="AQ235" s="723"/>
      <c r="AR235" s="721"/>
      <c r="AS235" s="723"/>
      <c r="AT235" s="721"/>
      <c r="AU235" s="723"/>
      <c r="AV235" s="721"/>
      <c r="AW235" s="721"/>
      <c r="AX235" s="721"/>
      <c r="AY235" s="721"/>
      <c r="AZ235" s="721"/>
      <c r="BA235" s="721"/>
      <c r="BB235" s="721"/>
      <c r="BC235" s="721"/>
      <c r="BD235" s="721"/>
      <c r="BE235" s="721"/>
      <c r="BF235" s="721"/>
      <c r="BG235" s="721"/>
      <c r="BH235" s="721"/>
      <c r="BI235" s="721"/>
      <c r="BJ235" s="721"/>
      <c r="BK235" s="721"/>
      <c r="BL235" s="721"/>
      <c r="BM235" s="721"/>
      <c r="BN235" s="721"/>
      <c r="BO235" s="721"/>
      <c r="BP235" s="721"/>
      <c r="BQ235" s="721"/>
      <c r="BR235" s="721"/>
      <c r="BS235" s="721"/>
      <c r="BT235" s="721"/>
      <c r="BU235" s="721"/>
      <c r="BV235" s="721"/>
      <c r="BW235" s="721"/>
      <c r="BX235" s="721"/>
      <c r="BY235" s="721"/>
      <c r="BZ235" s="721"/>
      <c r="CA235" s="721"/>
      <c r="CB235" s="721"/>
      <c r="CC235" s="721"/>
      <c r="CD235" s="721"/>
      <c r="CE235" s="721"/>
      <c r="CF235" s="721"/>
      <c r="CG235" s="721"/>
      <c r="CH235" s="721"/>
      <c r="CI235" s="721"/>
      <c r="CJ235" s="721"/>
      <c r="CK235" s="721"/>
      <c r="CL235" s="721"/>
      <c r="CM235" s="721"/>
      <c r="CN235" s="721"/>
      <c r="CO235" s="721"/>
      <c r="CP235" s="721"/>
      <c r="CQ235" s="721"/>
      <c r="CR235" s="721"/>
      <c r="CS235" s="721"/>
      <c r="CT235" s="721"/>
      <c r="CU235" s="721"/>
      <c r="CV235" s="721"/>
      <c r="CW235" s="721"/>
      <c r="CX235" s="721"/>
    </row>
    <row r="236" spans="1:102" ht="12" customHeight="1" x14ac:dyDescent="0.2">
      <c r="A236" s="721"/>
      <c r="B236" s="721"/>
      <c r="C236" s="721"/>
      <c r="D236" s="721"/>
      <c r="E236" s="721"/>
      <c r="F236" s="721"/>
      <c r="G236" s="721"/>
      <c r="H236" s="721"/>
      <c r="I236" s="721"/>
      <c r="J236" s="721"/>
      <c r="K236" s="721"/>
      <c r="L236" s="721"/>
      <c r="M236" s="721"/>
      <c r="N236" s="721"/>
      <c r="O236" s="721"/>
      <c r="P236" s="721"/>
      <c r="Q236" s="721"/>
      <c r="R236" s="721"/>
      <c r="S236" s="721"/>
      <c r="T236" s="721"/>
      <c r="U236" s="721"/>
      <c r="V236" s="721"/>
      <c r="W236" s="204"/>
      <c r="X236" s="723"/>
      <c r="Y236" s="723"/>
      <c r="Z236" s="723"/>
      <c r="AA236" s="723"/>
      <c r="AB236" s="723"/>
      <c r="AC236" s="723"/>
      <c r="AD236" s="723"/>
      <c r="AE236" s="723"/>
      <c r="AF236" s="723"/>
      <c r="AG236" s="723"/>
      <c r="AH236" s="723"/>
      <c r="AI236" s="723"/>
      <c r="AJ236" s="723"/>
      <c r="AK236" s="723"/>
      <c r="AL236" s="723"/>
      <c r="AM236" s="721"/>
      <c r="AN236" s="721"/>
      <c r="AO236" s="723"/>
      <c r="AP236" s="721"/>
      <c r="AQ236" s="723"/>
      <c r="AR236" s="721"/>
      <c r="AS236" s="723"/>
      <c r="AT236" s="721"/>
      <c r="AU236" s="723"/>
      <c r="AV236" s="721"/>
      <c r="AW236" s="721"/>
      <c r="AX236" s="721"/>
      <c r="AY236" s="721"/>
      <c r="AZ236" s="721"/>
      <c r="BA236" s="721"/>
      <c r="BB236" s="721"/>
      <c r="BC236" s="721"/>
      <c r="BD236" s="721"/>
      <c r="BE236" s="721"/>
      <c r="BF236" s="721"/>
      <c r="BG236" s="721"/>
      <c r="BH236" s="721"/>
      <c r="BI236" s="721"/>
      <c r="BJ236" s="721"/>
      <c r="BK236" s="721"/>
      <c r="BL236" s="721"/>
      <c r="BM236" s="721"/>
      <c r="BN236" s="721"/>
      <c r="BO236" s="721"/>
      <c r="BP236" s="721"/>
      <c r="BQ236" s="721"/>
      <c r="BR236" s="721"/>
      <c r="BS236" s="721"/>
      <c r="BT236" s="721"/>
      <c r="BU236" s="721"/>
      <c r="BV236" s="721"/>
      <c r="BW236" s="721"/>
      <c r="BX236" s="721"/>
      <c r="BY236" s="721"/>
      <c r="BZ236" s="721"/>
      <c r="CA236" s="721"/>
      <c r="CB236" s="721"/>
      <c r="CC236" s="721"/>
      <c r="CD236" s="721"/>
      <c r="CE236" s="721"/>
      <c r="CF236" s="721"/>
      <c r="CG236" s="721"/>
      <c r="CH236" s="721"/>
      <c r="CI236" s="721"/>
      <c r="CJ236" s="721"/>
      <c r="CK236" s="721"/>
      <c r="CL236" s="721"/>
      <c r="CM236" s="721"/>
      <c r="CN236" s="721"/>
      <c r="CO236" s="721"/>
      <c r="CP236" s="721"/>
      <c r="CQ236" s="721"/>
      <c r="CR236" s="721"/>
      <c r="CS236" s="721"/>
      <c r="CT236" s="721"/>
      <c r="CU236" s="721"/>
      <c r="CV236" s="721"/>
      <c r="CW236" s="721"/>
      <c r="CX236" s="721"/>
    </row>
    <row r="237" spans="1:102" ht="12" customHeight="1" x14ac:dyDescent="0.2">
      <c r="A237" s="721"/>
      <c r="B237" s="721"/>
      <c r="C237" s="721"/>
      <c r="D237" s="721"/>
      <c r="E237" s="721"/>
      <c r="F237" s="721"/>
      <c r="G237" s="721"/>
      <c r="H237" s="721"/>
      <c r="I237" s="721"/>
      <c r="J237" s="721"/>
      <c r="K237" s="721"/>
      <c r="L237" s="721"/>
      <c r="M237" s="721"/>
      <c r="N237" s="721"/>
      <c r="O237" s="721"/>
      <c r="P237" s="721"/>
      <c r="Q237" s="721"/>
      <c r="R237" s="721"/>
      <c r="S237" s="721"/>
      <c r="T237" s="721"/>
      <c r="U237" s="721"/>
      <c r="V237" s="721"/>
      <c r="W237" s="204"/>
      <c r="X237" s="723"/>
      <c r="Y237" s="723"/>
      <c r="Z237" s="723"/>
      <c r="AA237" s="723"/>
      <c r="AB237" s="723"/>
      <c r="AC237" s="723"/>
      <c r="AD237" s="723"/>
      <c r="AE237" s="723"/>
      <c r="AF237" s="723"/>
      <c r="AG237" s="723"/>
      <c r="AH237" s="723"/>
      <c r="AI237" s="723"/>
      <c r="AJ237" s="723"/>
      <c r="AK237" s="723"/>
      <c r="AL237" s="723"/>
      <c r="AM237" s="721"/>
      <c r="AN237" s="721"/>
      <c r="AO237" s="723"/>
      <c r="AP237" s="721"/>
      <c r="AQ237" s="723"/>
      <c r="AR237" s="721"/>
      <c r="AS237" s="723"/>
      <c r="AT237" s="721"/>
      <c r="AU237" s="723"/>
      <c r="AV237" s="721"/>
      <c r="AW237" s="721"/>
      <c r="AX237" s="721"/>
      <c r="AY237" s="721"/>
      <c r="AZ237" s="721"/>
      <c r="BA237" s="721"/>
      <c r="BB237" s="721"/>
      <c r="BC237" s="721"/>
      <c r="BD237" s="721"/>
      <c r="BE237" s="721"/>
      <c r="BF237" s="721"/>
      <c r="BG237" s="721"/>
      <c r="BH237" s="721"/>
      <c r="BI237" s="721"/>
      <c r="BJ237" s="721"/>
      <c r="BK237" s="721"/>
      <c r="BL237" s="721"/>
      <c r="BM237" s="721"/>
      <c r="BN237" s="721"/>
      <c r="BO237" s="721"/>
      <c r="BP237" s="721"/>
      <c r="BQ237" s="721"/>
      <c r="BR237" s="721"/>
      <c r="BS237" s="721"/>
      <c r="BT237" s="721"/>
      <c r="BU237" s="721"/>
      <c r="BV237" s="721"/>
      <c r="BW237" s="721"/>
      <c r="BX237" s="721"/>
      <c r="BY237" s="721"/>
      <c r="BZ237" s="721"/>
      <c r="CA237" s="721"/>
      <c r="CB237" s="721"/>
      <c r="CC237" s="721"/>
      <c r="CD237" s="721"/>
      <c r="CE237" s="721"/>
      <c r="CF237" s="721"/>
      <c r="CG237" s="721"/>
      <c r="CH237" s="721"/>
      <c r="CI237" s="721"/>
      <c r="CJ237" s="721"/>
      <c r="CK237" s="721"/>
      <c r="CL237" s="721"/>
      <c r="CM237" s="721"/>
      <c r="CN237" s="721"/>
      <c r="CO237" s="721"/>
      <c r="CP237" s="721"/>
      <c r="CQ237" s="721"/>
      <c r="CR237" s="721"/>
      <c r="CS237" s="721"/>
      <c r="CT237" s="721"/>
      <c r="CU237" s="721"/>
      <c r="CV237" s="721"/>
      <c r="CW237" s="721"/>
      <c r="CX237" s="721"/>
    </row>
    <row r="238" spans="1:102" ht="12" customHeight="1" x14ac:dyDescent="0.2">
      <c r="A238" s="721"/>
      <c r="B238" s="721"/>
      <c r="C238" s="721"/>
      <c r="D238" s="721"/>
      <c r="E238" s="721"/>
      <c r="F238" s="721"/>
      <c r="G238" s="721"/>
      <c r="H238" s="721"/>
      <c r="I238" s="721"/>
      <c r="J238" s="721"/>
      <c r="K238" s="721"/>
      <c r="L238" s="721"/>
      <c r="M238" s="721"/>
      <c r="N238" s="721"/>
      <c r="O238" s="721"/>
      <c r="P238" s="721"/>
      <c r="Q238" s="721"/>
      <c r="R238" s="721"/>
      <c r="S238" s="721"/>
      <c r="T238" s="721"/>
      <c r="U238" s="721"/>
      <c r="V238" s="721"/>
      <c r="W238" s="204"/>
      <c r="X238" s="723"/>
      <c r="Y238" s="723"/>
      <c r="Z238" s="723"/>
      <c r="AA238" s="723"/>
      <c r="AB238" s="723"/>
      <c r="AC238" s="723"/>
      <c r="AD238" s="723"/>
      <c r="AE238" s="723"/>
      <c r="AF238" s="723"/>
      <c r="AG238" s="723"/>
      <c r="AH238" s="723"/>
      <c r="AI238" s="723"/>
      <c r="AJ238" s="723"/>
      <c r="AK238" s="723"/>
      <c r="AL238" s="723"/>
      <c r="AM238" s="721"/>
      <c r="AN238" s="721"/>
      <c r="AO238" s="723"/>
      <c r="AP238" s="721"/>
      <c r="AQ238" s="723"/>
      <c r="AR238" s="721"/>
      <c r="AS238" s="723"/>
      <c r="AT238" s="721"/>
      <c r="AU238" s="723"/>
      <c r="AV238" s="721"/>
      <c r="AW238" s="721"/>
      <c r="AX238" s="721"/>
      <c r="AY238" s="721"/>
      <c r="AZ238" s="721"/>
      <c r="BA238" s="721"/>
      <c r="BB238" s="721"/>
      <c r="BC238" s="721"/>
      <c r="BD238" s="721"/>
      <c r="BE238" s="721"/>
      <c r="BF238" s="721"/>
      <c r="BG238" s="721"/>
      <c r="BH238" s="721"/>
      <c r="BI238" s="721"/>
      <c r="BJ238" s="721"/>
      <c r="BK238" s="721"/>
      <c r="BL238" s="721"/>
      <c r="BM238" s="721"/>
      <c r="BN238" s="721"/>
      <c r="BO238" s="721"/>
      <c r="BP238" s="721"/>
      <c r="BQ238" s="721"/>
      <c r="BR238" s="721"/>
      <c r="BS238" s="721"/>
      <c r="BT238" s="721"/>
      <c r="BU238" s="721"/>
      <c r="BV238" s="721"/>
      <c r="BW238" s="721"/>
      <c r="BX238" s="721"/>
      <c r="BY238" s="721"/>
      <c r="BZ238" s="721"/>
      <c r="CA238" s="721"/>
      <c r="CB238" s="721"/>
      <c r="CC238" s="721"/>
      <c r="CD238" s="721"/>
      <c r="CE238" s="721"/>
      <c r="CF238" s="721"/>
      <c r="CG238" s="721"/>
      <c r="CH238" s="721"/>
      <c r="CI238" s="721"/>
      <c r="CJ238" s="721"/>
      <c r="CK238" s="721"/>
      <c r="CL238" s="721"/>
      <c r="CM238" s="721"/>
      <c r="CN238" s="721"/>
      <c r="CO238" s="721"/>
      <c r="CP238" s="721"/>
      <c r="CQ238" s="721"/>
      <c r="CR238" s="721"/>
      <c r="CS238" s="721"/>
      <c r="CT238" s="721"/>
      <c r="CU238" s="721"/>
      <c r="CV238" s="721"/>
      <c r="CW238" s="721"/>
      <c r="CX238" s="721"/>
    </row>
    <row r="239" spans="1:102" ht="12" customHeight="1" x14ac:dyDescent="0.2">
      <c r="A239" s="721"/>
      <c r="B239" s="721"/>
      <c r="C239" s="721"/>
      <c r="D239" s="721"/>
      <c r="E239" s="721"/>
      <c r="F239" s="721"/>
      <c r="G239" s="721"/>
      <c r="H239" s="721"/>
      <c r="I239" s="721"/>
      <c r="J239" s="721"/>
      <c r="K239" s="721"/>
      <c r="L239" s="721"/>
      <c r="M239" s="721"/>
      <c r="N239" s="721"/>
      <c r="O239" s="721"/>
      <c r="P239" s="721"/>
      <c r="Q239" s="721"/>
      <c r="R239" s="721"/>
      <c r="S239" s="721"/>
      <c r="T239" s="721"/>
      <c r="U239" s="721"/>
      <c r="V239" s="721"/>
      <c r="W239" s="204"/>
      <c r="X239" s="723"/>
      <c r="Y239" s="723"/>
      <c r="Z239" s="723"/>
      <c r="AA239" s="723"/>
      <c r="AB239" s="723"/>
      <c r="AC239" s="723"/>
      <c r="AD239" s="723"/>
      <c r="AE239" s="723"/>
      <c r="AF239" s="723"/>
      <c r="AG239" s="723"/>
      <c r="AH239" s="723"/>
      <c r="AI239" s="723"/>
      <c r="AJ239" s="723"/>
      <c r="AK239" s="723"/>
      <c r="AL239" s="723"/>
      <c r="AM239" s="721"/>
      <c r="AN239" s="721"/>
      <c r="AO239" s="723"/>
      <c r="AP239" s="721"/>
      <c r="AQ239" s="723"/>
      <c r="AR239" s="721"/>
      <c r="AS239" s="723"/>
      <c r="AT239" s="721"/>
      <c r="AU239" s="723"/>
      <c r="AV239" s="721"/>
      <c r="AW239" s="721"/>
      <c r="AX239" s="721"/>
      <c r="AY239" s="721"/>
      <c r="AZ239" s="721"/>
      <c r="BA239" s="721"/>
      <c r="BB239" s="721"/>
      <c r="BC239" s="721"/>
      <c r="BD239" s="721"/>
      <c r="BE239" s="721"/>
      <c r="BF239" s="721"/>
      <c r="BG239" s="721"/>
      <c r="BH239" s="721"/>
      <c r="BI239" s="721"/>
      <c r="BJ239" s="721"/>
      <c r="BK239" s="721"/>
      <c r="BL239" s="721"/>
      <c r="BM239" s="721"/>
      <c r="BN239" s="721"/>
      <c r="BO239" s="721"/>
      <c r="BP239" s="721"/>
      <c r="BQ239" s="721"/>
      <c r="BR239" s="721"/>
      <c r="BS239" s="721"/>
      <c r="BT239" s="721"/>
      <c r="BU239" s="721"/>
      <c r="BV239" s="721"/>
      <c r="BW239" s="721"/>
      <c r="BX239" s="721"/>
      <c r="BY239" s="721"/>
      <c r="BZ239" s="721"/>
      <c r="CA239" s="721"/>
      <c r="CB239" s="721"/>
      <c r="CC239" s="721"/>
      <c r="CD239" s="721"/>
      <c r="CE239" s="721"/>
      <c r="CF239" s="721"/>
      <c r="CG239" s="721"/>
      <c r="CH239" s="721"/>
      <c r="CI239" s="721"/>
      <c r="CJ239" s="721"/>
      <c r="CK239" s="721"/>
      <c r="CL239" s="721"/>
      <c r="CM239" s="721"/>
      <c r="CN239" s="721"/>
      <c r="CO239" s="721"/>
      <c r="CP239" s="721"/>
      <c r="CQ239" s="721"/>
      <c r="CR239" s="721"/>
      <c r="CS239" s="721"/>
      <c r="CT239" s="721"/>
      <c r="CU239" s="721"/>
      <c r="CV239" s="721"/>
      <c r="CW239" s="721"/>
      <c r="CX239" s="721"/>
    </row>
    <row r="240" spans="1:102" ht="12" customHeight="1" x14ac:dyDescent="0.2">
      <c r="A240" s="721"/>
      <c r="B240" s="721"/>
      <c r="C240" s="721"/>
      <c r="D240" s="721"/>
      <c r="E240" s="721"/>
      <c r="F240" s="721"/>
      <c r="G240" s="721"/>
      <c r="H240" s="721"/>
      <c r="I240" s="721"/>
      <c r="J240" s="721"/>
      <c r="K240" s="721"/>
      <c r="L240" s="721"/>
      <c r="M240" s="721"/>
      <c r="N240" s="721"/>
      <c r="O240" s="721"/>
      <c r="P240" s="721"/>
      <c r="Q240" s="721"/>
      <c r="R240" s="721"/>
      <c r="S240" s="721"/>
      <c r="T240" s="721"/>
      <c r="U240" s="721"/>
      <c r="V240" s="721"/>
      <c r="W240" s="204"/>
      <c r="X240" s="723"/>
      <c r="Y240" s="723"/>
      <c r="Z240" s="723"/>
      <c r="AA240" s="723"/>
      <c r="AB240" s="723"/>
      <c r="AC240" s="723"/>
      <c r="AD240" s="723"/>
      <c r="AE240" s="723"/>
      <c r="AF240" s="723"/>
      <c r="AG240" s="723"/>
      <c r="AH240" s="723"/>
      <c r="AI240" s="723"/>
      <c r="AJ240" s="723"/>
      <c r="AK240" s="723"/>
      <c r="AL240" s="723"/>
      <c r="AM240" s="721"/>
      <c r="AN240" s="721"/>
      <c r="AO240" s="723"/>
      <c r="AP240" s="721"/>
      <c r="AQ240" s="723"/>
      <c r="AR240" s="721"/>
      <c r="AS240" s="723"/>
      <c r="AT240" s="721"/>
      <c r="AU240" s="723"/>
      <c r="AV240" s="721"/>
      <c r="AW240" s="721"/>
      <c r="AX240" s="721"/>
      <c r="AY240" s="721"/>
      <c r="AZ240" s="721"/>
      <c r="BA240" s="721"/>
      <c r="BB240" s="721"/>
      <c r="BC240" s="721"/>
      <c r="BD240" s="721"/>
      <c r="BE240" s="721"/>
      <c r="BF240" s="721"/>
      <c r="BG240" s="721"/>
      <c r="BH240" s="721"/>
      <c r="BI240" s="721"/>
      <c r="BJ240" s="721"/>
      <c r="BK240" s="721"/>
      <c r="BL240" s="721"/>
      <c r="BM240" s="721"/>
      <c r="BN240" s="721"/>
      <c r="BO240" s="721"/>
      <c r="BP240" s="721"/>
      <c r="BQ240" s="721"/>
      <c r="BR240" s="721"/>
      <c r="BS240" s="721"/>
      <c r="BT240" s="721"/>
      <c r="BU240" s="721"/>
      <c r="BV240" s="721"/>
      <c r="BW240" s="721"/>
      <c r="BX240" s="721"/>
      <c r="BY240" s="721"/>
      <c r="BZ240" s="721"/>
      <c r="CA240" s="721"/>
      <c r="CB240" s="721"/>
      <c r="CC240" s="721"/>
      <c r="CD240" s="721"/>
      <c r="CE240" s="721"/>
      <c r="CF240" s="721"/>
      <c r="CG240" s="721"/>
      <c r="CH240" s="721"/>
      <c r="CI240" s="721"/>
      <c r="CJ240" s="721"/>
      <c r="CK240" s="721"/>
      <c r="CL240" s="721"/>
      <c r="CM240" s="721"/>
      <c r="CN240" s="721"/>
      <c r="CO240" s="721"/>
      <c r="CP240" s="721"/>
      <c r="CQ240" s="721"/>
      <c r="CR240" s="721"/>
      <c r="CS240" s="721"/>
      <c r="CT240" s="721"/>
      <c r="CU240" s="721"/>
      <c r="CV240" s="721"/>
      <c r="CW240" s="721"/>
      <c r="CX240" s="721"/>
    </row>
    <row r="241" spans="1:102" ht="12" customHeight="1" x14ac:dyDescent="0.2">
      <c r="A241" s="721"/>
      <c r="B241" s="721"/>
      <c r="C241" s="721"/>
      <c r="D241" s="721"/>
      <c r="E241" s="721"/>
      <c r="F241" s="721"/>
      <c r="G241" s="721"/>
      <c r="H241" s="721"/>
      <c r="I241" s="721"/>
      <c r="J241" s="721"/>
      <c r="K241" s="721"/>
      <c r="L241" s="721"/>
      <c r="M241" s="721"/>
      <c r="N241" s="721"/>
      <c r="O241" s="721"/>
      <c r="P241" s="721"/>
      <c r="Q241" s="721"/>
      <c r="R241" s="721"/>
      <c r="S241" s="721"/>
      <c r="T241" s="721"/>
      <c r="U241" s="721"/>
      <c r="V241" s="721"/>
      <c r="W241" s="204"/>
      <c r="X241" s="723"/>
      <c r="Y241" s="723"/>
      <c r="Z241" s="723"/>
      <c r="AA241" s="723"/>
      <c r="AB241" s="723"/>
      <c r="AC241" s="723"/>
      <c r="AD241" s="723"/>
      <c r="AE241" s="723"/>
      <c r="AF241" s="723"/>
      <c r="AG241" s="723"/>
      <c r="AH241" s="723"/>
      <c r="AI241" s="723"/>
      <c r="AJ241" s="723"/>
      <c r="AK241" s="723"/>
      <c r="AL241" s="723"/>
      <c r="AM241" s="721"/>
      <c r="AN241" s="721"/>
      <c r="AO241" s="723"/>
      <c r="AP241" s="721"/>
      <c r="AQ241" s="723"/>
      <c r="AR241" s="721"/>
      <c r="AS241" s="723"/>
      <c r="AT241" s="721"/>
      <c r="AU241" s="723"/>
      <c r="AV241" s="721"/>
      <c r="AW241" s="721"/>
      <c r="AX241" s="721"/>
      <c r="AY241" s="721"/>
      <c r="AZ241" s="721"/>
      <c r="BA241" s="721"/>
      <c r="BB241" s="721"/>
      <c r="BC241" s="721"/>
      <c r="BD241" s="721"/>
      <c r="BE241" s="721"/>
      <c r="BF241" s="721"/>
      <c r="BG241" s="721"/>
      <c r="BH241" s="721"/>
      <c r="BI241" s="721"/>
      <c r="BJ241" s="721"/>
      <c r="BK241" s="721"/>
      <c r="BL241" s="721"/>
      <c r="BM241" s="721"/>
      <c r="BN241" s="721"/>
      <c r="BO241" s="721"/>
      <c r="BP241" s="721"/>
      <c r="BQ241" s="721"/>
      <c r="BR241" s="721"/>
      <c r="BS241" s="721"/>
      <c r="BT241" s="721"/>
      <c r="BU241" s="721"/>
      <c r="BV241" s="721"/>
      <c r="BW241" s="721"/>
      <c r="BX241" s="721"/>
      <c r="BY241" s="721"/>
      <c r="BZ241" s="721"/>
      <c r="CA241" s="721"/>
      <c r="CB241" s="721"/>
      <c r="CC241" s="721"/>
      <c r="CD241" s="721"/>
      <c r="CE241" s="721"/>
      <c r="CF241" s="721"/>
      <c r="CG241" s="721"/>
      <c r="CH241" s="721"/>
      <c r="CI241" s="721"/>
      <c r="CJ241" s="721"/>
      <c r="CK241" s="721"/>
      <c r="CL241" s="721"/>
      <c r="CM241" s="721"/>
      <c r="CN241" s="721"/>
      <c r="CO241" s="721"/>
      <c r="CP241" s="721"/>
      <c r="CQ241" s="721"/>
      <c r="CR241" s="721"/>
      <c r="CS241" s="721"/>
      <c r="CT241" s="721"/>
      <c r="CU241" s="721"/>
      <c r="CV241" s="721"/>
      <c r="CW241" s="721"/>
      <c r="CX241" s="721"/>
    </row>
    <row r="242" spans="1:102" ht="12" customHeight="1" x14ac:dyDescent="0.2">
      <c r="A242" s="721"/>
      <c r="B242" s="721"/>
      <c r="C242" s="721"/>
      <c r="D242" s="721"/>
      <c r="E242" s="721"/>
      <c r="F242" s="721"/>
      <c r="G242" s="721"/>
      <c r="H242" s="721"/>
      <c r="I242" s="721"/>
      <c r="J242" s="721"/>
      <c r="K242" s="721"/>
      <c r="L242" s="721"/>
      <c r="M242" s="721"/>
      <c r="N242" s="721"/>
      <c r="O242" s="721"/>
      <c r="P242" s="721"/>
      <c r="Q242" s="721"/>
      <c r="R242" s="721"/>
      <c r="S242" s="721"/>
      <c r="T242" s="721"/>
      <c r="U242" s="721"/>
      <c r="V242" s="721"/>
      <c r="W242" s="204"/>
      <c r="X242" s="723"/>
      <c r="Y242" s="723"/>
      <c r="Z242" s="723"/>
      <c r="AA242" s="723"/>
      <c r="AB242" s="723"/>
      <c r="AC242" s="723"/>
      <c r="AD242" s="723"/>
      <c r="AE242" s="723"/>
      <c r="AF242" s="723"/>
      <c r="AG242" s="723"/>
      <c r="AH242" s="723"/>
      <c r="AI242" s="723"/>
      <c r="AJ242" s="723"/>
      <c r="AK242" s="723"/>
      <c r="AL242" s="723"/>
      <c r="AM242" s="721"/>
      <c r="AN242" s="721"/>
      <c r="AO242" s="723"/>
      <c r="AP242" s="721"/>
      <c r="AQ242" s="723"/>
      <c r="AR242" s="721"/>
      <c r="AS242" s="723"/>
      <c r="AT242" s="721"/>
      <c r="AU242" s="723"/>
      <c r="AV242" s="721"/>
      <c r="AW242" s="721"/>
      <c r="AX242" s="721"/>
      <c r="AY242" s="721"/>
      <c r="AZ242" s="721"/>
      <c r="BA242" s="721"/>
      <c r="BB242" s="721"/>
      <c r="BC242" s="721"/>
      <c r="BD242" s="721"/>
      <c r="BE242" s="721"/>
      <c r="BF242" s="721"/>
      <c r="BG242" s="721"/>
      <c r="BH242" s="721"/>
      <c r="BI242" s="721"/>
      <c r="BJ242" s="721"/>
      <c r="BK242" s="721"/>
      <c r="BL242" s="721"/>
      <c r="BM242" s="721"/>
      <c r="BN242" s="721"/>
      <c r="BO242" s="721"/>
      <c r="BP242" s="721"/>
      <c r="BQ242" s="721"/>
      <c r="BR242" s="721"/>
      <c r="BS242" s="721"/>
      <c r="BT242" s="721"/>
      <c r="BU242" s="721"/>
      <c r="BV242" s="721"/>
      <c r="BW242" s="721"/>
      <c r="BX242" s="721"/>
      <c r="BY242" s="721"/>
      <c r="BZ242" s="721"/>
      <c r="CA242" s="721"/>
      <c r="CB242" s="721"/>
      <c r="CC242" s="721"/>
      <c r="CD242" s="721"/>
      <c r="CE242" s="721"/>
      <c r="CF242" s="721"/>
      <c r="CG242" s="721"/>
      <c r="CH242" s="721"/>
      <c r="CI242" s="721"/>
      <c r="CJ242" s="721"/>
      <c r="CK242" s="721"/>
      <c r="CL242" s="721"/>
      <c r="CM242" s="721"/>
      <c r="CN242" s="721"/>
      <c r="CO242" s="721"/>
      <c r="CP242" s="721"/>
      <c r="CQ242" s="721"/>
      <c r="CR242" s="721"/>
      <c r="CS242" s="721"/>
      <c r="CT242" s="721"/>
      <c r="CU242" s="721"/>
      <c r="CV242" s="721"/>
      <c r="CW242" s="721"/>
      <c r="CX242" s="721"/>
    </row>
    <row r="243" spans="1:102" ht="12" customHeight="1" x14ac:dyDescent="0.2">
      <c r="A243" s="721"/>
      <c r="B243" s="721"/>
      <c r="C243" s="721"/>
      <c r="D243" s="721"/>
      <c r="E243" s="721"/>
      <c r="F243" s="721"/>
      <c r="G243" s="721"/>
      <c r="H243" s="721"/>
      <c r="I243" s="721"/>
      <c r="J243" s="721"/>
      <c r="K243" s="721"/>
      <c r="L243" s="721"/>
      <c r="M243" s="721"/>
      <c r="N243" s="721"/>
      <c r="O243" s="721"/>
      <c r="P243" s="721"/>
      <c r="Q243" s="721"/>
      <c r="R243" s="721"/>
      <c r="S243" s="721"/>
      <c r="T243" s="721"/>
      <c r="U243" s="721"/>
      <c r="V243" s="721"/>
      <c r="W243" s="204"/>
      <c r="X243" s="723"/>
      <c r="Y243" s="723"/>
      <c r="Z243" s="723"/>
      <c r="AA243" s="723"/>
      <c r="AB243" s="723"/>
      <c r="AC243" s="723"/>
      <c r="AD243" s="723"/>
      <c r="AE243" s="723"/>
      <c r="AF243" s="723"/>
      <c r="AG243" s="723"/>
      <c r="AH243" s="723"/>
      <c r="AI243" s="723"/>
      <c r="AJ243" s="723"/>
      <c r="AK243" s="723"/>
      <c r="AL243" s="723"/>
      <c r="AM243" s="721"/>
      <c r="AN243" s="721"/>
      <c r="AO243" s="723"/>
      <c r="AP243" s="721"/>
      <c r="AQ243" s="723"/>
      <c r="AR243" s="721"/>
      <c r="AS243" s="723"/>
      <c r="AT243" s="721"/>
      <c r="AU243" s="723"/>
      <c r="AV243" s="721"/>
      <c r="AW243" s="721"/>
      <c r="AX243" s="721"/>
      <c r="AY243" s="721"/>
      <c r="AZ243" s="721"/>
      <c r="BA243" s="721"/>
      <c r="BB243" s="721"/>
      <c r="BC243" s="721"/>
      <c r="BD243" s="721"/>
      <c r="BE243" s="721"/>
      <c r="BF243" s="721"/>
      <c r="BG243" s="721"/>
      <c r="BH243" s="721"/>
      <c r="BI243" s="721"/>
      <c r="BJ243" s="721"/>
      <c r="BK243" s="721"/>
      <c r="BL243" s="721"/>
      <c r="BM243" s="721"/>
      <c r="BN243" s="721"/>
      <c r="BO243" s="721"/>
      <c r="BP243" s="721"/>
      <c r="BQ243" s="721"/>
      <c r="BR243" s="721"/>
      <c r="BS243" s="721"/>
      <c r="BT243" s="721"/>
      <c r="BU243" s="721"/>
      <c r="BV243" s="721"/>
      <c r="BW243" s="721"/>
      <c r="BX243" s="721"/>
      <c r="BY243" s="721"/>
      <c r="BZ243" s="721"/>
      <c r="CA243" s="721"/>
      <c r="CB243" s="721"/>
      <c r="CC243" s="721"/>
      <c r="CD243" s="721"/>
      <c r="CE243" s="721"/>
      <c r="CF243" s="721"/>
      <c r="CG243" s="721"/>
      <c r="CH243" s="721"/>
      <c r="CI243" s="721"/>
      <c r="CJ243" s="721"/>
      <c r="CK243" s="721"/>
      <c r="CL243" s="721"/>
      <c r="CM243" s="721"/>
      <c r="CN243" s="721"/>
      <c r="CO243" s="721"/>
      <c r="CP243" s="721"/>
      <c r="CQ243" s="721"/>
      <c r="CR243" s="721"/>
      <c r="CS243" s="721"/>
      <c r="CT243" s="721"/>
      <c r="CU243" s="721"/>
      <c r="CV243" s="721"/>
      <c r="CW243" s="721"/>
      <c r="CX243" s="721"/>
    </row>
    <row r="244" spans="1:102" ht="12" customHeight="1" x14ac:dyDescent="0.2">
      <c r="A244" s="721"/>
      <c r="B244" s="721"/>
      <c r="C244" s="721"/>
      <c r="D244" s="721"/>
      <c r="E244" s="721"/>
      <c r="F244" s="721"/>
      <c r="G244" s="721"/>
      <c r="H244" s="721"/>
      <c r="I244" s="721"/>
      <c r="J244" s="721"/>
      <c r="K244" s="721"/>
      <c r="L244" s="721"/>
      <c r="M244" s="721"/>
      <c r="N244" s="721"/>
      <c r="O244" s="721"/>
      <c r="P244" s="721"/>
      <c r="Q244" s="721"/>
      <c r="R244" s="721"/>
      <c r="S244" s="721"/>
      <c r="T244" s="721"/>
      <c r="U244" s="721"/>
      <c r="V244" s="721"/>
      <c r="W244" s="204"/>
      <c r="X244" s="723"/>
      <c r="Y244" s="723"/>
      <c r="Z244" s="723"/>
      <c r="AA244" s="723"/>
      <c r="AB244" s="723"/>
      <c r="AC244" s="723"/>
      <c r="AD244" s="723"/>
      <c r="AE244" s="723"/>
      <c r="AF244" s="723"/>
      <c r="AG244" s="723"/>
      <c r="AH244" s="723"/>
      <c r="AI244" s="723"/>
      <c r="AJ244" s="723"/>
      <c r="AK244" s="723"/>
      <c r="AL244" s="723"/>
      <c r="AM244" s="721"/>
      <c r="AN244" s="721"/>
      <c r="AO244" s="723"/>
      <c r="AP244" s="721"/>
      <c r="AQ244" s="723"/>
      <c r="AR244" s="721"/>
      <c r="AS244" s="723"/>
      <c r="AT244" s="721"/>
      <c r="AU244" s="723"/>
      <c r="AV244" s="721"/>
      <c r="AW244" s="721"/>
      <c r="AX244" s="721"/>
      <c r="AY244" s="721"/>
      <c r="AZ244" s="721"/>
      <c r="BA244" s="721"/>
      <c r="BB244" s="721"/>
      <c r="BC244" s="721"/>
      <c r="BD244" s="721"/>
      <c r="BE244" s="721"/>
      <c r="BF244" s="721"/>
      <c r="BG244" s="721"/>
      <c r="BH244" s="721"/>
      <c r="BI244" s="721"/>
      <c r="BJ244" s="721"/>
      <c r="BK244" s="721"/>
      <c r="BL244" s="721"/>
      <c r="BM244" s="721"/>
      <c r="BN244" s="721"/>
      <c r="BO244" s="721"/>
      <c r="BP244" s="721"/>
      <c r="BQ244" s="721"/>
      <c r="BR244" s="721"/>
      <c r="BS244" s="721"/>
      <c r="BT244" s="721"/>
      <c r="BU244" s="721"/>
      <c r="BV244" s="721"/>
      <c r="BW244" s="721"/>
      <c r="BX244" s="721"/>
      <c r="BY244" s="721"/>
      <c r="BZ244" s="721"/>
      <c r="CA244" s="721"/>
      <c r="CB244" s="721"/>
      <c r="CC244" s="721"/>
      <c r="CD244" s="721"/>
      <c r="CE244" s="721"/>
      <c r="CF244" s="721"/>
      <c r="CG244" s="721"/>
      <c r="CH244" s="721"/>
      <c r="CI244" s="721"/>
      <c r="CJ244" s="721"/>
      <c r="CK244" s="721"/>
      <c r="CL244" s="721"/>
      <c r="CM244" s="721"/>
      <c r="CN244" s="721"/>
      <c r="CO244" s="721"/>
      <c r="CP244" s="721"/>
      <c r="CQ244" s="721"/>
      <c r="CR244" s="721"/>
      <c r="CS244" s="721"/>
      <c r="CT244" s="721"/>
      <c r="CU244" s="721"/>
      <c r="CV244" s="721"/>
      <c r="CW244" s="721"/>
      <c r="CX244" s="721"/>
    </row>
    <row r="245" spans="1:102" ht="12" customHeight="1" x14ac:dyDescent="0.2">
      <c r="A245" s="721"/>
      <c r="B245" s="721"/>
      <c r="C245" s="721"/>
      <c r="D245" s="721"/>
      <c r="E245" s="721"/>
      <c r="F245" s="721"/>
      <c r="G245" s="721"/>
      <c r="H245" s="721"/>
      <c r="I245" s="721"/>
      <c r="J245" s="721"/>
      <c r="K245" s="721"/>
      <c r="L245" s="721"/>
      <c r="M245" s="721"/>
      <c r="N245" s="721"/>
      <c r="O245" s="721"/>
      <c r="P245" s="721"/>
      <c r="Q245" s="721"/>
      <c r="R245" s="721"/>
      <c r="S245" s="721"/>
      <c r="T245" s="721"/>
      <c r="U245" s="721"/>
      <c r="V245" s="721"/>
      <c r="W245" s="204"/>
      <c r="X245" s="723"/>
      <c r="Y245" s="723"/>
      <c r="Z245" s="723"/>
      <c r="AA245" s="723"/>
      <c r="AB245" s="723"/>
      <c r="AC245" s="723"/>
      <c r="AD245" s="723"/>
      <c r="AE245" s="723"/>
      <c r="AF245" s="723"/>
      <c r="AG245" s="723"/>
      <c r="AH245" s="723"/>
      <c r="AI245" s="723"/>
      <c r="AJ245" s="723"/>
      <c r="AK245" s="723"/>
      <c r="AL245" s="723"/>
      <c r="AM245" s="721"/>
      <c r="AN245" s="721"/>
      <c r="AO245" s="723"/>
      <c r="AP245" s="721"/>
      <c r="AQ245" s="723"/>
      <c r="AR245" s="721"/>
      <c r="AS245" s="723"/>
      <c r="AT245" s="721"/>
      <c r="AU245" s="723"/>
      <c r="AV245" s="721"/>
      <c r="AW245" s="721"/>
      <c r="AX245" s="721"/>
      <c r="AY245" s="721"/>
      <c r="AZ245" s="721"/>
      <c r="BA245" s="721"/>
      <c r="BB245" s="721"/>
      <c r="BC245" s="721"/>
      <c r="BD245" s="721"/>
      <c r="BE245" s="721"/>
      <c r="BF245" s="721"/>
      <c r="BG245" s="721"/>
      <c r="BH245" s="721"/>
      <c r="BI245" s="721"/>
      <c r="BJ245" s="721"/>
      <c r="BK245" s="721"/>
      <c r="BL245" s="721"/>
      <c r="BM245" s="721"/>
      <c r="BN245" s="721"/>
      <c r="BO245" s="721"/>
      <c r="BP245" s="721"/>
      <c r="BQ245" s="721"/>
      <c r="BR245" s="721"/>
      <c r="BS245" s="721"/>
      <c r="BT245" s="721"/>
      <c r="BU245" s="721"/>
      <c r="BV245" s="721"/>
      <c r="BW245" s="721"/>
      <c r="BX245" s="721"/>
      <c r="BY245" s="721"/>
      <c r="BZ245" s="721"/>
      <c r="CA245" s="721"/>
      <c r="CB245" s="721"/>
      <c r="CC245" s="721"/>
      <c r="CD245" s="721"/>
      <c r="CE245" s="721"/>
      <c r="CF245" s="721"/>
      <c r="CG245" s="721"/>
      <c r="CH245" s="721"/>
      <c r="CI245" s="721"/>
      <c r="CJ245" s="721"/>
      <c r="CK245" s="721"/>
      <c r="CL245" s="721"/>
      <c r="CM245" s="721"/>
      <c r="CN245" s="721"/>
      <c r="CO245" s="721"/>
      <c r="CP245" s="721"/>
      <c r="CQ245" s="721"/>
      <c r="CR245" s="721"/>
      <c r="CS245" s="721"/>
      <c r="CT245" s="721"/>
      <c r="CU245" s="721"/>
      <c r="CV245" s="721"/>
      <c r="CW245" s="721"/>
      <c r="CX245" s="721"/>
    </row>
    <row r="246" spans="1:102" ht="12" customHeight="1" x14ac:dyDescent="0.2">
      <c r="A246" s="721"/>
      <c r="B246" s="721"/>
      <c r="C246" s="721"/>
      <c r="D246" s="721"/>
      <c r="E246" s="721"/>
      <c r="F246" s="721"/>
      <c r="G246" s="721"/>
      <c r="H246" s="721"/>
      <c r="I246" s="721"/>
      <c r="J246" s="721"/>
      <c r="K246" s="721"/>
      <c r="L246" s="721"/>
      <c r="M246" s="721"/>
      <c r="N246" s="721"/>
      <c r="O246" s="721"/>
      <c r="P246" s="721"/>
      <c r="Q246" s="721"/>
      <c r="R246" s="721"/>
      <c r="S246" s="721"/>
      <c r="T246" s="721"/>
      <c r="U246" s="721"/>
      <c r="V246" s="721"/>
      <c r="W246" s="204"/>
      <c r="X246" s="723"/>
      <c r="Y246" s="723"/>
      <c r="Z246" s="723"/>
      <c r="AA246" s="723"/>
      <c r="AB246" s="723"/>
      <c r="AC246" s="723"/>
      <c r="AD246" s="723"/>
      <c r="AE246" s="723"/>
      <c r="AF246" s="723"/>
      <c r="AG246" s="723"/>
      <c r="AH246" s="723"/>
      <c r="AI246" s="723"/>
      <c r="AJ246" s="723"/>
      <c r="AK246" s="723"/>
      <c r="AL246" s="723"/>
      <c r="AM246" s="721"/>
      <c r="AN246" s="721"/>
      <c r="AO246" s="723"/>
      <c r="AP246" s="721"/>
      <c r="AQ246" s="723"/>
      <c r="AR246" s="721"/>
      <c r="AS246" s="723"/>
      <c r="AT246" s="721"/>
      <c r="AU246" s="723"/>
      <c r="AV246" s="721"/>
      <c r="AW246" s="721"/>
      <c r="AX246" s="721"/>
      <c r="AY246" s="721"/>
      <c r="AZ246" s="721"/>
      <c r="BA246" s="721"/>
      <c r="BB246" s="721"/>
      <c r="BC246" s="721"/>
      <c r="BD246" s="721"/>
      <c r="BE246" s="721"/>
      <c r="BF246" s="721"/>
      <c r="BG246" s="721"/>
      <c r="BH246" s="721"/>
      <c r="BI246" s="721"/>
      <c r="BJ246" s="721"/>
      <c r="BK246" s="721"/>
      <c r="BL246" s="721"/>
      <c r="BM246" s="721"/>
      <c r="BN246" s="721"/>
      <c r="BO246" s="721"/>
      <c r="BP246" s="721"/>
      <c r="BQ246" s="721"/>
      <c r="BR246" s="721"/>
      <c r="BS246" s="721"/>
      <c r="BT246" s="721"/>
      <c r="BU246" s="721"/>
      <c r="BV246" s="721"/>
      <c r="BW246" s="721"/>
      <c r="BX246" s="721"/>
      <c r="BY246" s="721"/>
      <c r="BZ246" s="721"/>
      <c r="CA246" s="721"/>
      <c r="CB246" s="721"/>
      <c r="CC246" s="721"/>
      <c r="CD246" s="721"/>
      <c r="CE246" s="721"/>
      <c r="CF246" s="721"/>
      <c r="CG246" s="721"/>
      <c r="CH246" s="721"/>
      <c r="CI246" s="721"/>
      <c r="CJ246" s="721"/>
      <c r="CK246" s="721"/>
      <c r="CL246" s="721"/>
      <c r="CM246" s="721"/>
      <c r="CN246" s="721"/>
      <c r="CO246" s="721"/>
      <c r="CP246" s="721"/>
      <c r="CQ246" s="721"/>
      <c r="CR246" s="721"/>
      <c r="CS246" s="721"/>
      <c r="CT246" s="721"/>
      <c r="CU246" s="721"/>
      <c r="CV246" s="721"/>
      <c r="CW246" s="721"/>
      <c r="CX246" s="721"/>
    </row>
    <row r="247" spans="1:102" ht="12" customHeight="1" x14ac:dyDescent="0.2">
      <c r="A247" s="721"/>
      <c r="B247" s="721"/>
      <c r="C247" s="721"/>
      <c r="D247" s="721"/>
      <c r="E247" s="721"/>
      <c r="F247" s="721"/>
      <c r="G247" s="721"/>
      <c r="H247" s="721"/>
      <c r="I247" s="721"/>
      <c r="J247" s="721"/>
      <c r="K247" s="721"/>
      <c r="L247" s="721"/>
      <c r="M247" s="721"/>
      <c r="N247" s="721"/>
      <c r="O247" s="721"/>
      <c r="P247" s="721"/>
      <c r="Q247" s="721"/>
      <c r="R247" s="721"/>
      <c r="S247" s="721"/>
      <c r="T247" s="721"/>
      <c r="U247" s="721"/>
      <c r="V247" s="721"/>
      <c r="W247" s="204"/>
      <c r="X247" s="723"/>
      <c r="Y247" s="723"/>
      <c r="Z247" s="723"/>
      <c r="AA247" s="723"/>
      <c r="AB247" s="723"/>
      <c r="AC247" s="723"/>
      <c r="AD247" s="723"/>
      <c r="AE247" s="723"/>
      <c r="AF247" s="723"/>
      <c r="AG247" s="723"/>
      <c r="AH247" s="723"/>
      <c r="AI247" s="723"/>
      <c r="AJ247" s="723"/>
      <c r="AK247" s="723"/>
      <c r="AL247" s="723"/>
      <c r="AM247" s="721"/>
      <c r="AN247" s="721"/>
      <c r="AO247" s="723"/>
      <c r="AP247" s="721"/>
      <c r="AQ247" s="723"/>
      <c r="AR247" s="721"/>
      <c r="AS247" s="723"/>
      <c r="AT247" s="721"/>
      <c r="AU247" s="723"/>
      <c r="AV247" s="721"/>
      <c r="AW247" s="721"/>
      <c r="AX247" s="721"/>
      <c r="AY247" s="721"/>
      <c r="AZ247" s="721"/>
      <c r="BA247" s="721"/>
      <c r="BB247" s="721"/>
      <c r="BC247" s="721"/>
      <c r="BD247" s="721"/>
      <c r="BE247" s="721"/>
      <c r="BF247" s="721"/>
      <c r="BG247" s="721"/>
      <c r="BH247" s="721"/>
      <c r="BI247" s="721"/>
      <c r="BJ247" s="721"/>
      <c r="BK247" s="721"/>
      <c r="BL247" s="721"/>
      <c r="BM247" s="721"/>
      <c r="BN247" s="721"/>
      <c r="BO247" s="721"/>
      <c r="BP247" s="721"/>
      <c r="BQ247" s="721"/>
      <c r="BR247" s="721"/>
      <c r="BS247" s="721"/>
      <c r="BT247" s="721"/>
      <c r="BU247" s="721"/>
      <c r="BV247" s="721"/>
      <c r="BW247" s="721"/>
      <c r="BX247" s="721"/>
      <c r="BY247" s="721"/>
      <c r="BZ247" s="721"/>
      <c r="CA247" s="721"/>
      <c r="CB247" s="721"/>
      <c r="CC247" s="721"/>
      <c r="CD247" s="721"/>
      <c r="CE247" s="721"/>
      <c r="CF247" s="721"/>
      <c r="CG247" s="721"/>
      <c r="CH247" s="721"/>
      <c r="CI247" s="721"/>
      <c r="CJ247" s="721"/>
      <c r="CK247" s="721"/>
      <c r="CL247" s="721"/>
      <c r="CM247" s="721"/>
      <c r="CN247" s="721"/>
      <c r="CO247" s="721"/>
      <c r="CP247" s="721"/>
      <c r="CQ247" s="721"/>
      <c r="CR247" s="721"/>
      <c r="CS247" s="721"/>
      <c r="CT247" s="721"/>
      <c r="CU247" s="721"/>
      <c r="CV247" s="721"/>
      <c r="CW247" s="721"/>
      <c r="CX247" s="721"/>
    </row>
    <row r="248" spans="1:102" ht="12" customHeight="1" x14ac:dyDescent="0.2">
      <c r="A248" s="721"/>
      <c r="B248" s="721"/>
      <c r="C248" s="721"/>
      <c r="D248" s="721"/>
      <c r="E248" s="721"/>
      <c r="F248" s="721"/>
      <c r="G248" s="721"/>
      <c r="H248" s="721"/>
      <c r="I248" s="721"/>
      <c r="J248" s="721"/>
      <c r="K248" s="721"/>
      <c r="L248" s="721"/>
      <c r="M248" s="721"/>
      <c r="N248" s="721"/>
      <c r="O248" s="721"/>
      <c r="P248" s="721"/>
      <c r="Q248" s="721"/>
      <c r="R248" s="721"/>
      <c r="S248" s="721"/>
      <c r="T248" s="721"/>
      <c r="U248" s="721"/>
      <c r="V248" s="721"/>
      <c r="W248" s="204"/>
      <c r="X248" s="723"/>
      <c r="Y248" s="723"/>
      <c r="Z248" s="723"/>
      <c r="AA248" s="723"/>
      <c r="AB248" s="723"/>
      <c r="AC248" s="723"/>
      <c r="AD248" s="723"/>
      <c r="AE248" s="723"/>
      <c r="AF248" s="723"/>
      <c r="AG248" s="723"/>
      <c r="AH248" s="723"/>
      <c r="AI248" s="723"/>
      <c r="AJ248" s="723"/>
      <c r="AK248" s="723"/>
      <c r="AL248" s="723"/>
      <c r="AM248" s="721"/>
      <c r="AN248" s="721"/>
      <c r="AO248" s="723"/>
      <c r="AP248" s="721"/>
      <c r="AQ248" s="723"/>
      <c r="AR248" s="721"/>
      <c r="AS248" s="723"/>
      <c r="AT248" s="721"/>
      <c r="AU248" s="723"/>
      <c r="AV248" s="721"/>
      <c r="AW248" s="721"/>
      <c r="AX248" s="721"/>
      <c r="AY248" s="721"/>
      <c r="AZ248" s="721"/>
      <c r="BA248" s="721"/>
      <c r="BB248" s="721"/>
      <c r="BC248" s="721"/>
      <c r="BD248" s="721"/>
      <c r="BE248" s="721"/>
      <c r="BF248" s="721"/>
      <c r="BG248" s="721"/>
      <c r="BH248" s="721"/>
      <c r="BI248" s="721"/>
      <c r="BJ248" s="721"/>
      <c r="BK248" s="721"/>
      <c r="BL248" s="721"/>
      <c r="BM248" s="721"/>
      <c r="BN248" s="721"/>
      <c r="BO248" s="721"/>
      <c r="BP248" s="721"/>
      <c r="BQ248" s="721"/>
      <c r="BR248" s="721"/>
      <c r="BS248" s="721"/>
      <c r="BT248" s="721"/>
      <c r="BU248" s="721"/>
      <c r="BV248" s="721"/>
      <c r="BW248" s="721"/>
      <c r="BX248" s="721"/>
      <c r="BY248" s="721"/>
      <c r="BZ248" s="721"/>
      <c r="CA248" s="721"/>
      <c r="CB248" s="721"/>
      <c r="CC248" s="721"/>
      <c r="CD248" s="721"/>
      <c r="CE248" s="721"/>
      <c r="CF248" s="721"/>
      <c r="CG248" s="721"/>
      <c r="CH248" s="721"/>
      <c r="CI248" s="721"/>
      <c r="CJ248" s="721"/>
      <c r="CK248" s="721"/>
      <c r="CL248" s="721"/>
      <c r="CM248" s="721"/>
      <c r="CN248" s="721"/>
      <c r="CO248" s="721"/>
      <c r="CP248" s="721"/>
      <c r="CQ248" s="721"/>
      <c r="CR248" s="721"/>
      <c r="CS248" s="721"/>
      <c r="CT248" s="721"/>
      <c r="CU248" s="721"/>
      <c r="CV248" s="721"/>
      <c r="CW248" s="721"/>
      <c r="CX248" s="721"/>
    </row>
    <row r="249" spans="1:102" ht="12" customHeight="1" x14ac:dyDescent="0.2">
      <c r="A249" s="721"/>
      <c r="B249" s="721"/>
      <c r="C249" s="721"/>
      <c r="D249" s="721"/>
      <c r="E249" s="721"/>
      <c r="F249" s="721"/>
      <c r="G249" s="721"/>
      <c r="H249" s="721"/>
      <c r="I249" s="721"/>
      <c r="J249" s="721"/>
      <c r="K249" s="721"/>
      <c r="L249" s="721"/>
      <c r="M249" s="721"/>
      <c r="N249" s="721"/>
      <c r="O249" s="721"/>
      <c r="P249" s="721"/>
      <c r="Q249" s="721"/>
      <c r="R249" s="721"/>
      <c r="S249" s="721"/>
      <c r="T249" s="721"/>
      <c r="U249" s="721"/>
      <c r="V249" s="721"/>
      <c r="W249" s="204"/>
      <c r="X249" s="723"/>
      <c r="Y249" s="723"/>
      <c r="Z249" s="723"/>
      <c r="AA249" s="723"/>
      <c r="AB249" s="723"/>
      <c r="AC249" s="723"/>
      <c r="AD249" s="723"/>
      <c r="AE249" s="723"/>
      <c r="AF249" s="723"/>
      <c r="AG249" s="723"/>
      <c r="AH249" s="723"/>
      <c r="AI249" s="723"/>
      <c r="AJ249" s="723"/>
      <c r="AK249" s="723"/>
      <c r="AL249" s="723"/>
      <c r="AM249" s="721"/>
      <c r="AN249" s="721"/>
      <c r="AO249" s="723"/>
      <c r="AP249" s="721"/>
      <c r="AQ249" s="723"/>
      <c r="AR249" s="721"/>
      <c r="AS249" s="723"/>
      <c r="AT249" s="721"/>
      <c r="AU249" s="723"/>
      <c r="AV249" s="721"/>
      <c r="AW249" s="721"/>
      <c r="AX249" s="721"/>
      <c r="AY249" s="721"/>
      <c r="AZ249" s="721"/>
      <c r="BA249" s="721"/>
      <c r="BB249" s="721"/>
      <c r="BC249" s="721"/>
      <c r="BD249" s="721"/>
      <c r="BE249" s="721"/>
      <c r="BF249" s="721"/>
      <c r="BG249" s="721"/>
      <c r="BH249" s="721"/>
      <c r="BI249" s="721"/>
      <c r="BJ249" s="721"/>
      <c r="BK249" s="721"/>
      <c r="BL249" s="721"/>
      <c r="BM249" s="721"/>
      <c r="BN249" s="721"/>
      <c r="BO249" s="721"/>
      <c r="BP249" s="721"/>
      <c r="BQ249" s="721"/>
      <c r="BR249" s="721"/>
      <c r="BS249" s="721"/>
      <c r="BT249" s="721"/>
      <c r="BU249" s="721"/>
      <c r="BV249" s="721"/>
      <c r="BW249" s="721"/>
      <c r="BX249" s="721"/>
      <c r="BY249" s="721"/>
      <c r="BZ249" s="721"/>
      <c r="CA249" s="721"/>
      <c r="CB249" s="721"/>
      <c r="CC249" s="721"/>
      <c r="CD249" s="721"/>
      <c r="CE249" s="721"/>
      <c r="CF249" s="721"/>
      <c r="CG249" s="721"/>
      <c r="CH249" s="721"/>
      <c r="CI249" s="721"/>
      <c r="CJ249" s="721"/>
      <c r="CK249" s="721"/>
      <c r="CL249" s="721"/>
      <c r="CM249" s="721"/>
      <c r="CN249" s="721"/>
      <c r="CO249" s="721"/>
      <c r="CP249" s="721"/>
      <c r="CQ249" s="721"/>
      <c r="CR249" s="721"/>
      <c r="CS249" s="721"/>
      <c r="CT249" s="721"/>
      <c r="CU249" s="721"/>
      <c r="CV249" s="721"/>
      <c r="CW249" s="721"/>
      <c r="CX249" s="721"/>
    </row>
    <row r="250" spans="1:102" ht="12" customHeight="1" x14ac:dyDescent="0.2">
      <c r="A250" s="721"/>
      <c r="B250" s="721"/>
      <c r="C250" s="721"/>
      <c r="D250" s="721"/>
      <c r="E250" s="721"/>
      <c r="F250" s="721"/>
      <c r="G250" s="721"/>
      <c r="H250" s="721"/>
      <c r="I250" s="721"/>
      <c r="J250" s="721"/>
      <c r="K250" s="721"/>
      <c r="L250" s="721"/>
      <c r="M250" s="721"/>
      <c r="N250" s="721"/>
      <c r="O250" s="721"/>
      <c r="P250" s="721"/>
      <c r="Q250" s="721"/>
      <c r="R250" s="721"/>
      <c r="S250" s="721"/>
      <c r="T250" s="721"/>
      <c r="U250" s="721"/>
      <c r="V250" s="721"/>
      <c r="W250" s="204"/>
      <c r="X250" s="723"/>
      <c r="Y250" s="723"/>
      <c r="Z250" s="723"/>
      <c r="AA250" s="723"/>
      <c r="AB250" s="723"/>
      <c r="AC250" s="723"/>
      <c r="AD250" s="723"/>
      <c r="AE250" s="723"/>
      <c r="AF250" s="723"/>
      <c r="AG250" s="723"/>
      <c r="AH250" s="723"/>
      <c r="AI250" s="723"/>
      <c r="AJ250" s="723"/>
      <c r="AK250" s="723"/>
      <c r="AL250" s="723"/>
      <c r="AM250" s="721"/>
      <c r="AN250" s="721"/>
      <c r="AO250" s="723"/>
      <c r="AP250" s="721"/>
      <c r="AQ250" s="723"/>
      <c r="AR250" s="721"/>
      <c r="AS250" s="723"/>
      <c r="AT250" s="721"/>
      <c r="AU250" s="723"/>
      <c r="AV250" s="721"/>
      <c r="AW250" s="721"/>
      <c r="AX250" s="721"/>
      <c r="AY250" s="721"/>
      <c r="AZ250" s="721"/>
      <c r="BA250" s="721"/>
      <c r="BB250" s="721"/>
      <c r="BC250" s="721"/>
      <c r="BD250" s="721"/>
      <c r="BE250" s="721"/>
      <c r="BF250" s="721"/>
      <c r="BG250" s="721"/>
      <c r="BH250" s="721"/>
      <c r="BI250" s="721"/>
      <c r="BJ250" s="721"/>
      <c r="BK250" s="721"/>
      <c r="BL250" s="721"/>
      <c r="BM250" s="721"/>
      <c r="BN250" s="721"/>
      <c r="BO250" s="721"/>
      <c r="BP250" s="721"/>
      <c r="BQ250" s="721"/>
      <c r="BR250" s="721"/>
      <c r="BS250" s="721"/>
      <c r="BT250" s="721"/>
      <c r="BU250" s="721"/>
      <c r="BV250" s="721"/>
      <c r="BW250" s="721"/>
      <c r="BX250" s="721"/>
      <c r="BY250" s="721"/>
      <c r="BZ250" s="721"/>
      <c r="CA250" s="721"/>
      <c r="CB250" s="721"/>
      <c r="CC250" s="721"/>
      <c r="CD250" s="721"/>
      <c r="CE250" s="721"/>
      <c r="CF250" s="721"/>
      <c r="CG250" s="721"/>
      <c r="CH250" s="721"/>
      <c r="CI250" s="721"/>
      <c r="CJ250" s="721"/>
      <c r="CK250" s="721"/>
      <c r="CL250" s="721"/>
      <c r="CM250" s="721"/>
      <c r="CN250" s="721"/>
      <c r="CO250" s="721"/>
      <c r="CP250" s="721"/>
      <c r="CQ250" s="721"/>
      <c r="CR250" s="721"/>
      <c r="CS250" s="721"/>
      <c r="CT250" s="721"/>
      <c r="CU250" s="721"/>
      <c r="CV250" s="721"/>
      <c r="CW250" s="721"/>
      <c r="CX250" s="721"/>
    </row>
    <row r="251" spans="1:102" ht="12" customHeight="1" x14ac:dyDescent="0.2">
      <c r="A251" s="721"/>
      <c r="B251" s="721"/>
      <c r="C251" s="721"/>
      <c r="D251" s="721"/>
      <c r="E251" s="721"/>
      <c r="F251" s="721"/>
      <c r="G251" s="721"/>
      <c r="H251" s="721"/>
      <c r="I251" s="721"/>
      <c r="J251" s="721"/>
      <c r="K251" s="721"/>
      <c r="L251" s="721"/>
      <c r="M251" s="721"/>
      <c r="N251" s="721"/>
      <c r="O251" s="721"/>
      <c r="P251" s="721"/>
      <c r="Q251" s="721"/>
      <c r="R251" s="721"/>
      <c r="S251" s="721"/>
      <c r="T251" s="721"/>
      <c r="U251" s="721"/>
      <c r="V251" s="721"/>
      <c r="W251" s="204"/>
      <c r="X251" s="723"/>
      <c r="Y251" s="723"/>
      <c r="Z251" s="723"/>
      <c r="AA251" s="723"/>
      <c r="AB251" s="723"/>
      <c r="AC251" s="723"/>
      <c r="AD251" s="723"/>
      <c r="AE251" s="723"/>
      <c r="AF251" s="723"/>
      <c r="AG251" s="723"/>
      <c r="AH251" s="723"/>
      <c r="AI251" s="723"/>
      <c r="AJ251" s="723"/>
      <c r="AK251" s="723"/>
      <c r="AL251" s="723"/>
      <c r="AM251" s="721"/>
      <c r="AN251" s="721"/>
      <c r="AO251" s="723"/>
      <c r="AP251" s="721"/>
      <c r="AQ251" s="723"/>
      <c r="AR251" s="721"/>
      <c r="AS251" s="723"/>
      <c r="AT251" s="721"/>
      <c r="AU251" s="723"/>
      <c r="AV251" s="721"/>
      <c r="AW251" s="721"/>
      <c r="AX251" s="721"/>
      <c r="AY251" s="721"/>
      <c r="AZ251" s="721"/>
      <c r="BA251" s="721"/>
      <c r="BB251" s="721"/>
      <c r="BC251" s="721"/>
      <c r="BD251" s="721"/>
      <c r="BE251" s="721"/>
      <c r="BF251" s="721"/>
      <c r="BG251" s="721"/>
      <c r="BH251" s="721"/>
      <c r="BI251" s="721"/>
      <c r="BJ251" s="721"/>
      <c r="BK251" s="721"/>
      <c r="BL251" s="721"/>
      <c r="BM251" s="721"/>
      <c r="BN251" s="721"/>
      <c r="BO251" s="721"/>
      <c r="BP251" s="721"/>
      <c r="BQ251" s="721"/>
      <c r="BR251" s="721"/>
      <c r="BS251" s="721"/>
      <c r="BT251" s="721"/>
      <c r="BU251" s="721"/>
      <c r="BV251" s="721"/>
      <c r="BW251" s="721"/>
      <c r="BX251" s="721"/>
      <c r="BY251" s="721"/>
      <c r="BZ251" s="721"/>
      <c r="CA251" s="721"/>
      <c r="CB251" s="721"/>
      <c r="CC251" s="721"/>
      <c r="CD251" s="721"/>
      <c r="CE251" s="721"/>
      <c r="CF251" s="721"/>
      <c r="CG251" s="721"/>
      <c r="CH251" s="721"/>
      <c r="CI251" s="721"/>
      <c r="CJ251" s="721"/>
      <c r="CK251" s="721"/>
      <c r="CL251" s="721"/>
      <c r="CM251" s="721"/>
      <c r="CN251" s="721"/>
      <c r="CO251" s="721"/>
      <c r="CP251" s="721"/>
      <c r="CQ251" s="721"/>
      <c r="CR251" s="721"/>
      <c r="CS251" s="721"/>
      <c r="CT251" s="721"/>
      <c r="CU251" s="721"/>
      <c r="CV251" s="721"/>
      <c r="CW251" s="721"/>
      <c r="CX251" s="721"/>
    </row>
    <row r="252" spans="1:102" ht="12" customHeight="1" x14ac:dyDescent="0.2">
      <c r="A252" s="721"/>
      <c r="B252" s="721"/>
      <c r="C252" s="721"/>
      <c r="D252" s="721"/>
      <c r="E252" s="721"/>
      <c r="F252" s="721"/>
      <c r="G252" s="721"/>
      <c r="H252" s="721"/>
      <c r="I252" s="721"/>
      <c r="J252" s="721"/>
      <c r="K252" s="721"/>
      <c r="L252" s="721"/>
      <c r="M252" s="721"/>
      <c r="N252" s="721"/>
      <c r="O252" s="721"/>
      <c r="P252" s="721"/>
      <c r="Q252" s="721"/>
      <c r="R252" s="721"/>
      <c r="S252" s="721"/>
      <c r="T252" s="721"/>
      <c r="U252" s="721"/>
      <c r="V252" s="721"/>
      <c r="W252" s="204"/>
      <c r="X252" s="723"/>
      <c r="Y252" s="723"/>
      <c r="Z252" s="723"/>
      <c r="AA252" s="723"/>
      <c r="AB252" s="723"/>
      <c r="AC252" s="723"/>
      <c r="AD252" s="723"/>
      <c r="AE252" s="723"/>
      <c r="AF252" s="723"/>
      <c r="AG252" s="723"/>
      <c r="AH252" s="723"/>
      <c r="AI252" s="723"/>
      <c r="AJ252" s="723"/>
      <c r="AK252" s="723"/>
      <c r="AL252" s="723"/>
      <c r="AM252" s="721"/>
      <c r="AN252" s="721"/>
      <c r="AO252" s="723"/>
      <c r="AP252" s="721"/>
      <c r="AQ252" s="723"/>
      <c r="AR252" s="721"/>
      <c r="AS252" s="723"/>
      <c r="AT252" s="721"/>
      <c r="AU252" s="723"/>
      <c r="AV252" s="721"/>
      <c r="AW252" s="721"/>
      <c r="AX252" s="721"/>
      <c r="AY252" s="721"/>
      <c r="AZ252" s="721"/>
      <c r="BA252" s="721"/>
      <c r="BB252" s="721"/>
      <c r="BC252" s="721"/>
      <c r="BD252" s="721"/>
      <c r="BE252" s="721"/>
      <c r="BF252" s="721"/>
      <c r="BG252" s="721"/>
      <c r="BH252" s="721"/>
      <c r="BI252" s="721"/>
      <c r="BJ252" s="721"/>
      <c r="BK252" s="721"/>
      <c r="BL252" s="721"/>
      <c r="BM252" s="721"/>
      <c r="BN252" s="721"/>
      <c r="BO252" s="721"/>
      <c r="BP252" s="721"/>
      <c r="BQ252" s="721"/>
      <c r="BR252" s="721"/>
      <c r="BS252" s="721"/>
      <c r="BT252" s="721"/>
      <c r="BU252" s="721"/>
      <c r="BV252" s="721"/>
      <c r="BW252" s="721"/>
      <c r="BX252" s="721"/>
      <c r="BY252" s="721"/>
      <c r="BZ252" s="721"/>
      <c r="CA252" s="721"/>
      <c r="CB252" s="721"/>
      <c r="CC252" s="721"/>
      <c r="CD252" s="721"/>
      <c r="CE252" s="721"/>
      <c r="CF252" s="721"/>
      <c r="CG252" s="721"/>
      <c r="CH252" s="721"/>
      <c r="CI252" s="721"/>
      <c r="CJ252" s="721"/>
      <c r="CK252" s="721"/>
      <c r="CL252" s="721"/>
      <c r="CM252" s="721"/>
      <c r="CN252" s="721"/>
      <c r="CO252" s="721"/>
      <c r="CP252" s="721"/>
      <c r="CQ252" s="721"/>
      <c r="CR252" s="721"/>
      <c r="CS252" s="721"/>
      <c r="CT252" s="721"/>
      <c r="CU252" s="721"/>
      <c r="CV252" s="721"/>
      <c r="CW252" s="721"/>
      <c r="CX252" s="721"/>
    </row>
    <row r="253" spans="1:102" ht="12" customHeight="1" x14ac:dyDescent="0.2">
      <c r="A253" s="721"/>
      <c r="B253" s="721"/>
      <c r="C253" s="721"/>
      <c r="D253" s="721"/>
      <c r="E253" s="721"/>
      <c r="F253" s="721"/>
      <c r="G253" s="721"/>
      <c r="H253" s="721"/>
      <c r="I253" s="721"/>
      <c r="J253" s="721"/>
      <c r="K253" s="721"/>
      <c r="L253" s="721"/>
      <c r="M253" s="721"/>
      <c r="N253" s="721"/>
      <c r="O253" s="721"/>
      <c r="P253" s="721"/>
      <c r="Q253" s="721"/>
      <c r="R253" s="721"/>
      <c r="S253" s="721"/>
      <c r="T253" s="721"/>
      <c r="U253" s="721"/>
      <c r="V253" s="721"/>
      <c r="W253" s="204"/>
      <c r="X253" s="723"/>
      <c r="Y253" s="723"/>
      <c r="Z253" s="723"/>
      <c r="AA253" s="723"/>
      <c r="AB253" s="723"/>
      <c r="AC253" s="723"/>
      <c r="AD253" s="723"/>
      <c r="AE253" s="723"/>
      <c r="AF253" s="723"/>
      <c r="AG253" s="723"/>
      <c r="AH253" s="723"/>
      <c r="AI253" s="723"/>
      <c r="AJ253" s="723"/>
      <c r="AK253" s="723"/>
      <c r="AL253" s="723"/>
      <c r="AM253" s="721"/>
      <c r="AN253" s="721"/>
      <c r="AO253" s="723"/>
      <c r="AP253" s="721"/>
      <c r="AQ253" s="723"/>
      <c r="AR253" s="721"/>
      <c r="AS253" s="723"/>
      <c r="AT253" s="721"/>
      <c r="AU253" s="723"/>
      <c r="AV253" s="721"/>
      <c r="AW253" s="721"/>
      <c r="AX253" s="721"/>
      <c r="AY253" s="721"/>
      <c r="AZ253" s="721"/>
      <c r="BA253" s="721"/>
      <c r="BB253" s="721"/>
      <c r="BC253" s="721"/>
      <c r="BD253" s="721"/>
      <c r="BE253" s="721"/>
      <c r="BF253" s="721"/>
      <c r="BG253" s="721"/>
      <c r="BH253" s="721"/>
      <c r="BI253" s="721"/>
      <c r="BJ253" s="721"/>
      <c r="BK253" s="721"/>
      <c r="BL253" s="721"/>
      <c r="BM253" s="721"/>
      <c r="BN253" s="721"/>
      <c r="BO253" s="721"/>
      <c r="BP253" s="721"/>
      <c r="BQ253" s="721"/>
      <c r="BR253" s="721"/>
      <c r="BS253" s="721"/>
      <c r="BT253" s="721"/>
      <c r="BU253" s="721"/>
      <c r="BV253" s="721"/>
      <c r="BW253" s="721"/>
      <c r="BX253" s="721"/>
      <c r="BY253" s="721"/>
      <c r="BZ253" s="721"/>
      <c r="CA253" s="721"/>
      <c r="CB253" s="721"/>
      <c r="CC253" s="721"/>
      <c r="CD253" s="721"/>
      <c r="CE253" s="721"/>
      <c r="CF253" s="721"/>
      <c r="CG253" s="721"/>
      <c r="CH253" s="721"/>
      <c r="CI253" s="721"/>
      <c r="CJ253" s="721"/>
      <c r="CK253" s="721"/>
      <c r="CL253" s="721"/>
      <c r="CM253" s="721"/>
      <c r="CN253" s="721"/>
      <c r="CO253" s="721"/>
      <c r="CP253" s="721"/>
      <c r="CQ253" s="721"/>
      <c r="CR253" s="721"/>
      <c r="CS253" s="721"/>
      <c r="CT253" s="721"/>
      <c r="CU253" s="721"/>
      <c r="CV253" s="721"/>
      <c r="CW253" s="721"/>
      <c r="CX253" s="721"/>
    </row>
    <row r="254" spans="1:102" ht="12" customHeight="1" x14ac:dyDescent="0.2">
      <c r="A254" s="721"/>
      <c r="B254" s="721"/>
      <c r="C254" s="721"/>
      <c r="D254" s="721"/>
      <c r="E254" s="721"/>
      <c r="F254" s="721"/>
      <c r="G254" s="721"/>
      <c r="H254" s="721"/>
      <c r="I254" s="721"/>
      <c r="J254" s="721"/>
      <c r="K254" s="721"/>
      <c r="L254" s="721"/>
      <c r="M254" s="721"/>
      <c r="N254" s="721"/>
      <c r="O254" s="721"/>
      <c r="P254" s="721"/>
      <c r="Q254" s="721"/>
      <c r="R254" s="721"/>
      <c r="S254" s="721"/>
      <c r="T254" s="721"/>
      <c r="U254" s="721"/>
      <c r="V254" s="721"/>
      <c r="W254" s="204"/>
      <c r="X254" s="723"/>
      <c r="Y254" s="723"/>
      <c r="Z254" s="723"/>
      <c r="AA254" s="723"/>
      <c r="AB254" s="723"/>
      <c r="AC254" s="723"/>
      <c r="AD254" s="723"/>
      <c r="AE254" s="723"/>
      <c r="AF254" s="723"/>
      <c r="AG254" s="723"/>
      <c r="AH254" s="723"/>
      <c r="AI254" s="723"/>
      <c r="AJ254" s="723"/>
      <c r="AK254" s="723"/>
      <c r="AL254" s="723"/>
      <c r="AM254" s="721"/>
      <c r="AN254" s="721"/>
      <c r="AO254" s="723"/>
      <c r="AP254" s="721"/>
      <c r="AQ254" s="723"/>
      <c r="AR254" s="721"/>
      <c r="AS254" s="723"/>
      <c r="AT254" s="721"/>
      <c r="AU254" s="723"/>
      <c r="AV254" s="721"/>
      <c r="AW254" s="721"/>
      <c r="AX254" s="721"/>
      <c r="AY254" s="721"/>
      <c r="AZ254" s="721"/>
      <c r="BA254" s="721"/>
      <c r="BB254" s="721"/>
      <c r="BC254" s="721"/>
      <c r="BD254" s="721"/>
      <c r="BE254" s="721"/>
      <c r="BF254" s="721"/>
      <c r="BG254" s="721"/>
      <c r="BH254" s="721"/>
      <c r="BI254" s="721"/>
      <c r="BJ254" s="721"/>
      <c r="BK254" s="721"/>
      <c r="BL254" s="721"/>
      <c r="BM254" s="721"/>
      <c r="BN254" s="721"/>
      <c r="BO254" s="721"/>
      <c r="BP254" s="721"/>
      <c r="BQ254" s="721"/>
      <c r="BR254" s="721"/>
      <c r="BS254" s="721"/>
      <c r="BT254" s="721"/>
      <c r="BU254" s="721"/>
      <c r="BV254" s="721"/>
      <c r="BW254" s="721"/>
      <c r="BX254" s="721"/>
      <c r="BY254" s="721"/>
      <c r="BZ254" s="721"/>
      <c r="CA254" s="721"/>
      <c r="CB254" s="721"/>
      <c r="CC254" s="721"/>
      <c r="CD254" s="721"/>
      <c r="CE254" s="721"/>
      <c r="CF254" s="721"/>
      <c r="CG254" s="721"/>
      <c r="CH254" s="721"/>
      <c r="CI254" s="721"/>
      <c r="CJ254" s="721"/>
      <c r="CK254" s="721"/>
      <c r="CL254" s="721"/>
      <c r="CM254" s="721"/>
      <c r="CN254" s="721"/>
      <c r="CO254" s="721"/>
      <c r="CP254" s="721"/>
      <c r="CQ254" s="721"/>
      <c r="CR254" s="721"/>
      <c r="CS254" s="721"/>
      <c r="CT254" s="721"/>
      <c r="CU254" s="721"/>
      <c r="CV254" s="721"/>
      <c r="CW254" s="721"/>
      <c r="CX254" s="721"/>
    </row>
    <row r="255" spans="1:102" ht="12" customHeight="1" x14ac:dyDescent="0.2">
      <c r="A255" s="721"/>
      <c r="B255" s="721"/>
      <c r="C255" s="721"/>
      <c r="D255" s="721"/>
      <c r="E255" s="721"/>
      <c r="F255" s="721"/>
      <c r="G255" s="721"/>
      <c r="H255" s="721"/>
      <c r="I255" s="721"/>
      <c r="J255" s="721"/>
      <c r="K255" s="721"/>
      <c r="L255" s="721"/>
      <c r="M255" s="721"/>
      <c r="N255" s="721"/>
      <c r="O255" s="721"/>
      <c r="P255" s="721"/>
      <c r="Q255" s="721"/>
      <c r="R255" s="721"/>
      <c r="S255" s="721"/>
      <c r="T255" s="721"/>
      <c r="U255" s="721"/>
      <c r="V255" s="721"/>
      <c r="W255" s="204"/>
      <c r="X255" s="723"/>
      <c r="Y255" s="723"/>
      <c r="Z255" s="723"/>
      <c r="AA255" s="723"/>
      <c r="AB255" s="723"/>
      <c r="AC255" s="723"/>
      <c r="AD255" s="723"/>
      <c r="AE255" s="723"/>
      <c r="AF255" s="723"/>
      <c r="AG255" s="723"/>
      <c r="AH255" s="723"/>
      <c r="AI255" s="723"/>
      <c r="AJ255" s="723"/>
      <c r="AK255" s="723"/>
      <c r="AL255" s="723"/>
      <c r="AM255" s="721"/>
      <c r="AN255" s="721"/>
      <c r="AO255" s="723"/>
      <c r="AP255" s="721"/>
      <c r="AQ255" s="723"/>
      <c r="AR255" s="721"/>
      <c r="AS255" s="723"/>
      <c r="AT255" s="721"/>
      <c r="AU255" s="723"/>
      <c r="AV255" s="721"/>
      <c r="AW255" s="721"/>
      <c r="AX255" s="721"/>
      <c r="AY255" s="721"/>
      <c r="AZ255" s="721"/>
      <c r="BA255" s="721"/>
      <c r="BB255" s="721"/>
      <c r="BC255" s="721"/>
      <c r="BD255" s="721"/>
      <c r="BE255" s="721"/>
      <c r="BF255" s="721"/>
      <c r="BG255" s="721"/>
      <c r="BH255" s="721"/>
      <c r="BI255" s="721"/>
      <c r="BJ255" s="721"/>
      <c r="BK255" s="721"/>
      <c r="BL255" s="721"/>
      <c r="BM255" s="721"/>
      <c r="BN255" s="721"/>
      <c r="BO255" s="721"/>
      <c r="BP255" s="721"/>
      <c r="BQ255" s="721"/>
      <c r="BR255" s="721"/>
      <c r="BS255" s="721"/>
      <c r="BT255" s="721"/>
      <c r="BU255" s="721"/>
      <c r="BV255" s="721"/>
      <c r="BW255" s="721"/>
      <c r="BX255" s="721"/>
      <c r="BY255" s="721"/>
      <c r="BZ255" s="721"/>
      <c r="CA255" s="721"/>
      <c r="CB255" s="721"/>
      <c r="CC255" s="721"/>
      <c r="CD255" s="721"/>
      <c r="CE255" s="721"/>
      <c r="CF255" s="721"/>
      <c r="CG255" s="721"/>
      <c r="CH255" s="721"/>
      <c r="CI255" s="721"/>
      <c r="CJ255" s="721"/>
      <c r="CK255" s="721"/>
      <c r="CL255" s="721"/>
      <c r="CM255" s="721"/>
      <c r="CN255" s="721"/>
      <c r="CO255" s="721"/>
      <c r="CP255" s="721"/>
      <c r="CQ255" s="721"/>
      <c r="CR255" s="721"/>
      <c r="CS255" s="721"/>
      <c r="CT255" s="721"/>
      <c r="CU255" s="721"/>
      <c r="CV255" s="721"/>
      <c r="CW255" s="721"/>
      <c r="CX255" s="721"/>
    </row>
    <row r="256" spans="1:102" ht="12" customHeight="1" x14ac:dyDescent="0.2">
      <c r="A256" s="721"/>
      <c r="B256" s="721"/>
      <c r="C256" s="721"/>
      <c r="D256" s="721"/>
      <c r="E256" s="721"/>
      <c r="F256" s="721"/>
      <c r="G256" s="721"/>
      <c r="H256" s="721"/>
      <c r="I256" s="721"/>
      <c r="J256" s="721"/>
      <c r="K256" s="721"/>
      <c r="L256" s="721"/>
      <c r="M256" s="721"/>
      <c r="N256" s="721"/>
      <c r="O256" s="721"/>
      <c r="P256" s="721"/>
      <c r="Q256" s="721"/>
      <c r="R256" s="721"/>
      <c r="S256" s="721"/>
      <c r="T256" s="721"/>
      <c r="U256" s="721"/>
      <c r="V256" s="721"/>
      <c r="W256" s="204"/>
      <c r="X256" s="723"/>
      <c r="Y256" s="723"/>
      <c r="Z256" s="723"/>
      <c r="AA256" s="723"/>
      <c r="AB256" s="723"/>
      <c r="AC256" s="723"/>
      <c r="AD256" s="723"/>
      <c r="AE256" s="723"/>
      <c r="AF256" s="723"/>
      <c r="AG256" s="723"/>
      <c r="AH256" s="723"/>
      <c r="AI256" s="723"/>
      <c r="AJ256" s="723"/>
      <c r="AK256" s="723"/>
      <c r="AL256" s="723"/>
      <c r="AM256" s="721"/>
      <c r="AN256" s="721"/>
      <c r="AO256" s="723"/>
      <c r="AP256" s="721"/>
      <c r="AQ256" s="723"/>
      <c r="AR256" s="721"/>
      <c r="AS256" s="723"/>
      <c r="AT256" s="721"/>
      <c r="AU256" s="723"/>
      <c r="AV256" s="721"/>
      <c r="AW256" s="721"/>
      <c r="AX256" s="721"/>
      <c r="AY256" s="721"/>
      <c r="AZ256" s="721"/>
      <c r="BA256" s="721"/>
      <c r="BB256" s="721"/>
      <c r="BC256" s="721"/>
      <c r="BD256" s="721"/>
      <c r="BE256" s="721"/>
      <c r="BF256" s="721"/>
      <c r="BG256" s="721"/>
      <c r="BH256" s="721"/>
      <c r="BI256" s="721"/>
      <c r="BJ256" s="721"/>
      <c r="BK256" s="721"/>
      <c r="BL256" s="721"/>
      <c r="BM256" s="721"/>
      <c r="BN256" s="721"/>
      <c r="BO256" s="721"/>
      <c r="BP256" s="721"/>
      <c r="BQ256" s="721"/>
      <c r="BR256" s="721"/>
      <c r="BS256" s="721"/>
      <c r="BT256" s="721"/>
      <c r="BU256" s="721"/>
      <c r="BV256" s="721"/>
      <c r="BW256" s="721"/>
      <c r="BX256" s="721"/>
      <c r="BY256" s="721"/>
      <c r="BZ256" s="721"/>
      <c r="CA256" s="721"/>
      <c r="CB256" s="721"/>
      <c r="CC256" s="721"/>
      <c r="CD256" s="721"/>
      <c r="CE256" s="721"/>
      <c r="CF256" s="721"/>
      <c r="CG256" s="721"/>
      <c r="CH256" s="721"/>
      <c r="CI256" s="721"/>
      <c r="CJ256" s="721"/>
      <c r="CK256" s="721"/>
      <c r="CL256" s="721"/>
      <c r="CM256" s="721"/>
      <c r="CN256" s="721"/>
      <c r="CO256" s="721"/>
      <c r="CP256" s="721"/>
      <c r="CQ256" s="721"/>
      <c r="CR256" s="721"/>
      <c r="CS256" s="721"/>
      <c r="CT256" s="721"/>
      <c r="CU256" s="721"/>
      <c r="CV256" s="721"/>
      <c r="CW256" s="721"/>
      <c r="CX256" s="721"/>
    </row>
    <row r="257" spans="1:102" ht="12" customHeight="1" x14ac:dyDescent="0.2">
      <c r="A257" s="721"/>
      <c r="B257" s="721"/>
      <c r="C257" s="721"/>
      <c r="D257" s="721"/>
      <c r="E257" s="721"/>
      <c r="F257" s="721"/>
      <c r="G257" s="721"/>
      <c r="H257" s="721"/>
      <c r="I257" s="721"/>
      <c r="J257" s="721"/>
      <c r="K257" s="721"/>
      <c r="L257" s="721"/>
      <c r="M257" s="721"/>
      <c r="N257" s="721"/>
      <c r="O257" s="721"/>
      <c r="P257" s="721"/>
      <c r="Q257" s="721"/>
      <c r="R257" s="721"/>
      <c r="S257" s="721"/>
      <c r="T257" s="721"/>
      <c r="U257" s="721"/>
      <c r="V257" s="721"/>
      <c r="W257" s="204"/>
      <c r="X257" s="723"/>
      <c r="Y257" s="723"/>
      <c r="Z257" s="723"/>
      <c r="AA257" s="723"/>
      <c r="AB257" s="723"/>
      <c r="AC257" s="723"/>
      <c r="AD257" s="723"/>
      <c r="AE257" s="723"/>
      <c r="AF257" s="723"/>
      <c r="AG257" s="723"/>
      <c r="AH257" s="723"/>
      <c r="AI257" s="723"/>
      <c r="AJ257" s="723"/>
      <c r="AK257" s="723"/>
      <c r="AL257" s="723"/>
      <c r="AM257" s="721"/>
      <c r="AN257" s="721"/>
      <c r="AO257" s="723"/>
      <c r="AP257" s="721"/>
      <c r="AQ257" s="723"/>
      <c r="AR257" s="721"/>
      <c r="AS257" s="723"/>
      <c r="AT257" s="721"/>
      <c r="AU257" s="723"/>
      <c r="AV257" s="721"/>
      <c r="AW257" s="721"/>
      <c r="AX257" s="721"/>
      <c r="AY257" s="721"/>
      <c r="AZ257" s="721"/>
      <c r="BA257" s="721"/>
      <c r="BB257" s="721"/>
      <c r="BC257" s="721"/>
      <c r="BD257" s="721"/>
      <c r="BE257" s="721"/>
      <c r="BF257" s="721"/>
      <c r="BG257" s="721"/>
      <c r="BH257" s="721"/>
      <c r="BI257" s="721"/>
      <c r="BJ257" s="721"/>
      <c r="BK257" s="721"/>
      <c r="BL257" s="721"/>
      <c r="BM257" s="721"/>
      <c r="BN257" s="721"/>
      <c r="BO257" s="721"/>
      <c r="BP257" s="721"/>
      <c r="BQ257" s="721"/>
      <c r="BR257" s="721"/>
      <c r="BS257" s="721"/>
      <c r="BT257" s="721"/>
      <c r="BU257" s="721"/>
      <c r="BV257" s="721"/>
      <c r="BW257" s="721"/>
      <c r="BX257" s="721"/>
      <c r="BY257" s="721"/>
      <c r="BZ257" s="721"/>
      <c r="CA257" s="721"/>
      <c r="CB257" s="721"/>
      <c r="CC257" s="721"/>
      <c r="CD257" s="721"/>
      <c r="CE257" s="721"/>
      <c r="CF257" s="721"/>
      <c r="CG257" s="721"/>
      <c r="CH257" s="721"/>
      <c r="CI257" s="721"/>
      <c r="CJ257" s="721"/>
      <c r="CK257" s="721"/>
      <c r="CL257" s="721"/>
      <c r="CM257" s="721"/>
      <c r="CN257" s="721"/>
      <c r="CO257" s="721"/>
      <c r="CP257" s="721"/>
      <c r="CQ257" s="721"/>
      <c r="CR257" s="721"/>
      <c r="CS257" s="721"/>
      <c r="CT257" s="721"/>
      <c r="CU257" s="721"/>
      <c r="CV257" s="721"/>
      <c r="CW257" s="721"/>
      <c r="CX257" s="721"/>
    </row>
    <row r="258" spans="1:102" ht="12" customHeight="1" x14ac:dyDescent="0.2">
      <c r="A258" s="721"/>
      <c r="B258" s="721"/>
      <c r="C258" s="721"/>
      <c r="D258" s="721"/>
      <c r="E258" s="721"/>
      <c r="F258" s="721"/>
      <c r="G258" s="721"/>
      <c r="H258" s="721"/>
      <c r="I258" s="721"/>
      <c r="J258" s="721"/>
      <c r="K258" s="721"/>
      <c r="L258" s="721"/>
      <c r="M258" s="721"/>
      <c r="N258" s="721"/>
      <c r="O258" s="721"/>
      <c r="P258" s="721"/>
      <c r="Q258" s="721"/>
      <c r="R258" s="721"/>
      <c r="S258" s="721"/>
      <c r="T258" s="721"/>
      <c r="U258" s="721"/>
      <c r="V258" s="721"/>
      <c r="W258" s="204"/>
      <c r="X258" s="723"/>
      <c r="Y258" s="723"/>
      <c r="Z258" s="723"/>
      <c r="AA258" s="723"/>
      <c r="AB258" s="723"/>
      <c r="AC258" s="723"/>
      <c r="AD258" s="723"/>
      <c r="AE258" s="723"/>
      <c r="AF258" s="723"/>
      <c r="AG258" s="723"/>
      <c r="AH258" s="723"/>
      <c r="AI258" s="723"/>
      <c r="AJ258" s="723"/>
      <c r="AK258" s="723"/>
      <c r="AL258" s="723"/>
      <c r="AM258" s="721"/>
      <c r="AN258" s="721"/>
      <c r="AO258" s="723"/>
      <c r="AP258" s="721"/>
      <c r="AQ258" s="723"/>
      <c r="AR258" s="721"/>
      <c r="AS258" s="723"/>
      <c r="AT258" s="721"/>
      <c r="AU258" s="723"/>
      <c r="AV258" s="721"/>
      <c r="AW258" s="721"/>
      <c r="AX258" s="721"/>
      <c r="AY258" s="721"/>
      <c r="AZ258" s="721"/>
      <c r="BA258" s="721"/>
      <c r="BB258" s="721"/>
      <c r="BC258" s="721"/>
      <c r="BD258" s="721"/>
      <c r="BE258" s="721"/>
      <c r="BF258" s="721"/>
      <c r="BG258" s="721"/>
      <c r="BH258" s="721"/>
      <c r="BI258" s="721"/>
      <c r="BJ258" s="721"/>
      <c r="BK258" s="721"/>
      <c r="BL258" s="721"/>
      <c r="BM258" s="721"/>
      <c r="BN258" s="721"/>
      <c r="BO258" s="721"/>
      <c r="BP258" s="721"/>
      <c r="BQ258" s="721"/>
      <c r="BR258" s="721"/>
      <c r="BS258" s="721"/>
      <c r="BT258" s="721"/>
      <c r="BU258" s="721"/>
      <c r="BV258" s="721"/>
      <c r="BW258" s="721"/>
      <c r="BX258" s="721"/>
      <c r="BY258" s="721"/>
      <c r="BZ258" s="721"/>
      <c r="CA258" s="721"/>
      <c r="CB258" s="721"/>
      <c r="CC258" s="721"/>
      <c r="CD258" s="721"/>
      <c r="CE258" s="721"/>
      <c r="CF258" s="721"/>
      <c r="CG258" s="721"/>
      <c r="CH258" s="721"/>
      <c r="CI258" s="721"/>
      <c r="CJ258" s="721"/>
      <c r="CK258" s="721"/>
      <c r="CL258" s="721"/>
      <c r="CM258" s="721"/>
      <c r="CN258" s="721"/>
      <c r="CO258" s="721"/>
      <c r="CP258" s="721"/>
      <c r="CQ258" s="721"/>
      <c r="CR258" s="721"/>
      <c r="CS258" s="721"/>
      <c r="CT258" s="721"/>
      <c r="CU258" s="721"/>
      <c r="CV258" s="721"/>
      <c r="CW258" s="721"/>
      <c r="CX258" s="721"/>
    </row>
    <row r="259" spans="1:102" ht="12" customHeight="1" x14ac:dyDescent="0.2">
      <c r="A259" s="721"/>
      <c r="B259" s="721"/>
      <c r="C259" s="721"/>
      <c r="D259" s="721"/>
      <c r="E259" s="721"/>
      <c r="F259" s="721"/>
      <c r="G259" s="721"/>
      <c r="H259" s="721"/>
      <c r="I259" s="721"/>
      <c r="J259" s="721"/>
      <c r="K259" s="721"/>
      <c r="L259" s="721"/>
      <c r="M259" s="721"/>
      <c r="N259" s="721"/>
      <c r="O259" s="721"/>
      <c r="P259" s="721"/>
      <c r="Q259" s="721"/>
      <c r="R259" s="721"/>
      <c r="S259" s="721"/>
      <c r="T259" s="721"/>
      <c r="U259" s="721"/>
      <c r="V259" s="721"/>
      <c r="W259" s="204"/>
      <c r="X259" s="723"/>
      <c r="Y259" s="723"/>
      <c r="Z259" s="723"/>
      <c r="AA259" s="723"/>
      <c r="AB259" s="723"/>
      <c r="AC259" s="723"/>
      <c r="AD259" s="723"/>
      <c r="AE259" s="723"/>
      <c r="AF259" s="723"/>
      <c r="AG259" s="723"/>
      <c r="AH259" s="723"/>
      <c r="AI259" s="723"/>
      <c r="AJ259" s="723"/>
      <c r="AK259" s="723"/>
      <c r="AL259" s="723"/>
      <c r="AM259" s="721"/>
      <c r="AN259" s="721"/>
      <c r="AO259" s="723"/>
      <c r="AP259" s="721"/>
      <c r="AQ259" s="723"/>
      <c r="AR259" s="721"/>
      <c r="AS259" s="723"/>
      <c r="AT259" s="721"/>
      <c r="AU259" s="723"/>
      <c r="AV259" s="721"/>
      <c r="AW259" s="721"/>
      <c r="AX259" s="721"/>
      <c r="AY259" s="721"/>
      <c r="AZ259" s="721"/>
      <c r="BA259" s="721"/>
      <c r="BB259" s="721"/>
      <c r="BC259" s="721"/>
      <c r="BD259" s="721"/>
      <c r="BE259" s="721"/>
      <c r="BF259" s="721"/>
      <c r="BG259" s="721"/>
      <c r="BH259" s="721"/>
      <c r="BI259" s="721"/>
      <c r="BJ259" s="721"/>
      <c r="BK259" s="721"/>
      <c r="BL259" s="721"/>
      <c r="BM259" s="721"/>
      <c r="BN259" s="721"/>
      <c r="BO259" s="721"/>
      <c r="BP259" s="721"/>
      <c r="BQ259" s="721"/>
      <c r="BR259" s="721"/>
      <c r="BS259" s="721"/>
      <c r="BT259" s="721"/>
      <c r="BU259" s="721"/>
      <c r="BV259" s="721"/>
      <c r="BW259" s="721"/>
      <c r="BX259" s="721"/>
      <c r="BY259" s="721"/>
      <c r="BZ259" s="721"/>
      <c r="CA259" s="721"/>
      <c r="CB259" s="721"/>
      <c r="CC259" s="721"/>
      <c r="CD259" s="721"/>
      <c r="CE259" s="721"/>
      <c r="CF259" s="721"/>
      <c r="CG259" s="721"/>
      <c r="CH259" s="721"/>
      <c r="CI259" s="721"/>
      <c r="CJ259" s="721"/>
      <c r="CK259" s="721"/>
      <c r="CL259" s="721"/>
      <c r="CM259" s="721"/>
      <c r="CN259" s="721"/>
      <c r="CO259" s="721"/>
      <c r="CP259" s="721"/>
      <c r="CQ259" s="721"/>
      <c r="CR259" s="721"/>
      <c r="CS259" s="721"/>
      <c r="CT259" s="721"/>
      <c r="CU259" s="721"/>
      <c r="CV259" s="721"/>
      <c r="CW259" s="721"/>
      <c r="CX259" s="721"/>
    </row>
    <row r="260" spans="1:102" ht="12" customHeight="1" x14ac:dyDescent="0.2">
      <c r="A260" s="721"/>
      <c r="B260" s="721"/>
      <c r="C260" s="721"/>
      <c r="D260" s="721"/>
      <c r="E260" s="721"/>
      <c r="F260" s="721"/>
      <c r="G260" s="721"/>
      <c r="H260" s="721"/>
      <c r="I260" s="721"/>
      <c r="J260" s="721"/>
      <c r="K260" s="721"/>
      <c r="L260" s="721"/>
      <c r="M260" s="721"/>
      <c r="N260" s="721"/>
      <c r="O260" s="721"/>
      <c r="P260" s="721"/>
      <c r="Q260" s="721"/>
      <c r="R260" s="721"/>
      <c r="S260" s="721"/>
      <c r="T260" s="721"/>
      <c r="U260" s="721"/>
      <c r="V260" s="721"/>
      <c r="W260" s="204"/>
      <c r="X260" s="723"/>
      <c r="Y260" s="723"/>
      <c r="Z260" s="723"/>
      <c r="AA260" s="723"/>
      <c r="AB260" s="723"/>
      <c r="AC260" s="723"/>
      <c r="AD260" s="723"/>
      <c r="AE260" s="723"/>
      <c r="AF260" s="723"/>
      <c r="AG260" s="723"/>
      <c r="AH260" s="723"/>
      <c r="AI260" s="723"/>
      <c r="AJ260" s="723"/>
      <c r="AK260" s="723"/>
      <c r="AL260" s="723"/>
      <c r="AM260" s="721"/>
      <c r="AN260" s="721"/>
      <c r="AO260" s="723"/>
      <c r="AP260" s="721"/>
      <c r="AQ260" s="723"/>
      <c r="AR260" s="721"/>
      <c r="AS260" s="723"/>
      <c r="AT260" s="721"/>
      <c r="AU260" s="723"/>
      <c r="AV260" s="721"/>
      <c r="AW260" s="721"/>
      <c r="AX260" s="721"/>
      <c r="AY260" s="721"/>
      <c r="AZ260" s="721"/>
      <c r="BA260" s="721"/>
      <c r="BB260" s="721"/>
      <c r="BC260" s="721"/>
      <c r="BD260" s="721"/>
      <c r="BE260" s="721"/>
      <c r="BF260" s="721"/>
      <c r="BG260" s="721"/>
      <c r="BH260" s="721"/>
      <c r="BI260" s="721"/>
      <c r="BJ260" s="721"/>
      <c r="BK260" s="721"/>
      <c r="BL260" s="721"/>
      <c r="BM260" s="721"/>
      <c r="BN260" s="721"/>
      <c r="BO260" s="721"/>
      <c r="BP260" s="721"/>
      <c r="BQ260" s="721"/>
      <c r="BR260" s="721"/>
      <c r="BS260" s="721"/>
      <c r="BT260" s="721"/>
      <c r="BU260" s="721"/>
      <c r="BV260" s="721"/>
      <c r="BW260" s="721"/>
      <c r="BX260" s="721"/>
      <c r="BY260" s="721"/>
      <c r="BZ260" s="721"/>
      <c r="CA260" s="721"/>
      <c r="CB260" s="721"/>
      <c r="CC260" s="721"/>
      <c r="CD260" s="721"/>
      <c r="CE260" s="721"/>
      <c r="CF260" s="721"/>
      <c r="CG260" s="721"/>
      <c r="CH260" s="721"/>
      <c r="CI260" s="721"/>
      <c r="CJ260" s="721"/>
      <c r="CK260" s="721"/>
      <c r="CL260" s="721"/>
      <c r="CM260" s="721"/>
      <c r="CN260" s="721"/>
      <c r="CO260" s="721"/>
      <c r="CP260" s="721"/>
      <c r="CQ260" s="721"/>
      <c r="CR260" s="721"/>
      <c r="CS260" s="721"/>
      <c r="CT260" s="721"/>
      <c r="CU260" s="721"/>
      <c r="CV260" s="721"/>
      <c r="CW260" s="721"/>
      <c r="CX260" s="721"/>
    </row>
    <row r="261" spans="1:102" ht="12" customHeight="1" x14ac:dyDescent="0.2">
      <c r="A261" s="721"/>
      <c r="B261" s="721"/>
      <c r="C261" s="721"/>
      <c r="D261" s="721"/>
      <c r="E261" s="721"/>
      <c r="F261" s="721"/>
      <c r="G261" s="721"/>
      <c r="H261" s="721"/>
      <c r="I261" s="721"/>
      <c r="J261" s="721"/>
      <c r="K261" s="721"/>
      <c r="L261" s="721"/>
      <c r="M261" s="721"/>
      <c r="N261" s="721"/>
      <c r="O261" s="721"/>
      <c r="P261" s="721"/>
      <c r="Q261" s="721"/>
      <c r="R261" s="721"/>
      <c r="S261" s="721"/>
      <c r="T261" s="721"/>
      <c r="U261" s="721"/>
      <c r="V261" s="721"/>
      <c r="W261" s="204"/>
      <c r="X261" s="723"/>
      <c r="Y261" s="723"/>
      <c r="Z261" s="723"/>
      <c r="AA261" s="723"/>
      <c r="AB261" s="723"/>
      <c r="AC261" s="723"/>
      <c r="AD261" s="723"/>
      <c r="AE261" s="723"/>
      <c r="AF261" s="723"/>
      <c r="AG261" s="723"/>
      <c r="AH261" s="723"/>
      <c r="AI261" s="723"/>
      <c r="AJ261" s="723"/>
      <c r="AK261" s="723"/>
      <c r="AL261" s="723"/>
      <c r="AM261" s="721"/>
      <c r="AN261" s="721"/>
      <c r="AO261" s="723"/>
      <c r="AP261" s="721"/>
      <c r="AQ261" s="723"/>
      <c r="AR261" s="721"/>
      <c r="AS261" s="723"/>
      <c r="AT261" s="721"/>
      <c r="AU261" s="723"/>
      <c r="AV261" s="721"/>
      <c r="AW261" s="721"/>
      <c r="AX261" s="721"/>
      <c r="AY261" s="721"/>
      <c r="AZ261" s="721"/>
      <c r="BA261" s="721"/>
      <c r="BB261" s="721"/>
      <c r="BC261" s="721"/>
      <c r="BD261" s="721"/>
      <c r="BE261" s="721"/>
      <c r="BF261" s="721"/>
      <c r="BG261" s="721"/>
      <c r="BH261" s="721"/>
      <c r="BI261" s="721"/>
      <c r="BJ261" s="721"/>
      <c r="BK261" s="721"/>
      <c r="BL261" s="721"/>
      <c r="BM261" s="721"/>
      <c r="BN261" s="721"/>
      <c r="BO261" s="721"/>
      <c r="BP261" s="721"/>
      <c r="BQ261" s="721"/>
      <c r="BR261" s="721"/>
      <c r="BS261" s="721"/>
      <c r="BT261" s="721"/>
      <c r="BU261" s="721"/>
      <c r="BV261" s="721"/>
      <c r="BW261" s="721"/>
      <c r="BX261" s="721"/>
      <c r="BY261" s="721"/>
      <c r="BZ261" s="721"/>
      <c r="CA261" s="721"/>
      <c r="CB261" s="721"/>
      <c r="CC261" s="721"/>
      <c r="CD261" s="721"/>
      <c r="CE261" s="721"/>
      <c r="CF261" s="721"/>
      <c r="CG261" s="721"/>
      <c r="CH261" s="721"/>
      <c r="CI261" s="721"/>
      <c r="CJ261" s="721"/>
      <c r="CK261" s="721"/>
      <c r="CL261" s="721"/>
      <c r="CM261" s="721"/>
      <c r="CN261" s="721"/>
      <c r="CO261" s="721"/>
      <c r="CP261" s="721"/>
      <c r="CQ261" s="721"/>
      <c r="CR261" s="721"/>
      <c r="CS261" s="721"/>
      <c r="CT261" s="721"/>
      <c r="CU261" s="721"/>
      <c r="CV261" s="721"/>
      <c r="CW261" s="721"/>
      <c r="CX261" s="721"/>
    </row>
    <row r="262" spans="1:102" ht="12" customHeight="1" x14ac:dyDescent="0.2">
      <c r="A262" s="721"/>
      <c r="B262" s="721"/>
      <c r="C262" s="721"/>
      <c r="D262" s="721"/>
      <c r="E262" s="721"/>
      <c r="F262" s="721"/>
      <c r="G262" s="721"/>
      <c r="H262" s="721"/>
      <c r="I262" s="721"/>
      <c r="J262" s="721"/>
      <c r="K262" s="721"/>
      <c r="L262" s="721"/>
      <c r="M262" s="721"/>
      <c r="N262" s="721"/>
      <c r="O262" s="721"/>
      <c r="P262" s="721"/>
      <c r="Q262" s="721"/>
      <c r="R262" s="721"/>
      <c r="S262" s="721"/>
      <c r="T262" s="721"/>
      <c r="U262" s="721"/>
      <c r="V262" s="721"/>
      <c r="W262" s="204"/>
      <c r="X262" s="723"/>
      <c r="Y262" s="723"/>
      <c r="Z262" s="723"/>
      <c r="AA262" s="723"/>
      <c r="AB262" s="723"/>
      <c r="AC262" s="723"/>
      <c r="AD262" s="723"/>
      <c r="AE262" s="723"/>
      <c r="AF262" s="723"/>
      <c r="AG262" s="723"/>
      <c r="AH262" s="723"/>
      <c r="AI262" s="723"/>
      <c r="AJ262" s="723"/>
      <c r="AK262" s="723"/>
      <c r="AL262" s="723"/>
      <c r="AM262" s="721"/>
      <c r="AN262" s="721"/>
      <c r="AO262" s="723"/>
      <c r="AP262" s="721"/>
      <c r="AQ262" s="723"/>
      <c r="AR262" s="721"/>
      <c r="AS262" s="723"/>
      <c r="AT262" s="721"/>
      <c r="AU262" s="723"/>
      <c r="AV262" s="721"/>
      <c r="AW262" s="721"/>
      <c r="AX262" s="721"/>
      <c r="AY262" s="721"/>
      <c r="AZ262" s="721"/>
      <c r="BA262" s="721"/>
      <c r="BB262" s="721"/>
      <c r="BC262" s="721"/>
      <c r="BD262" s="721"/>
      <c r="BE262" s="721"/>
      <c r="BF262" s="721"/>
      <c r="BG262" s="721"/>
      <c r="BH262" s="721"/>
      <c r="BI262" s="721"/>
      <c r="BJ262" s="721"/>
      <c r="BK262" s="721"/>
      <c r="BL262" s="721"/>
      <c r="BM262" s="721"/>
      <c r="BN262" s="721"/>
      <c r="BO262" s="721"/>
      <c r="BP262" s="721"/>
      <c r="BQ262" s="721"/>
      <c r="BR262" s="721"/>
      <c r="BS262" s="721"/>
      <c r="BT262" s="721"/>
      <c r="BU262" s="721"/>
      <c r="BV262" s="721"/>
      <c r="BW262" s="721"/>
      <c r="BX262" s="721"/>
      <c r="BY262" s="721"/>
      <c r="BZ262" s="721"/>
      <c r="CA262" s="721"/>
      <c r="CB262" s="721"/>
      <c r="CC262" s="721"/>
      <c r="CD262" s="721"/>
      <c r="CE262" s="721"/>
      <c r="CF262" s="721"/>
      <c r="CG262" s="721"/>
      <c r="CH262" s="721"/>
      <c r="CI262" s="721"/>
      <c r="CJ262" s="721"/>
      <c r="CK262" s="721"/>
      <c r="CL262" s="721"/>
      <c r="CM262" s="721"/>
      <c r="CN262" s="721"/>
      <c r="CO262" s="721"/>
      <c r="CP262" s="721"/>
      <c r="CQ262" s="721"/>
      <c r="CR262" s="721"/>
      <c r="CS262" s="721"/>
      <c r="CT262" s="721"/>
      <c r="CU262" s="721"/>
      <c r="CV262" s="721"/>
      <c r="CW262" s="721"/>
      <c r="CX262" s="721"/>
    </row>
    <row r="263" spans="1:102" ht="12" customHeight="1" x14ac:dyDescent="0.2">
      <c r="A263" s="721"/>
      <c r="B263" s="721"/>
      <c r="C263" s="721"/>
      <c r="D263" s="721"/>
      <c r="E263" s="721"/>
      <c r="F263" s="721"/>
      <c r="G263" s="721"/>
      <c r="H263" s="721"/>
      <c r="I263" s="721"/>
      <c r="J263" s="721"/>
      <c r="K263" s="721"/>
      <c r="L263" s="721"/>
      <c r="M263" s="721"/>
      <c r="N263" s="721"/>
      <c r="O263" s="721"/>
      <c r="P263" s="721"/>
      <c r="Q263" s="721"/>
      <c r="R263" s="721"/>
      <c r="S263" s="721"/>
      <c r="T263" s="721"/>
      <c r="U263" s="721"/>
      <c r="V263" s="721"/>
      <c r="W263" s="204"/>
      <c r="X263" s="723"/>
      <c r="Y263" s="723"/>
      <c r="Z263" s="723"/>
      <c r="AA263" s="723"/>
      <c r="AB263" s="723"/>
      <c r="AC263" s="723"/>
      <c r="AD263" s="723"/>
      <c r="AE263" s="723"/>
      <c r="AF263" s="723"/>
      <c r="AG263" s="723"/>
      <c r="AH263" s="723"/>
      <c r="AI263" s="723"/>
      <c r="AJ263" s="723"/>
      <c r="AK263" s="723"/>
      <c r="AL263" s="723"/>
      <c r="AM263" s="721"/>
      <c r="AN263" s="721"/>
      <c r="AO263" s="723"/>
      <c r="AP263" s="721"/>
      <c r="AQ263" s="723"/>
      <c r="AR263" s="721"/>
      <c r="AS263" s="723"/>
      <c r="AT263" s="721"/>
      <c r="AU263" s="723"/>
      <c r="AV263" s="721"/>
      <c r="AW263" s="721"/>
      <c r="AX263" s="721"/>
      <c r="AY263" s="721"/>
      <c r="AZ263" s="721"/>
      <c r="BA263" s="721"/>
      <c r="BB263" s="721"/>
      <c r="BC263" s="721"/>
      <c r="BD263" s="721"/>
      <c r="BE263" s="721"/>
      <c r="BF263" s="721"/>
      <c r="BG263" s="721"/>
      <c r="BH263" s="721"/>
      <c r="BI263" s="721"/>
      <c r="BJ263" s="721"/>
      <c r="BK263" s="721"/>
      <c r="BL263" s="721"/>
      <c r="BM263" s="721"/>
      <c r="BN263" s="721"/>
      <c r="BO263" s="721"/>
      <c r="BP263" s="721"/>
      <c r="BQ263" s="721"/>
      <c r="BR263" s="721"/>
      <c r="BS263" s="721"/>
      <c r="BT263" s="721"/>
      <c r="BU263" s="721"/>
      <c r="BV263" s="721"/>
      <c r="BW263" s="721"/>
      <c r="BX263" s="721"/>
      <c r="BY263" s="721"/>
      <c r="BZ263" s="721"/>
      <c r="CA263" s="721"/>
      <c r="CB263" s="721"/>
      <c r="CC263" s="721"/>
      <c r="CD263" s="721"/>
      <c r="CE263" s="721"/>
      <c r="CF263" s="721"/>
      <c r="CG263" s="721"/>
      <c r="CH263" s="721"/>
      <c r="CI263" s="721"/>
      <c r="CJ263" s="721"/>
      <c r="CK263" s="721"/>
      <c r="CL263" s="721"/>
      <c r="CM263" s="721"/>
      <c r="CN263" s="721"/>
      <c r="CO263" s="721"/>
      <c r="CP263" s="721"/>
      <c r="CQ263" s="721"/>
      <c r="CR263" s="721"/>
      <c r="CS263" s="721"/>
      <c r="CT263" s="721"/>
      <c r="CU263" s="721"/>
      <c r="CV263" s="721"/>
      <c r="CW263" s="721"/>
      <c r="CX263" s="721"/>
    </row>
    <row r="264" spans="1:102" ht="12" customHeight="1" x14ac:dyDescent="0.2">
      <c r="A264" s="721"/>
      <c r="B264" s="721"/>
      <c r="C264" s="721"/>
      <c r="D264" s="721"/>
      <c r="E264" s="721"/>
      <c r="F264" s="721"/>
      <c r="G264" s="721"/>
      <c r="H264" s="721"/>
      <c r="I264" s="721"/>
      <c r="J264" s="721"/>
      <c r="K264" s="721"/>
      <c r="L264" s="721"/>
      <c r="M264" s="721"/>
      <c r="N264" s="721"/>
      <c r="O264" s="721"/>
      <c r="P264" s="721"/>
      <c r="Q264" s="721"/>
      <c r="R264" s="721"/>
      <c r="S264" s="721"/>
      <c r="T264" s="721"/>
      <c r="U264" s="721"/>
      <c r="V264" s="721"/>
      <c r="W264" s="204"/>
      <c r="X264" s="723"/>
      <c r="Y264" s="723"/>
      <c r="Z264" s="723"/>
      <c r="AA264" s="723"/>
      <c r="AB264" s="723"/>
      <c r="AC264" s="723"/>
      <c r="AD264" s="723"/>
      <c r="AE264" s="723"/>
      <c r="AF264" s="723"/>
      <c r="AG264" s="723"/>
      <c r="AH264" s="723"/>
      <c r="AI264" s="723"/>
      <c r="AJ264" s="723"/>
      <c r="AK264" s="723"/>
      <c r="AL264" s="723"/>
      <c r="AM264" s="721"/>
      <c r="AN264" s="721"/>
      <c r="AO264" s="723"/>
      <c r="AP264" s="721"/>
      <c r="AQ264" s="723"/>
      <c r="AR264" s="721"/>
      <c r="AS264" s="723"/>
      <c r="AT264" s="721"/>
      <c r="AU264" s="723"/>
      <c r="AV264" s="721"/>
      <c r="AW264" s="721"/>
      <c r="AX264" s="721"/>
      <c r="AY264" s="721"/>
      <c r="AZ264" s="721"/>
      <c r="BA264" s="721"/>
      <c r="BB264" s="721"/>
      <c r="BC264" s="721"/>
      <c r="BD264" s="721"/>
      <c r="BE264" s="721"/>
      <c r="BF264" s="721"/>
      <c r="BG264" s="721"/>
      <c r="BH264" s="721"/>
      <c r="BI264" s="721"/>
      <c r="BJ264" s="721"/>
      <c r="BK264" s="721"/>
      <c r="BL264" s="721"/>
      <c r="BM264" s="721"/>
      <c r="BN264" s="721"/>
      <c r="BO264" s="721"/>
      <c r="BP264" s="721"/>
      <c r="BQ264" s="721"/>
      <c r="BR264" s="721"/>
      <c r="BS264" s="721"/>
      <c r="BT264" s="721"/>
      <c r="BU264" s="721"/>
      <c r="BV264" s="721"/>
      <c r="BW264" s="721"/>
      <c r="BX264" s="721"/>
      <c r="BY264" s="721"/>
      <c r="BZ264" s="721"/>
      <c r="CA264" s="721"/>
      <c r="CB264" s="721"/>
      <c r="CC264" s="721"/>
      <c r="CD264" s="721"/>
      <c r="CE264" s="721"/>
      <c r="CF264" s="721"/>
      <c r="CG264" s="721"/>
      <c r="CH264" s="721"/>
      <c r="CI264" s="721"/>
      <c r="CJ264" s="721"/>
      <c r="CK264" s="721"/>
      <c r="CL264" s="721"/>
      <c r="CM264" s="721"/>
      <c r="CN264" s="721"/>
      <c r="CO264" s="721"/>
      <c r="CP264" s="721"/>
      <c r="CQ264" s="721"/>
      <c r="CR264" s="721"/>
      <c r="CS264" s="721"/>
      <c r="CT264" s="721"/>
      <c r="CU264" s="721"/>
      <c r="CV264" s="721"/>
      <c r="CW264" s="721"/>
      <c r="CX264" s="721"/>
    </row>
    <row r="265" spans="1:102" ht="12" customHeight="1" x14ac:dyDescent="0.2">
      <c r="A265" s="721"/>
      <c r="B265" s="721"/>
      <c r="C265" s="721"/>
      <c r="D265" s="721"/>
      <c r="E265" s="721"/>
      <c r="F265" s="721"/>
      <c r="G265" s="721"/>
      <c r="H265" s="721"/>
      <c r="I265" s="721"/>
      <c r="J265" s="721"/>
      <c r="K265" s="721"/>
      <c r="L265" s="721"/>
      <c r="M265" s="721"/>
      <c r="N265" s="721"/>
      <c r="O265" s="721"/>
      <c r="P265" s="721"/>
      <c r="Q265" s="721"/>
      <c r="R265" s="721"/>
      <c r="S265" s="721"/>
      <c r="T265" s="721"/>
      <c r="U265" s="721"/>
      <c r="V265" s="721"/>
      <c r="W265" s="204"/>
      <c r="X265" s="723"/>
      <c r="Y265" s="723"/>
      <c r="Z265" s="723"/>
      <c r="AA265" s="723"/>
      <c r="AB265" s="723"/>
      <c r="AC265" s="723"/>
      <c r="AD265" s="723"/>
      <c r="AE265" s="723"/>
      <c r="AF265" s="723"/>
      <c r="AG265" s="723"/>
      <c r="AH265" s="723"/>
      <c r="AI265" s="723"/>
      <c r="AJ265" s="723"/>
      <c r="AK265" s="723"/>
      <c r="AL265" s="723"/>
      <c r="AM265" s="721"/>
      <c r="AN265" s="721"/>
      <c r="AO265" s="723"/>
      <c r="AP265" s="721"/>
      <c r="AQ265" s="723"/>
      <c r="AR265" s="721"/>
      <c r="AS265" s="723"/>
      <c r="AT265" s="721"/>
      <c r="AU265" s="723"/>
      <c r="AV265" s="721"/>
      <c r="AW265" s="721"/>
      <c r="AX265" s="721"/>
      <c r="AY265" s="721"/>
      <c r="AZ265" s="721"/>
      <c r="BA265" s="721"/>
      <c r="BB265" s="721"/>
      <c r="BC265" s="721"/>
      <c r="BD265" s="721"/>
      <c r="BE265" s="721"/>
      <c r="BF265" s="721"/>
      <c r="BG265" s="721"/>
      <c r="BH265" s="721"/>
      <c r="BI265" s="721"/>
      <c r="BJ265" s="721"/>
      <c r="BK265" s="721"/>
      <c r="BL265" s="721"/>
      <c r="BM265" s="721"/>
      <c r="BN265" s="721"/>
      <c r="BO265" s="721"/>
      <c r="BP265" s="721"/>
      <c r="BQ265" s="721"/>
      <c r="BR265" s="721"/>
      <c r="BS265" s="721"/>
      <c r="BT265" s="721"/>
      <c r="BU265" s="721"/>
      <c r="BV265" s="721"/>
      <c r="BW265" s="721"/>
      <c r="BX265" s="721"/>
      <c r="BY265" s="721"/>
      <c r="BZ265" s="721"/>
      <c r="CA265" s="721"/>
      <c r="CB265" s="721"/>
      <c r="CC265" s="721"/>
      <c r="CD265" s="721"/>
      <c r="CE265" s="721"/>
      <c r="CF265" s="721"/>
      <c r="CG265" s="721"/>
      <c r="CH265" s="721"/>
      <c r="CI265" s="721"/>
      <c r="CJ265" s="721"/>
      <c r="CK265" s="721"/>
      <c r="CL265" s="721"/>
      <c r="CM265" s="721"/>
      <c r="CN265" s="721"/>
      <c r="CO265" s="721"/>
      <c r="CP265" s="721"/>
      <c r="CQ265" s="721"/>
      <c r="CR265" s="721"/>
      <c r="CS265" s="721"/>
      <c r="CT265" s="721"/>
      <c r="CU265" s="721"/>
      <c r="CV265" s="721"/>
      <c r="CW265" s="721"/>
      <c r="CX265" s="721"/>
    </row>
    <row r="266" spans="1:102" ht="12" customHeight="1" x14ac:dyDescent="0.2">
      <c r="A266" s="721"/>
      <c r="B266" s="721"/>
      <c r="C266" s="721"/>
      <c r="D266" s="721"/>
      <c r="E266" s="721"/>
      <c r="F266" s="721"/>
      <c r="G266" s="721"/>
      <c r="H266" s="721"/>
      <c r="I266" s="721"/>
      <c r="J266" s="721"/>
      <c r="K266" s="721"/>
      <c r="L266" s="721"/>
      <c r="M266" s="721"/>
      <c r="N266" s="721"/>
      <c r="O266" s="721"/>
      <c r="P266" s="721"/>
      <c r="Q266" s="721"/>
      <c r="R266" s="721"/>
      <c r="S266" s="721"/>
      <c r="T266" s="721"/>
      <c r="U266" s="721"/>
      <c r="V266" s="721"/>
      <c r="W266" s="204"/>
      <c r="X266" s="723"/>
      <c r="Y266" s="723"/>
      <c r="Z266" s="723"/>
      <c r="AA266" s="723"/>
      <c r="AB266" s="723"/>
      <c r="AC266" s="723"/>
      <c r="AD266" s="723"/>
      <c r="AE266" s="723"/>
      <c r="AF266" s="723"/>
      <c r="AG266" s="723"/>
      <c r="AH266" s="723"/>
      <c r="AI266" s="723"/>
      <c r="AJ266" s="723"/>
      <c r="AK266" s="723"/>
      <c r="AL266" s="723"/>
      <c r="AM266" s="721"/>
      <c r="AN266" s="721"/>
      <c r="AO266" s="723"/>
      <c r="AP266" s="721"/>
      <c r="AQ266" s="723"/>
      <c r="AR266" s="721"/>
      <c r="AS266" s="723"/>
      <c r="AT266" s="721"/>
      <c r="AU266" s="723"/>
      <c r="AV266" s="721"/>
      <c r="AW266" s="721"/>
      <c r="AX266" s="721"/>
      <c r="AY266" s="721"/>
      <c r="AZ266" s="721"/>
      <c r="BA266" s="721"/>
      <c r="BB266" s="721"/>
      <c r="BC266" s="721"/>
      <c r="BD266" s="721"/>
      <c r="BE266" s="721"/>
      <c r="BF266" s="721"/>
      <c r="BG266" s="721"/>
      <c r="BH266" s="721"/>
      <c r="BI266" s="721"/>
      <c r="BJ266" s="721"/>
      <c r="BK266" s="721"/>
      <c r="BL266" s="721"/>
      <c r="BM266" s="721"/>
      <c r="BN266" s="721"/>
      <c r="BO266" s="721"/>
      <c r="BP266" s="721"/>
      <c r="BQ266" s="721"/>
      <c r="BR266" s="721"/>
      <c r="BS266" s="721"/>
      <c r="BT266" s="721"/>
      <c r="BU266" s="721"/>
      <c r="BV266" s="721"/>
      <c r="BW266" s="721"/>
      <c r="BX266" s="721"/>
      <c r="BY266" s="721"/>
      <c r="BZ266" s="721"/>
      <c r="CA266" s="721"/>
      <c r="CB266" s="721"/>
      <c r="CC266" s="721"/>
      <c r="CD266" s="721"/>
      <c r="CE266" s="721"/>
      <c r="CF266" s="721"/>
      <c r="CG266" s="721"/>
      <c r="CH266" s="721"/>
      <c r="CI266" s="721"/>
      <c r="CJ266" s="721"/>
      <c r="CK266" s="721"/>
      <c r="CL266" s="721"/>
      <c r="CM266" s="721"/>
      <c r="CN266" s="721"/>
      <c r="CO266" s="721"/>
      <c r="CP266" s="721"/>
      <c r="CQ266" s="721"/>
      <c r="CR266" s="721"/>
      <c r="CS266" s="721"/>
      <c r="CT266" s="721"/>
      <c r="CU266" s="721"/>
      <c r="CV266" s="721"/>
      <c r="CW266" s="721"/>
      <c r="CX266" s="721"/>
    </row>
    <row r="267" spans="1:102" ht="12" customHeight="1" x14ac:dyDescent="0.2">
      <c r="A267" s="721"/>
      <c r="B267" s="721"/>
      <c r="C267" s="721"/>
      <c r="D267" s="721"/>
      <c r="E267" s="721"/>
      <c r="F267" s="721"/>
      <c r="G267" s="721"/>
      <c r="H267" s="721"/>
      <c r="I267" s="721"/>
      <c r="J267" s="721"/>
      <c r="K267" s="721"/>
      <c r="L267" s="721"/>
      <c r="M267" s="721"/>
      <c r="N267" s="721"/>
      <c r="O267" s="721"/>
      <c r="P267" s="721"/>
      <c r="Q267" s="721"/>
      <c r="R267" s="721"/>
      <c r="S267" s="721"/>
      <c r="T267" s="721"/>
      <c r="U267" s="721"/>
      <c r="V267" s="721"/>
      <c r="W267" s="204"/>
      <c r="X267" s="723"/>
      <c r="Y267" s="723"/>
      <c r="Z267" s="723"/>
      <c r="AA267" s="723"/>
      <c r="AB267" s="723"/>
      <c r="AC267" s="723"/>
      <c r="AD267" s="723"/>
      <c r="AE267" s="723"/>
      <c r="AF267" s="723"/>
      <c r="AG267" s="723"/>
      <c r="AH267" s="723"/>
      <c r="AI267" s="723"/>
      <c r="AJ267" s="723"/>
      <c r="AK267" s="723"/>
      <c r="AL267" s="723"/>
      <c r="AM267" s="721"/>
      <c r="AN267" s="721"/>
      <c r="AO267" s="723"/>
      <c r="AP267" s="721"/>
      <c r="AQ267" s="723"/>
      <c r="AR267" s="721"/>
      <c r="AS267" s="723"/>
      <c r="AT267" s="721"/>
      <c r="AU267" s="723"/>
      <c r="AV267" s="721"/>
      <c r="AW267" s="721"/>
      <c r="AX267" s="721"/>
      <c r="AY267" s="721"/>
      <c r="AZ267" s="721"/>
      <c r="BA267" s="721"/>
      <c r="BB267" s="721"/>
      <c r="BC267" s="721"/>
      <c r="BD267" s="721"/>
      <c r="BE267" s="721"/>
      <c r="BF267" s="721"/>
      <c r="BG267" s="721"/>
      <c r="BH267" s="721"/>
      <c r="BI267" s="721"/>
      <c r="BJ267" s="721"/>
      <c r="BK267" s="721"/>
      <c r="BL267" s="721"/>
      <c r="BM267" s="721"/>
      <c r="BN267" s="721"/>
      <c r="BO267" s="721"/>
      <c r="BP267" s="721"/>
      <c r="BQ267" s="721"/>
      <c r="BR267" s="721"/>
      <c r="BS267" s="721"/>
      <c r="BT267" s="721"/>
      <c r="BU267" s="721"/>
      <c r="BV267" s="721"/>
      <c r="BW267" s="721"/>
      <c r="BX267" s="721"/>
      <c r="BY267" s="721"/>
      <c r="BZ267" s="721"/>
      <c r="CA267" s="721"/>
      <c r="CB267" s="721"/>
      <c r="CC267" s="721"/>
      <c r="CD267" s="721"/>
      <c r="CE267" s="721"/>
      <c r="CF267" s="721"/>
      <c r="CG267" s="721"/>
      <c r="CH267" s="721"/>
      <c r="CI267" s="721"/>
      <c r="CJ267" s="721"/>
      <c r="CK267" s="721"/>
      <c r="CL267" s="721"/>
      <c r="CM267" s="721"/>
      <c r="CN267" s="721"/>
      <c r="CO267" s="721"/>
      <c r="CP267" s="721"/>
      <c r="CQ267" s="721"/>
      <c r="CR267" s="721"/>
      <c r="CS267" s="721"/>
      <c r="CT267" s="721"/>
      <c r="CU267" s="721"/>
      <c r="CV267" s="721"/>
      <c r="CW267" s="721"/>
      <c r="CX267" s="721"/>
    </row>
    <row r="268" spans="1:102" ht="12" customHeight="1" x14ac:dyDescent="0.2">
      <c r="A268" s="721"/>
      <c r="B268" s="721"/>
      <c r="C268" s="721"/>
      <c r="D268" s="721"/>
      <c r="E268" s="721"/>
      <c r="F268" s="721"/>
      <c r="G268" s="721"/>
      <c r="H268" s="721"/>
      <c r="I268" s="721"/>
      <c r="J268" s="721"/>
      <c r="K268" s="721"/>
      <c r="L268" s="721"/>
      <c r="M268" s="721"/>
      <c r="N268" s="721"/>
      <c r="O268" s="721"/>
      <c r="P268" s="721"/>
      <c r="Q268" s="721"/>
      <c r="R268" s="721"/>
      <c r="S268" s="721"/>
      <c r="T268" s="721"/>
      <c r="U268" s="721"/>
      <c r="V268" s="721"/>
      <c r="W268" s="204"/>
      <c r="X268" s="723"/>
      <c r="Y268" s="723"/>
      <c r="Z268" s="723"/>
      <c r="AA268" s="723"/>
      <c r="AB268" s="723"/>
      <c r="AC268" s="723"/>
      <c r="AD268" s="723"/>
      <c r="AE268" s="723"/>
      <c r="AF268" s="723"/>
      <c r="AG268" s="723"/>
      <c r="AH268" s="723"/>
      <c r="AI268" s="723"/>
      <c r="AJ268" s="723"/>
      <c r="AK268" s="723"/>
      <c r="AL268" s="723"/>
      <c r="AM268" s="721"/>
      <c r="AN268" s="721"/>
      <c r="AO268" s="723"/>
      <c r="AP268" s="721"/>
      <c r="AQ268" s="723"/>
      <c r="AR268" s="721"/>
      <c r="AS268" s="723"/>
      <c r="AT268" s="721"/>
      <c r="AU268" s="723"/>
      <c r="AV268" s="721"/>
      <c r="AW268" s="721"/>
      <c r="AX268" s="721"/>
      <c r="AY268" s="721"/>
      <c r="AZ268" s="721"/>
      <c r="BA268" s="721"/>
      <c r="BB268" s="721"/>
      <c r="BC268" s="721"/>
      <c r="BD268" s="721"/>
      <c r="BE268" s="721"/>
      <c r="BF268" s="721"/>
      <c r="BG268" s="721"/>
      <c r="BH268" s="721"/>
      <c r="BI268" s="721"/>
      <c r="BJ268" s="721"/>
      <c r="BK268" s="721"/>
      <c r="BL268" s="721"/>
      <c r="BM268" s="721"/>
      <c r="BN268" s="721"/>
      <c r="BO268" s="721"/>
      <c r="BP268" s="721"/>
      <c r="BQ268" s="721"/>
      <c r="BR268" s="721"/>
      <c r="BS268" s="721"/>
      <c r="BT268" s="721"/>
      <c r="BU268" s="721"/>
      <c r="BV268" s="721"/>
      <c r="BW268" s="721"/>
      <c r="BX268" s="721"/>
      <c r="BY268" s="721"/>
      <c r="BZ268" s="721"/>
      <c r="CA268" s="721"/>
      <c r="CB268" s="721"/>
      <c r="CC268" s="721"/>
      <c r="CD268" s="721"/>
      <c r="CE268" s="721"/>
      <c r="CF268" s="721"/>
      <c r="CG268" s="721"/>
      <c r="CH268" s="721"/>
      <c r="CI268" s="721"/>
      <c r="CJ268" s="721"/>
      <c r="CK268" s="721"/>
      <c r="CL268" s="721"/>
      <c r="CM268" s="721"/>
      <c r="CN268" s="721"/>
      <c r="CO268" s="721"/>
      <c r="CP268" s="721"/>
      <c r="CQ268" s="721"/>
      <c r="CR268" s="721"/>
      <c r="CS268" s="721"/>
      <c r="CT268" s="721"/>
      <c r="CU268" s="721"/>
      <c r="CV268" s="721"/>
      <c r="CW268" s="721"/>
      <c r="CX268" s="721"/>
    </row>
    <row r="269" spans="1:102" ht="12" customHeight="1" x14ac:dyDescent="0.2">
      <c r="A269" s="721"/>
      <c r="B269" s="721"/>
      <c r="C269" s="721"/>
      <c r="D269" s="721"/>
      <c r="E269" s="721"/>
      <c r="F269" s="721"/>
      <c r="G269" s="721"/>
      <c r="H269" s="721"/>
      <c r="I269" s="721"/>
      <c r="J269" s="721"/>
      <c r="K269" s="721"/>
      <c r="L269" s="721"/>
      <c r="M269" s="721"/>
      <c r="N269" s="721"/>
      <c r="O269" s="721"/>
      <c r="P269" s="721"/>
      <c r="Q269" s="721"/>
      <c r="R269" s="721"/>
      <c r="S269" s="721"/>
      <c r="T269" s="721"/>
      <c r="U269" s="721"/>
      <c r="V269" s="721"/>
      <c r="W269" s="204"/>
      <c r="X269" s="723"/>
      <c r="Y269" s="723"/>
      <c r="Z269" s="723"/>
      <c r="AA269" s="723"/>
      <c r="AB269" s="723"/>
      <c r="AC269" s="723"/>
      <c r="AD269" s="723"/>
      <c r="AE269" s="723"/>
      <c r="AF269" s="723"/>
      <c r="AG269" s="723"/>
      <c r="AH269" s="723"/>
      <c r="AI269" s="723"/>
      <c r="AJ269" s="723"/>
      <c r="AK269" s="723"/>
      <c r="AL269" s="723"/>
      <c r="AM269" s="721"/>
      <c r="AN269" s="721"/>
      <c r="AO269" s="723"/>
      <c r="AP269" s="721"/>
      <c r="AQ269" s="723"/>
      <c r="AR269" s="721"/>
      <c r="AS269" s="723"/>
      <c r="AT269" s="721"/>
      <c r="AU269" s="723"/>
      <c r="AV269" s="721"/>
      <c r="AW269" s="721"/>
      <c r="AX269" s="721"/>
      <c r="AY269" s="721"/>
      <c r="AZ269" s="721"/>
      <c r="BA269" s="721"/>
      <c r="BB269" s="721"/>
      <c r="BC269" s="721"/>
      <c r="BD269" s="721"/>
      <c r="BE269" s="721"/>
      <c r="BF269" s="721"/>
      <c r="BG269" s="721"/>
      <c r="BH269" s="721"/>
      <c r="BI269" s="721"/>
      <c r="BJ269" s="721"/>
      <c r="BK269" s="721"/>
      <c r="BL269" s="721"/>
      <c r="BM269" s="721"/>
      <c r="BN269" s="721"/>
      <c r="BO269" s="721"/>
      <c r="BP269" s="721"/>
      <c r="BQ269" s="721"/>
      <c r="BR269" s="721"/>
      <c r="BS269" s="721"/>
      <c r="BT269" s="721"/>
      <c r="BU269" s="721"/>
      <c r="BV269" s="721"/>
      <c r="BW269" s="721"/>
      <c r="BX269" s="721"/>
      <c r="BY269" s="721"/>
      <c r="BZ269" s="721"/>
      <c r="CA269" s="721"/>
      <c r="CB269" s="721"/>
      <c r="CC269" s="721"/>
      <c r="CD269" s="721"/>
      <c r="CE269" s="721"/>
      <c r="CF269" s="721"/>
      <c r="CG269" s="721"/>
      <c r="CH269" s="721"/>
      <c r="CI269" s="721"/>
      <c r="CJ269" s="721"/>
      <c r="CK269" s="721"/>
      <c r="CL269" s="721"/>
      <c r="CM269" s="721"/>
      <c r="CN269" s="721"/>
      <c r="CO269" s="721"/>
      <c r="CP269" s="721"/>
      <c r="CQ269" s="721"/>
      <c r="CR269" s="721"/>
      <c r="CS269" s="721"/>
      <c r="CT269" s="721"/>
      <c r="CU269" s="721"/>
      <c r="CV269" s="721"/>
      <c r="CW269" s="721"/>
      <c r="CX269" s="721"/>
    </row>
    <row r="270" spans="1:102" ht="12" customHeight="1" x14ac:dyDescent="0.2">
      <c r="A270" s="721"/>
      <c r="B270" s="721"/>
      <c r="C270" s="721"/>
      <c r="D270" s="721"/>
      <c r="E270" s="721"/>
      <c r="F270" s="721"/>
      <c r="G270" s="721"/>
      <c r="H270" s="721"/>
      <c r="I270" s="721"/>
      <c r="J270" s="721"/>
      <c r="K270" s="721"/>
      <c r="L270" s="721"/>
      <c r="M270" s="721"/>
      <c r="N270" s="721"/>
      <c r="O270" s="721"/>
      <c r="P270" s="721"/>
      <c r="Q270" s="721"/>
      <c r="R270" s="721"/>
      <c r="S270" s="721"/>
      <c r="T270" s="721"/>
      <c r="U270" s="721"/>
      <c r="V270" s="721"/>
      <c r="W270" s="204"/>
      <c r="X270" s="723"/>
      <c r="Y270" s="723"/>
      <c r="Z270" s="723"/>
      <c r="AA270" s="723"/>
      <c r="AB270" s="723"/>
      <c r="AC270" s="723"/>
      <c r="AD270" s="723"/>
      <c r="AE270" s="723"/>
      <c r="AF270" s="723"/>
      <c r="AG270" s="723"/>
      <c r="AH270" s="723"/>
      <c r="AI270" s="723"/>
      <c r="AJ270" s="723"/>
      <c r="AK270" s="723"/>
      <c r="AL270" s="723"/>
      <c r="AM270" s="721"/>
      <c r="AN270" s="721"/>
      <c r="AO270" s="723"/>
      <c r="AP270" s="721"/>
      <c r="AQ270" s="723"/>
      <c r="AR270" s="721"/>
      <c r="AS270" s="723"/>
      <c r="AT270" s="721"/>
      <c r="AU270" s="723"/>
      <c r="AV270" s="721"/>
      <c r="AW270" s="721"/>
      <c r="AX270" s="721"/>
      <c r="AY270" s="721"/>
      <c r="AZ270" s="721"/>
      <c r="BA270" s="721"/>
      <c r="BB270" s="721"/>
      <c r="BC270" s="721"/>
      <c r="BD270" s="721"/>
      <c r="BE270" s="721"/>
      <c r="BF270" s="721"/>
      <c r="BG270" s="721"/>
      <c r="BH270" s="721"/>
      <c r="BI270" s="721"/>
      <c r="BJ270" s="721"/>
      <c r="BK270" s="721"/>
      <c r="BL270" s="721"/>
      <c r="BM270" s="721"/>
      <c r="BN270" s="721"/>
      <c r="BO270" s="721"/>
      <c r="BP270" s="721"/>
      <c r="BQ270" s="721"/>
      <c r="BR270" s="721"/>
      <c r="BS270" s="721"/>
      <c r="BT270" s="721"/>
      <c r="BU270" s="721"/>
      <c r="BV270" s="721"/>
      <c r="BW270" s="721"/>
      <c r="BX270" s="721"/>
      <c r="BY270" s="721"/>
      <c r="BZ270" s="721"/>
      <c r="CA270" s="721"/>
      <c r="CB270" s="721"/>
      <c r="CC270" s="721"/>
      <c r="CD270" s="721"/>
      <c r="CE270" s="721"/>
      <c r="CF270" s="721"/>
      <c r="CG270" s="721"/>
      <c r="CH270" s="721"/>
      <c r="CI270" s="721"/>
      <c r="CJ270" s="721"/>
      <c r="CK270" s="721"/>
      <c r="CL270" s="721"/>
      <c r="CM270" s="721"/>
      <c r="CN270" s="721"/>
      <c r="CO270" s="721"/>
      <c r="CP270" s="721"/>
      <c r="CQ270" s="721"/>
      <c r="CR270" s="721"/>
      <c r="CS270" s="721"/>
      <c r="CT270" s="721"/>
      <c r="CU270" s="721"/>
      <c r="CV270" s="721"/>
      <c r="CW270" s="721"/>
      <c r="CX270" s="721"/>
    </row>
    <row r="271" spans="1:102" ht="12" customHeight="1" x14ac:dyDescent="0.2">
      <c r="A271" s="721"/>
      <c r="B271" s="721"/>
      <c r="C271" s="721"/>
      <c r="D271" s="721"/>
      <c r="E271" s="721"/>
      <c r="F271" s="721"/>
      <c r="G271" s="721"/>
      <c r="H271" s="721"/>
      <c r="I271" s="721"/>
      <c r="J271" s="721"/>
      <c r="K271" s="721"/>
      <c r="L271" s="721"/>
      <c r="M271" s="721"/>
      <c r="N271" s="721"/>
      <c r="O271" s="721"/>
      <c r="P271" s="721"/>
      <c r="Q271" s="721"/>
      <c r="R271" s="721"/>
      <c r="S271" s="721"/>
      <c r="T271" s="721"/>
      <c r="U271" s="721"/>
      <c r="V271" s="721"/>
      <c r="W271" s="204"/>
      <c r="X271" s="723"/>
      <c r="Y271" s="723"/>
      <c r="Z271" s="723"/>
      <c r="AA271" s="723"/>
      <c r="AB271" s="723"/>
      <c r="AC271" s="723"/>
      <c r="AD271" s="723"/>
      <c r="AE271" s="723"/>
      <c r="AF271" s="723"/>
      <c r="AG271" s="723"/>
      <c r="AH271" s="723"/>
      <c r="AI271" s="723"/>
      <c r="AJ271" s="723"/>
      <c r="AK271" s="723"/>
      <c r="AL271" s="723"/>
      <c r="AM271" s="721"/>
      <c r="AN271" s="721"/>
      <c r="AO271" s="723"/>
      <c r="AP271" s="721"/>
      <c r="AQ271" s="723"/>
      <c r="AR271" s="721"/>
      <c r="AS271" s="723"/>
      <c r="AT271" s="721"/>
      <c r="AU271" s="723"/>
      <c r="AV271" s="721"/>
      <c r="AW271" s="721"/>
      <c r="AX271" s="721"/>
      <c r="AY271" s="721"/>
      <c r="AZ271" s="721"/>
      <c r="BA271" s="721"/>
      <c r="BB271" s="721"/>
      <c r="BC271" s="721"/>
      <c r="BD271" s="721"/>
      <c r="BE271" s="721"/>
      <c r="BF271" s="721"/>
      <c r="BG271" s="721"/>
      <c r="BH271" s="721"/>
      <c r="BI271" s="721"/>
      <c r="BJ271" s="721"/>
      <c r="BK271" s="721"/>
      <c r="BL271" s="721"/>
      <c r="BM271" s="721"/>
      <c r="BN271" s="721"/>
      <c r="BO271" s="721"/>
      <c r="BP271" s="721"/>
      <c r="BQ271" s="721"/>
      <c r="BR271" s="721"/>
      <c r="BS271" s="721"/>
      <c r="BT271" s="721"/>
      <c r="BU271" s="721"/>
      <c r="BV271" s="721"/>
      <c r="BW271" s="721"/>
      <c r="BX271" s="721"/>
      <c r="BY271" s="721"/>
      <c r="BZ271" s="721"/>
      <c r="CA271" s="721"/>
      <c r="CB271" s="721"/>
      <c r="CC271" s="721"/>
      <c r="CD271" s="721"/>
      <c r="CE271" s="721"/>
      <c r="CF271" s="721"/>
      <c r="CG271" s="721"/>
      <c r="CH271" s="721"/>
      <c r="CI271" s="721"/>
      <c r="CJ271" s="721"/>
      <c r="CK271" s="721"/>
      <c r="CL271" s="721"/>
      <c r="CM271" s="721"/>
      <c r="CN271" s="721"/>
      <c r="CO271" s="721"/>
      <c r="CP271" s="721"/>
      <c r="CQ271" s="721"/>
      <c r="CR271" s="721"/>
      <c r="CS271" s="721"/>
      <c r="CT271" s="721"/>
      <c r="CU271" s="721"/>
      <c r="CV271" s="721"/>
      <c r="CW271" s="721"/>
      <c r="CX271" s="721"/>
    </row>
    <row r="272" spans="1:102" ht="12" customHeight="1" x14ac:dyDescent="0.2">
      <c r="A272" s="721"/>
      <c r="B272" s="721"/>
      <c r="C272" s="721"/>
      <c r="D272" s="721"/>
      <c r="E272" s="721"/>
      <c r="F272" s="721"/>
      <c r="G272" s="721"/>
      <c r="H272" s="721"/>
      <c r="I272" s="721"/>
      <c r="J272" s="721"/>
      <c r="K272" s="721"/>
      <c r="L272" s="721"/>
      <c r="M272" s="721"/>
      <c r="N272" s="721"/>
      <c r="O272" s="721"/>
      <c r="P272" s="721"/>
      <c r="Q272" s="721"/>
      <c r="R272" s="721"/>
      <c r="S272" s="721"/>
      <c r="T272" s="721"/>
      <c r="U272" s="721"/>
      <c r="V272" s="721"/>
      <c r="W272" s="204"/>
      <c r="X272" s="723"/>
      <c r="Y272" s="723"/>
      <c r="Z272" s="723"/>
      <c r="AA272" s="723"/>
      <c r="AB272" s="723"/>
      <c r="AC272" s="723"/>
      <c r="AD272" s="723"/>
      <c r="AE272" s="723"/>
      <c r="AF272" s="723"/>
      <c r="AG272" s="723"/>
      <c r="AH272" s="723"/>
      <c r="AI272" s="723"/>
      <c r="AJ272" s="723"/>
      <c r="AK272" s="723"/>
      <c r="AL272" s="723"/>
      <c r="AM272" s="721"/>
      <c r="AN272" s="721"/>
      <c r="AO272" s="723"/>
      <c r="AP272" s="721"/>
      <c r="AQ272" s="723"/>
      <c r="AR272" s="721"/>
      <c r="AS272" s="723"/>
      <c r="AT272" s="721"/>
      <c r="AU272" s="723"/>
      <c r="AV272" s="721"/>
      <c r="AW272" s="721"/>
      <c r="AX272" s="721"/>
      <c r="AY272" s="721"/>
      <c r="AZ272" s="721"/>
      <c r="BA272" s="721"/>
      <c r="BB272" s="721"/>
      <c r="BC272" s="721"/>
      <c r="BD272" s="721"/>
      <c r="BE272" s="721"/>
      <c r="BF272" s="721"/>
      <c r="BG272" s="721"/>
      <c r="BH272" s="721"/>
      <c r="BI272" s="721"/>
      <c r="BJ272" s="721"/>
      <c r="BK272" s="721"/>
      <c r="BL272" s="721"/>
      <c r="BM272" s="721"/>
      <c r="BN272" s="721"/>
      <c r="BO272" s="721"/>
      <c r="BP272" s="721"/>
      <c r="BQ272" s="721"/>
      <c r="BR272" s="721"/>
      <c r="BS272" s="721"/>
      <c r="BT272" s="721"/>
      <c r="BU272" s="721"/>
      <c r="BV272" s="721"/>
      <c r="BW272" s="721"/>
      <c r="BX272" s="721"/>
      <c r="BY272" s="721"/>
      <c r="BZ272" s="721"/>
      <c r="CA272" s="721"/>
      <c r="CB272" s="721"/>
      <c r="CC272" s="721"/>
      <c r="CD272" s="721"/>
      <c r="CE272" s="721"/>
      <c r="CF272" s="721"/>
      <c r="CG272" s="721"/>
      <c r="CH272" s="721"/>
      <c r="CI272" s="721"/>
      <c r="CJ272" s="721"/>
      <c r="CK272" s="721"/>
      <c r="CL272" s="721"/>
      <c r="CM272" s="721"/>
      <c r="CN272" s="721"/>
      <c r="CO272" s="721"/>
      <c r="CP272" s="721"/>
      <c r="CQ272" s="721"/>
      <c r="CR272" s="721"/>
      <c r="CS272" s="721"/>
      <c r="CT272" s="721"/>
      <c r="CU272" s="721"/>
      <c r="CV272" s="721"/>
      <c r="CW272" s="721"/>
      <c r="CX272" s="721"/>
    </row>
    <row r="273" spans="1:102" ht="12" customHeight="1" x14ac:dyDescent="0.2">
      <c r="A273" s="721"/>
      <c r="B273" s="721"/>
      <c r="C273" s="721"/>
      <c r="D273" s="721"/>
      <c r="E273" s="721"/>
      <c r="F273" s="721"/>
      <c r="G273" s="721"/>
      <c r="H273" s="721"/>
      <c r="I273" s="721"/>
      <c r="J273" s="721"/>
      <c r="K273" s="721"/>
      <c r="L273" s="721"/>
      <c r="M273" s="721"/>
      <c r="N273" s="721"/>
      <c r="O273" s="721"/>
      <c r="P273" s="721"/>
      <c r="Q273" s="721"/>
      <c r="R273" s="721"/>
      <c r="S273" s="721"/>
      <c r="T273" s="721"/>
      <c r="U273" s="721"/>
      <c r="V273" s="721"/>
      <c r="W273" s="204"/>
      <c r="X273" s="723"/>
      <c r="Y273" s="723"/>
      <c r="Z273" s="723"/>
      <c r="AA273" s="723"/>
      <c r="AB273" s="723"/>
      <c r="AC273" s="723"/>
      <c r="AD273" s="723"/>
      <c r="AE273" s="723"/>
      <c r="AF273" s="723"/>
      <c r="AG273" s="723"/>
      <c r="AH273" s="723"/>
      <c r="AI273" s="723"/>
      <c r="AJ273" s="723"/>
      <c r="AK273" s="723"/>
      <c r="AL273" s="723"/>
      <c r="AM273" s="721"/>
      <c r="AN273" s="721"/>
      <c r="AO273" s="723"/>
      <c r="AP273" s="721"/>
      <c r="AQ273" s="723"/>
      <c r="AR273" s="721"/>
      <c r="AS273" s="723"/>
      <c r="AT273" s="721"/>
      <c r="AU273" s="723"/>
      <c r="AV273" s="721"/>
      <c r="AW273" s="721"/>
      <c r="AX273" s="721"/>
      <c r="AY273" s="721"/>
      <c r="AZ273" s="721"/>
      <c r="BA273" s="721"/>
      <c r="BB273" s="721"/>
      <c r="BC273" s="721"/>
      <c r="BD273" s="721"/>
      <c r="BE273" s="721"/>
      <c r="BF273" s="721"/>
      <c r="BG273" s="721"/>
      <c r="BH273" s="721"/>
      <c r="BI273" s="721"/>
      <c r="BJ273" s="721"/>
      <c r="BK273" s="721"/>
      <c r="BL273" s="721"/>
      <c r="BM273" s="721"/>
      <c r="BN273" s="721"/>
      <c r="BO273" s="721"/>
      <c r="BP273" s="721"/>
      <c r="BQ273" s="721"/>
      <c r="BR273" s="721"/>
      <c r="BS273" s="721"/>
      <c r="BT273" s="721"/>
      <c r="BU273" s="721"/>
      <c r="BV273" s="721"/>
      <c r="BW273" s="721"/>
      <c r="BX273" s="721"/>
      <c r="BY273" s="721"/>
      <c r="BZ273" s="721"/>
      <c r="CA273" s="721"/>
      <c r="CB273" s="721"/>
      <c r="CC273" s="721"/>
      <c r="CD273" s="721"/>
      <c r="CE273" s="721"/>
      <c r="CF273" s="721"/>
      <c r="CG273" s="721"/>
      <c r="CH273" s="721"/>
      <c r="CI273" s="721"/>
      <c r="CJ273" s="721"/>
      <c r="CK273" s="721"/>
      <c r="CL273" s="721"/>
      <c r="CM273" s="721"/>
      <c r="CN273" s="721"/>
      <c r="CO273" s="721"/>
      <c r="CP273" s="721"/>
      <c r="CQ273" s="721"/>
      <c r="CR273" s="721"/>
      <c r="CS273" s="721"/>
      <c r="CT273" s="721"/>
      <c r="CU273" s="721"/>
      <c r="CV273" s="721"/>
      <c r="CW273" s="721"/>
      <c r="CX273" s="721"/>
    </row>
    <row r="274" spans="1:102" ht="12" customHeight="1" x14ac:dyDescent="0.2">
      <c r="A274" s="721"/>
      <c r="B274" s="721"/>
      <c r="C274" s="721"/>
      <c r="D274" s="721"/>
      <c r="E274" s="721"/>
      <c r="F274" s="721"/>
      <c r="G274" s="721"/>
      <c r="H274" s="721"/>
      <c r="I274" s="721"/>
      <c r="J274" s="721"/>
      <c r="K274" s="721"/>
      <c r="L274" s="721"/>
      <c r="M274" s="721"/>
      <c r="N274" s="721"/>
      <c r="O274" s="721"/>
      <c r="P274" s="721"/>
      <c r="Q274" s="721"/>
      <c r="R274" s="721"/>
      <c r="S274" s="721"/>
      <c r="T274" s="721"/>
      <c r="U274" s="721"/>
      <c r="V274" s="721"/>
      <c r="W274" s="204"/>
      <c r="X274" s="723"/>
      <c r="Y274" s="723"/>
      <c r="Z274" s="723"/>
      <c r="AA274" s="723"/>
      <c r="AB274" s="723"/>
      <c r="AC274" s="723"/>
      <c r="AD274" s="723"/>
      <c r="AE274" s="723"/>
      <c r="AF274" s="723"/>
      <c r="AG274" s="723"/>
      <c r="AH274" s="723"/>
      <c r="AI274" s="723"/>
      <c r="AJ274" s="723"/>
      <c r="AK274" s="723"/>
      <c r="AL274" s="723"/>
      <c r="AM274" s="721"/>
      <c r="AN274" s="721"/>
      <c r="AO274" s="723"/>
      <c r="AP274" s="721"/>
      <c r="AQ274" s="723"/>
      <c r="AR274" s="721"/>
      <c r="AS274" s="723"/>
      <c r="AT274" s="721"/>
      <c r="AU274" s="723"/>
      <c r="AV274" s="721"/>
      <c r="AW274" s="721"/>
      <c r="AX274" s="721"/>
      <c r="AY274" s="721"/>
      <c r="AZ274" s="721"/>
      <c r="BA274" s="721"/>
      <c r="BB274" s="721"/>
      <c r="BC274" s="721"/>
      <c r="BD274" s="721"/>
      <c r="BE274" s="721"/>
      <c r="BF274" s="721"/>
      <c r="BG274" s="721"/>
      <c r="BH274" s="721"/>
      <c r="BI274" s="721"/>
      <c r="BJ274" s="721"/>
      <c r="BK274" s="721"/>
      <c r="BL274" s="721"/>
      <c r="BM274" s="721"/>
      <c r="BN274" s="721"/>
      <c r="BO274" s="721"/>
      <c r="BP274" s="721"/>
      <c r="BQ274" s="721"/>
      <c r="BR274" s="721"/>
      <c r="BS274" s="721"/>
      <c r="BT274" s="721"/>
      <c r="BU274" s="721"/>
      <c r="BV274" s="721"/>
      <c r="BW274" s="721"/>
      <c r="BX274" s="721"/>
      <c r="BY274" s="721"/>
      <c r="BZ274" s="721"/>
      <c r="CA274" s="721"/>
      <c r="CB274" s="721"/>
      <c r="CC274" s="721"/>
      <c r="CD274" s="721"/>
      <c r="CE274" s="721"/>
      <c r="CF274" s="721"/>
      <c r="CG274" s="721"/>
      <c r="CH274" s="721"/>
      <c r="CI274" s="721"/>
      <c r="CJ274" s="721"/>
      <c r="CK274" s="721"/>
      <c r="CL274" s="721"/>
      <c r="CM274" s="721"/>
      <c r="CN274" s="721"/>
      <c r="CO274" s="721"/>
      <c r="CP274" s="721"/>
      <c r="CQ274" s="721"/>
      <c r="CR274" s="721"/>
      <c r="CS274" s="721"/>
      <c r="CT274" s="721"/>
      <c r="CU274" s="721"/>
      <c r="CV274" s="721"/>
      <c r="CW274" s="721"/>
      <c r="CX274" s="721"/>
    </row>
    <row r="275" spans="1:102" ht="12" customHeight="1" x14ac:dyDescent="0.2">
      <c r="A275" s="721"/>
      <c r="B275" s="721"/>
      <c r="C275" s="721"/>
      <c r="D275" s="721"/>
      <c r="E275" s="721"/>
      <c r="F275" s="721"/>
      <c r="G275" s="721"/>
      <c r="H275" s="721"/>
      <c r="I275" s="721"/>
      <c r="J275" s="721"/>
      <c r="K275" s="721"/>
      <c r="L275" s="721"/>
      <c r="M275" s="721"/>
      <c r="N275" s="721"/>
      <c r="O275" s="721"/>
      <c r="P275" s="721"/>
      <c r="Q275" s="721"/>
      <c r="R275" s="721"/>
      <c r="S275" s="721"/>
      <c r="T275" s="721"/>
      <c r="U275" s="721"/>
      <c r="V275" s="721"/>
      <c r="W275" s="204"/>
      <c r="X275" s="723"/>
      <c r="Y275" s="723"/>
      <c r="Z275" s="723"/>
      <c r="AA275" s="723"/>
      <c r="AB275" s="723"/>
      <c r="AC275" s="723"/>
      <c r="AD275" s="723"/>
      <c r="AE275" s="723"/>
      <c r="AF275" s="723"/>
      <c r="AG275" s="723"/>
      <c r="AH275" s="723"/>
      <c r="AI275" s="723"/>
      <c r="AJ275" s="723"/>
      <c r="AK275" s="723"/>
      <c r="AL275" s="723"/>
      <c r="AM275" s="721"/>
      <c r="AN275" s="721"/>
      <c r="AO275" s="723"/>
      <c r="AP275" s="721"/>
      <c r="AQ275" s="723"/>
      <c r="AR275" s="721"/>
      <c r="AS275" s="723"/>
      <c r="AT275" s="721"/>
      <c r="AU275" s="723"/>
      <c r="AV275" s="721"/>
      <c r="AW275" s="721"/>
      <c r="AX275" s="721"/>
      <c r="AY275" s="721"/>
      <c r="AZ275" s="721"/>
      <c r="BA275" s="721"/>
      <c r="BB275" s="721"/>
      <c r="BC275" s="721"/>
      <c r="BD275" s="721"/>
      <c r="BE275" s="721"/>
      <c r="BF275" s="721"/>
      <c r="BG275" s="721"/>
      <c r="BH275" s="721"/>
      <c r="BI275" s="721"/>
      <c r="BJ275" s="721"/>
      <c r="BK275" s="721"/>
      <c r="BL275" s="721"/>
      <c r="BM275" s="721"/>
      <c r="BN275" s="721"/>
      <c r="BO275" s="721"/>
      <c r="BP275" s="721"/>
      <c r="BQ275" s="721"/>
      <c r="BR275" s="721"/>
      <c r="BS275" s="721"/>
      <c r="BT275" s="721"/>
      <c r="BU275" s="721"/>
      <c r="BV275" s="721"/>
      <c r="BW275" s="721"/>
      <c r="BX275" s="721"/>
      <c r="BY275" s="721"/>
      <c r="BZ275" s="721"/>
      <c r="CA275" s="721"/>
      <c r="CB275" s="721"/>
      <c r="CC275" s="721"/>
      <c r="CD275" s="721"/>
      <c r="CE275" s="721"/>
      <c r="CF275" s="721"/>
      <c r="CG275" s="721"/>
      <c r="CH275" s="721"/>
      <c r="CI275" s="721"/>
      <c r="CJ275" s="721"/>
      <c r="CK275" s="721"/>
      <c r="CL275" s="721"/>
      <c r="CM275" s="721"/>
      <c r="CN275" s="721"/>
      <c r="CO275" s="721"/>
      <c r="CP275" s="721"/>
      <c r="CQ275" s="721"/>
      <c r="CR275" s="721"/>
      <c r="CS275" s="721"/>
      <c r="CT275" s="721"/>
      <c r="CU275" s="721"/>
      <c r="CV275" s="721"/>
      <c r="CW275" s="721"/>
      <c r="CX275" s="721"/>
    </row>
    <row r="276" spans="1:102" ht="12" customHeight="1" x14ac:dyDescent="0.2">
      <c r="A276" s="721"/>
      <c r="B276" s="721"/>
      <c r="C276" s="721"/>
      <c r="D276" s="721"/>
      <c r="E276" s="721"/>
      <c r="F276" s="721"/>
      <c r="G276" s="721"/>
      <c r="H276" s="721"/>
      <c r="I276" s="721"/>
      <c r="J276" s="721"/>
      <c r="K276" s="721"/>
      <c r="L276" s="721"/>
      <c r="M276" s="721"/>
      <c r="N276" s="721"/>
      <c r="O276" s="721"/>
      <c r="P276" s="721"/>
      <c r="Q276" s="721"/>
      <c r="R276" s="721"/>
      <c r="S276" s="721"/>
      <c r="T276" s="721"/>
      <c r="U276" s="721"/>
      <c r="V276" s="721"/>
      <c r="W276" s="204"/>
      <c r="X276" s="723"/>
      <c r="Y276" s="723"/>
      <c r="Z276" s="723"/>
      <c r="AA276" s="723"/>
      <c r="AB276" s="723"/>
      <c r="AC276" s="723"/>
      <c r="AD276" s="723"/>
      <c r="AE276" s="723"/>
      <c r="AF276" s="723"/>
      <c r="AG276" s="723"/>
      <c r="AH276" s="723"/>
      <c r="AI276" s="723"/>
      <c r="AJ276" s="723"/>
      <c r="AK276" s="723"/>
      <c r="AL276" s="723"/>
      <c r="AM276" s="721"/>
      <c r="AN276" s="721"/>
      <c r="AO276" s="723"/>
      <c r="AP276" s="721"/>
      <c r="AQ276" s="723"/>
      <c r="AR276" s="721"/>
      <c r="AS276" s="723"/>
      <c r="AT276" s="721"/>
      <c r="AU276" s="723"/>
      <c r="AV276" s="721"/>
      <c r="AW276" s="721"/>
      <c r="AX276" s="721"/>
      <c r="AY276" s="721"/>
      <c r="AZ276" s="721"/>
      <c r="BA276" s="721"/>
      <c r="BB276" s="721"/>
      <c r="BC276" s="721"/>
      <c r="BD276" s="721"/>
      <c r="BE276" s="721"/>
      <c r="BF276" s="721"/>
      <c r="BG276" s="721"/>
      <c r="BH276" s="721"/>
      <c r="BI276" s="721"/>
      <c r="BJ276" s="721"/>
      <c r="BK276" s="721"/>
      <c r="BL276" s="721"/>
      <c r="BM276" s="721"/>
      <c r="BN276" s="721"/>
      <c r="BO276" s="721"/>
      <c r="BP276" s="721"/>
      <c r="BQ276" s="721"/>
      <c r="BR276" s="721"/>
      <c r="BS276" s="721"/>
      <c r="BT276" s="721"/>
      <c r="BU276" s="721"/>
      <c r="BV276" s="721"/>
      <c r="BW276" s="721"/>
      <c r="BX276" s="721"/>
      <c r="BY276" s="721"/>
      <c r="BZ276" s="721"/>
      <c r="CA276" s="721"/>
      <c r="CB276" s="721"/>
      <c r="CC276" s="721"/>
      <c r="CD276" s="721"/>
      <c r="CE276" s="721"/>
      <c r="CF276" s="721"/>
      <c r="CG276" s="721"/>
      <c r="CH276" s="721"/>
      <c r="CI276" s="721"/>
      <c r="CJ276" s="721"/>
      <c r="CK276" s="721"/>
      <c r="CL276" s="721"/>
      <c r="CM276" s="721"/>
      <c r="CN276" s="721"/>
      <c r="CO276" s="721"/>
      <c r="CP276" s="721"/>
      <c r="CQ276" s="721"/>
      <c r="CR276" s="721"/>
      <c r="CS276" s="721"/>
      <c r="CT276" s="721"/>
      <c r="CU276" s="721"/>
      <c r="CV276" s="721"/>
      <c r="CW276" s="721"/>
      <c r="CX276" s="721"/>
    </row>
    <row r="277" spans="1:102" ht="12" customHeight="1" x14ac:dyDescent="0.2">
      <c r="A277" s="721"/>
      <c r="B277" s="721"/>
      <c r="C277" s="721"/>
      <c r="D277" s="721"/>
      <c r="E277" s="721"/>
      <c r="F277" s="721"/>
      <c r="G277" s="721"/>
      <c r="H277" s="721"/>
      <c r="I277" s="721"/>
      <c r="J277" s="721"/>
      <c r="K277" s="721"/>
      <c r="L277" s="721"/>
      <c r="M277" s="721"/>
      <c r="N277" s="721"/>
      <c r="O277" s="721"/>
      <c r="P277" s="721"/>
      <c r="Q277" s="721"/>
      <c r="R277" s="721"/>
      <c r="S277" s="721"/>
      <c r="T277" s="721"/>
      <c r="U277" s="721"/>
      <c r="V277" s="721"/>
      <c r="W277" s="204"/>
      <c r="X277" s="723"/>
      <c r="Y277" s="723"/>
      <c r="Z277" s="723"/>
      <c r="AA277" s="723"/>
      <c r="AB277" s="723"/>
      <c r="AC277" s="723"/>
      <c r="AD277" s="723"/>
      <c r="AE277" s="723"/>
      <c r="AF277" s="723"/>
      <c r="AG277" s="723"/>
      <c r="AH277" s="723"/>
      <c r="AI277" s="723"/>
      <c r="AJ277" s="723"/>
      <c r="AK277" s="723"/>
      <c r="AL277" s="723"/>
      <c r="AM277" s="721"/>
      <c r="AN277" s="721"/>
      <c r="AO277" s="723"/>
      <c r="AP277" s="721"/>
      <c r="AQ277" s="723"/>
      <c r="AR277" s="721"/>
      <c r="AS277" s="723"/>
      <c r="AT277" s="721"/>
      <c r="AU277" s="723"/>
      <c r="AV277" s="721"/>
      <c r="AW277" s="721"/>
      <c r="AX277" s="721"/>
      <c r="AY277" s="721"/>
      <c r="AZ277" s="721"/>
      <c r="BA277" s="721"/>
      <c r="BB277" s="721"/>
      <c r="BC277" s="721"/>
      <c r="BD277" s="721"/>
      <c r="BE277" s="721"/>
      <c r="BF277" s="721"/>
      <c r="BG277" s="721"/>
      <c r="BH277" s="721"/>
      <c r="BI277" s="721"/>
      <c r="BJ277" s="721"/>
      <c r="BK277" s="721"/>
      <c r="BL277" s="721"/>
      <c r="BM277" s="721"/>
      <c r="BN277" s="721"/>
      <c r="BO277" s="721"/>
      <c r="BP277" s="721"/>
      <c r="BQ277" s="721"/>
      <c r="BR277" s="721"/>
      <c r="BS277" s="721"/>
      <c r="BT277" s="721"/>
      <c r="BU277" s="721"/>
      <c r="BV277" s="721"/>
      <c r="BW277" s="721"/>
      <c r="BX277" s="721"/>
      <c r="BY277" s="721"/>
      <c r="BZ277" s="721"/>
      <c r="CA277" s="721"/>
      <c r="CB277" s="721"/>
      <c r="CC277" s="721"/>
      <c r="CD277" s="721"/>
      <c r="CE277" s="721"/>
      <c r="CF277" s="721"/>
      <c r="CG277" s="721"/>
      <c r="CH277" s="721"/>
      <c r="CI277" s="721"/>
      <c r="CJ277" s="721"/>
      <c r="CK277" s="721"/>
      <c r="CL277" s="721"/>
      <c r="CM277" s="721"/>
      <c r="CN277" s="721"/>
      <c r="CO277" s="721"/>
      <c r="CP277" s="721"/>
      <c r="CQ277" s="721"/>
      <c r="CR277" s="721"/>
      <c r="CS277" s="721"/>
      <c r="CT277" s="721"/>
      <c r="CU277" s="721"/>
      <c r="CV277" s="721"/>
      <c r="CW277" s="721"/>
      <c r="CX277" s="721"/>
    </row>
    <row r="278" spans="1:102" ht="12" customHeight="1" x14ac:dyDescent="0.2">
      <c r="A278" s="721"/>
      <c r="B278" s="721"/>
      <c r="C278" s="721"/>
      <c r="D278" s="721"/>
      <c r="E278" s="721"/>
      <c r="F278" s="721"/>
      <c r="G278" s="721"/>
      <c r="H278" s="721"/>
      <c r="I278" s="721"/>
      <c r="J278" s="721"/>
      <c r="K278" s="721"/>
      <c r="L278" s="721"/>
      <c r="M278" s="721"/>
      <c r="N278" s="721"/>
      <c r="O278" s="721"/>
      <c r="P278" s="721"/>
      <c r="Q278" s="721"/>
      <c r="R278" s="721"/>
      <c r="S278" s="721"/>
      <c r="T278" s="721"/>
      <c r="U278" s="721"/>
      <c r="V278" s="721"/>
      <c r="W278" s="204"/>
      <c r="X278" s="723"/>
      <c r="Y278" s="723"/>
      <c r="Z278" s="723"/>
      <c r="AA278" s="723"/>
      <c r="AB278" s="723"/>
      <c r="AC278" s="723"/>
      <c r="AD278" s="723"/>
      <c r="AE278" s="723"/>
      <c r="AF278" s="723"/>
      <c r="AG278" s="723"/>
      <c r="AH278" s="723"/>
      <c r="AI278" s="723"/>
      <c r="AJ278" s="723"/>
      <c r="AK278" s="723"/>
      <c r="AL278" s="723"/>
      <c r="AM278" s="721"/>
      <c r="AN278" s="721"/>
      <c r="AO278" s="723"/>
      <c r="AP278" s="721"/>
      <c r="AQ278" s="723"/>
      <c r="AR278" s="721"/>
      <c r="AS278" s="723"/>
      <c r="AT278" s="721"/>
      <c r="AU278" s="723"/>
      <c r="AV278" s="721"/>
      <c r="AW278" s="721"/>
      <c r="AX278" s="721"/>
      <c r="AY278" s="721"/>
      <c r="AZ278" s="721"/>
      <c r="BA278" s="721"/>
      <c r="BB278" s="721"/>
      <c r="BC278" s="721"/>
      <c r="BD278" s="721"/>
      <c r="BE278" s="721"/>
      <c r="BF278" s="721"/>
      <c r="BG278" s="721"/>
      <c r="BH278" s="721"/>
      <c r="BI278" s="721"/>
      <c r="BJ278" s="721"/>
      <c r="BK278" s="721"/>
      <c r="BL278" s="721"/>
      <c r="BM278" s="721"/>
      <c r="BN278" s="721"/>
      <c r="BO278" s="721"/>
      <c r="BP278" s="721"/>
      <c r="BQ278" s="721"/>
      <c r="BR278" s="721"/>
      <c r="BS278" s="721"/>
      <c r="BT278" s="721"/>
      <c r="BU278" s="721"/>
      <c r="BV278" s="721"/>
      <c r="BW278" s="721"/>
      <c r="BX278" s="721"/>
      <c r="BY278" s="721"/>
      <c r="BZ278" s="721"/>
      <c r="CA278" s="721"/>
      <c r="CB278" s="721"/>
      <c r="CC278" s="721"/>
      <c r="CD278" s="721"/>
      <c r="CE278" s="721"/>
      <c r="CF278" s="721"/>
      <c r="CG278" s="721"/>
      <c r="CH278" s="721"/>
      <c r="CI278" s="721"/>
      <c r="CJ278" s="721"/>
      <c r="CK278" s="721"/>
      <c r="CL278" s="721"/>
      <c r="CM278" s="721"/>
      <c r="CN278" s="721"/>
      <c r="CO278" s="721"/>
      <c r="CP278" s="721"/>
      <c r="CQ278" s="721"/>
      <c r="CR278" s="721"/>
      <c r="CS278" s="721"/>
      <c r="CT278" s="721"/>
      <c r="CU278" s="721"/>
      <c r="CV278" s="721"/>
      <c r="CW278" s="721"/>
      <c r="CX278" s="721"/>
    </row>
    <row r="279" spans="1:102" ht="12" customHeight="1" x14ac:dyDescent="0.2">
      <c r="A279" s="721"/>
      <c r="B279" s="721"/>
      <c r="C279" s="721"/>
      <c r="D279" s="721"/>
      <c r="E279" s="721"/>
      <c r="F279" s="721"/>
      <c r="G279" s="721"/>
      <c r="H279" s="721"/>
      <c r="I279" s="721"/>
      <c r="J279" s="721"/>
      <c r="K279" s="721"/>
      <c r="L279" s="721"/>
      <c r="M279" s="721"/>
      <c r="N279" s="721"/>
      <c r="O279" s="721"/>
      <c r="P279" s="721"/>
      <c r="Q279" s="721"/>
      <c r="R279" s="721"/>
      <c r="S279" s="721"/>
      <c r="T279" s="721"/>
      <c r="U279" s="721"/>
      <c r="V279" s="721"/>
      <c r="W279" s="204"/>
      <c r="X279" s="723"/>
      <c r="Y279" s="723"/>
      <c r="Z279" s="723"/>
      <c r="AA279" s="723"/>
      <c r="AB279" s="723"/>
      <c r="AC279" s="723"/>
      <c r="AD279" s="723"/>
      <c r="AE279" s="723"/>
      <c r="AF279" s="723"/>
      <c r="AG279" s="723"/>
      <c r="AH279" s="723"/>
      <c r="AI279" s="723"/>
      <c r="AJ279" s="723"/>
      <c r="AK279" s="723"/>
      <c r="AL279" s="723"/>
      <c r="AM279" s="721"/>
      <c r="AN279" s="721"/>
      <c r="AO279" s="723"/>
      <c r="AP279" s="721"/>
      <c r="AQ279" s="723"/>
      <c r="AR279" s="721"/>
      <c r="AS279" s="723"/>
      <c r="AT279" s="721"/>
      <c r="AU279" s="723"/>
      <c r="AV279" s="721"/>
      <c r="AW279" s="721"/>
      <c r="AX279" s="721"/>
      <c r="AY279" s="721"/>
      <c r="AZ279" s="721"/>
      <c r="BA279" s="721"/>
      <c r="BB279" s="721"/>
      <c r="BC279" s="721"/>
      <c r="BD279" s="721"/>
      <c r="BE279" s="721"/>
      <c r="BF279" s="721"/>
      <c r="BG279" s="721"/>
      <c r="BH279" s="721"/>
      <c r="BI279" s="721"/>
      <c r="BJ279" s="721"/>
      <c r="BK279" s="721"/>
      <c r="BL279" s="721"/>
      <c r="BM279" s="721"/>
      <c r="BN279" s="721"/>
      <c r="BO279" s="721"/>
      <c r="BP279" s="721"/>
      <c r="BQ279" s="721"/>
      <c r="BR279" s="721"/>
      <c r="BS279" s="721"/>
      <c r="BT279" s="721"/>
      <c r="BU279" s="721"/>
      <c r="BV279" s="721"/>
      <c r="BW279" s="721"/>
      <c r="BX279" s="721"/>
      <c r="BY279" s="721"/>
      <c r="BZ279" s="721"/>
      <c r="CA279" s="721"/>
      <c r="CB279" s="721"/>
      <c r="CC279" s="721"/>
      <c r="CD279" s="721"/>
      <c r="CE279" s="721"/>
      <c r="CF279" s="721"/>
      <c r="CG279" s="721"/>
      <c r="CH279" s="721"/>
      <c r="CI279" s="721"/>
      <c r="CJ279" s="721"/>
      <c r="CK279" s="721"/>
      <c r="CL279" s="721"/>
      <c r="CM279" s="721"/>
      <c r="CN279" s="721"/>
      <c r="CO279" s="721"/>
      <c r="CP279" s="721"/>
      <c r="CQ279" s="721"/>
      <c r="CR279" s="721"/>
      <c r="CS279" s="721"/>
      <c r="CT279" s="721"/>
      <c r="CU279" s="721"/>
      <c r="CV279" s="721"/>
      <c r="CW279" s="721"/>
      <c r="CX279" s="721"/>
    </row>
    <row r="280" spans="1:102" ht="12" customHeight="1" x14ac:dyDescent="0.2">
      <c r="A280" s="721"/>
      <c r="B280" s="721"/>
      <c r="C280" s="721"/>
      <c r="D280" s="721"/>
      <c r="E280" s="721"/>
      <c r="F280" s="721"/>
      <c r="G280" s="721"/>
      <c r="H280" s="721"/>
      <c r="I280" s="721"/>
      <c r="J280" s="721"/>
      <c r="K280" s="721"/>
      <c r="L280" s="721"/>
      <c r="M280" s="721"/>
      <c r="N280" s="721"/>
      <c r="O280" s="721"/>
      <c r="P280" s="721"/>
      <c r="Q280" s="721"/>
      <c r="R280" s="721"/>
      <c r="S280" s="721"/>
      <c r="T280" s="721"/>
      <c r="U280" s="721"/>
      <c r="V280" s="721"/>
      <c r="W280" s="204"/>
      <c r="X280" s="723"/>
      <c r="Y280" s="723"/>
      <c r="Z280" s="723"/>
      <c r="AA280" s="723"/>
      <c r="AB280" s="723"/>
      <c r="AC280" s="723"/>
      <c r="AD280" s="723"/>
      <c r="AE280" s="723"/>
      <c r="AF280" s="723"/>
      <c r="AG280" s="723"/>
      <c r="AH280" s="723"/>
      <c r="AI280" s="723"/>
      <c r="AJ280" s="723"/>
      <c r="AK280" s="723"/>
      <c r="AL280" s="723"/>
      <c r="AM280" s="721"/>
      <c r="AN280" s="721"/>
      <c r="AO280" s="723"/>
      <c r="AP280" s="721"/>
      <c r="AQ280" s="723"/>
      <c r="AR280" s="721"/>
      <c r="AS280" s="723"/>
      <c r="AT280" s="721"/>
      <c r="AU280" s="723"/>
      <c r="AV280" s="721"/>
      <c r="AW280" s="721"/>
      <c r="AX280" s="721"/>
      <c r="AY280" s="721"/>
      <c r="AZ280" s="721"/>
      <c r="BA280" s="721"/>
      <c r="BB280" s="721"/>
      <c r="BC280" s="721"/>
      <c r="BD280" s="721"/>
      <c r="BE280" s="721"/>
      <c r="BF280" s="721"/>
      <c r="BG280" s="721"/>
      <c r="BH280" s="721"/>
      <c r="BI280" s="721"/>
      <c r="BJ280" s="721"/>
      <c r="BK280" s="721"/>
      <c r="BL280" s="721"/>
      <c r="BM280" s="721"/>
      <c r="BN280" s="721"/>
      <c r="BO280" s="721"/>
      <c r="BP280" s="721"/>
      <c r="BQ280" s="721"/>
      <c r="BR280" s="721"/>
      <c r="BS280" s="721"/>
      <c r="BT280" s="721"/>
      <c r="BU280" s="721"/>
      <c r="BV280" s="721"/>
      <c r="BW280" s="721"/>
      <c r="BX280" s="721"/>
      <c r="BY280" s="721"/>
      <c r="BZ280" s="721"/>
      <c r="CA280" s="721"/>
      <c r="CB280" s="721"/>
      <c r="CC280" s="721"/>
      <c r="CD280" s="721"/>
      <c r="CE280" s="721"/>
      <c r="CF280" s="721"/>
      <c r="CG280" s="721"/>
      <c r="CH280" s="721"/>
      <c r="CI280" s="721"/>
      <c r="CJ280" s="721"/>
      <c r="CK280" s="721"/>
      <c r="CL280" s="721"/>
      <c r="CM280" s="721"/>
      <c r="CN280" s="721"/>
      <c r="CO280" s="721"/>
      <c r="CP280" s="721"/>
      <c r="CQ280" s="721"/>
      <c r="CR280" s="721"/>
      <c r="CS280" s="721"/>
      <c r="CT280" s="721"/>
      <c r="CU280" s="721"/>
      <c r="CV280" s="721"/>
      <c r="CW280" s="721"/>
      <c r="CX280" s="721"/>
    </row>
    <row r="281" spans="1:102" ht="12" customHeight="1" x14ac:dyDescent="0.2">
      <c r="A281" s="721"/>
      <c r="B281" s="721"/>
      <c r="C281" s="721"/>
      <c r="D281" s="721"/>
      <c r="E281" s="721"/>
      <c r="F281" s="721"/>
      <c r="G281" s="721"/>
      <c r="H281" s="721"/>
      <c r="I281" s="721"/>
      <c r="J281" s="721"/>
      <c r="K281" s="721"/>
      <c r="L281" s="721"/>
      <c r="M281" s="721"/>
      <c r="N281" s="721"/>
      <c r="O281" s="721"/>
      <c r="P281" s="721"/>
      <c r="Q281" s="721"/>
      <c r="R281" s="721"/>
      <c r="S281" s="721"/>
      <c r="T281" s="721"/>
      <c r="U281" s="721"/>
      <c r="V281" s="721"/>
      <c r="W281" s="204"/>
      <c r="X281" s="723"/>
      <c r="Y281" s="723"/>
      <c r="Z281" s="723"/>
      <c r="AA281" s="723"/>
      <c r="AB281" s="723"/>
      <c r="AC281" s="723"/>
      <c r="AD281" s="723"/>
      <c r="AE281" s="723"/>
      <c r="AF281" s="723"/>
      <c r="AG281" s="723"/>
      <c r="AH281" s="723"/>
      <c r="AI281" s="723"/>
      <c r="AJ281" s="723"/>
      <c r="AK281" s="723"/>
      <c r="AL281" s="723"/>
      <c r="AM281" s="721"/>
      <c r="AN281" s="721"/>
      <c r="AO281" s="723"/>
      <c r="AP281" s="721"/>
      <c r="AQ281" s="723"/>
      <c r="AR281" s="721"/>
      <c r="AS281" s="723"/>
      <c r="AT281" s="721"/>
      <c r="AU281" s="723"/>
      <c r="AV281" s="721"/>
      <c r="AW281" s="721"/>
      <c r="AX281" s="721"/>
      <c r="AY281" s="721"/>
      <c r="AZ281" s="721"/>
      <c r="BA281" s="721"/>
      <c r="BB281" s="721"/>
      <c r="BC281" s="721"/>
      <c r="BD281" s="721"/>
      <c r="BE281" s="721"/>
      <c r="BF281" s="721"/>
      <c r="BG281" s="721"/>
      <c r="BH281" s="721"/>
      <c r="BI281" s="721"/>
      <c r="BJ281" s="721"/>
      <c r="BK281" s="721"/>
      <c r="BL281" s="721"/>
      <c r="BM281" s="721"/>
      <c r="BN281" s="721"/>
      <c r="BO281" s="721"/>
      <c r="BP281" s="721"/>
      <c r="BQ281" s="721"/>
      <c r="BR281" s="721"/>
      <c r="BS281" s="721"/>
      <c r="BT281" s="721"/>
      <c r="BU281" s="721"/>
      <c r="BV281" s="721"/>
      <c r="BW281" s="721"/>
      <c r="BX281" s="721"/>
      <c r="BY281" s="721"/>
      <c r="BZ281" s="721"/>
      <c r="CA281" s="721"/>
      <c r="CB281" s="721"/>
      <c r="CC281" s="721"/>
      <c r="CD281" s="721"/>
      <c r="CE281" s="721"/>
      <c r="CF281" s="721"/>
      <c r="CG281" s="721"/>
      <c r="CH281" s="721"/>
      <c r="CI281" s="721"/>
      <c r="CJ281" s="721"/>
      <c r="CK281" s="721"/>
      <c r="CL281" s="721"/>
      <c r="CM281" s="721"/>
      <c r="CN281" s="721"/>
      <c r="CO281" s="721"/>
      <c r="CP281" s="721"/>
      <c r="CQ281" s="721"/>
      <c r="CR281" s="721"/>
      <c r="CS281" s="721"/>
      <c r="CT281" s="721"/>
      <c r="CU281" s="721"/>
      <c r="CV281" s="721"/>
      <c r="CW281" s="721"/>
      <c r="CX281" s="721"/>
    </row>
    <row r="282" spans="1:102" ht="12" customHeight="1" x14ac:dyDescent="0.2">
      <c r="A282" s="721"/>
      <c r="B282" s="721"/>
      <c r="C282" s="721"/>
      <c r="D282" s="721"/>
      <c r="E282" s="721"/>
      <c r="F282" s="721"/>
      <c r="G282" s="721"/>
      <c r="H282" s="721"/>
      <c r="I282" s="721"/>
      <c r="J282" s="721"/>
      <c r="K282" s="721"/>
      <c r="L282" s="721"/>
      <c r="M282" s="721"/>
      <c r="N282" s="721"/>
      <c r="O282" s="721"/>
      <c r="P282" s="721"/>
      <c r="Q282" s="721"/>
      <c r="R282" s="721"/>
      <c r="S282" s="721"/>
      <c r="T282" s="721"/>
      <c r="U282" s="721"/>
      <c r="V282" s="721"/>
      <c r="W282" s="204"/>
      <c r="X282" s="723"/>
      <c r="Y282" s="723"/>
      <c r="Z282" s="723"/>
      <c r="AA282" s="723"/>
      <c r="AB282" s="723"/>
      <c r="AC282" s="723"/>
      <c r="AD282" s="723"/>
      <c r="AE282" s="723"/>
      <c r="AF282" s="723"/>
      <c r="AG282" s="723"/>
      <c r="AH282" s="723"/>
      <c r="AI282" s="723"/>
      <c r="AJ282" s="723"/>
      <c r="AK282" s="723"/>
      <c r="AL282" s="723"/>
      <c r="AM282" s="721"/>
      <c r="AN282" s="721"/>
      <c r="AO282" s="723"/>
      <c r="AP282" s="721"/>
      <c r="AQ282" s="723"/>
      <c r="AR282" s="721"/>
      <c r="AS282" s="723"/>
      <c r="AT282" s="721"/>
      <c r="AU282" s="723"/>
      <c r="AV282" s="721"/>
      <c r="AW282" s="721"/>
      <c r="AX282" s="721"/>
      <c r="AY282" s="721"/>
      <c r="AZ282" s="721"/>
      <c r="BA282" s="721"/>
      <c r="BB282" s="721"/>
      <c r="BC282" s="721"/>
      <c r="BD282" s="721"/>
      <c r="BE282" s="721"/>
      <c r="BF282" s="721"/>
      <c r="BG282" s="721"/>
      <c r="BH282" s="721"/>
      <c r="BI282" s="721"/>
      <c r="BJ282" s="721"/>
      <c r="BK282" s="721"/>
      <c r="BL282" s="721"/>
      <c r="BM282" s="721"/>
      <c r="BN282" s="721"/>
      <c r="BO282" s="721"/>
      <c r="BP282" s="721"/>
      <c r="BQ282" s="721"/>
      <c r="BR282" s="721"/>
      <c r="BS282" s="721"/>
      <c r="BT282" s="721"/>
      <c r="BU282" s="721"/>
      <c r="BV282" s="721"/>
      <c r="BW282" s="721"/>
      <c r="BX282" s="721"/>
      <c r="BY282" s="721"/>
      <c r="BZ282" s="721"/>
      <c r="CA282" s="721"/>
      <c r="CB282" s="721"/>
      <c r="CC282" s="721"/>
      <c r="CD282" s="721"/>
      <c r="CE282" s="721"/>
      <c r="CF282" s="721"/>
      <c r="CG282" s="721"/>
      <c r="CH282" s="721"/>
      <c r="CI282" s="721"/>
      <c r="CJ282" s="721"/>
      <c r="CK282" s="721"/>
      <c r="CL282" s="721"/>
      <c r="CM282" s="721"/>
      <c r="CN282" s="721"/>
      <c r="CO282" s="721"/>
      <c r="CP282" s="721"/>
      <c r="CQ282" s="721"/>
      <c r="CR282" s="721"/>
      <c r="CS282" s="721"/>
      <c r="CT282" s="721"/>
      <c r="CU282" s="721"/>
      <c r="CV282" s="721"/>
      <c r="CW282" s="721"/>
      <c r="CX282" s="721"/>
    </row>
    <row r="283" spans="1:102" ht="12" customHeight="1" x14ac:dyDescent="0.2">
      <c r="A283" s="721"/>
      <c r="B283" s="721"/>
      <c r="C283" s="721"/>
      <c r="D283" s="721"/>
      <c r="E283" s="721"/>
      <c r="F283" s="721"/>
      <c r="G283" s="721"/>
      <c r="H283" s="721"/>
      <c r="I283" s="721"/>
      <c r="J283" s="721"/>
      <c r="K283" s="721"/>
      <c r="L283" s="721"/>
      <c r="M283" s="721"/>
      <c r="N283" s="721"/>
      <c r="O283" s="721"/>
      <c r="P283" s="721"/>
      <c r="Q283" s="721"/>
      <c r="R283" s="721"/>
      <c r="S283" s="721"/>
      <c r="T283" s="721"/>
      <c r="U283" s="721"/>
      <c r="V283" s="721"/>
      <c r="W283" s="204"/>
      <c r="X283" s="723"/>
      <c r="Y283" s="723"/>
      <c r="Z283" s="723"/>
      <c r="AA283" s="723"/>
      <c r="AB283" s="723"/>
      <c r="AC283" s="723"/>
      <c r="AD283" s="723"/>
      <c r="AE283" s="723"/>
      <c r="AF283" s="723"/>
      <c r="AG283" s="723"/>
      <c r="AH283" s="723"/>
      <c r="AI283" s="723"/>
      <c r="AJ283" s="723"/>
      <c r="AK283" s="723"/>
      <c r="AL283" s="723"/>
      <c r="AM283" s="721"/>
      <c r="AN283" s="721"/>
      <c r="AO283" s="723"/>
      <c r="AP283" s="721"/>
      <c r="AQ283" s="723"/>
      <c r="AR283" s="721"/>
      <c r="AS283" s="723"/>
      <c r="AT283" s="721"/>
      <c r="AU283" s="723"/>
      <c r="AV283" s="721"/>
      <c r="AW283" s="721"/>
      <c r="AX283" s="721"/>
      <c r="AY283" s="721"/>
      <c r="AZ283" s="721"/>
      <c r="BA283" s="721"/>
      <c r="BB283" s="721"/>
      <c r="BC283" s="721"/>
      <c r="BD283" s="721"/>
      <c r="BE283" s="721"/>
      <c r="BF283" s="721"/>
      <c r="BG283" s="721"/>
      <c r="BH283" s="721"/>
      <c r="BI283" s="721"/>
      <c r="BJ283" s="721"/>
      <c r="BK283" s="721"/>
      <c r="BL283" s="721"/>
      <c r="BM283" s="721"/>
      <c r="BN283" s="721"/>
      <c r="BO283" s="721"/>
      <c r="BP283" s="721"/>
      <c r="BQ283" s="721"/>
      <c r="BR283" s="721"/>
      <c r="BS283" s="721"/>
      <c r="BT283" s="721"/>
      <c r="BU283" s="721"/>
      <c r="BV283" s="721"/>
      <c r="BW283" s="721"/>
      <c r="BX283" s="721"/>
      <c r="BY283" s="721"/>
      <c r="BZ283" s="721"/>
      <c r="CA283" s="721"/>
      <c r="CB283" s="721"/>
      <c r="CC283" s="721"/>
      <c r="CD283" s="721"/>
      <c r="CE283" s="721"/>
      <c r="CF283" s="721"/>
      <c r="CG283" s="721"/>
      <c r="CH283" s="721"/>
      <c r="CI283" s="721"/>
      <c r="CJ283" s="721"/>
      <c r="CK283" s="721"/>
      <c r="CL283" s="721"/>
      <c r="CM283" s="721"/>
      <c r="CN283" s="721"/>
      <c r="CO283" s="721"/>
      <c r="CP283" s="721"/>
      <c r="CQ283" s="721"/>
      <c r="CR283" s="721"/>
      <c r="CS283" s="721"/>
      <c r="CT283" s="721"/>
      <c r="CU283" s="721"/>
      <c r="CV283" s="721"/>
      <c r="CW283" s="721"/>
      <c r="CX283" s="721"/>
    </row>
    <row r="284" spans="1:102" ht="12" customHeight="1" x14ac:dyDescent="0.2">
      <c r="A284" s="721"/>
      <c r="B284" s="721"/>
      <c r="C284" s="721"/>
      <c r="D284" s="721"/>
      <c r="E284" s="721"/>
      <c r="F284" s="721"/>
      <c r="G284" s="721"/>
      <c r="H284" s="721"/>
      <c r="I284" s="721"/>
      <c r="J284" s="721"/>
      <c r="K284" s="721"/>
      <c r="L284" s="721"/>
      <c r="M284" s="721"/>
      <c r="N284" s="721"/>
      <c r="O284" s="721"/>
      <c r="P284" s="721"/>
      <c r="Q284" s="721"/>
      <c r="R284" s="721"/>
      <c r="S284" s="721"/>
      <c r="T284" s="721"/>
      <c r="U284" s="721"/>
      <c r="V284" s="721"/>
      <c r="W284" s="204"/>
      <c r="X284" s="723"/>
      <c r="Y284" s="723"/>
      <c r="Z284" s="723"/>
      <c r="AA284" s="723"/>
      <c r="AB284" s="723"/>
      <c r="AC284" s="723"/>
      <c r="AD284" s="723"/>
      <c r="AE284" s="723"/>
      <c r="AF284" s="723"/>
      <c r="AG284" s="723"/>
      <c r="AH284" s="723"/>
      <c r="AI284" s="723"/>
      <c r="AJ284" s="723"/>
      <c r="AK284" s="723"/>
      <c r="AL284" s="723"/>
      <c r="AM284" s="721"/>
      <c r="AN284" s="721"/>
      <c r="AO284" s="723"/>
      <c r="AP284" s="721"/>
      <c r="AQ284" s="723"/>
      <c r="AR284" s="721"/>
      <c r="AS284" s="723"/>
      <c r="AT284" s="721"/>
      <c r="AU284" s="723"/>
      <c r="AV284" s="721"/>
      <c r="AW284" s="721"/>
      <c r="AX284" s="721"/>
      <c r="AY284" s="721"/>
      <c r="AZ284" s="721"/>
      <c r="BA284" s="721"/>
      <c r="BB284" s="721"/>
      <c r="BC284" s="721"/>
      <c r="BD284" s="721"/>
      <c r="BE284" s="721"/>
      <c r="BF284" s="721"/>
      <c r="BG284" s="721"/>
      <c r="BH284" s="721"/>
      <c r="BI284" s="721"/>
      <c r="BJ284" s="721"/>
      <c r="BK284" s="721"/>
      <c r="BL284" s="721"/>
      <c r="BM284" s="721"/>
      <c r="BN284" s="721"/>
      <c r="BO284" s="721"/>
      <c r="BP284" s="721"/>
      <c r="BQ284" s="721"/>
      <c r="BR284" s="721"/>
      <c r="BS284" s="721"/>
      <c r="BT284" s="721"/>
      <c r="BU284" s="721"/>
      <c r="BV284" s="721"/>
      <c r="BW284" s="721"/>
      <c r="BX284" s="721"/>
      <c r="BY284" s="721"/>
      <c r="BZ284" s="721"/>
      <c r="CA284" s="721"/>
      <c r="CB284" s="721"/>
      <c r="CC284" s="721"/>
      <c r="CD284" s="721"/>
      <c r="CE284" s="721"/>
      <c r="CF284" s="721"/>
      <c r="CG284" s="721"/>
      <c r="CH284" s="721"/>
      <c r="CI284" s="721"/>
      <c r="CJ284" s="721"/>
      <c r="CK284" s="721"/>
      <c r="CL284" s="721"/>
      <c r="CM284" s="721"/>
      <c r="CN284" s="721"/>
      <c r="CO284" s="721"/>
      <c r="CP284" s="721"/>
      <c r="CQ284" s="721"/>
      <c r="CR284" s="721"/>
      <c r="CS284" s="721"/>
      <c r="CT284" s="721"/>
      <c r="CU284" s="721"/>
      <c r="CV284" s="721"/>
      <c r="CW284" s="721"/>
      <c r="CX284" s="721"/>
    </row>
    <row r="285" spans="1:102" ht="12" customHeight="1" x14ac:dyDescent="0.2">
      <c r="A285" s="721"/>
      <c r="B285" s="721"/>
      <c r="C285" s="721"/>
      <c r="D285" s="721"/>
      <c r="E285" s="721"/>
      <c r="F285" s="721"/>
      <c r="G285" s="721"/>
      <c r="H285" s="721"/>
      <c r="I285" s="721"/>
      <c r="J285" s="721"/>
      <c r="K285" s="721"/>
      <c r="L285" s="721"/>
      <c r="M285" s="721"/>
      <c r="N285" s="721"/>
      <c r="O285" s="721"/>
      <c r="P285" s="721"/>
      <c r="Q285" s="721"/>
      <c r="R285" s="721"/>
      <c r="S285" s="721"/>
      <c r="T285" s="721"/>
      <c r="U285" s="721"/>
      <c r="V285" s="721"/>
      <c r="W285" s="204"/>
      <c r="X285" s="723"/>
      <c r="Y285" s="723"/>
      <c r="Z285" s="723"/>
      <c r="AA285" s="723"/>
      <c r="AB285" s="723"/>
      <c r="AC285" s="723"/>
      <c r="AD285" s="723"/>
      <c r="AE285" s="723"/>
      <c r="AF285" s="723"/>
      <c r="AG285" s="723"/>
      <c r="AH285" s="723"/>
      <c r="AI285" s="723"/>
      <c r="AJ285" s="723"/>
      <c r="AK285" s="723"/>
      <c r="AL285" s="723"/>
      <c r="AM285" s="721"/>
      <c r="AN285" s="721"/>
      <c r="AO285" s="723"/>
      <c r="AP285" s="721"/>
      <c r="AQ285" s="723"/>
      <c r="AR285" s="721"/>
      <c r="AS285" s="723"/>
      <c r="AT285" s="721"/>
      <c r="AU285" s="723"/>
      <c r="AV285" s="721"/>
      <c r="AW285" s="721"/>
      <c r="AX285" s="721"/>
      <c r="AY285" s="721"/>
      <c r="AZ285" s="721"/>
      <c r="BA285" s="721"/>
      <c r="BB285" s="721"/>
      <c r="BC285" s="721"/>
      <c r="BD285" s="721"/>
      <c r="BE285" s="721"/>
      <c r="BF285" s="721"/>
      <c r="BG285" s="721"/>
      <c r="BH285" s="721"/>
      <c r="BI285" s="721"/>
      <c r="BJ285" s="721"/>
      <c r="BK285" s="721"/>
      <c r="BL285" s="721"/>
      <c r="BM285" s="721"/>
      <c r="BN285" s="721"/>
      <c r="BO285" s="721"/>
      <c r="BP285" s="721"/>
      <c r="BQ285" s="721"/>
      <c r="BR285" s="721"/>
      <c r="BS285" s="721"/>
      <c r="BT285" s="721"/>
      <c r="BU285" s="721"/>
      <c r="BV285" s="721"/>
      <c r="BW285" s="721"/>
      <c r="BX285" s="721"/>
      <c r="BY285" s="721"/>
      <c r="BZ285" s="721"/>
      <c r="CA285" s="721"/>
      <c r="CB285" s="721"/>
      <c r="CC285" s="721"/>
      <c r="CD285" s="721"/>
      <c r="CE285" s="721"/>
      <c r="CF285" s="721"/>
      <c r="CG285" s="721"/>
      <c r="CH285" s="721"/>
      <c r="CI285" s="721"/>
      <c r="CJ285" s="721"/>
      <c r="CK285" s="721"/>
      <c r="CL285" s="721"/>
      <c r="CM285" s="721"/>
      <c r="CN285" s="721"/>
      <c r="CO285" s="721"/>
      <c r="CP285" s="721"/>
      <c r="CQ285" s="721"/>
      <c r="CR285" s="721"/>
      <c r="CS285" s="721"/>
      <c r="CT285" s="721"/>
      <c r="CU285" s="721"/>
      <c r="CV285" s="721"/>
      <c r="CW285" s="721"/>
      <c r="CX285" s="721"/>
    </row>
    <row r="286" spans="1:102" ht="12" customHeight="1" x14ac:dyDescent="0.2">
      <c r="A286" s="721"/>
      <c r="B286" s="721"/>
      <c r="C286" s="721"/>
      <c r="D286" s="721"/>
      <c r="E286" s="721"/>
      <c r="F286" s="721"/>
      <c r="G286" s="721"/>
      <c r="H286" s="721"/>
      <c r="I286" s="721"/>
      <c r="J286" s="721"/>
      <c r="K286" s="721"/>
      <c r="L286" s="721"/>
      <c r="M286" s="721"/>
      <c r="N286" s="721"/>
      <c r="O286" s="721"/>
      <c r="P286" s="721"/>
      <c r="Q286" s="721"/>
      <c r="R286" s="721"/>
      <c r="S286" s="721"/>
      <c r="T286" s="721"/>
      <c r="U286" s="721"/>
      <c r="V286" s="721"/>
      <c r="W286" s="204"/>
      <c r="X286" s="723"/>
      <c r="Y286" s="723"/>
      <c r="Z286" s="723"/>
      <c r="AA286" s="723"/>
      <c r="AB286" s="723"/>
      <c r="AC286" s="723"/>
      <c r="AD286" s="723"/>
      <c r="AE286" s="723"/>
      <c r="AF286" s="723"/>
      <c r="AG286" s="723"/>
      <c r="AH286" s="723"/>
      <c r="AI286" s="723"/>
      <c r="AJ286" s="723"/>
      <c r="AK286" s="723"/>
      <c r="AL286" s="723"/>
      <c r="AM286" s="721"/>
      <c r="AN286" s="721"/>
      <c r="AO286" s="723"/>
      <c r="AP286" s="721"/>
      <c r="AQ286" s="723"/>
      <c r="AR286" s="721"/>
      <c r="AS286" s="723"/>
      <c r="AT286" s="721"/>
      <c r="AU286" s="723"/>
      <c r="AV286" s="721"/>
      <c r="AW286" s="721"/>
      <c r="AX286" s="721"/>
      <c r="AY286" s="721"/>
      <c r="AZ286" s="721"/>
      <c r="BA286" s="721"/>
      <c r="BB286" s="721"/>
      <c r="BC286" s="721"/>
      <c r="BD286" s="721"/>
      <c r="BE286" s="721"/>
      <c r="BF286" s="721"/>
      <c r="BG286" s="721"/>
      <c r="BH286" s="721"/>
      <c r="BI286" s="721"/>
      <c r="BJ286" s="721"/>
      <c r="BK286" s="721"/>
      <c r="BL286" s="721"/>
      <c r="BM286" s="721"/>
      <c r="BN286" s="721"/>
      <c r="BO286" s="721"/>
      <c r="BP286" s="721"/>
      <c r="BQ286" s="721"/>
      <c r="BR286" s="721"/>
      <c r="BS286" s="721"/>
      <c r="BT286" s="721"/>
      <c r="BU286" s="721"/>
      <c r="BV286" s="721"/>
      <c r="BW286" s="721"/>
      <c r="BX286" s="721"/>
      <c r="BY286" s="721"/>
      <c r="BZ286" s="721"/>
      <c r="CA286" s="721"/>
      <c r="CB286" s="721"/>
      <c r="CC286" s="721"/>
      <c r="CD286" s="721"/>
      <c r="CE286" s="721"/>
      <c r="CF286" s="721"/>
      <c r="CG286" s="721"/>
      <c r="CH286" s="721"/>
      <c r="CI286" s="721"/>
      <c r="CJ286" s="721"/>
      <c r="CK286" s="721"/>
      <c r="CL286" s="721"/>
      <c r="CM286" s="721"/>
      <c r="CN286" s="721"/>
      <c r="CO286" s="721"/>
      <c r="CP286" s="721"/>
      <c r="CQ286" s="721"/>
      <c r="CR286" s="721"/>
      <c r="CS286" s="721"/>
      <c r="CT286" s="721"/>
      <c r="CU286" s="721"/>
      <c r="CV286" s="721"/>
      <c r="CW286" s="721"/>
      <c r="CX286" s="721"/>
    </row>
    <row r="287" spans="1:102" ht="12" customHeight="1" x14ac:dyDescent="0.2">
      <c r="A287" s="721"/>
      <c r="B287" s="721"/>
      <c r="C287" s="721"/>
      <c r="D287" s="721"/>
      <c r="E287" s="721"/>
      <c r="F287" s="721"/>
      <c r="G287" s="721"/>
      <c r="H287" s="721"/>
      <c r="I287" s="721"/>
      <c r="J287" s="721"/>
      <c r="K287" s="721"/>
      <c r="L287" s="721"/>
      <c r="M287" s="721"/>
      <c r="N287" s="721"/>
      <c r="O287" s="721"/>
      <c r="P287" s="721"/>
      <c r="Q287" s="721"/>
      <c r="R287" s="721"/>
      <c r="S287" s="721"/>
      <c r="T287" s="721"/>
      <c r="U287" s="721"/>
      <c r="V287" s="721"/>
      <c r="W287" s="204"/>
      <c r="X287" s="723"/>
      <c r="Y287" s="723"/>
      <c r="Z287" s="723"/>
      <c r="AA287" s="723"/>
      <c r="AB287" s="723"/>
      <c r="AC287" s="723"/>
      <c r="AD287" s="723"/>
      <c r="AE287" s="723"/>
      <c r="AF287" s="723"/>
      <c r="AG287" s="723"/>
      <c r="AH287" s="723"/>
      <c r="AI287" s="723"/>
      <c r="AJ287" s="723"/>
      <c r="AK287" s="723"/>
      <c r="AL287" s="723"/>
      <c r="AM287" s="721"/>
      <c r="AN287" s="721"/>
      <c r="AO287" s="723"/>
      <c r="AP287" s="721"/>
      <c r="AQ287" s="723"/>
      <c r="AR287" s="721"/>
      <c r="AS287" s="723"/>
      <c r="AT287" s="721"/>
      <c r="AU287" s="723"/>
      <c r="AV287" s="721"/>
      <c r="AW287" s="721"/>
      <c r="AX287" s="721"/>
      <c r="AY287" s="721"/>
      <c r="AZ287" s="721"/>
      <c r="BA287" s="721"/>
      <c r="BB287" s="721"/>
      <c r="BC287" s="721"/>
      <c r="BD287" s="721"/>
      <c r="BE287" s="721"/>
      <c r="BF287" s="721"/>
      <c r="BG287" s="721"/>
      <c r="BH287" s="721"/>
      <c r="BI287" s="721"/>
      <c r="BJ287" s="721"/>
      <c r="BK287" s="721"/>
      <c r="BL287" s="721"/>
      <c r="BM287" s="721"/>
      <c r="BN287" s="721"/>
      <c r="BO287" s="721"/>
      <c r="BP287" s="721"/>
      <c r="BQ287" s="721"/>
      <c r="BR287" s="721"/>
      <c r="BS287" s="721"/>
      <c r="BT287" s="721"/>
      <c r="BU287" s="721"/>
      <c r="BV287" s="721"/>
      <c r="BW287" s="721"/>
      <c r="BX287" s="721"/>
      <c r="BY287" s="721"/>
      <c r="BZ287" s="721"/>
      <c r="CA287" s="721"/>
      <c r="CB287" s="721"/>
      <c r="CC287" s="721"/>
      <c r="CD287" s="721"/>
      <c r="CE287" s="721"/>
      <c r="CF287" s="721"/>
      <c r="CG287" s="721"/>
      <c r="CH287" s="721"/>
      <c r="CI287" s="721"/>
      <c r="CJ287" s="721"/>
      <c r="CK287" s="721"/>
      <c r="CL287" s="721"/>
      <c r="CM287" s="721"/>
      <c r="CN287" s="721"/>
      <c r="CO287" s="721"/>
      <c r="CP287" s="721"/>
      <c r="CQ287" s="721"/>
      <c r="CR287" s="721"/>
      <c r="CS287" s="721"/>
      <c r="CT287" s="721"/>
      <c r="CU287" s="721"/>
      <c r="CV287" s="721"/>
      <c r="CW287" s="721"/>
      <c r="CX287" s="721"/>
    </row>
    <row r="288" spans="1:102" ht="12" customHeight="1" x14ac:dyDescent="0.2">
      <c r="A288" s="721"/>
      <c r="B288" s="721"/>
      <c r="C288" s="721"/>
      <c r="D288" s="721"/>
      <c r="E288" s="721"/>
      <c r="F288" s="721"/>
      <c r="G288" s="721"/>
      <c r="H288" s="721"/>
      <c r="I288" s="721"/>
      <c r="J288" s="721"/>
      <c r="K288" s="721"/>
      <c r="L288" s="721"/>
      <c r="M288" s="721"/>
      <c r="N288" s="721"/>
      <c r="O288" s="721"/>
      <c r="P288" s="721"/>
      <c r="Q288" s="721"/>
      <c r="R288" s="721"/>
      <c r="S288" s="721"/>
      <c r="T288" s="721"/>
      <c r="U288" s="721"/>
      <c r="V288" s="721"/>
      <c r="W288" s="204"/>
      <c r="X288" s="723"/>
      <c r="Y288" s="723"/>
      <c r="Z288" s="723"/>
      <c r="AA288" s="723"/>
      <c r="AB288" s="723"/>
      <c r="AC288" s="723"/>
      <c r="AD288" s="723"/>
      <c r="AE288" s="723"/>
      <c r="AF288" s="723"/>
      <c r="AG288" s="723"/>
      <c r="AH288" s="723"/>
      <c r="AI288" s="723"/>
      <c r="AJ288" s="723"/>
      <c r="AK288" s="723"/>
      <c r="AL288" s="723"/>
      <c r="AM288" s="721"/>
      <c r="AN288" s="721"/>
      <c r="AO288" s="723"/>
      <c r="AP288" s="721"/>
      <c r="AQ288" s="723"/>
      <c r="AR288" s="721"/>
      <c r="AS288" s="723"/>
      <c r="AT288" s="721"/>
      <c r="AU288" s="723"/>
      <c r="AV288" s="721"/>
      <c r="AW288" s="721"/>
      <c r="AX288" s="721"/>
      <c r="AY288" s="721"/>
      <c r="AZ288" s="721"/>
      <c r="BA288" s="721"/>
      <c r="BB288" s="721"/>
      <c r="BC288" s="721"/>
      <c r="BD288" s="721"/>
      <c r="BE288" s="721"/>
      <c r="BF288" s="721"/>
      <c r="BG288" s="721"/>
      <c r="BH288" s="721"/>
      <c r="BI288" s="721"/>
      <c r="BJ288" s="721"/>
      <c r="BK288" s="721"/>
      <c r="BL288" s="721"/>
      <c r="BM288" s="721"/>
      <c r="BN288" s="721"/>
      <c r="BO288" s="721"/>
      <c r="BP288" s="721"/>
      <c r="BQ288" s="721"/>
      <c r="BR288" s="721"/>
      <c r="BS288" s="721"/>
      <c r="BT288" s="721"/>
      <c r="BU288" s="721"/>
      <c r="BV288" s="721"/>
      <c r="BW288" s="721"/>
      <c r="BX288" s="721"/>
      <c r="BY288" s="721"/>
      <c r="BZ288" s="721"/>
      <c r="CA288" s="721"/>
      <c r="CB288" s="721"/>
      <c r="CC288" s="721"/>
      <c r="CD288" s="721"/>
      <c r="CE288" s="721"/>
      <c r="CF288" s="721"/>
      <c r="CG288" s="721"/>
      <c r="CH288" s="721"/>
      <c r="CI288" s="721"/>
      <c r="CJ288" s="721"/>
      <c r="CK288" s="721"/>
      <c r="CL288" s="721"/>
      <c r="CM288" s="721"/>
      <c r="CN288" s="721"/>
      <c r="CO288" s="721"/>
      <c r="CP288" s="721"/>
      <c r="CQ288" s="721"/>
      <c r="CR288" s="721"/>
      <c r="CS288" s="721"/>
      <c r="CT288" s="721"/>
      <c r="CU288" s="721"/>
      <c r="CV288" s="721"/>
      <c r="CW288" s="721"/>
      <c r="CX288" s="721"/>
    </row>
    <row r="289" spans="1:102" ht="12" customHeight="1" x14ac:dyDescent="0.2">
      <c r="A289" s="721"/>
      <c r="B289" s="721"/>
      <c r="C289" s="721"/>
      <c r="D289" s="721"/>
      <c r="E289" s="721"/>
      <c r="F289" s="721"/>
      <c r="G289" s="721"/>
      <c r="H289" s="721"/>
      <c r="I289" s="721"/>
      <c r="J289" s="721"/>
      <c r="K289" s="721"/>
      <c r="L289" s="721"/>
      <c r="M289" s="721"/>
      <c r="N289" s="721"/>
      <c r="O289" s="721"/>
      <c r="P289" s="721"/>
      <c r="Q289" s="721"/>
      <c r="R289" s="721"/>
      <c r="S289" s="721"/>
      <c r="T289" s="721"/>
      <c r="U289" s="721"/>
      <c r="V289" s="721"/>
      <c r="W289" s="204"/>
      <c r="X289" s="723"/>
      <c r="Y289" s="723"/>
      <c r="Z289" s="723"/>
      <c r="AA289" s="723"/>
      <c r="AB289" s="723"/>
      <c r="AC289" s="723"/>
      <c r="AD289" s="723"/>
      <c r="AE289" s="723"/>
      <c r="AF289" s="723"/>
      <c r="AG289" s="723"/>
      <c r="AH289" s="723"/>
      <c r="AI289" s="723"/>
      <c r="AJ289" s="723"/>
      <c r="AK289" s="723"/>
      <c r="AL289" s="723"/>
      <c r="AM289" s="721"/>
      <c r="AN289" s="721"/>
      <c r="AO289" s="723"/>
      <c r="AP289" s="721"/>
      <c r="AQ289" s="723"/>
      <c r="AR289" s="721"/>
      <c r="AS289" s="723"/>
      <c r="AT289" s="721"/>
      <c r="AU289" s="723"/>
      <c r="AV289" s="721"/>
      <c r="AW289" s="721"/>
      <c r="AX289" s="721"/>
      <c r="AY289" s="721"/>
      <c r="AZ289" s="721"/>
      <c r="BA289" s="721"/>
      <c r="BB289" s="721"/>
      <c r="BC289" s="721"/>
      <c r="BD289" s="721"/>
      <c r="BE289" s="721"/>
      <c r="BF289" s="721"/>
      <c r="BG289" s="721"/>
      <c r="BH289" s="721"/>
      <c r="BI289" s="721"/>
      <c r="BJ289" s="721"/>
      <c r="BK289" s="721"/>
      <c r="BL289" s="721"/>
      <c r="BM289" s="721"/>
      <c r="BN289" s="721"/>
      <c r="BO289" s="721"/>
      <c r="BP289" s="721"/>
      <c r="BQ289" s="721"/>
      <c r="BR289" s="721"/>
      <c r="BS289" s="721"/>
      <c r="BT289" s="721"/>
      <c r="BU289" s="721"/>
      <c r="BV289" s="721"/>
      <c r="BW289" s="721"/>
      <c r="BX289" s="721"/>
      <c r="BY289" s="721"/>
      <c r="BZ289" s="721"/>
      <c r="CA289" s="721"/>
      <c r="CB289" s="721"/>
      <c r="CC289" s="721"/>
      <c r="CD289" s="721"/>
      <c r="CE289" s="721"/>
      <c r="CF289" s="721"/>
      <c r="CG289" s="721"/>
      <c r="CH289" s="721"/>
      <c r="CI289" s="721"/>
      <c r="CJ289" s="721"/>
      <c r="CK289" s="721"/>
      <c r="CL289" s="721"/>
      <c r="CM289" s="721"/>
      <c r="CN289" s="721"/>
      <c r="CO289" s="721"/>
      <c r="CP289" s="721"/>
      <c r="CQ289" s="721"/>
      <c r="CR289" s="721"/>
      <c r="CS289" s="721"/>
      <c r="CT289" s="721"/>
      <c r="CU289" s="721"/>
      <c r="CV289" s="721"/>
      <c r="CW289" s="721"/>
      <c r="CX289" s="721"/>
    </row>
    <row r="290" spans="1:102" ht="12" customHeight="1" x14ac:dyDescent="0.2">
      <c r="A290" s="721"/>
      <c r="B290" s="721"/>
      <c r="C290" s="721"/>
      <c r="D290" s="721"/>
      <c r="E290" s="721"/>
      <c r="F290" s="721"/>
      <c r="G290" s="721"/>
      <c r="H290" s="721"/>
      <c r="I290" s="721"/>
      <c r="J290" s="721"/>
      <c r="K290" s="721"/>
      <c r="L290" s="721"/>
      <c r="M290" s="721"/>
      <c r="N290" s="721"/>
      <c r="O290" s="721"/>
      <c r="P290" s="721"/>
      <c r="Q290" s="721"/>
      <c r="R290" s="721"/>
      <c r="S290" s="721"/>
      <c r="T290" s="721"/>
      <c r="U290" s="721"/>
      <c r="V290" s="721"/>
      <c r="W290" s="204"/>
      <c r="X290" s="723"/>
      <c r="Y290" s="723"/>
      <c r="Z290" s="723"/>
      <c r="AA290" s="723"/>
      <c r="AB290" s="723"/>
      <c r="AC290" s="723"/>
      <c r="AD290" s="723"/>
      <c r="AE290" s="723"/>
      <c r="AF290" s="723"/>
      <c r="AG290" s="723"/>
      <c r="AH290" s="723"/>
      <c r="AI290" s="723"/>
      <c r="AJ290" s="723"/>
      <c r="AK290" s="723"/>
      <c r="AL290" s="723"/>
      <c r="AM290" s="721"/>
      <c r="AN290" s="721"/>
      <c r="AO290" s="723"/>
      <c r="AP290" s="721"/>
      <c r="AQ290" s="723"/>
      <c r="AR290" s="721"/>
      <c r="AS290" s="723"/>
      <c r="AT290" s="721"/>
      <c r="AU290" s="723"/>
      <c r="AV290" s="721"/>
      <c r="AW290" s="721"/>
      <c r="AX290" s="721"/>
      <c r="AY290" s="721"/>
      <c r="AZ290" s="721"/>
      <c r="BA290" s="721"/>
      <c r="BB290" s="721"/>
      <c r="BC290" s="721"/>
      <c r="BD290" s="721"/>
      <c r="BE290" s="721"/>
      <c r="BF290" s="721"/>
      <c r="BG290" s="721"/>
      <c r="BH290" s="721"/>
      <c r="BI290" s="721"/>
      <c r="BJ290" s="721"/>
      <c r="BK290" s="721"/>
      <c r="BL290" s="721"/>
      <c r="BM290" s="721"/>
      <c r="BN290" s="721"/>
      <c r="BO290" s="721"/>
      <c r="BP290" s="721"/>
      <c r="BQ290" s="721"/>
      <c r="BR290" s="721"/>
      <c r="BS290" s="721"/>
      <c r="BT290" s="721"/>
      <c r="BU290" s="721"/>
      <c r="BV290" s="721"/>
      <c r="BW290" s="721"/>
      <c r="BX290" s="721"/>
      <c r="BY290" s="721"/>
      <c r="BZ290" s="721"/>
      <c r="CA290" s="721"/>
      <c r="CB290" s="721"/>
      <c r="CC290" s="721"/>
      <c r="CD290" s="721"/>
      <c r="CE290" s="721"/>
      <c r="CF290" s="721"/>
      <c r="CG290" s="721"/>
      <c r="CH290" s="721"/>
      <c r="CI290" s="721"/>
      <c r="CJ290" s="721"/>
      <c r="CK290" s="721"/>
      <c r="CL290" s="721"/>
      <c r="CM290" s="721"/>
      <c r="CN290" s="721"/>
      <c r="CO290" s="721"/>
      <c r="CP290" s="721"/>
      <c r="CQ290" s="721"/>
      <c r="CR290" s="721"/>
      <c r="CS290" s="721"/>
      <c r="CT290" s="721"/>
      <c r="CU290" s="721"/>
      <c r="CV290" s="721"/>
      <c r="CW290" s="721"/>
      <c r="CX290" s="721"/>
    </row>
    <row r="291" spans="1:102" ht="12" customHeight="1" x14ac:dyDescent="0.2">
      <c r="A291" s="721"/>
      <c r="B291" s="721"/>
      <c r="C291" s="721"/>
      <c r="D291" s="721"/>
      <c r="E291" s="721"/>
      <c r="F291" s="721"/>
      <c r="G291" s="721"/>
      <c r="H291" s="721"/>
      <c r="I291" s="721"/>
      <c r="J291" s="721"/>
      <c r="K291" s="721"/>
      <c r="L291" s="721"/>
      <c r="M291" s="721"/>
      <c r="N291" s="721"/>
      <c r="O291" s="721"/>
      <c r="P291" s="721"/>
      <c r="Q291" s="721"/>
      <c r="R291" s="721"/>
      <c r="S291" s="721"/>
      <c r="T291" s="721"/>
      <c r="U291" s="721"/>
      <c r="V291" s="721"/>
      <c r="W291" s="204"/>
      <c r="X291" s="723"/>
      <c r="Y291" s="723"/>
      <c r="Z291" s="723"/>
      <c r="AA291" s="723"/>
      <c r="AB291" s="723"/>
      <c r="AC291" s="723"/>
      <c r="AD291" s="723"/>
      <c r="AE291" s="723"/>
      <c r="AF291" s="723"/>
      <c r="AG291" s="723"/>
      <c r="AH291" s="723"/>
      <c r="AI291" s="723"/>
      <c r="AJ291" s="723"/>
      <c r="AK291" s="723"/>
      <c r="AL291" s="723"/>
      <c r="AM291" s="721"/>
      <c r="AN291" s="721"/>
      <c r="AO291" s="723"/>
      <c r="AP291" s="721"/>
      <c r="AQ291" s="723"/>
      <c r="AR291" s="721"/>
      <c r="AS291" s="723"/>
      <c r="AT291" s="721"/>
      <c r="AU291" s="723"/>
      <c r="AV291" s="721"/>
      <c r="AW291" s="721"/>
      <c r="AX291" s="721"/>
      <c r="AY291" s="721"/>
      <c r="AZ291" s="721"/>
      <c r="BA291" s="721"/>
      <c r="BB291" s="721"/>
      <c r="BC291" s="721"/>
      <c r="BD291" s="721"/>
      <c r="BE291" s="721"/>
      <c r="BF291" s="721"/>
      <c r="BG291" s="721"/>
      <c r="BH291" s="721"/>
      <c r="BI291" s="721"/>
      <c r="BJ291" s="721"/>
      <c r="BK291" s="721"/>
      <c r="BL291" s="721"/>
      <c r="BM291" s="721"/>
      <c r="BN291" s="721"/>
      <c r="BO291" s="721"/>
      <c r="BP291" s="721"/>
      <c r="BQ291" s="721"/>
      <c r="BR291" s="721"/>
      <c r="BS291" s="721"/>
      <c r="BT291" s="721"/>
      <c r="BU291" s="721"/>
      <c r="BV291" s="721"/>
      <c r="BW291" s="721"/>
      <c r="BX291" s="721"/>
      <c r="BY291" s="721"/>
      <c r="BZ291" s="721"/>
      <c r="CA291" s="721"/>
      <c r="CB291" s="721"/>
      <c r="CC291" s="721"/>
      <c r="CD291" s="721"/>
      <c r="CE291" s="721"/>
      <c r="CF291" s="721"/>
      <c r="CG291" s="721"/>
      <c r="CH291" s="721"/>
      <c r="CI291" s="721"/>
      <c r="CJ291" s="721"/>
      <c r="CK291" s="721"/>
      <c r="CL291" s="721"/>
      <c r="CM291" s="721"/>
      <c r="CN291" s="721"/>
      <c r="CO291" s="721"/>
      <c r="CP291" s="721"/>
      <c r="CQ291" s="721"/>
      <c r="CR291" s="721"/>
      <c r="CS291" s="721"/>
      <c r="CT291" s="721"/>
      <c r="CU291" s="721"/>
      <c r="CV291" s="721"/>
      <c r="CW291" s="721"/>
      <c r="CX291" s="721"/>
    </row>
    <row r="292" spans="1:102" ht="12" customHeight="1" x14ac:dyDescent="0.2">
      <c r="A292" s="721"/>
      <c r="B292" s="721"/>
      <c r="C292" s="721"/>
      <c r="D292" s="721"/>
      <c r="E292" s="721"/>
      <c r="F292" s="721"/>
      <c r="G292" s="721"/>
      <c r="H292" s="721"/>
      <c r="I292" s="721"/>
      <c r="J292" s="721"/>
      <c r="K292" s="721"/>
      <c r="L292" s="721"/>
      <c r="M292" s="721"/>
      <c r="N292" s="721"/>
      <c r="O292" s="721"/>
      <c r="P292" s="721"/>
      <c r="Q292" s="721"/>
      <c r="R292" s="721"/>
      <c r="S292" s="721"/>
      <c r="T292" s="721"/>
      <c r="U292" s="721"/>
      <c r="V292" s="721"/>
      <c r="W292" s="204"/>
      <c r="X292" s="723"/>
      <c r="Y292" s="723"/>
      <c r="Z292" s="723"/>
      <c r="AA292" s="723"/>
      <c r="AB292" s="723"/>
      <c r="AC292" s="723"/>
      <c r="AD292" s="723"/>
      <c r="AE292" s="723"/>
      <c r="AF292" s="723"/>
      <c r="AG292" s="723"/>
      <c r="AH292" s="723"/>
      <c r="AI292" s="723"/>
      <c r="AJ292" s="723"/>
      <c r="AK292" s="723"/>
      <c r="AL292" s="723"/>
      <c r="AM292" s="721"/>
      <c r="AN292" s="721"/>
      <c r="AO292" s="723"/>
      <c r="AP292" s="721"/>
      <c r="AQ292" s="723"/>
      <c r="AR292" s="721"/>
      <c r="AS292" s="723"/>
      <c r="AT292" s="721"/>
      <c r="AU292" s="723"/>
      <c r="AV292" s="721"/>
      <c r="AW292" s="721"/>
      <c r="AX292" s="721"/>
      <c r="AY292" s="721"/>
      <c r="AZ292" s="721"/>
      <c r="BA292" s="721"/>
      <c r="BB292" s="721"/>
      <c r="BC292" s="721"/>
      <c r="BD292" s="721"/>
      <c r="BE292" s="721"/>
      <c r="BF292" s="721"/>
      <c r="BG292" s="721"/>
      <c r="BH292" s="721"/>
      <c r="BI292" s="721"/>
      <c r="BJ292" s="721"/>
      <c r="BK292" s="721"/>
      <c r="BL292" s="721"/>
      <c r="BM292" s="721"/>
      <c r="BN292" s="721"/>
      <c r="BO292" s="721"/>
      <c r="BP292" s="721"/>
      <c r="BQ292" s="721"/>
      <c r="BR292" s="721"/>
      <c r="BS292" s="721"/>
      <c r="BT292" s="721"/>
      <c r="BU292" s="721"/>
      <c r="BV292" s="721"/>
      <c r="BW292" s="721"/>
      <c r="BX292" s="721"/>
      <c r="BY292" s="721"/>
      <c r="BZ292" s="721"/>
      <c r="CA292" s="721"/>
      <c r="CB292" s="721"/>
      <c r="CC292" s="721"/>
      <c r="CD292" s="721"/>
      <c r="CE292" s="721"/>
      <c r="CF292" s="721"/>
      <c r="CG292" s="721"/>
      <c r="CH292" s="721"/>
      <c r="CI292" s="721"/>
      <c r="CJ292" s="721"/>
      <c r="CK292" s="721"/>
      <c r="CL292" s="721"/>
      <c r="CM292" s="721"/>
      <c r="CN292" s="721"/>
      <c r="CO292" s="721"/>
      <c r="CP292" s="721"/>
      <c r="CQ292" s="721"/>
      <c r="CR292" s="721"/>
      <c r="CS292" s="721"/>
      <c r="CT292" s="721"/>
      <c r="CU292" s="721"/>
      <c r="CV292" s="721"/>
      <c r="CW292" s="721"/>
      <c r="CX292" s="721"/>
    </row>
    <row r="293" spans="1:102" ht="12" customHeight="1" x14ac:dyDescent="0.2">
      <c r="A293" s="721"/>
      <c r="B293" s="721"/>
      <c r="C293" s="721"/>
      <c r="D293" s="721"/>
      <c r="E293" s="721"/>
      <c r="F293" s="721"/>
      <c r="G293" s="721"/>
      <c r="H293" s="721"/>
      <c r="I293" s="721"/>
      <c r="J293" s="721"/>
      <c r="K293" s="721"/>
      <c r="L293" s="721"/>
      <c r="M293" s="721"/>
      <c r="N293" s="721"/>
      <c r="O293" s="721"/>
      <c r="P293" s="721"/>
      <c r="Q293" s="721"/>
      <c r="R293" s="721"/>
      <c r="S293" s="721"/>
      <c r="T293" s="721"/>
      <c r="U293" s="721"/>
      <c r="V293" s="721"/>
      <c r="W293" s="204"/>
      <c r="X293" s="723"/>
      <c r="Y293" s="723"/>
      <c r="Z293" s="723"/>
      <c r="AA293" s="723"/>
      <c r="AB293" s="723"/>
      <c r="AC293" s="723"/>
      <c r="AD293" s="723"/>
      <c r="AE293" s="723"/>
      <c r="AF293" s="723"/>
      <c r="AG293" s="723"/>
      <c r="AH293" s="723"/>
      <c r="AI293" s="723"/>
      <c r="AJ293" s="723"/>
      <c r="AK293" s="723"/>
      <c r="AL293" s="723"/>
      <c r="AM293" s="721"/>
      <c r="AN293" s="721"/>
      <c r="AO293" s="723"/>
      <c r="AP293" s="721"/>
      <c r="AQ293" s="723"/>
      <c r="AR293" s="721"/>
      <c r="AS293" s="723"/>
      <c r="AT293" s="721"/>
      <c r="AU293" s="723"/>
      <c r="AV293" s="721"/>
      <c r="AW293" s="721"/>
      <c r="AX293" s="721"/>
      <c r="AY293" s="721"/>
      <c r="AZ293" s="721"/>
      <c r="BA293" s="721"/>
      <c r="BB293" s="721"/>
      <c r="BC293" s="721"/>
      <c r="BD293" s="721"/>
      <c r="BE293" s="721"/>
      <c r="BF293" s="721"/>
      <c r="BG293" s="721"/>
      <c r="BH293" s="721"/>
      <c r="BI293" s="721"/>
      <c r="BJ293" s="721"/>
      <c r="BK293" s="721"/>
      <c r="BL293" s="721"/>
      <c r="BM293" s="721"/>
      <c r="BN293" s="721"/>
      <c r="BO293" s="721"/>
      <c r="BP293" s="721"/>
      <c r="BQ293" s="721"/>
      <c r="BR293" s="721"/>
      <c r="BS293" s="721"/>
      <c r="BT293" s="721"/>
      <c r="BU293" s="721"/>
      <c r="BV293" s="721"/>
      <c r="BW293" s="721"/>
      <c r="BX293" s="721"/>
      <c r="BY293" s="721"/>
      <c r="BZ293" s="721"/>
      <c r="CA293" s="721"/>
      <c r="CB293" s="721"/>
      <c r="CC293" s="721"/>
      <c r="CD293" s="721"/>
      <c r="CE293" s="721"/>
      <c r="CF293" s="721"/>
      <c r="CG293" s="721"/>
      <c r="CH293" s="721"/>
      <c r="CI293" s="721"/>
      <c r="CJ293" s="721"/>
      <c r="CK293" s="721"/>
      <c r="CL293" s="721"/>
      <c r="CM293" s="721"/>
      <c r="CN293" s="721"/>
      <c r="CO293" s="721"/>
      <c r="CP293" s="721"/>
      <c r="CQ293" s="721"/>
      <c r="CR293" s="721"/>
      <c r="CS293" s="721"/>
      <c r="CT293" s="721"/>
      <c r="CU293" s="721"/>
      <c r="CV293" s="721"/>
      <c r="CW293" s="721"/>
      <c r="CX293" s="721"/>
    </row>
    <row r="294" spans="1:102" ht="12" customHeight="1" x14ac:dyDescent="0.2">
      <c r="A294" s="721"/>
      <c r="B294" s="721"/>
      <c r="C294" s="721"/>
      <c r="D294" s="721"/>
      <c r="E294" s="721"/>
      <c r="F294" s="721"/>
      <c r="G294" s="721"/>
      <c r="H294" s="721"/>
      <c r="I294" s="721"/>
      <c r="J294" s="721"/>
      <c r="K294" s="721"/>
      <c r="L294" s="721"/>
      <c r="M294" s="721"/>
      <c r="N294" s="721"/>
      <c r="O294" s="721"/>
      <c r="P294" s="721"/>
      <c r="Q294" s="721"/>
      <c r="R294" s="721"/>
      <c r="S294" s="721"/>
      <c r="T294" s="721"/>
      <c r="U294" s="721"/>
      <c r="V294" s="721"/>
      <c r="W294" s="204"/>
      <c r="X294" s="723"/>
      <c r="Y294" s="723"/>
      <c r="Z294" s="723"/>
      <c r="AA294" s="723"/>
      <c r="AB294" s="723"/>
      <c r="AC294" s="723"/>
      <c r="AD294" s="723"/>
      <c r="AE294" s="723"/>
      <c r="AF294" s="723"/>
      <c r="AG294" s="723"/>
      <c r="AH294" s="723"/>
      <c r="AI294" s="723"/>
      <c r="AJ294" s="723"/>
      <c r="AK294" s="723"/>
      <c r="AL294" s="723"/>
      <c r="AM294" s="721"/>
      <c r="AN294" s="721"/>
      <c r="AO294" s="723"/>
      <c r="AP294" s="721"/>
      <c r="AQ294" s="723"/>
      <c r="AR294" s="721"/>
      <c r="AS294" s="723"/>
      <c r="AT294" s="721"/>
      <c r="AU294" s="723"/>
      <c r="AV294" s="721"/>
      <c r="AW294" s="721"/>
      <c r="AX294" s="721"/>
      <c r="AY294" s="721"/>
      <c r="AZ294" s="721"/>
      <c r="BA294" s="721"/>
      <c r="BB294" s="721"/>
      <c r="BC294" s="721"/>
      <c r="BD294" s="721"/>
      <c r="BE294" s="721"/>
      <c r="BF294" s="721"/>
      <c r="BG294" s="721"/>
      <c r="BH294" s="721"/>
      <c r="BI294" s="721"/>
      <c r="BJ294" s="721"/>
      <c r="BK294" s="721"/>
      <c r="BL294" s="721"/>
      <c r="BM294" s="721"/>
      <c r="BN294" s="721"/>
      <c r="BO294" s="721"/>
      <c r="BP294" s="721"/>
      <c r="BQ294" s="721"/>
      <c r="BR294" s="721"/>
      <c r="BS294" s="721"/>
      <c r="BT294" s="721"/>
      <c r="BU294" s="721"/>
      <c r="BV294" s="721"/>
      <c r="BW294" s="721"/>
      <c r="BX294" s="721"/>
      <c r="BY294" s="721"/>
      <c r="BZ294" s="721"/>
      <c r="CA294" s="721"/>
      <c r="CB294" s="721"/>
      <c r="CC294" s="721"/>
      <c r="CD294" s="721"/>
      <c r="CE294" s="721"/>
      <c r="CF294" s="721"/>
      <c r="CG294" s="721"/>
      <c r="CH294" s="721"/>
      <c r="CI294" s="721"/>
      <c r="CJ294" s="721"/>
      <c r="CK294" s="721"/>
      <c r="CL294" s="721"/>
      <c r="CM294" s="721"/>
      <c r="CN294" s="721"/>
      <c r="CO294" s="721"/>
      <c r="CP294" s="721"/>
      <c r="CQ294" s="721"/>
      <c r="CR294" s="721"/>
      <c r="CS294" s="721"/>
      <c r="CT294" s="721"/>
      <c r="CU294" s="721"/>
      <c r="CV294" s="721"/>
      <c r="CW294" s="721"/>
      <c r="CX294" s="721"/>
    </row>
    <row r="295" spans="1:102" ht="12" customHeight="1" x14ac:dyDescent="0.2">
      <c r="A295" s="721"/>
      <c r="B295" s="721"/>
      <c r="C295" s="721"/>
      <c r="D295" s="721"/>
      <c r="E295" s="721"/>
      <c r="F295" s="721"/>
      <c r="G295" s="721"/>
      <c r="H295" s="721"/>
      <c r="I295" s="721"/>
      <c r="J295" s="721"/>
      <c r="K295" s="721"/>
      <c r="L295" s="721"/>
      <c r="M295" s="721"/>
      <c r="N295" s="721"/>
      <c r="O295" s="721"/>
      <c r="P295" s="721"/>
      <c r="Q295" s="721"/>
      <c r="R295" s="721"/>
      <c r="S295" s="721"/>
      <c r="T295" s="721"/>
      <c r="U295" s="721"/>
      <c r="V295" s="721"/>
      <c r="W295" s="204"/>
      <c r="X295" s="723"/>
      <c r="Y295" s="723"/>
      <c r="Z295" s="723"/>
      <c r="AA295" s="723"/>
      <c r="AB295" s="723"/>
      <c r="AC295" s="723"/>
      <c r="AD295" s="723"/>
      <c r="AE295" s="723"/>
      <c r="AF295" s="723"/>
      <c r="AG295" s="723"/>
      <c r="AH295" s="723"/>
      <c r="AI295" s="723"/>
      <c r="AJ295" s="723"/>
      <c r="AK295" s="723"/>
      <c r="AL295" s="723"/>
      <c r="AM295" s="721"/>
      <c r="AN295" s="721"/>
      <c r="AO295" s="723"/>
      <c r="AP295" s="721"/>
      <c r="AQ295" s="723"/>
      <c r="AR295" s="721"/>
      <c r="AS295" s="723"/>
      <c r="AT295" s="721"/>
      <c r="AU295" s="723"/>
      <c r="AV295" s="721"/>
      <c r="AW295" s="721"/>
      <c r="AX295" s="721"/>
      <c r="AY295" s="721"/>
      <c r="AZ295" s="721"/>
      <c r="BA295" s="721"/>
      <c r="BB295" s="721"/>
      <c r="BC295" s="721"/>
      <c r="BD295" s="721"/>
      <c r="BE295" s="721"/>
      <c r="BF295" s="721"/>
      <c r="BG295" s="721"/>
      <c r="BH295" s="721"/>
      <c r="BI295" s="721"/>
      <c r="BJ295" s="721"/>
      <c r="BK295" s="721"/>
      <c r="BL295" s="721"/>
      <c r="BM295" s="721"/>
      <c r="BN295" s="721"/>
      <c r="BO295" s="721"/>
      <c r="BP295" s="721"/>
      <c r="BQ295" s="721"/>
      <c r="BR295" s="721"/>
      <c r="BS295" s="721"/>
      <c r="BT295" s="721"/>
      <c r="BU295" s="721"/>
      <c r="BV295" s="721"/>
      <c r="BW295" s="721"/>
      <c r="BX295" s="721"/>
      <c r="BY295" s="721"/>
      <c r="BZ295" s="721"/>
      <c r="CA295" s="721"/>
      <c r="CB295" s="721"/>
      <c r="CC295" s="721"/>
      <c r="CD295" s="721"/>
      <c r="CE295" s="721"/>
      <c r="CF295" s="721"/>
      <c r="CG295" s="721"/>
      <c r="CH295" s="721"/>
      <c r="CI295" s="721"/>
      <c r="CJ295" s="721"/>
      <c r="CK295" s="721"/>
      <c r="CL295" s="721"/>
      <c r="CM295" s="721"/>
      <c r="CN295" s="721"/>
      <c r="CO295" s="721"/>
      <c r="CP295" s="721"/>
      <c r="CQ295" s="721"/>
      <c r="CR295" s="721"/>
      <c r="CS295" s="721"/>
      <c r="CT295" s="721"/>
      <c r="CU295" s="721"/>
      <c r="CV295" s="721"/>
      <c r="CW295" s="721"/>
      <c r="CX295" s="721"/>
    </row>
    <row r="296" spans="1:102" ht="12" customHeight="1" x14ac:dyDescent="0.2">
      <c r="A296" s="721"/>
      <c r="B296" s="721"/>
      <c r="C296" s="721"/>
      <c r="D296" s="721"/>
      <c r="E296" s="721"/>
      <c r="F296" s="721"/>
      <c r="G296" s="721"/>
      <c r="H296" s="721"/>
      <c r="I296" s="721"/>
      <c r="J296" s="721"/>
      <c r="K296" s="721"/>
      <c r="L296" s="721"/>
      <c r="M296" s="721"/>
      <c r="N296" s="721"/>
      <c r="O296" s="721"/>
      <c r="P296" s="721"/>
      <c r="Q296" s="721"/>
      <c r="R296" s="721"/>
      <c r="S296" s="721"/>
      <c r="T296" s="721"/>
      <c r="U296" s="721"/>
      <c r="V296" s="721"/>
      <c r="W296" s="204"/>
      <c r="X296" s="723"/>
      <c r="Y296" s="723"/>
      <c r="Z296" s="723"/>
      <c r="AA296" s="723"/>
      <c r="AB296" s="723"/>
      <c r="AC296" s="723"/>
      <c r="AD296" s="723"/>
      <c r="AE296" s="723"/>
      <c r="AF296" s="723"/>
      <c r="AG296" s="723"/>
      <c r="AH296" s="723"/>
      <c r="AI296" s="723"/>
      <c r="AJ296" s="723"/>
      <c r="AK296" s="723"/>
      <c r="AL296" s="723"/>
      <c r="AM296" s="721"/>
      <c r="AN296" s="721"/>
      <c r="AO296" s="723"/>
      <c r="AP296" s="721"/>
      <c r="AQ296" s="723"/>
      <c r="AR296" s="721"/>
      <c r="AS296" s="723"/>
      <c r="AT296" s="721"/>
      <c r="AU296" s="723"/>
      <c r="AV296" s="721"/>
      <c r="AW296" s="721"/>
      <c r="AX296" s="721"/>
      <c r="AY296" s="721"/>
      <c r="AZ296" s="721"/>
      <c r="BA296" s="721"/>
      <c r="BB296" s="721"/>
      <c r="BC296" s="721"/>
      <c r="BD296" s="721"/>
      <c r="BE296" s="721"/>
      <c r="BF296" s="721"/>
      <c r="BG296" s="721"/>
      <c r="BH296" s="721"/>
      <c r="BI296" s="721"/>
      <c r="BJ296" s="721"/>
      <c r="BK296" s="721"/>
      <c r="BL296" s="721"/>
      <c r="BM296" s="721"/>
      <c r="BN296" s="721"/>
      <c r="BO296" s="721"/>
      <c r="BP296" s="721"/>
      <c r="BQ296" s="721"/>
      <c r="BR296" s="721"/>
      <c r="BS296" s="721"/>
      <c r="BT296" s="721"/>
      <c r="BU296" s="721"/>
      <c r="BV296" s="721"/>
      <c r="BW296" s="721"/>
      <c r="BX296" s="721"/>
      <c r="BY296" s="721"/>
      <c r="BZ296" s="721"/>
      <c r="CA296" s="721"/>
      <c r="CB296" s="721"/>
      <c r="CC296" s="721"/>
      <c r="CD296" s="721"/>
      <c r="CE296" s="721"/>
      <c r="CF296" s="721"/>
      <c r="CG296" s="721"/>
      <c r="CH296" s="721"/>
      <c r="CI296" s="721"/>
      <c r="CJ296" s="721"/>
      <c r="CK296" s="721"/>
      <c r="CL296" s="721"/>
      <c r="CM296" s="721"/>
      <c r="CN296" s="721"/>
      <c r="CO296" s="721"/>
      <c r="CP296" s="721"/>
      <c r="CQ296" s="721"/>
      <c r="CR296" s="721"/>
      <c r="CS296" s="721"/>
      <c r="CT296" s="721"/>
      <c r="CU296" s="721"/>
      <c r="CV296" s="721"/>
      <c r="CW296" s="721"/>
      <c r="CX296" s="721"/>
    </row>
    <row r="297" spans="1:102" ht="12" customHeight="1" x14ac:dyDescent="0.2">
      <c r="A297" s="721"/>
      <c r="B297" s="721"/>
      <c r="C297" s="721"/>
      <c r="D297" s="721"/>
      <c r="E297" s="721"/>
      <c r="F297" s="721"/>
      <c r="G297" s="721"/>
      <c r="H297" s="721"/>
      <c r="I297" s="721"/>
      <c r="J297" s="721"/>
      <c r="K297" s="721"/>
      <c r="L297" s="721"/>
      <c r="M297" s="721"/>
      <c r="N297" s="721"/>
      <c r="O297" s="721"/>
      <c r="P297" s="721"/>
      <c r="Q297" s="721"/>
      <c r="R297" s="721"/>
      <c r="S297" s="721"/>
      <c r="T297" s="721"/>
      <c r="U297" s="721"/>
      <c r="V297" s="721"/>
      <c r="W297" s="204"/>
      <c r="X297" s="723"/>
      <c r="Y297" s="723"/>
      <c r="Z297" s="723"/>
      <c r="AA297" s="723"/>
      <c r="AB297" s="723"/>
      <c r="AC297" s="723"/>
      <c r="AD297" s="723"/>
      <c r="AE297" s="723"/>
      <c r="AF297" s="723"/>
      <c r="AG297" s="723"/>
      <c r="AH297" s="723"/>
      <c r="AI297" s="723"/>
      <c r="AJ297" s="723"/>
      <c r="AK297" s="723"/>
      <c r="AL297" s="723"/>
      <c r="AM297" s="721"/>
      <c r="AN297" s="721"/>
      <c r="AO297" s="723"/>
      <c r="AP297" s="721"/>
      <c r="AQ297" s="723"/>
      <c r="AR297" s="721"/>
      <c r="AS297" s="723"/>
      <c r="AT297" s="721"/>
      <c r="AU297" s="723"/>
      <c r="AV297" s="721"/>
      <c r="AW297" s="721"/>
      <c r="AX297" s="721"/>
      <c r="AY297" s="721"/>
      <c r="AZ297" s="721"/>
      <c r="BA297" s="721"/>
      <c r="BB297" s="721"/>
      <c r="BC297" s="721"/>
      <c r="BD297" s="721"/>
      <c r="BE297" s="721"/>
      <c r="BF297" s="721"/>
      <c r="BG297" s="721"/>
      <c r="BH297" s="721"/>
      <c r="BI297" s="721"/>
      <c r="BJ297" s="721"/>
      <c r="BK297" s="721"/>
      <c r="BL297" s="721"/>
      <c r="BM297" s="721"/>
      <c r="BN297" s="721"/>
      <c r="BO297" s="721"/>
      <c r="BP297" s="721"/>
      <c r="BQ297" s="721"/>
      <c r="BR297" s="721"/>
      <c r="BS297" s="721"/>
      <c r="BT297" s="721"/>
      <c r="BU297" s="721"/>
      <c r="BV297" s="721"/>
      <c r="BW297" s="721"/>
      <c r="BX297" s="721"/>
      <c r="BY297" s="721"/>
      <c r="BZ297" s="721"/>
      <c r="CA297" s="721"/>
      <c r="CB297" s="721"/>
      <c r="CC297" s="721"/>
      <c r="CD297" s="721"/>
      <c r="CE297" s="721"/>
      <c r="CF297" s="721"/>
      <c r="CG297" s="721"/>
      <c r="CH297" s="721"/>
      <c r="CI297" s="721"/>
      <c r="CJ297" s="721"/>
      <c r="CK297" s="721"/>
      <c r="CL297" s="721"/>
      <c r="CM297" s="721"/>
      <c r="CN297" s="721"/>
      <c r="CO297" s="721"/>
      <c r="CP297" s="721"/>
      <c r="CQ297" s="721"/>
      <c r="CR297" s="721"/>
      <c r="CS297" s="721"/>
      <c r="CT297" s="721"/>
      <c r="CU297" s="721"/>
      <c r="CV297" s="721"/>
      <c r="CW297" s="721"/>
      <c r="CX297" s="721"/>
    </row>
    <row r="298" spans="1:102" ht="12" customHeight="1" x14ac:dyDescent="0.2">
      <c r="A298" s="721"/>
      <c r="B298" s="721"/>
      <c r="C298" s="721"/>
      <c r="D298" s="721"/>
      <c r="E298" s="721"/>
      <c r="F298" s="721"/>
      <c r="G298" s="721"/>
      <c r="H298" s="721"/>
      <c r="I298" s="721"/>
      <c r="J298" s="721"/>
      <c r="K298" s="721"/>
      <c r="L298" s="721"/>
      <c r="M298" s="721"/>
      <c r="N298" s="721"/>
      <c r="O298" s="721"/>
      <c r="P298" s="721"/>
      <c r="Q298" s="721"/>
      <c r="R298" s="721"/>
      <c r="S298" s="721"/>
      <c r="T298" s="721"/>
      <c r="U298" s="721"/>
      <c r="V298" s="721"/>
      <c r="W298" s="204"/>
      <c r="X298" s="723"/>
      <c r="Y298" s="723"/>
      <c r="Z298" s="723"/>
      <c r="AA298" s="723"/>
      <c r="AB298" s="723"/>
      <c r="AC298" s="723"/>
      <c r="AD298" s="723"/>
      <c r="AE298" s="723"/>
      <c r="AF298" s="723"/>
      <c r="AG298" s="723"/>
      <c r="AH298" s="723"/>
      <c r="AI298" s="723"/>
      <c r="AJ298" s="723"/>
      <c r="AK298" s="723"/>
      <c r="AL298" s="723"/>
      <c r="AM298" s="721"/>
      <c r="AN298" s="721"/>
      <c r="AO298" s="723"/>
      <c r="AP298" s="721"/>
      <c r="AQ298" s="723"/>
      <c r="AR298" s="721"/>
      <c r="AS298" s="723"/>
      <c r="AT298" s="721"/>
      <c r="AU298" s="723"/>
      <c r="AV298" s="721"/>
      <c r="AW298" s="721"/>
      <c r="AX298" s="721"/>
      <c r="AY298" s="721"/>
      <c r="AZ298" s="721"/>
      <c r="BA298" s="721"/>
      <c r="BB298" s="721"/>
      <c r="BC298" s="721"/>
      <c r="BD298" s="721"/>
      <c r="BE298" s="721"/>
      <c r="BF298" s="721"/>
      <c r="BG298" s="721"/>
      <c r="BH298" s="721"/>
      <c r="BI298" s="721"/>
      <c r="BJ298" s="721"/>
      <c r="BK298" s="721"/>
      <c r="BL298" s="721"/>
      <c r="BM298" s="721"/>
      <c r="BN298" s="721"/>
      <c r="BO298" s="721"/>
      <c r="BP298" s="721"/>
      <c r="BQ298" s="721"/>
      <c r="BR298" s="721"/>
      <c r="BS298" s="721"/>
      <c r="BT298" s="721"/>
      <c r="BU298" s="721"/>
      <c r="BV298" s="721"/>
      <c r="BW298" s="721"/>
      <c r="BX298" s="721"/>
      <c r="BY298" s="721"/>
      <c r="BZ298" s="721"/>
      <c r="CA298" s="721"/>
      <c r="CB298" s="721"/>
      <c r="CC298" s="721"/>
      <c r="CD298" s="721"/>
      <c r="CE298" s="721"/>
      <c r="CF298" s="721"/>
      <c r="CG298" s="721"/>
      <c r="CH298" s="721"/>
      <c r="CI298" s="721"/>
      <c r="CJ298" s="721"/>
      <c r="CK298" s="721"/>
      <c r="CL298" s="721"/>
      <c r="CM298" s="721"/>
      <c r="CN298" s="721"/>
      <c r="CO298" s="721"/>
      <c r="CP298" s="721"/>
      <c r="CQ298" s="721"/>
      <c r="CR298" s="721"/>
      <c r="CS298" s="721"/>
      <c r="CT298" s="721"/>
      <c r="CU298" s="721"/>
      <c r="CV298" s="721"/>
      <c r="CW298" s="721"/>
      <c r="CX298" s="721"/>
    </row>
    <row r="299" spans="1:102" ht="12" customHeight="1" x14ac:dyDescent="0.2">
      <c r="A299" s="721"/>
      <c r="B299" s="721"/>
      <c r="C299" s="721"/>
      <c r="D299" s="721"/>
      <c r="E299" s="721"/>
      <c r="F299" s="721"/>
      <c r="G299" s="721"/>
      <c r="H299" s="721"/>
      <c r="I299" s="721"/>
      <c r="J299" s="721"/>
      <c r="K299" s="721"/>
      <c r="L299" s="721"/>
      <c r="M299" s="721"/>
      <c r="N299" s="721"/>
      <c r="O299" s="721"/>
      <c r="P299" s="721"/>
      <c r="Q299" s="721"/>
      <c r="R299" s="721"/>
      <c r="S299" s="721"/>
      <c r="T299" s="721"/>
      <c r="U299" s="721"/>
      <c r="V299" s="721"/>
      <c r="W299" s="204"/>
      <c r="X299" s="723"/>
      <c r="Y299" s="723"/>
      <c r="Z299" s="723"/>
      <c r="AA299" s="723"/>
      <c r="AB299" s="723"/>
      <c r="AC299" s="723"/>
      <c r="AD299" s="723"/>
      <c r="AE299" s="723"/>
      <c r="AF299" s="723"/>
      <c r="AG299" s="723"/>
      <c r="AH299" s="723"/>
      <c r="AI299" s="723"/>
      <c r="AJ299" s="723"/>
      <c r="AK299" s="723"/>
      <c r="AL299" s="723"/>
      <c r="AM299" s="721"/>
      <c r="AN299" s="721"/>
      <c r="AO299" s="723"/>
      <c r="AP299" s="721"/>
      <c r="AQ299" s="723"/>
      <c r="AR299" s="721"/>
      <c r="AS299" s="723"/>
      <c r="AT299" s="721"/>
      <c r="AU299" s="723"/>
      <c r="AV299" s="721"/>
      <c r="AW299" s="721"/>
      <c r="AX299" s="721"/>
      <c r="AY299" s="721"/>
      <c r="AZ299" s="721"/>
      <c r="BA299" s="721"/>
      <c r="BB299" s="721"/>
      <c r="BC299" s="721"/>
      <c r="BD299" s="721"/>
      <c r="BE299" s="721"/>
      <c r="BF299" s="721"/>
      <c r="BG299" s="721"/>
      <c r="BH299" s="721"/>
      <c r="BI299" s="721"/>
      <c r="BJ299" s="721"/>
      <c r="BK299" s="721"/>
      <c r="BL299" s="721"/>
      <c r="BM299" s="721"/>
      <c r="BN299" s="721"/>
      <c r="BO299" s="721"/>
      <c r="BP299" s="721"/>
      <c r="BQ299" s="721"/>
      <c r="BR299" s="721"/>
      <c r="BS299" s="721"/>
      <c r="BT299" s="721"/>
      <c r="BU299" s="721"/>
      <c r="BV299" s="721"/>
      <c r="BW299" s="721"/>
      <c r="BX299" s="721"/>
      <c r="BY299" s="721"/>
      <c r="BZ299" s="721"/>
      <c r="CA299" s="721"/>
      <c r="CB299" s="721"/>
      <c r="CC299" s="721"/>
      <c r="CD299" s="721"/>
      <c r="CE299" s="721"/>
      <c r="CF299" s="721"/>
      <c r="CG299" s="721"/>
      <c r="CH299" s="721"/>
      <c r="CI299" s="721"/>
      <c r="CJ299" s="721"/>
      <c r="CK299" s="721"/>
      <c r="CL299" s="721"/>
      <c r="CM299" s="721"/>
      <c r="CN299" s="721"/>
      <c r="CO299" s="721"/>
      <c r="CP299" s="721"/>
      <c r="CQ299" s="721"/>
      <c r="CR299" s="721"/>
      <c r="CS299" s="721"/>
      <c r="CT299" s="721"/>
      <c r="CU299" s="721"/>
      <c r="CV299" s="721"/>
      <c r="CW299" s="721"/>
      <c r="CX299" s="721"/>
    </row>
    <row r="300" spans="1:102" ht="12" customHeight="1" x14ac:dyDescent="0.2">
      <c r="A300" s="721"/>
      <c r="B300" s="721"/>
      <c r="C300" s="721"/>
      <c r="D300" s="721"/>
      <c r="E300" s="721"/>
      <c r="F300" s="721"/>
      <c r="G300" s="721"/>
      <c r="H300" s="721"/>
      <c r="I300" s="721"/>
      <c r="J300" s="721"/>
      <c r="K300" s="721"/>
      <c r="L300" s="721"/>
      <c r="M300" s="721"/>
      <c r="N300" s="721"/>
      <c r="O300" s="721"/>
      <c r="P300" s="721"/>
      <c r="Q300" s="721"/>
      <c r="R300" s="721"/>
      <c r="S300" s="721"/>
      <c r="T300" s="721"/>
      <c r="U300" s="721"/>
      <c r="V300" s="721"/>
      <c r="W300" s="204"/>
      <c r="X300" s="723"/>
      <c r="Y300" s="723"/>
      <c r="Z300" s="723"/>
      <c r="AA300" s="723"/>
      <c r="AB300" s="723"/>
      <c r="AC300" s="723"/>
      <c r="AD300" s="723"/>
      <c r="AE300" s="723"/>
      <c r="AF300" s="723"/>
      <c r="AG300" s="723"/>
      <c r="AH300" s="723"/>
      <c r="AI300" s="723"/>
      <c r="AJ300" s="723"/>
      <c r="AK300" s="723"/>
      <c r="AL300" s="723"/>
      <c r="AM300" s="721"/>
      <c r="AN300" s="721"/>
      <c r="AO300" s="723"/>
      <c r="AP300" s="721"/>
      <c r="AQ300" s="723"/>
      <c r="AR300" s="721"/>
      <c r="AS300" s="723"/>
      <c r="AT300" s="721"/>
      <c r="AU300" s="723"/>
      <c r="AV300" s="721"/>
      <c r="AW300" s="721"/>
      <c r="AX300" s="721"/>
      <c r="AY300" s="721"/>
      <c r="AZ300" s="721"/>
      <c r="BA300" s="721"/>
      <c r="BB300" s="721"/>
      <c r="BC300" s="721"/>
      <c r="BD300" s="721"/>
      <c r="BE300" s="721"/>
      <c r="BF300" s="721"/>
      <c r="BG300" s="721"/>
      <c r="BH300" s="721"/>
      <c r="BI300" s="721"/>
      <c r="BJ300" s="721"/>
      <c r="BK300" s="721"/>
      <c r="BL300" s="721"/>
      <c r="BM300" s="721"/>
      <c r="BN300" s="721"/>
      <c r="BO300" s="721"/>
      <c r="BP300" s="721"/>
      <c r="BQ300" s="721"/>
      <c r="BR300" s="721"/>
      <c r="BS300" s="721"/>
      <c r="BT300" s="721"/>
      <c r="BU300" s="721"/>
      <c r="BV300" s="721"/>
      <c r="BW300" s="721"/>
      <c r="BX300" s="721"/>
      <c r="BY300" s="721"/>
      <c r="BZ300" s="721"/>
      <c r="CA300" s="721"/>
      <c r="CB300" s="721"/>
      <c r="CC300" s="721"/>
      <c r="CD300" s="721"/>
      <c r="CE300" s="721"/>
      <c r="CF300" s="721"/>
      <c r="CG300" s="721"/>
      <c r="CH300" s="721"/>
      <c r="CI300" s="721"/>
      <c r="CJ300" s="721"/>
      <c r="CK300" s="721"/>
      <c r="CL300" s="721"/>
      <c r="CM300" s="721"/>
      <c r="CN300" s="721"/>
      <c r="CO300" s="721"/>
      <c r="CP300" s="721"/>
      <c r="CQ300" s="721"/>
      <c r="CR300" s="721"/>
      <c r="CS300" s="721"/>
      <c r="CT300" s="721"/>
      <c r="CU300" s="721"/>
      <c r="CV300" s="721"/>
      <c r="CW300" s="721"/>
      <c r="CX300" s="721"/>
    </row>
    <row r="301" spans="1:102" ht="12" customHeight="1" x14ac:dyDescent="0.2">
      <c r="A301" s="721"/>
      <c r="B301" s="721"/>
      <c r="C301" s="721"/>
      <c r="D301" s="721"/>
      <c r="E301" s="721"/>
      <c r="F301" s="721"/>
      <c r="G301" s="721"/>
      <c r="H301" s="721"/>
      <c r="I301" s="721"/>
      <c r="J301" s="721"/>
      <c r="K301" s="721"/>
      <c r="L301" s="721"/>
      <c r="M301" s="721"/>
      <c r="N301" s="721"/>
      <c r="O301" s="721"/>
      <c r="P301" s="721"/>
      <c r="Q301" s="721"/>
      <c r="R301" s="721"/>
      <c r="S301" s="721"/>
      <c r="T301" s="721"/>
      <c r="U301" s="721"/>
      <c r="V301" s="721"/>
      <c r="W301" s="204"/>
      <c r="X301" s="723"/>
      <c r="Y301" s="723"/>
      <c r="Z301" s="723"/>
      <c r="AA301" s="723"/>
      <c r="AB301" s="723"/>
      <c r="AC301" s="723"/>
      <c r="AD301" s="723"/>
      <c r="AE301" s="723"/>
      <c r="AF301" s="723"/>
      <c r="AG301" s="723"/>
      <c r="AH301" s="723"/>
      <c r="AI301" s="723"/>
      <c r="AJ301" s="723"/>
      <c r="AK301" s="723"/>
      <c r="AL301" s="723"/>
      <c r="AM301" s="721"/>
      <c r="AN301" s="721"/>
      <c r="AO301" s="723"/>
      <c r="AP301" s="721"/>
      <c r="AQ301" s="723"/>
      <c r="AR301" s="721"/>
      <c r="AS301" s="723"/>
      <c r="AT301" s="721"/>
      <c r="AU301" s="723"/>
      <c r="AV301" s="721"/>
      <c r="AW301" s="721"/>
      <c r="AX301" s="721"/>
      <c r="AY301" s="721"/>
      <c r="AZ301" s="721"/>
      <c r="BA301" s="721"/>
      <c r="BB301" s="721"/>
      <c r="BC301" s="721"/>
      <c r="BD301" s="721"/>
      <c r="BE301" s="721"/>
      <c r="BF301" s="721"/>
      <c r="BG301" s="721"/>
      <c r="BH301" s="721"/>
      <c r="BI301" s="721"/>
      <c r="BJ301" s="721"/>
      <c r="BK301" s="721"/>
      <c r="BL301" s="721"/>
      <c r="BM301" s="721"/>
      <c r="BN301" s="721"/>
      <c r="BO301" s="721"/>
      <c r="BP301" s="721"/>
      <c r="BQ301" s="721"/>
      <c r="BR301" s="721"/>
      <c r="BS301" s="721"/>
      <c r="BT301" s="721"/>
      <c r="BU301" s="721"/>
      <c r="BV301" s="721"/>
      <c r="BW301" s="721"/>
      <c r="BX301" s="721"/>
      <c r="BY301" s="721"/>
      <c r="BZ301" s="721"/>
      <c r="CA301" s="721"/>
      <c r="CB301" s="721"/>
      <c r="CC301" s="721"/>
      <c r="CD301" s="721"/>
      <c r="CE301" s="721"/>
      <c r="CF301" s="721"/>
      <c r="CG301" s="721"/>
      <c r="CH301" s="721"/>
      <c r="CI301" s="721"/>
      <c r="CJ301" s="721"/>
      <c r="CK301" s="721"/>
      <c r="CL301" s="721"/>
      <c r="CM301" s="721"/>
      <c r="CN301" s="721"/>
      <c r="CO301" s="721"/>
      <c r="CP301" s="721"/>
      <c r="CQ301" s="721"/>
      <c r="CR301" s="721"/>
      <c r="CS301" s="721"/>
      <c r="CT301" s="721"/>
      <c r="CU301" s="721"/>
      <c r="CV301" s="721"/>
      <c r="CW301" s="721"/>
      <c r="CX301" s="721"/>
    </row>
    <row r="302" spans="1:102" ht="12" customHeight="1" x14ac:dyDescent="0.2">
      <c r="A302" s="721"/>
      <c r="B302" s="721"/>
      <c r="C302" s="721"/>
      <c r="D302" s="721"/>
      <c r="E302" s="721"/>
      <c r="F302" s="721"/>
      <c r="G302" s="721"/>
      <c r="H302" s="721"/>
      <c r="I302" s="721"/>
      <c r="J302" s="721"/>
      <c r="K302" s="721"/>
      <c r="L302" s="721"/>
      <c r="M302" s="721"/>
      <c r="N302" s="721"/>
      <c r="O302" s="721"/>
      <c r="P302" s="721"/>
      <c r="Q302" s="721"/>
      <c r="R302" s="721"/>
      <c r="S302" s="721"/>
      <c r="T302" s="721"/>
      <c r="U302" s="721"/>
      <c r="V302" s="721"/>
      <c r="W302" s="204"/>
      <c r="X302" s="723"/>
      <c r="Y302" s="723"/>
      <c r="Z302" s="723"/>
      <c r="AA302" s="723"/>
      <c r="AB302" s="723"/>
      <c r="AC302" s="723"/>
      <c r="AD302" s="723"/>
      <c r="AE302" s="723"/>
      <c r="AF302" s="723"/>
      <c r="AG302" s="723"/>
      <c r="AH302" s="723"/>
      <c r="AI302" s="723"/>
      <c r="AJ302" s="723"/>
      <c r="AK302" s="723"/>
      <c r="AL302" s="723"/>
      <c r="AM302" s="721"/>
      <c r="AN302" s="721"/>
      <c r="AO302" s="723"/>
      <c r="AP302" s="721"/>
      <c r="AQ302" s="723"/>
      <c r="AR302" s="721"/>
      <c r="AS302" s="723"/>
      <c r="AT302" s="721"/>
      <c r="AU302" s="723"/>
      <c r="AV302" s="721"/>
      <c r="AW302" s="721"/>
      <c r="AX302" s="721"/>
      <c r="AY302" s="721"/>
      <c r="AZ302" s="721"/>
      <c r="BA302" s="721"/>
      <c r="BB302" s="721"/>
      <c r="BC302" s="721"/>
      <c r="BD302" s="721"/>
      <c r="BE302" s="721"/>
      <c r="BF302" s="721"/>
      <c r="BG302" s="721"/>
      <c r="BH302" s="721"/>
      <c r="BI302" s="721"/>
      <c r="BJ302" s="721"/>
      <c r="BK302" s="721"/>
      <c r="BL302" s="721"/>
      <c r="BM302" s="721"/>
      <c r="BN302" s="721"/>
      <c r="BO302" s="721"/>
      <c r="BP302" s="721"/>
      <c r="BQ302" s="721"/>
      <c r="BR302" s="721"/>
      <c r="BS302" s="721"/>
      <c r="BT302" s="721"/>
      <c r="BU302" s="721"/>
      <c r="BV302" s="721"/>
      <c r="BW302" s="721"/>
      <c r="BX302" s="721"/>
      <c r="BY302" s="721"/>
      <c r="BZ302" s="721"/>
      <c r="CA302" s="721"/>
      <c r="CB302" s="721"/>
      <c r="CC302" s="721"/>
      <c r="CD302" s="721"/>
      <c r="CE302" s="721"/>
      <c r="CF302" s="721"/>
      <c r="CG302" s="721"/>
      <c r="CH302" s="721"/>
      <c r="CI302" s="721"/>
      <c r="CJ302" s="721"/>
      <c r="CK302" s="721"/>
      <c r="CL302" s="721"/>
      <c r="CM302" s="721"/>
      <c r="CN302" s="721"/>
      <c r="CO302" s="721"/>
      <c r="CP302" s="721"/>
      <c r="CQ302" s="721"/>
      <c r="CR302" s="721"/>
      <c r="CS302" s="721"/>
      <c r="CT302" s="721"/>
      <c r="CU302" s="721"/>
      <c r="CV302" s="721"/>
      <c r="CW302" s="721"/>
      <c r="CX302" s="721"/>
    </row>
    <row r="303" spans="1:102" ht="12" customHeight="1" x14ac:dyDescent="0.2">
      <c r="A303" s="721"/>
      <c r="B303" s="721"/>
      <c r="C303" s="721"/>
      <c r="D303" s="721"/>
      <c r="E303" s="721"/>
      <c r="F303" s="721"/>
      <c r="G303" s="721"/>
      <c r="H303" s="721"/>
      <c r="I303" s="721"/>
      <c r="J303" s="721"/>
      <c r="K303" s="721"/>
      <c r="L303" s="721"/>
      <c r="M303" s="721"/>
      <c r="N303" s="721"/>
      <c r="O303" s="721"/>
      <c r="P303" s="721"/>
      <c r="Q303" s="721"/>
      <c r="R303" s="721"/>
      <c r="S303" s="721"/>
      <c r="T303" s="721"/>
      <c r="U303" s="721"/>
      <c r="V303" s="721"/>
      <c r="W303" s="204"/>
      <c r="X303" s="723"/>
      <c r="Y303" s="723"/>
      <c r="Z303" s="723"/>
      <c r="AA303" s="723"/>
      <c r="AB303" s="723"/>
      <c r="AC303" s="723"/>
      <c r="AD303" s="723"/>
      <c r="AE303" s="723"/>
      <c r="AF303" s="723"/>
      <c r="AG303" s="723"/>
      <c r="AH303" s="723"/>
      <c r="AI303" s="723"/>
      <c r="AJ303" s="723"/>
      <c r="AK303" s="723"/>
      <c r="AL303" s="723"/>
      <c r="AM303" s="721"/>
      <c r="AN303" s="721"/>
      <c r="AO303" s="723"/>
      <c r="AP303" s="721"/>
      <c r="AQ303" s="723"/>
      <c r="AR303" s="721"/>
      <c r="AS303" s="723"/>
      <c r="AT303" s="721"/>
      <c r="AU303" s="723"/>
      <c r="AV303" s="721"/>
      <c r="AW303" s="721"/>
      <c r="AX303" s="721"/>
      <c r="AY303" s="721"/>
      <c r="AZ303" s="721"/>
      <c r="BA303" s="721"/>
      <c r="BB303" s="721"/>
      <c r="BC303" s="721"/>
      <c r="BD303" s="721"/>
      <c r="BE303" s="721"/>
      <c r="BF303" s="721"/>
      <c r="BG303" s="721"/>
      <c r="BH303" s="721"/>
      <c r="BI303" s="721"/>
      <c r="BJ303" s="721"/>
      <c r="BK303" s="721"/>
      <c r="BL303" s="721"/>
      <c r="BM303" s="721"/>
      <c r="BN303" s="721"/>
      <c r="BO303" s="721"/>
      <c r="BP303" s="721"/>
      <c r="BQ303" s="721"/>
      <c r="BR303" s="721"/>
      <c r="BS303" s="721"/>
      <c r="BT303" s="721"/>
      <c r="BU303" s="721"/>
      <c r="BV303" s="721"/>
      <c r="BW303" s="721"/>
      <c r="BX303" s="721"/>
      <c r="BY303" s="721"/>
      <c r="BZ303" s="721"/>
      <c r="CA303" s="721"/>
      <c r="CB303" s="721"/>
      <c r="CC303" s="721"/>
      <c r="CD303" s="721"/>
      <c r="CE303" s="721"/>
      <c r="CF303" s="721"/>
      <c r="CG303" s="721"/>
      <c r="CH303" s="721"/>
      <c r="CI303" s="721"/>
      <c r="CJ303" s="721"/>
      <c r="CK303" s="721"/>
      <c r="CL303" s="721"/>
      <c r="CM303" s="721"/>
      <c r="CN303" s="721"/>
      <c r="CO303" s="721"/>
      <c r="CP303" s="721"/>
      <c r="CQ303" s="721"/>
      <c r="CR303" s="721"/>
      <c r="CS303" s="721"/>
      <c r="CT303" s="721"/>
      <c r="CU303" s="721"/>
      <c r="CV303" s="721"/>
      <c r="CW303" s="721"/>
      <c r="CX303" s="721"/>
    </row>
    <row r="304" spans="1:102" ht="12" customHeight="1" x14ac:dyDescent="0.2">
      <c r="A304" s="721"/>
      <c r="B304" s="721"/>
      <c r="C304" s="721"/>
      <c r="D304" s="721"/>
      <c r="E304" s="721"/>
      <c r="F304" s="721"/>
      <c r="G304" s="721"/>
      <c r="H304" s="721"/>
      <c r="I304" s="721"/>
      <c r="J304" s="721"/>
      <c r="K304" s="721"/>
      <c r="L304" s="721"/>
      <c r="M304" s="721"/>
      <c r="N304" s="721"/>
      <c r="O304" s="721"/>
      <c r="P304" s="721"/>
      <c r="Q304" s="721"/>
      <c r="R304" s="721"/>
      <c r="S304" s="721"/>
      <c r="T304" s="721"/>
      <c r="U304" s="721"/>
      <c r="V304" s="721"/>
      <c r="W304" s="204"/>
      <c r="X304" s="723"/>
      <c r="Y304" s="723"/>
      <c r="Z304" s="723"/>
      <c r="AA304" s="723"/>
      <c r="AB304" s="723"/>
      <c r="AC304" s="723"/>
      <c r="AD304" s="723"/>
      <c r="AE304" s="723"/>
      <c r="AF304" s="723"/>
      <c r="AG304" s="723"/>
      <c r="AH304" s="723"/>
      <c r="AI304" s="723"/>
      <c r="AJ304" s="723"/>
      <c r="AK304" s="723"/>
      <c r="AL304" s="723"/>
      <c r="AM304" s="721"/>
      <c r="AN304" s="721"/>
      <c r="AO304" s="723"/>
      <c r="AP304" s="721"/>
      <c r="AQ304" s="723"/>
      <c r="AR304" s="721"/>
      <c r="AS304" s="723"/>
      <c r="AT304" s="721"/>
      <c r="AU304" s="723"/>
      <c r="AV304" s="721"/>
      <c r="AW304" s="721"/>
      <c r="AX304" s="721"/>
      <c r="AY304" s="721"/>
      <c r="AZ304" s="721"/>
      <c r="BA304" s="721"/>
      <c r="BB304" s="721"/>
      <c r="BC304" s="721"/>
      <c r="BD304" s="721"/>
      <c r="BE304" s="721"/>
      <c r="BF304" s="721"/>
      <c r="BG304" s="721"/>
      <c r="BH304" s="721"/>
      <c r="BI304" s="721"/>
      <c r="BJ304" s="721"/>
      <c r="BK304" s="721"/>
      <c r="BL304" s="721"/>
      <c r="BM304" s="721"/>
      <c r="BN304" s="721"/>
      <c r="BO304" s="721"/>
      <c r="BP304" s="721"/>
      <c r="BQ304" s="721"/>
      <c r="BR304" s="721"/>
      <c r="BS304" s="721"/>
      <c r="BT304" s="721"/>
      <c r="BU304" s="721"/>
      <c r="BV304" s="721"/>
      <c r="BW304" s="721"/>
      <c r="BX304" s="721"/>
      <c r="BY304" s="721"/>
      <c r="BZ304" s="721"/>
      <c r="CA304" s="721"/>
      <c r="CB304" s="721"/>
      <c r="CC304" s="721"/>
      <c r="CD304" s="721"/>
      <c r="CE304" s="721"/>
      <c r="CF304" s="721"/>
      <c r="CG304" s="721"/>
      <c r="CH304" s="721"/>
      <c r="CI304" s="721"/>
      <c r="CJ304" s="721"/>
      <c r="CK304" s="721"/>
      <c r="CL304" s="721"/>
      <c r="CM304" s="721"/>
      <c r="CN304" s="721"/>
      <c r="CO304" s="721"/>
      <c r="CP304" s="721"/>
      <c r="CQ304" s="721"/>
      <c r="CR304" s="721"/>
      <c r="CS304" s="721"/>
      <c r="CT304" s="721"/>
      <c r="CU304" s="721"/>
      <c r="CV304" s="721"/>
      <c r="CW304" s="721"/>
      <c r="CX304" s="721"/>
    </row>
    <row r="305" spans="1:102" ht="12" customHeight="1" x14ac:dyDescent="0.2">
      <c r="A305" s="721"/>
      <c r="B305" s="721"/>
      <c r="C305" s="721"/>
      <c r="D305" s="721"/>
      <c r="E305" s="721"/>
      <c r="F305" s="721"/>
      <c r="G305" s="721"/>
      <c r="H305" s="721"/>
      <c r="I305" s="721"/>
      <c r="J305" s="721"/>
      <c r="K305" s="721"/>
      <c r="L305" s="721"/>
      <c r="M305" s="721"/>
      <c r="N305" s="721"/>
      <c r="O305" s="721"/>
      <c r="P305" s="721"/>
      <c r="Q305" s="721"/>
      <c r="R305" s="721"/>
      <c r="S305" s="721"/>
      <c r="T305" s="721"/>
      <c r="U305" s="721"/>
      <c r="V305" s="721"/>
      <c r="W305" s="204"/>
      <c r="X305" s="723"/>
      <c r="Y305" s="723"/>
      <c r="Z305" s="723"/>
      <c r="AA305" s="723"/>
      <c r="AB305" s="723"/>
      <c r="AC305" s="723"/>
      <c r="AD305" s="723"/>
      <c r="AE305" s="723"/>
      <c r="AF305" s="723"/>
      <c r="AG305" s="723"/>
      <c r="AH305" s="723"/>
      <c r="AI305" s="723"/>
      <c r="AJ305" s="723"/>
      <c r="AK305" s="723"/>
      <c r="AL305" s="723"/>
      <c r="AM305" s="721"/>
      <c r="AN305" s="721"/>
      <c r="AO305" s="723"/>
      <c r="AP305" s="721"/>
      <c r="AQ305" s="723"/>
      <c r="AR305" s="721"/>
      <c r="AS305" s="723"/>
      <c r="AT305" s="721"/>
      <c r="AU305" s="723"/>
      <c r="AV305" s="721"/>
      <c r="AW305" s="721"/>
      <c r="AX305" s="721"/>
      <c r="AY305" s="721"/>
      <c r="AZ305" s="721"/>
      <c r="BA305" s="721"/>
      <c r="BB305" s="721"/>
      <c r="BC305" s="721"/>
      <c r="BD305" s="721"/>
      <c r="BE305" s="721"/>
      <c r="BF305" s="721"/>
      <c r="BG305" s="721"/>
      <c r="BH305" s="721"/>
      <c r="BI305" s="721"/>
      <c r="BJ305" s="721"/>
      <c r="BK305" s="721"/>
      <c r="BL305" s="721"/>
      <c r="BM305" s="721"/>
      <c r="BN305" s="721"/>
      <c r="BO305" s="721"/>
      <c r="BP305" s="721"/>
      <c r="BQ305" s="721"/>
      <c r="BR305" s="721"/>
      <c r="BS305" s="721"/>
      <c r="BT305" s="721"/>
      <c r="BU305" s="721"/>
      <c r="BV305" s="721"/>
      <c r="BW305" s="721"/>
      <c r="BX305" s="721"/>
      <c r="BY305" s="721"/>
      <c r="BZ305" s="721"/>
      <c r="CA305" s="721"/>
      <c r="CB305" s="721"/>
      <c r="CC305" s="721"/>
      <c r="CD305" s="721"/>
      <c r="CE305" s="721"/>
      <c r="CF305" s="721"/>
      <c r="CG305" s="721"/>
      <c r="CH305" s="721"/>
      <c r="CI305" s="721"/>
      <c r="CJ305" s="721"/>
      <c r="CK305" s="721"/>
      <c r="CL305" s="721"/>
      <c r="CM305" s="721"/>
      <c r="CN305" s="721"/>
      <c r="CO305" s="721"/>
      <c r="CP305" s="721"/>
      <c r="CQ305" s="721"/>
      <c r="CR305" s="721"/>
      <c r="CS305" s="721"/>
      <c r="CT305" s="721"/>
      <c r="CU305" s="721"/>
      <c r="CV305" s="721"/>
      <c r="CW305" s="721"/>
      <c r="CX305" s="721"/>
    </row>
    <row r="306" spans="1:102" ht="12" customHeight="1" x14ac:dyDescent="0.2">
      <c r="A306" s="721"/>
      <c r="B306" s="721"/>
      <c r="C306" s="721"/>
      <c r="D306" s="721"/>
      <c r="E306" s="721"/>
      <c r="F306" s="721"/>
      <c r="G306" s="721"/>
      <c r="H306" s="721"/>
      <c r="I306" s="721"/>
      <c r="J306" s="721"/>
      <c r="K306" s="721"/>
      <c r="L306" s="721"/>
      <c r="M306" s="721"/>
      <c r="N306" s="721"/>
      <c r="O306" s="721"/>
      <c r="P306" s="721"/>
      <c r="Q306" s="721"/>
      <c r="R306" s="721"/>
      <c r="S306" s="721"/>
      <c r="T306" s="721"/>
      <c r="U306" s="721"/>
      <c r="V306" s="721"/>
      <c r="W306" s="204"/>
      <c r="X306" s="723"/>
      <c r="Y306" s="723"/>
      <c r="Z306" s="723"/>
      <c r="AA306" s="723"/>
      <c r="AB306" s="723"/>
      <c r="AC306" s="723"/>
      <c r="AD306" s="723"/>
      <c r="AE306" s="723"/>
      <c r="AF306" s="723"/>
      <c r="AG306" s="723"/>
      <c r="AH306" s="723"/>
      <c r="AI306" s="723"/>
      <c r="AJ306" s="723"/>
      <c r="AK306" s="723"/>
      <c r="AL306" s="723"/>
      <c r="AM306" s="721"/>
      <c r="AN306" s="721"/>
      <c r="AO306" s="723"/>
      <c r="AP306" s="721"/>
      <c r="AQ306" s="723"/>
      <c r="AR306" s="721"/>
      <c r="AS306" s="723"/>
      <c r="AT306" s="721"/>
      <c r="AU306" s="723"/>
      <c r="AV306" s="721"/>
      <c r="AW306" s="721"/>
      <c r="AX306" s="721"/>
      <c r="AY306" s="721"/>
      <c r="AZ306" s="721"/>
      <c r="BA306" s="721"/>
      <c r="BB306" s="721"/>
      <c r="BC306" s="721"/>
      <c r="BD306" s="721"/>
      <c r="BE306" s="721"/>
      <c r="BF306" s="721"/>
      <c r="BG306" s="721"/>
      <c r="BH306" s="721"/>
      <c r="BI306" s="721"/>
      <c r="BJ306" s="721"/>
      <c r="BK306" s="721"/>
      <c r="BL306" s="721"/>
      <c r="BM306" s="721"/>
      <c r="BN306" s="721"/>
      <c r="BO306" s="721"/>
      <c r="BP306" s="721"/>
      <c r="BQ306" s="721"/>
      <c r="BR306" s="721"/>
      <c r="BS306" s="721"/>
      <c r="BT306" s="721"/>
      <c r="BU306" s="721"/>
      <c r="BV306" s="721"/>
      <c r="BW306" s="721"/>
      <c r="BX306" s="721"/>
      <c r="BY306" s="721"/>
      <c r="BZ306" s="721"/>
      <c r="CA306" s="721"/>
      <c r="CB306" s="721"/>
      <c r="CC306" s="721"/>
      <c r="CD306" s="721"/>
      <c r="CE306" s="721"/>
      <c r="CF306" s="721"/>
      <c r="CG306" s="721"/>
      <c r="CH306" s="721"/>
      <c r="CI306" s="721"/>
      <c r="CJ306" s="721"/>
      <c r="CK306" s="721"/>
      <c r="CL306" s="721"/>
      <c r="CM306" s="721"/>
      <c r="CN306" s="721"/>
      <c r="CO306" s="721"/>
      <c r="CP306" s="721"/>
      <c r="CQ306" s="721"/>
      <c r="CR306" s="721"/>
      <c r="CS306" s="721"/>
      <c r="CT306" s="721"/>
      <c r="CU306" s="721"/>
      <c r="CV306" s="721"/>
      <c r="CW306" s="721"/>
      <c r="CX306" s="721"/>
    </row>
    <row r="307" spans="1:102" ht="12" customHeight="1" x14ac:dyDescent="0.2">
      <c r="A307" s="721"/>
      <c r="B307" s="721"/>
      <c r="C307" s="721"/>
      <c r="D307" s="721"/>
      <c r="E307" s="721"/>
      <c r="F307" s="721"/>
      <c r="G307" s="721"/>
      <c r="H307" s="721"/>
      <c r="I307" s="721"/>
      <c r="J307" s="721"/>
      <c r="K307" s="721"/>
      <c r="L307" s="721"/>
      <c r="M307" s="721"/>
      <c r="N307" s="721"/>
      <c r="O307" s="721"/>
      <c r="P307" s="721"/>
      <c r="Q307" s="721"/>
      <c r="R307" s="721"/>
      <c r="S307" s="721"/>
      <c r="T307" s="721"/>
      <c r="U307" s="721"/>
      <c r="V307" s="721"/>
      <c r="W307" s="204"/>
      <c r="X307" s="723"/>
      <c r="Y307" s="723"/>
      <c r="Z307" s="723"/>
      <c r="AA307" s="723"/>
      <c r="AB307" s="723"/>
      <c r="AC307" s="723"/>
      <c r="AD307" s="723"/>
      <c r="AE307" s="723"/>
      <c r="AF307" s="723"/>
      <c r="AG307" s="723"/>
      <c r="AH307" s="723"/>
      <c r="AI307" s="723"/>
      <c r="AJ307" s="723"/>
      <c r="AK307" s="723"/>
      <c r="AL307" s="723"/>
      <c r="AM307" s="721"/>
      <c r="AN307" s="721"/>
      <c r="AO307" s="723"/>
      <c r="AP307" s="721"/>
      <c r="AQ307" s="723"/>
      <c r="AR307" s="721"/>
      <c r="AS307" s="723"/>
      <c r="AT307" s="721"/>
      <c r="AU307" s="723"/>
      <c r="AV307" s="721"/>
      <c r="AW307" s="721"/>
      <c r="AX307" s="721"/>
      <c r="AY307" s="721"/>
      <c r="AZ307" s="721"/>
      <c r="BA307" s="721"/>
      <c r="BB307" s="721"/>
      <c r="BC307" s="721"/>
      <c r="BD307" s="721"/>
      <c r="BE307" s="721"/>
      <c r="BF307" s="721"/>
      <c r="BG307" s="721"/>
      <c r="BH307" s="721"/>
      <c r="BI307" s="721"/>
      <c r="BJ307" s="721"/>
      <c r="BK307" s="721"/>
      <c r="BL307" s="721"/>
      <c r="BM307" s="721"/>
      <c r="BN307" s="721"/>
      <c r="BO307" s="721"/>
      <c r="BP307" s="721"/>
      <c r="BQ307" s="721"/>
      <c r="BR307" s="721"/>
      <c r="BS307" s="721"/>
      <c r="BT307" s="721"/>
      <c r="BU307" s="721"/>
      <c r="BV307" s="721"/>
      <c r="BW307" s="721"/>
      <c r="BX307" s="721"/>
      <c r="BY307" s="721"/>
      <c r="BZ307" s="721"/>
      <c r="CA307" s="721"/>
      <c r="CB307" s="721"/>
      <c r="CC307" s="721"/>
      <c r="CD307" s="721"/>
      <c r="CE307" s="721"/>
      <c r="CF307" s="721"/>
      <c r="CG307" s="721"/>
      <c r="CH307" s="721"/>
      <c r="CI307" s="721"/>
      <c r="CJ307" s="721"/>
      <c r="CK307" s="721"/>
      <c r="CL307" s="721"/>
      <c r="CM307" s="721"/>
      <c r="CN307" s="721"/>
      <c r="CO307" s="721"/>
      <c r="CP307" s="721"/>
      <c r="CQ307" s="721"/>
      <c r="CR307" s="721"/>
      <c r="CS307" s="721"/>
      <c r="CT307" s="721"/>
      <c r="CU307" s="721"/>
      <c r="CV307" s="721"/>
      <c r="CW307" s="721"/>
      <c r="CX307" s="721"/>
    </row>
    <row r="308" spans="1:102" ht="12" customHeight="1" x14ac:dyDescent="0.2">
      <c r="A308" s="721"/>
      <c r="B308" s="721"/>
      <c r="C308" s="721"/>
      <c r="D308" s="721"/>
      <c r="E308" s="721"/>
      <c r="F308" s="721"/>
      <c r="G308" s="721"/>
      <c r="H308" s="721"/>
      <c r="I308" s="721"/>
      <c r="J308" s="721"/>
      <c r="K308" s="721"/>
      <c r="L308" s="721"/>
      <c r="M308" s="721"/>
      <c r="N308" s="721"/>
      <c r="O308" s="721"/>
      <c r="P308" s="721"/>
      <c r="Q308" s="721"/>
      <c r="R308" s="721"/>
      <c r="S308" s="721"/>
      <c r="T308" s="721"/>
      <c r="U308" s="721"/>
      <c r="V308" s="721"/>
      <c r="W308" s="204"/>
      <c r="X308" s="723"/>
      <c r="Y308" s="723"/>
      <c r="Z308" s="723"/>
      <c r="AA308" s="723"/>
      <c r="AB308" s="723"/>
      <c r="AC308" s="723"/>
      <c r="AD308" s="723"/>
      <c r="AE308" s="723"/>
      <c r="AF308" s="723"/>
      <c r="AG308" s="723"/>
      <c r="AH308" s="723"/>
      <c r="AI308" s="723"/>
      <c r="AJ308" s="723"/>
      <c r="AK308" s="723"/>
      <c r="AL308" s="723"/>
      <c r="AM308" s="721"/>
      <c r="AN308" s="721"/>
      <c r="AO308" s="723"/>
      <c r="AP308" s="721"/>
      <c r="AQ308" s="723"/>
      <c r="AR308" s="721"/>
      <c r="AS308" s="723"/>
      <c r="AT308" s="721"/>
      <c r="AU308" s="723"/>
      <c r="AV308" s="721"/>
      <c r="AW308" s="721"/>
      <c r="AX308" s="721"/>
      <c r="AY308" s="721"/>
      <c r="AZ308" s="721"/>
      <c r="BA308" s="721"/>
      <c r="BB308" s="721"/>
      <c r="BC308" s="721"/>
      <c r="BD308" s="721"/>
      <c r="BE308" s="721"/>
      <c r="BF308" s="721"/>
      <c r="BG308" s="721"/>
      <c r="BH308" s="721"/>
      <c r="BI308" s="721"/>
      <c r="BJ308" s="721"/>
      <c r="BK308" s="721"/>
      <c r="BL308" s="721"/>
      <c r="BM308" s="721"/>
      <c r="BN308" s="721"/>
      <c r="BO308" s="721"/>
      <c r="BP308" s="721"/>
      <c r="BQ308" s="721"/>
      <c r="BR308" s="721"/>
      <c r="BS308" s="721"/>
      <c r="BT308" s="721"/>
      <c r="BU308" s="721"/>
      <c r="BV308" s="721"/>
      <c r="BW308" s="721"/>
      <c r="BX308" s="721"/>
      <c r="BY308" s="721"/>
      <c r="BZ308" s="721"/>
      <c r="CA308" s="721"/>
      <c r="CB308" s="721"/>
      <c r="CC308" s="721"/>
      <c r="CD308" s="721"/>
      <c r="CE308" s="721"/>
      <c r="CF308" s="721"/>
      <c r="CG308" s="721"/>
      <c r="CH308" s="721"/>
      <c r="CI308" s="721"/>
      <c r="CJ308" s="721"/>
      <c r="CK308" s="721"/>
      <c r="CL308" s="721"/>
      <c r="CM308" s="721"/>
      <c r="CN308" s="721"/>
      <c r="CO308" s="721"/>
      <c r="CP308" s="721"/>
      <c r="CQ308" s="721"/>
      <c r="CR308" s="721"/>
      <c r="CS308" s="721"/>
      <c r="CT308" s="721"/>
      <c r="CU308" s="721"/>
      <c r="CV308" s="721"/>
      <c r="CW308" s="721"/>
      <c r="CX308" s="721"/>
    </row>
    <row r="309" spans="1:102" ht="12" customHeight="1" x14ac:dyDescent="0.2">
      <c r="A309" s="721"/>
      <c r="B309" s="721"/>
      <c r="C309" s="721"/>
      <c r="D309" s="721"/>
      <c r="E309" s="721"/>
      <c r="F309" s="721"/>
      <c r="G309" s="721"/>
      <c r="H309" s="721"/>
      <c r="I309" s="721"/>
      <c r="J309" s="721"/>
      <c r="K309" s="721"/>
      <c r="L309" s="721"/>
      <c r="M309" s="721"/>
      <c r="N309" s="721"/>
      <c r="O309" s="721"/>
      <c r="P309" s="721"/>
      <c r="Q309" s="721"/>
      <c r="R309" s="721"/>
      <c r="S309" s="721"/>
      <c r="T309" s="721"/>
      <c r="U309" s="721"/>
      <c r="V309" s="721"/>
      <c r="W309" s="204"/>
      <c r="X309" s="723"/>
      <c r="Y309" s="723"/>
      <c r="Z309" s="723"/>
      <c r="AA309" s="723"/>
      <c r="AB309" s="723"/>
      <c r="AC309" s="723"/>
      <c r="AD309" s="723"/>
      <c r="AE309" s="723"/>
      <c r="AF309" s="723"/>
      <c r="AG309" s="723"/>
      <c r="AH309" s="723"/>
      <c r="AI309" s="723"/>
      <c r="AJ309" s="723"/>
      <c r="AK309" s="723"/>
      <c r="AL309" s="723"/>
      <c r="AM309" s="721"/>
      <c r="AN309" s="721"/>
      <c r="AO309" s="723"/>
      <c r="AP309" s="721"/>
      <c r="AQ309" s="723"/>
      <c r="AR309" s="721"/>
      <c r="AS309" s="723"/>
      <c r="AT309" s="721"/>
      <c r="AU309" s="723"/>
      <c r="AV309" s="721"/>
      <c r="AW309" s="721"/>
      <c r="AX309" s="721"/>
      <c r="AY309" s="721"/>
      <c r="AZ309" s="721"/>
      <c r="BA309" s="721"/>
      <c r="BB309" s="721"/>
      <c r="BC309" s="721"/>
      <c r="BD309" s="721"/>
      <c r="BE309" s="721"/>
      <c r="BF309" s="721"/>
      <c r="BG309" s="721"/>
      <c r="BH309" s="721"/>
      <c r="BI309" s="721"/>
      <c r="BJ309" s="721"/>
      <c r="BK309" s="721"/>
      <c r="BL309" s="721"/>
      <c r="BM309" s="721"/>
      <c r="BN309" s="721"/>
      <c r="BO309" s="721"/>
      <c r="BP309" s="721"/>
      <c r="BQ309" s="721"/>
      <c r="BR309" s="721"/>
      <c r="BS309" s="721"/>
      <c r="BT309" s="721"/>
      <c r="BU309" s="721"/>
      <c r="BV309" s="721"/>
      <c r="BW309" s="721"/>
      <c r="BX309" s="721"/>
      <c r="BY309" s="721"/>
      <c r="BZ309" s="721"/>
      <c r="CA309" s="721"/>
      <c r="CB309" s="721"/>
      <c r="CC309" s="721"/>
      <c r="CD309" s="721"/>
      <c r="CE309" s="721"/>
      <c r="CF309" s="721"/>
      <c r="CG309" s="721"/>
      <c r="CH309" s="721"/>
      <c r="CI309" s="721"/>
      <c r="CJ309" s="721"/>
      <c r="CK309" s="721"/>
      <c r="CL309" s="721"/>
      <c r="CM309" s="721"/>
      <c r="CN309" s="721"/>
      <c r="CO309" s="721"/>
      <c r="CP309" s="721"/>
      <c r="CQ309" s="721"/>
      <c r="CR309" s="721"/>
      <c r="CS309" s="721"/>
      <c r="CT309" s="721"/>
      <c r="CU309" s="721"/>
      <c r="CV309" s="721"/>
      <c r="CW309" s="721"/>
      <c r="CX309" s="721"/>
    </row>
    <row r="310" spans="1:102" ht="12" customHeight="1" x14ac:dyDescent="0.2">
      <c r="A310" s="721"/>
      <c r="B310" s="721"/>
      <c r="C310" s="721"/>
      <c r="D310" s="721"/>
      <c r="E310" s="721"/>
      <c r="F310" s="721"/>
      <c r="G310" s="721"/>
      <c r="H310" s="721"/>
      <c r="I310" s="721"/>
      <c r="J310" s="721"/>
      <c r="K310" s="721"/>
      <c r="L310" s="721"/>
      <c r="M310" s="721"/>
      <c r="N310" s="721"/>
      <c r="O310" s="721"/>
      <c r="P310" s="721"/>
      <c r="Q310" s="721"/>
      <c r="R310" s="721"/>
      <c r="S310" s="721"/>
      <c r="T310" s="721"/>
      <c r="U310" s="721"/>
      <c r="V310" s="721"/>
      <c r="W310" s="204"/>
      <c r="X310" s="723"/>
      <c r="Y310" s="723"/>
      <c r="Z310" s="723"/>
      <c r="AA310" s="723"/>
      <c r="AB310" s="723"/>
      <c r="AC310" s="723"/>
      <c r="AD310" s="723"/>
      <c r="AE310" s="723"/>
      <c r="AF310" s="723"/>
      <c r="AG310" s="723"/>
      <c r="AH310" s="723"/>
      <c r="AI310" s="723"/>
      <c r="AJ310" s="723"/>
      <c r="AK310" s="723"/>
      <c r="AL310" s="723"/>
      <c r="AM310" s="721"/>
      <c r="AN310" s="721"/>
      <c r="AO310" s="723"/>
      <c r="AP310" s="721"/>
      <c r="AQ310" s="723"/>
      <c r="AR310" s="721"/>
      <c r="AS310" s="723"/>
      <c r="AT310" s="721"/>
      <c r="AU310" s="723"/>
      <c r="AV310" s="721"/>
      <c r="AW310" s="721"/>
      <c r="AX310" s="721"/>
      <c r="AY310" s="721"/>
      <c r="AZ310" s="721"/>
      <c r="BA310" s="721"/>
      <c r="BB310" s="721"/>
      <c r="BC310" s="721"/>
      <c r="BD310" s="721"/>
      <c r="BE310" s="721"/>
      <c r="BF310" s="721"/>
      <c r="BG310" s="721"/>
      <c r="BH310" s="721"/>
      <c r="BI310" s="721"/>
      <c r="BJ310" s="721"/>
      <c r="BK310" s="721"/>
      <c r="BL310" s="721"/>
      <c r="BM310" s="721"/>
      <c r="BN310" s="721"/>
      <c r="BO310" s="721"/>
      <c r="BP310" s="721"/>
      <c r="BQ310" s="721"/>
      <c r="BR310" s="721"/>
      <c r="BS310" s="721"/>
      <c r="BT310" s="721"/>
      <c r="BU310" s="721"/>
      <c r="BV310" s="721"/>
      <c r="BW310" s="721"/>
      <c r="BX310" s="721"/>
      <c r="BY310" s="721"/>
      <c r="BZ310" s="721"/>
      <c r="CA310" s="721"/>
      <c r="CB310" s="721"/>
      <c r="CC310" s="721"/>
      <c r="CD310" s="721"/>
      <c r="CE310" s="721"/>
      <c r="CF310" s="721"/>
      <c r="CG310" s="721"/>
      <c r="CH310" s="721"/>
      <c r="CI310" s="721"/>
      <c r="CJ310" s="721"/>
      <c r="CK310" s="721"/>
      <c r="CL310" s="721"/>
      <c r="CM310" s="721"/>
      <c r="CN310" s="721"/>
      <c r="CO310" s="721"/>
      <c r="CP310" s="721"/>
      <c r="CQ310" s="721"/>
      <c r="CR310" s="721"/>
      <c r="CS310" s="721"/>
      <c r="CT310" s="721"/>
      <c r="CU310" s="721"/>
      <c r="CV310" s="721"/>
      <c r="CW310" s="721"/>
      <c r="CX310" s="721"/>
    </row>
    <row r="311" spans="1:102" ht="12" customHeight="1" x14ac:dyDescent="0.2">
      <c r="A311" s="721"/>
      <c r="B311" s="721"/>
      <c r="C311" s="721"/>
      <c r="D311" s="721"/>
      <c r="E311" s="721"/>
      <c r="F311" s="721"/>
      <c r="G311" s="721"/>
      <c r="H311" s="721"/>
      <c r="I311" s="721"/>
      <c r="J311" s="721"/>
      <c r="K311" s="721"/>
      <c r="L311" s="721"/>
      <c r="M311" s="721"/>
      <c r="N311" s="721"/>
      <c r="O311" s="721"/>
      <c r="P311" s="721"/>
      <c r="Q311" s="721"/>
      <c r="R311" s="721"/>
      <c r="S311" s="721"/>
      <c r="T311" s="721"/>
      <c r="U311" s="721"/>
      <c r="V311" s="721"/>
      <c r="W311" s="204"/>
      <c r="X311" s="723"/>
      <c r="Y311" s="723"/>
      <c r="Z311" s="723"/>
      <c r="AA311" s="723"/>
      <c r="AB311" s="723"/>
      <c r="AC311" s="723"/>
      <c r="AD311" s="723"/>
      <c r="AE311" s="723"/>
      <c r="AF311" s="723"/>
      <c r="AG311" s="723"/>
      <c r="AH311" s="723"/>
      <c r="AI311" s="723"/>
      <c r="AJ311" s="723"/>
      <c r="AK311" s="723"/>
      <c r="AL311" s="723"/>
      <c r="AM311" s="721"/>
      <c r="AN311" s="721"/>
      <c r="AO311" s="723"/>
      <c r="AP311" s="721"/>
      <c r="AQ311" s="723"/>
      <c r="AR311" s="721"/>
      <c r="AS311" s="723"/>
      <c r="AT311" s="721"/>
      <c r="AU311" s="723"/>
      <c r="AV311" s="721"/>
      <c r="AW311" s="721"/>
      <c r="AX311" s="721"/>
      <c r="AY311" s="721"/>
      <c r="AZ311" s="721"/>
      <c r="BA311" s="721"/>
      <c r="BB311" s="721"/>
      <c r="BC311" s="721"/>
      <c r="BD311" s="721"/>
      <c r="BE311" s="721"/>
      <c r="BF311" s="721"/>
      <c r="BG311" s="721"/>
      <c r="BH311" s="721"/>
      <c r="BI311" s="721"/>
      <c r="BJ311" s="721"/>
      <c r="BK311" s="721"/>
      <c r="BL311" s="721"/>
      <c r="BM311" s="721"/>
      <c r="BN311" s="721"/>
      <c r="BO311" s="721"/>
      <c r="BP311" s="721"/>
      <c r="BQ311" s="721"/>
      <c r="BR311" s="721"/>
      <c r="BS311" s="721"/>
      <c r="BT311" s="721"/>
      <c r="BU311" s="721"/>
      <c r="BV311" s="721"/>
      <c r="BW311" s="721"/>
      <c r="BX311" s="721"/>
      <c r="BY311" s="721"/>
      <c r="BZ311" s="721"/>
      <c r="CA311" s="721"/>
      <c r="CB311" s="721"/>
      <c r="CC311" s="721"/>
      <c r="CD311" s="721"/>
      <c r="CE311" s="721"/>
      <c r="CF311" s="721"/>
      <c r="CG311" s="721"/>
      <c r="CH311" s="721"/>
      <c r="CI311" s="721"/>
      <c r="CJ311" s="721"/>
      <c r="CK311" s="721"/>
      <c r="CL311" s="721"/>
      <c r="CM311" s="721"/>
      <c r="CN311" s="721"/>
      <c r="CO311" s="721"/>
      <c r="CP311" s="721"/>
      <c r="CQ311" s="721"/>
      <c r="CR311" s="721"/>
      <c r="CS311" s="721"/>
      <c r="CT311" s="721"/>
      <c r="CU311" s="721"/>
      <c r="CV311" s="721"/>
      <c r="CW311" s="721"/>
      <c r="CX311" s="721"/>
    </row>
    <row r="312" spans="1:102" ht="12" customHeight="1" x14ac:dyDescent="0.2">
      <c r="A312" s="721"/>
      <c r="B312" s="721"/>
      <c r="C312" s="721"/>
      <c r="D312" s="721"/>
      <c r="E312" s="721"/>
      <c r="F312" s="721"/>
      <c r="G312" s="721"/>
      <c r="H312" s="721"/>
      <c r="I312" s="721"/>
      <c r="J312" s="721"/>
      <c r="K312" s="721"/>
      <c r="L312" s="721"/>
      <c r="M312" s="721"/>
      <c r="N312" s="721"/>
      <c r="O312" s="721"/>
      <c r="P312" s="721"/>
      <c r="Q312" s="721"/>
      <c r="R312" s="721"/>
      <c r="S312" s="721"/>
      <c r="T312" s="721"/>
      <c r="U312" s="721"/>
      <c r="V312" s="721"/>
      <c r="W312" s="204"/>
      <c r="X312" s="723"/>
      <c r="Y312" s="723"/>
      <c r="Z312" s="723"/>
      <c r="AA312" s="723"/>
      <c r="AB312" s="723"/>
      <c r="AC312" s="723"/>
      <c r="AD312" s="723"/>
      <c r="AE312" s="723"/>
      <c r="AF312" s="723"/>
      <c r="AG312" s="723"/>
      <c r="AH312" s="723"/>
      <c r="AI312" s="723"/>
      <c r="AJ312" s="723"/>
      <c r="AK312" s="723"/>
      <c r="AL312" s="723"/>
      <c r="AM312" s="721"/>
      <c r="AN312" s="721"/>
      <c r="AO312" s="723"/>
      <c r="AP312" s="721"/>
      <c r="AQ312" s="723"/>
      <c r="AR312" s="721"/>
      <c r="AS312" s="723"/>
      <c r="AT312" s="721"/>
      <c r="AU312" s="723"/>
      <c r="AV312" s="721"/>
      <c r="AW312" s="721"/>
      <c r="AX312" s="721"/>
      <c r="AY312" s="721"/>
      <c r="AZ312" s="721"/>
      <c r="BA312" s="721"/>
      <c r="BB312" s="721"/>
      <c r="BC312" s="721"/>
      <c r="BD312" s="721"/>
      <c r="BE312" s="721"/>
      <c r="BF312" s="721"/>
      <c r="BG312" s="721"/>
      <c r="BH312" s="721"/>
      <c r="BI312" s="721"/>
      <c r="BJ312" s="721"/>
      <c r="BK312" s="721"/>
      <c r="BL312" s="721"/>
      <c r="BM312" s="721"/>
      <c r="BN312" s="721"/>
      <c r="BO312" s="721"/>
      <c r="BP312" s="721"/>
      <c r="BQ312" s="721"/>
      <c r="BR312" s="721"/>
      <c r="BS312" s="721"/>
      <c r="BT312" s="721"/>
      <c r="BU312" s="721"/>
      <c r="BV312" s="721"/>
      <c r="BW312" s="721"/>
      <c r="BX312" s="721"/>
      <c r="BY312" s="721"/>
      <c r="BZ312" s="721"/>
      <c r="CA312" s="721"/>
      <c r="CB312" s="721"/>
      <c r="CC312" s="721"/>
      <c r="CD312" s="721"/>
      <c r="CE312" s="721"/>
      <c r="CF312" s="721"/>
      <c r="CG312" s="721"/>
      <c r="CH312" s="721"/>
      <c r="CI312" s="721"/>
      <c r="CJ312" s="721"/>
      <c r="CK312" s="721"/>
      <c r="CL312" s="721"/>
      <c r="CM312" s="721"/>
      <c r="CN312" s="721"/>
      <c r="CO312" s="721"/>
      <c r="CP312" s="721"/>
      <c r="CQ312" s="721"/>
      <c r="CR312" s="721"/>
      <c r="CS312" s="721"/>
      <c r="CT312" s="721"/>
      <c r="CU312" s="721"/>
      <c r="CV312" s="721"/>
      <c r="CW312" s="721"/>
      <c r="CX312" s="721"/>
    </row>
    <row r="313" spans="1:102" ht="12" customHeight="1" x14ac:dyDescent="0.2">
      <c r="A313" s="721"/>
      <c r="B313" s="721"/>
      <c r="C313" s="721"/>
      <c r="D313" s="721"/>
      <c r="E313" s="721"/>
      <c r="F313" s="721"/>
      <c r="G313" s="721"/>
      <c r="H313" s="721"/>
      <c r="I313" s="721"/>
      <c r="J313" s="721"/>
      <c r="K313" s="721"/>
      <c r="L313" s="721"/>
      <c r="M313" s="721"/>
      <c r="N313" s="721"/>
      <c r="O313" s="721"/>
      <c r="P313" s="721"/>
      <c r="Q313" s="721"/>
      <c r="R313" s="721"/>
      <c r="S313" s="721"/>
      <c r="T313" s="721"/>
      <c r="U313" s="721"/>
      <c r="V313" s="721"/>
      <c r="W313" s="204"/>
      <c r="X313" s="723"/>
      <c r="Y313" s="723"/>
      <c r="Z313" s="723"/>
      <c r="AA313" s="723"/>
      <c r="AB313" s="723"/>
      <c r="AC313" s="723"/>
      <c r="AD313" s="723"/>
      <c r="AE313" s="723"/>
      <c r="AF313" s="723"/>
      <c r="AG313" s="723"/>
      <c r="AH313" s="723"/>
      <c r="AI313" s="723"/>
      <c r="AJ313" s="723"/>
      <c r="AK313" s="723"/>
      <c r="AL313" s="723"/>
      <c r="AM313" s="721"/>
      <c r="AN313" s="721"/>
      <c r="AO313" s="723"/>
      <c r="AP313" s="721"/>
      <c r="AQ313" s="723"/>
      <c r="AR313" s="721"/>
      <c r="AS313" s="723"/>
      <c r="AT313" s="721"/>
      <c r="AU313" s="723"/>
      <c r="AV313" s="721"/>
      <c r="AW313" s="721"/>
      <c r="AX313" s="721"/>
      <c r="AY313" s="721"/>
      <c r="AZ313" s="721"/>
      <c r="BA313" s="721"/>
      <c r="BB313" s="721"/>
      <c r="BC313" s="721"/>
      <c r="BD313" s="721"/>
      <c r="BE313" s="721"/>
      <c r="BF313" s="721"/>
      <c r="BG313" s="721"/>
      <c r="BH313" s="721"/>
      <c r="BI313" s="721"/>
      <c r="BJ313" s="721"/>
      <c r="BK313" s="721"/>
      <c r="BL313" s="721"/>
      <c r="BM313" s="721"/>
      <c r="BN313" s="721"/>
      <c r="BO313" s="721"/>
      <c r="BP313" s="721"/>
      <c r="BQ313" s="721"/>
      <c r="BR313" s="721"/>
      <c r="BS313" s="721"/>
      <c r="BT313" s="721"/>
      <c r="BU313" s="721"/>
      <c r="BV313" s="721"/>
      <c r="BW313" s="721"/>
      <c r="BX313" s="721"/>
      <c r="BY313" s="721"/>
      <c r="BZ313" s="721"/>
      <c r="CA313" s="721"/>
      <c r="CB313" s="721"/>
      <c r="CC313" s="721"/>
      <c r="CD313" s="721"/>
      <c r="CE313" s="721"/>
      <c r="CF313" s="721"/>
      <c r="CG313" s="721"/>
      <c r="CH313" s="721"/>
      <c r="CI313" s="721"/>
      <c r="CJ313" s="721"/>
      <c r="CK313" s="721"/>
      <c r="CL313" s="721"/>
      <c r="CM313" s="721"/>
      <c r="CN313" s="721"/>
      <c r="CO313" s="721"/>
      <c r="CP313" s="721"/>
      <c r="CQ313" s="721"/>
      <c r="CR313" s="721"/>
      <c r="CS313" s="721"/>
      <c r="CT313" s="721"/>
      <c r="CU313" s="721"/>
      <c r="CV313" s="721"/>
      <c r="CW313" s="721"/>
      <c r="CX313" s="721"/>
    </row>
    <row r="314" spans="1:102" ht="12" customHeight="1" x14ac:dyDescent="0.2">
      <c r="A314" s="721"/>
      <c r="B314" s="721"/>
      <c r="C314" s="721"/>
      <c r="D314" s="721"/>
      <c r="E314" s="721"/>
      <c r="F314" s="721"/>
      <c r="G314" s="721"/>
      <c r="H314" s="721"/>
      <c r="I314" s="721"/>
      <c r="J314" s="721"/>
      <c r="K314" s="721"/>
      <c r="L314" s="721"/>
      <c r="M314" s="721"/>
      <c r="N314" s="721"/>
      <c r="O314" s="721"/>
      <c r="P314" s="721"/>
      <c r="Q314" s="721"/>
      <c r="R314" s="721"/>
      <c r="S314" s="721"/>
      <c r="T314" s="721"/>
      <c r="U314" s="721"/>
      <c r="V314" s="721"/>
      <c r="W314" s="204"/>
      <c r="X314" s="723"/>
      <c r="Y314" s="723"/>
      <c r="Z314" s="723"/>
      <c r="AA314" s="723"/>
      <c r="AB314" s="723"/>
      <c r="AC314" s="723"/>
      <c r="AD314" s="723"/>
      <c r="AE314" s="723"/>
      <c r="AF314" s="723"/>
      <c r="AG314" s="723"/>
      <c r="AH314" s="723"/>
      <c r="AI314" s="723"/>
      <c r="AJ314" s="723"/>
      <c r="AK314" s="723"/>
      <c r="AL314" s="723"/>
      <c r="AM314" s="721"/>
      <c r="AN314" s="721"/>
      <c r="AO314" s="723"/>
      <c r="AP314" s="721"/>
      <c r="AQ314" s="723"/>
      <c r="AR314" s="721"/>
      <c r="AS314" s="723"/>
      <c r="AT314" s="721"/>
      <c r="AU314" s="723"/>
      <c r="AV314" s="721"/>
      <c r="AW314" s="721"/>
      <c r="AX314" s="721"/>
      <c r="AY314" s="721"/>
      <c r="AZ314" s="721"/>
      <c r="BA314" s="721"/>
      <c r="BB314" s="721"/>
      <c r="BC314" s="721"/>
      <c r="BD314" s="721"/>
      <c r="BE314" s="721"/>
      <c r="BF314" s="721"/>
      <c r="BG314" s="721"/>
      <c r="BH314" s="721"/>
      <c r="BI314" s="721"/>
      <c r="BJ314" s="721"/>
      <c r="BK314" s="721"/>
      <c r="BL314" s="721"/>
      <c r="BM314" s="721"/>
      <c r="BN314" s="721"/>
      <c r="BO314" s="721"/>
      <c r="BP314" s="721"/>
      <c r="BQ314" s="721"/>
      <c r="BR314" s="721"/>
      <c r="BS314" s="721"/>
      <c r="BT314" s="721"/>
      <c r="BU314" s="721"/>
      <c r="BV314" s="721"/>
      <c r="BW314" s="721"/>
      <c r="BX314" s="721"/>
      <c r="BY314" s="721"/>
      <c r="BZ314" s="721"/>
      <c r="CA314" s="721"/>
      <c r="CB314" s="721"/>
      <c r="CC314" s="721"/>
      <c r="CD314" s="721"/>
      <c r="CE314" s="721"/>
      <c r="CF314" s="721"/>
      <c r="CG314" s="721"/>
      <c r="CH314" s="721"/>
      <c r="CI314" s="721"/>
      <c r="CJ314" s="721"/>
      <c r="CK314" s="721"/>
      <c r="CL314" s="721"/>
      <c r="CM314" s="721"/>
      <c r="CN314" s="721"/>
      <c r="CO314" s="721"/>
      <c r="CP314" s="721"/>
      <c r="CQ314" s="721"/>
      <c r="CR314" s="721"/>
      <c r="CS314" s="721"/>
      <c r="CT314" s="721"/>
      <c r="CU314" s="721"/>
      <c r="CV314" s="721"/>
      <c r="CW314" s="721"/>
      <c r="CX314" s="721"/>
    </row>
    <row r="315" spans="1:102" ht="12" customHeight="1" x14ac:dyDescent="0.2">
      <c r="A315" s="721"/>
      <c r="B315" s="721"/>
      <c r="C315" s="721"/>
      <c r="D315" s="721"/>
      <c r="E315" s="721"/>
      <c r="F315" s="721"/>
      <c r="G315" s="721"/>
      <c r="H315" s="721"/>
      <c r="I315" s="721"/>
      <c r="J315" s="721"/>
      <c r="K315" s="721"/>
      <c r="L315" s="721"/>
      <c r="M315" s="721"/>
      <c r="N315" s="721"/>
      <c r="O315" s="721"/>
      <c r="P315" s="721"/>
      <c r="Q315" s="721"/>
      <c r="R315" s="721"/>
      <c r="S315" s="721"/>
      <c r="T315" s="721"/>
      <c r="U315" s="721"/>
      <c r="V315" s="721"/>
      <c r="W315" s="204"/>
      <c r="X315" s="723"/>
      <c r="Y315" s="723"/>
      <c r="Z315" s="723"/>
      <c r="AA315" s="723"/>
      <c r="AB315" s="723"/>
      <c r="AC315" s="723"/>
      <c r="AD315" s="723"/>
      <c r="AE315" s="723"/>
      <c r="AF315" s="723"/>
      <c r="AG315" s="723"/>
      <c r="AH315" s="723"/>
      <c r="AI315" s="723"/>
      <c r="AJ315" s="723"/>
      <c r="AK315" s="723"/>
      <c r="AL315" s="723"/>
      <c r="AM315" s="721"/>
      <c r="AN315" s="721"/>
      <c r="AO315" s="723"/>
      <c r="AP315" s="721"/>
      <c r="AQ315" s="723"/>
      <c r="AR315" s="721"/>
      <c r="AS315" s="723"/>
      <c r="AT315" s="721"/>
      <c r="AU315" s="723"/>
      <c r="AV315" s="721"/>
      <c r="AW315" s="721"/>
      <c r="AX315" s="721"/>
      <c r="AY315" s="721"/>
      <c r="AZ315" s="721"/>
      <c r="BA315" s="721"/>
      <c r="BB315" s="721"/>
      <c r="BC315" s="721"/>
      <c r="BD315" s="721"/>
      <c r="BE315" s="721"/>
      <c r="BF315" s="721"/>
      <c r="BG315" s="721"/>
      <c r="BH315" s="721"/>
      <c r="BI315" s="721"/>
      <c r="BJ315" s="721"/>
      <c r="BK315" s="721"/>
      <c r="BL315" s="721"/>
      <c r="BM315" s="721"/>
      <c r="BN315" s="721"/>
      <c r="BO315" s="721"/>
      <c r="BP315" s="721"/>
      <c r="BQ315" s="721"/>
      <c r="BR315" s="721"/>
      <c r="BS315" s="721"/>
      <c r="BT315" s="721"/>
      <c r="BU315" s="721"/>
      <c r="BV315" s="721"/>
      <c r="BW315" s="721"/>
      <c r="BX315" s="721"/>
      <c r="BY315" s="721"/>
      <c r="BZ315" s="721"/>
      <c r="CA315" s="721"/>
      <c r="CB315" s="721"/>
      <c r="CC315" s="721"/>
      <c r="CD315" s="721"/>
      <c r="CE315" s="721"/>
      <c r="CF315" s="721"/>
      <c r="CG315" s="721"/>
      <c r="CH315" s="721"/>
      <c r="CI315" s="721"/>
      <c r="CJ315" s="721"/>
      <c r="CK315" s="721"/>
      <c r="CL315" s="721"/>
      <c r="CM315" s="721"/>
      <c r="CN315" s="721"/>
      <c r="CO315" s="721"/>
      <c r="CP315" s="721"/>
      <c r="CQ315" s="721"/>
      <c r="CR315" s="721"/>
      <c r="CS315" s="721"/>
      <c r="CT315" s="721"/>
      <c r="CU315" s="721"/>
      <c r="CV315" s="721"/>
      <c r="CW315" s="721"/>
      <c r="CX315" s="721"/>
    </row>
  </sheetData>
  <sheetProtection algorithmName="SHA-512" hashValue="fhIRZuWM2g1H8kacPCyc7fG5PZm1zjycCI3dg4i6ZElAij18tH7g+7OwEAm1lqibJQkPr+FdzjMzfnB3YkSslQ==" saltValue="6bGj1I73Qrt6793UB7wbeQ==" spinCount="100000" sheet="1" objects="1" scenarios="1"/>
  <autoFilter ref="A1:CX115"/>
  <mergeCells count="37">
    <mergeCell ref="A2:A115"/>
    <mergeCell ref="T94:T96"/>
    <mergeCell ref="T91:T93"/>
    <mergeCell ref="T85:T89"/>
    <mergeCell ref="T82:T83"/>
    <mergeCell ref="T77:T81"/>
    <mergeCell ref="T34:T38"/>
    <mergeCell ref="T30:T33"/>
    <mergeCell ref="T28:T29"/>
    <mergeCell ref="T25:T27"/>
    <mergeCell ref="T71:T75"/>
    <mergeCell ref="T66:T70"/>
    <mergeCell ref="T60:T65"/>
    <mergeCell ref="T56:T59"/>
    <mergeCell ref="T52:T54"/>
    <mergeCell ref="T50:T51"/>
    <mergeCell ref="T102:T104"/>
    <mergeCell ref="T105:T108"/>
    <mergeCell ref="T110:T113"/>
    <mergeCell ref="B110:B113"/>
    <mergeCell ref="B102:B109"/>
    <mergeCell ref="B56:B76"/>
    <mergeCell ref="B40:B55"/>
    <mergeCell ref="B2:B39"/>
    <mergeCell ref="T2:T4"/>
    <mergeCell ref="T97:T100"/>
    <mergeCell ref="B91:B101"/>
    <mergeCell ref="B85:B90"/>
    <mergeCell ref="B77:B84"/>
    <mergeCell ref="T19:T24"/>
    <mergeCell ref="T16:T18"/>
    <mergeCell ref="T13:T15"/>
    <mergeCell ref="T10:T12"/>
    <mergeCell ref="T8:T9"/>
    <mergeCell ref="T5:T7"/>
    <mergeCell ref="T45:T49"/>
    <mergeCell ref="T40:T44"/>
  </mergeCells>
  <pageMargins left="0.70866141732283472" right="0.70866141732283472" top="0.74803149606299213" bottom="0.74803149606299213" header="0" footer="0"/>
  <pageSetup paperSize="5" scale="60" orientation="landscape"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00"/>
  <sheetViews>
    <sheetView tabSelected="1" zoomScale="70" zoomScaleNormal="70" workbookViewId="0">
      <pane xSplit="2" ySplit="4" topLeftCell="I8" activePane="bottomRight" state="frozen"/>
      <selection pane="topRight" activeCell="C1" sqref="C1"/>
      <selection pane="bottomLeft" activeCell="A5" sqref="A5"/>
      <selection pane="bottomRight" activeCell="B3" sqref="B3"/>
    </sheetView>
  </sheetViews>
  <sheetFormatPr baseColWidth="10" defaultColWidth="12.625" defaultRowHeight="15" customHeight="1" x14ac:dyDescent="0.2"/>
  <cols>
    <col min="1" max="1" width="13.75" style="1281" customWidth="1"/>
    <col min="2" max="2" width="62.5" style="1277" customWidth="1"/>
    <col min="3" max="3" width="27.125" style="1277" customWidth="1"/>
    <col min="4" max="4" width="21.75" style="1277" customWidth="1"/>
    <col min="5" max="5" width="15.625" style="1277" customWidth="1"/>
    <col min="6" max="6" width="0.125" style="1277" customWidth="1"/>
    <col min="7" max="7" width="22.625" style="1277" customWidth="1"/>
    <col min="8" max="8" width="21.75" style="1277" customWidth="1"/>
    <col min="9" max="9" width="25" style="1277" customWidth="1"/>
    <col min="10" max="10" width="30.875" style="1277" customWidth="1"/>
    <col min="11" max="11" width="30.875" style="1470" customWidth="1"/>
    <col min="12" max="12" width="26.5" style="1470" customWidth="1"/>
    <col min="13" max="13" width="30.875" style="1470" customWidth="1"/>
    <col min="14" max="14" width="50.5" style="1470" customWidth="1"/>
    <col min="15" max="15" width="8.875" customWidth="1"/>
    <col min="16" max="16" width="9.375" customWidth="1"/>
    <col min="17" max="17" width="36.625" customWidth="1"/>
    <col min="18" max="18" width="26.125" customWidth="1"/>
    <col min="19" max="19" width="27.625" customWidth="1"/>
    <col min="20" max="20" width="22.875" customWidth="1"/>
    <col min="21" max="21" width="22.25" customWidth="1"/>
    <col min="22" max="30" width="9.375" customWidth="1"/>
    <col min="31" max="31" width="23.125" customWidth="1"/>
    <col min="32" max="32" width="26.5" customWidth="1"/>
    <col min="33" max="33" width="27.5" customWidth="1"/>
  </cols>
  <sheetData>
    <row r="1" spans="1:36" x14ac:dyDescent="0.25">
      <c r="A1" s="1280"/>
      <c r="B1" s="37"/>
      <c r="C1" s="742">
        <f>+I4*0.6</f>
        <v>0.30706155883345682</v>
      </c>
      <c r="D1" s="743" t="e">
        <f>+K</f>
        <v>#NAME?</v>
      </c>
      <c r="E1" s="744">
        <f>+D4+G1</f>
        <v>0.28352231749597134</v>
      </c>
      <c r="F1" s="744"/>
      <c r="G1" s="744">
        <f>+G4/4</f>
        <v>9.5700831784497259E-2</v>
      </c>
      <c r="H1" s="749"/>
      <c r="I1" s="478"/>
      <c r="J1" s="478"/>
      <c r="K1" s="1519"/>
      <c r="L1" s="1519"/>
      <c r="M1" s="1519"/>
      <c r="N1" s="1645">
        <f>+D4+(O1*2)</f>
        <v>0.37922314928046863</v>
      </c>
      <c r="O1" s="746">
        <f>+G4/4</f>
        <v>9.5700831784497259E-2</v>
      </c>
      <c r="P1" s="747">
        <f>+D4+(O1*3)</f>
        <v>0.47492398106496586</v>
      </c>
      <c r="Q1" s="747">
        <f>+D4+(O1*4)</f>
        <v>0.57062481284946309</v>
      </c>
      <c r="R1" s="745"/>
      <c r="S1" s="745"/>
      <c r="T1" s="479">
        <f>+D4+(O1*3)</f>
        <v>0.47492398106496586</v>
      </c>
    </row>
    <row r="2" spans="1:36" ht="15.75" thickBot="1" x14ac:dyDescent="0.3">
      <c r="A2" s="1280">
        <f>+I4+K4</f>
        <v>0.86103679541246381</v>
      </c>
      <c r="B2" s="821"/>
      <c r="C2" s="478"/>
      <c r="D2" s="478"/>
      <c r="E2" s="478"/>
      <c r="F2" s="478"/>
      <c r="G2" s="478"/>
      <c r="H2" s="478"/>
      <c r="I2" s="478"/>
      <c r="J2" s="478"/>
      <c r="K2" s="1519"/>
      <c r="L2" s="1519"/>
      <c r="M2" s="1519"/>
      <c r="N2" s="1519"/>
      <c r="O2" s="746">
        <f>+G4/12</f>
        <v>3.1900277261499084E-2</v>
      </c>
      <c r="P2" s="744">
        <f>+D4+(O2*11)</f>
        <v>0.53872453558796396</v>
      </c>
      <c r="Q2" s="749">
        <f>+Q1*0.9</f>
        <v>0.51356233156451681</v>
      </c>
      <c r="R2" s="745"/>
      <c r="S2" s="745"/>
    </row>
    <row r="3" spans="1:36" ht="114" customHeight="1" thickBot="1" x14ac:dyDescent="0.3">
      <c r="A3" s="742">
        <f>+A2/4</f>
        <v>0.21525919885311595</v>
      </c>
      <c r="B3" s="1587" t="s">
        <v>2031</v>
      </c>
      <c r="C3" s="1588" t="s">
        <v>2032</v>
      </c>
      <c r="D3" s="1589" t="s">
        <v>2033</v>
      </c>
      <c r="E3" s="1588" t="s">
        <v>2034</v>
      </c>
      <c r="F3" s="1588"/>
      <c r="G3" s="1589" t="s">
        <v>2035</v>
      </c>
      <c r="H3" s="1588" t="s">
        <v>2036</v>
      </c>
      <c r="I3" s="1589" t="s">
        <v>2037</v>
      </c>
      <c r="J3" s="1590" t="s">
        <v>2038</v>
      </c>
      <c r="K3" s="1518" t="s">
        <v>2166</v>
      </c>
      <c r="L3" s="1584" t="s">
        <v>2283</v>
      </c>
      <c r="M3" s="1591" t="s">
        <v>2284</v>
      </c>
      <c r="N3" s="1500" t="s">
        <v>2039</v>
      </c>
      <c r="O3" s="478"/>
      <c r="P3" s="750"/>
    </row>
    <row r="4" spans="1:36" ht="60" customHeight="1" thickBot="1" x14ac:dyDescent="0.25">
      <c r="A4" s="1280"/>
      <c r="B4" s="1592" t="s">
        <v>2040</v>
      </c>
      <c r="C4" s="751">
        <f>+(C5+C51+C103+C128+C171)/5</f>
        <v>0.62246592182232174</v>
      </c>
      <c r="D4" s="1593">
        <f>+(D5+D51+D103+D128+D171)/5</f>
        <v>0.18782148571147411</v>
      </c>
      <c r="E4" s="752">
        <f>+(((E5+E51+E103+E128+E171)/5)*11)/12</f>
        <v>0.20342900154563412</v>
      </c>
      <c r="F4" s="753" t="s">
        <v>2041</v>
      </c>
      <c r="G4" s="1594">
        <f>+((G5+G51+G103+G128+G171)/5)</f>
        <v>0.38280332713798904</v>
      </c>
      <c r="H4" s="752">
        <f>+(H5+H51+H103+H128+H171)/5</f>
        <v>0.85501933712132083</v>
      </c>
      <c r="I4" s="1594">
        <f>+(I5+I51+I103+I128+I171)/5</f>
        <v>0.51176926472242801</v>
      </c>
      <c r="J4" s="1139">
        <f t="shared" ref="J4:J207" si="0">+I4-D4</f>
        <v>0.3239477790109539</v>
      </c>
      <c r="K4" s="1537">
        <f>+((K5+K51+K103+K128+K171)/5)</f>
        <v>0.34926753069003585</v>
      </c>
      <c r="L4" s="1585">
        <f>+(L5+L51+L103+L128+L171)/5</f>
        <v>0.78913997125641111</v>
      </c>
      <c r="M4" s="1795">
        <f>+(M5+M51+M103+M128+M171)/5</f>
        <v>0.73926542498722614</v>
      </c>
      <c r="N4" s="1595"/>
      <c r="O4" s="478"/>
      <c r="AE4" s="1876" t="s">
        <v>2042</v>
      </c>
      <c r="AF4" s="1877"/>
      <c r="AG4" s="1878"/>
    </row>
    <row r="5" spans="1:36" ht="32.25" customHeight="1" thickBot="1" x14ac:dyDescent="0.55000000000000004">
      <c r="B5" s="1596" t="str">
        <f>+'PILAR RESILIENTE'!A2</f>
        <v>PILAR RESILIENTE</v>
      </c>
      <c r="C5" s="754">
        <f>+(C6+C15+C24+C35+C41+C47+C30)/7</f>
        <v>0.63736873414683914</v>
      </c>
      <c r="D5" s="1597">
        <f>+(D6+D15+D24+D35+D41+D47+D30)/7</f>
        <v>0.20929137923813931</v>
      </c>
      <c r="E5" s="755">
        <f>+(E6+E15+E24+E35+E41+E47+E30)/7</f>
        <v>0.20799153966236636</v>
      </c>
      <c r="F5" s="755">
        <v>0.2001752130273482</v>
      </c>
      <c r="G5" s="1597">
        <f>+(G6+G15+G24+G35+G41+G47+G30)/7</f>
        <v>0.38611541903554603</v>
      </c>
      <c r="H5" s="754">
        <f>+(H6+H15+H24+H35+H41+H47+H30)/7</f>
        <v>0.61198385031639113</v>
      </c>
      <c r="I5" s="1144">
        <f>+(I6+I15+I24+I35+I41+I47+I30)/7</f>
        <v>0.40698420466307389</v>
      </c>
      <c r="J5" s="1140">
        <f t="shared" si="0"/>
        <v>0.19769282542493458</v>
      </c>
      <c r="K5" s="1538">
        <f>+(K6+K15+K24+K35+K41+K47+K30)/7</f>
        <v>0.40075620919542781</v>
      </c>
      <c r="L5" s="1521">
        <f>+(L6+L15+L24+L35+L41+L47+L30)/7</f>
        <v>0.68361190514235137</v>
      </c>
      <c r="M5" s="1561">
        <f>+(M6+M15+M24+M35+M41+M47+M30)/7</f>
        <v>0.64980743416302122</v>
      </c>
      <c r="N5" s="1598"/>
      <c r="Q5" s="1204"/>
      <c r="AE5" s="756" t="s">
        <v>2043</v>
      </c>
      <c r="AF5" s="757" t="s">
        <v>2044</v>
      </c>
      <c r="AG5" s="757" t="s">
        <v>2045</v>
      </c>
    </row>
    <row r="6" spans="1:36" ht="43.5" customHeight="1" thickBot="1" x14ac:dyDescent="0.3">
      <c r="A6" s="1280">
        <f>+I4+A8</f>
        <v>0.59908614739493693</v>
      </c>
      <c r="B6" s="1599" t="str">
        <f>+'PILAR RESILIENTE'!B2</f>
        <v xml:space="preserve">LINEA ESTRATEGICA  “SALVEMOS JUNTOS NUESTRO PATRIMONIO NATURAL” </v>
      </c>
      <c r="C6" s="1600">
        <f>+'PILAR RESILIENTE'!AK58</f>
        <v>0.79085272458517386</v>
      </c>
      <c r="D6" s="1600">
        <f>+'PILAR RESILIENTE'!AM58</f>
        <v>0.19296454113433995</v>
      </c>
      <c r="E6" s="1601">
        <f>+'PILAR RESILIENTE'!AB58</f>
        <v>0.2188879633553133</v>
      </c>
      <c r="F6" s="1601">
        <v>0.21643480194246623</v>
      </c>
      <c r="G6" s="1601">
        <f>+'PILAR RESILIENTE'!AC58</f>
        <v>0.34434379839334106</v>
      </c>
      <c r="H6" s="1601">
        <f>+'PILAR RESILIENTE'!AZ58</f>
        <v>0.48534737393534644</v>
      </c>
      <c r="I6" s="1602">
        <f>+'PILAR RESILIENTE'!AZ58</f>
        <v>0.48534737393534644</v>
      </c>
      <c r="J6" s="1541">
        <f t="shared" si="0"/>
        <v>0.29238283280100652</v>
      </c>
      <c r="K6" s="1522">
        <f>+'PILAR RESILIENTE'!AD58</f>
        <v>0.29316749117471969</v>
      </c>
      <c r="L6" s="1522">
        <f>+'PILAR RESILIENTE'!BK58</f>
        <v>0.80046249999999997</v>
      </c>
      <c r="M6" s="1562">
        <f>+'PILAR RESILIENTE'!BM58</f>
        <v>0.72355565936069133</v>
      </c>
      <c r="N6" s="1603"/>
      <c r="Q6" s="1204"/>
      <c r="AE6" s="758" t="s">
        <v>2046</v>
      </c>
      <c r="AF6" s="759"/>
      <c r="AG6" s="760" t="s">
        <v>2047</v>
      </c>
    </row>
    <row r="7" spans="1:36" ht="33" customHeight="1" thickBot="1" x14ac:dyDescent="0.3">
      <c r="A7" s="1282">
        <f>+A6*0.9</f>
        <v>0.53917753265544321</v>
      </c>
      <c r="B7" s="1604" t="str">
        <f>+'PILAR RESILIENTE'!T2</f>
        <v>Programa Recuperar y Restaurar Nuestras Áreas Naturales (Bosques  y  Biodiversidad y servicios Eco sistémicos)</v>
      </c>
      <c r="C7" s="1279">
        <f>+'PILAR RESILIENTE'!AK8</f>
        <v>0.84999639985599418</v>
      </c>
      <c r="D7" s="761">
        <f>+'PILAR RESILIENTE'!AM8</f>
        <v>0.20849933333333331</v>
      </c>
      <c r="E7" s="761">
        <f>+'PILAR RESILIENTE'!AB8</f>
        <v>0.28833266666666668</v>
      </c>
      <c r="F7" s="761">
        <v>0.21392022896502774</v>
      </c>
      <c r="G7" s="761">
        <f>+'PILAR RESILIENTE'!AC8</f>
        <v>0.28333333333333333</v>
      </c>
      <c r="H7" s="761">
        <f>+'PILAR RESILIENTE'!AX8</f>
        <v>0.79525757575757572</v>
      </c>
      <c r="I7" s="1605">
        <f>+'PILAR RESILIENTE'!AZ8</f>
        <v>0.40715055555555563</v>
      </c>
      <c r="J7" s="1542">
        <f t="shared" si="0"/>
        <v>0.19865122222222231</v>
      </c>
      <c r="K7" s="1514">
        <f>+'PILAR RESILIENTE'!AD8</f>
        <v>0.29722222222222222</v>
      </c>
      <c r="L7" s="1586">
        <f>+'PILAR RESILIENTE'!BK8</f>
        <v>0.95</v>
      </c>
      <c r="M7" s="1563">
        <f>+'PILAR RESILIENTE'!BM8</f>
        <v>0.65900722222222219</v>
      </c>
      <c r="N7" s="1501" t="s">
        <v>2048</v>
      </c>
      <c r="Q7" s="1204"/>
      <c r="AE7" s="762" t="s">
        <v>2049</v>
      </c>
      <c r="AF7" s="763"/>
      <c r="AG7" s="764" t="s">
        <v>2050</v>
      </c>
    </row>
    <row r="8" spans="1:36" ht="56.25" customHeight="1" thickBot="1" x14ac:dyDescent="0.3">
      <c r="A8" s="746">
        <f>+K4/4</f>
        <v>8.7316882672508964E-2</v>
      </c>
      <c r="B8" s="1604" t="str">
        <f>+'PILAR RESILIENTE'!T9</f>
        <v>Programa Ordenamiento Ambiental y Adaptación al Cambio Climático para la Sostenibilidad Ambiental. (Mitigación y Gestión del Riesgo Ambiental)</v>
      </c>
      <c r="C8" s="765">
        <f>+'PILAR RESILIENTE'!AK18</f>
        <v>1</v>
      </c>
      <c r="D8" s="35">
        <f>+'PILAR RESILIENTE'!AM18</f>
        <v>0.28750000000000003</v>
      </c>
      <c r="E8" s="761">
        <f>+'PILAR RESILIENTE'!AB18</f>
        <v>0.20388888888888893</v>
      </c>
      <c r="F8" s="35">
        <v>0.28183266666666668</v>
      </c>
      <c r="G8" s="761">
        <f>+'PILAR RESILIENTE'!AC18</f>
        <v>0.48277777777777775</v>
      </c>
      <c r="H8" s="761">
        <f>+'PILAR RESILIENTE'!AX18</f>
        <v>0.88571428571428579</v>
      </c>
      <c r="I8" s="1605">
        <f>+'PILAR RESILIENTE'!AZ18</f>
        <v>0.43166666666666664</v>
      </c>
      <c r="J8" s="1542">
        <f t="shared" si="0"/>
        <v>0.14416666666666661</v>
      </c>
      <c r="K8" s="1514">
        <f>+'PILAR RESILIENTE'!AD18</f>
        <v>0.39</v>
      </c>
      <c r="L8" s="1586">
        <f>+'PILAR RESILIENTE'!BK18</f>
        <v>0.4597</v>
      </c>
      <c r="M8" s="1563">
        <f>+'PILAR RESILIENTE'!BM18</f>
        <v>0.54803333333333326</v>
      </c>
      <c r="N8" s="1508" t="s">
        <v>2051</v>
      </c>
      <c r="Q8" s="1204"/>
      <c r="AE8" s="766" t="s">
        <v>2052</v>
      </c>
      <c r="AF8" s="767"/>
      <c r="AG8" s="764" t="s">
        <v>2053</v>
      </c>
    </row>
    <row r="9" spans="1:36" ht="36.75" customHeight="1" thickBot="1" x14ac:dyDescent="0.3">
      <c r="A9" s="1413"/>
      <c r="B9" s="1604" t="str">
        <f>+'PILAR RESILIENTE'!T19</f>
        <v xml:space="preserve">Programa Aseguramiento, Monitoreo, Control y Vigilancia Ambiental  (Sistema integrado de Monitoreo Ambiental)               </v>
      </c>
      <c r="C9" s="765">
        <f>+'PILAR RESILIENTE'!AK24</f>
        <v>0.83333333333333337</v>
      </c>
      <c r="D9" s="761">
        <f>+'PILAR RESILIENTE'!AM24</f>
        <v>0.21666666666666667</v>
      </c>
      <c r="E9" s="761">
        <f>+'PILAR RESILIENTE'!AB24</f>
        <v>0.23333333333333331</v>
      </c>
      <c r="F9" s="761">
        <v>0.22083333333333333</v>
      </c>
      <c r="G9" s="761">
        <f>+'PILAR RESILIENTE'!AC24</f>
        <v>0.51249999999999996</v>
      </c>
      <c r="H9" s="761">
        <f>+'PILAR RESILIENTE'!AX24</f>
        <v>0.94925000000000004</v>
      </c>
      <c r="I9" s="1605">
        <f>+'PILAR RESILIENTE'!AZ24</f>
        <v>0.56499999999999995</v>
      </c>
      <c r="J9" s="1542">
        <f t="shared" si="0"/>
        <v>0.34833333333333327</v>
      </c>
      <c r="K9" s="1514">
        <f>+'PILAR RESILIENTE'!AD24</f>
        <v>0.40500000000000003</v>
      </c>
      <c r="L9" s="1586">
        <f>+'PILAR RESILIENTE'!BK24</f>
        <v>0.88733333333333331</v>
      </c>
      <c r="M9" s="1563">
        <f>+'PILAR RESILIENTE'!BM24</f>
        <v>0.68533333333333335</v>
      </c>
      <c r="N9" s="1501" t="s">
        <v>2048</v>
      </c>
      <c r="Q9" s="1204"/>
    </row>
    <row r="10" spans="1:36" ht="30.75" customHeight="1" thickBot="1" x14ac:dyDescent="0.3">
      <c r="A10" s="749"/>
      <c r="B10" s="1604" t="str">
        <f>+'PILAR RESILIENTE'!T25</f>
        <v>Programa Investigación, Educación y Cultura Ambiental (Educación y Cultura Ambiental)</v>
      </c>
      <c r="C10" s="765">
        <f>+'PILAR RESILIENTE'!AK36</f>
        <v>0.98000000000000009</v>
      </c>
      <c r="D10" s="761">
        <f>+'PILAR RESILIENTE'!AM36</f>
        <v>0.25905555555555554</v>
      </c>
      <c r="E10" s="761">
        <f>+'PILAR RESILIENTE'!AB36</f>
        <v>0.25738888888888889</v>
      </c>
      <c r="F10" s="761">
        <v>0.28333333333333333</v>
      </c>
      <c r="G10" s="761">
        <f>+'PILAR RESILIENTE'!AC36</f>
        <v>0.28605555555555556</v>
      </c>
      <c r="H10" s="761">
        <f>+'PILAR RESILIENTE'!AX36</f>
        <v>1</v>
      </c>
      <c r="I10" s="1605">
        <f>+'PILAR RESILIENTE'!AZ36</f>
        <v>0.51163888888888887</v>
      </c>
      <c r="J10" s="1542">
        <f t="shared" si="0"/>
        <v>0.25258333333333333</v>
      </c>
      <c r="K10" s="1514">
        <f>+'PILAR RESILIENTE'!AD36</f>
        <v>0.32648148148148148</v>
      </c>
      <c r="L10" s="1586">
        <f>+'PILAR RESILIENTE'!BK36</f>
        <v>1</v>
      </c>
      <c r="M10" s="1563">
        <f>+'PILAR RESILIENTE'!BM36</f>
        <v>0.85143939393939394</v>
      </c>
      <c r="N10" s="1501" t="s">
        <v>2048</v>
      </c>
      <c r="Q10" s="478"/>
      <c r="R10" s="478"/>
      <c r="AE10" s="1879" t="s">
        <v>2054</v>
      </c>
      <c r="AF10" s="1880"/>
      <c r="AG10" s="1881"/>
    </row>
    <row r="11" spans="1:36" ht="48.75" customHeight="1" thickBot="1" x14ac:dyDescent="0.3">
      <c r="A11" s="749"/>
      <c r="B11" s="1604" t="str">
        <f>+'PILAR RESILIENTE'!T37</f>
        <v>Programa Salvemos Juntos Nuestro Recurso Hídrico (Gestión integral del Recurso Hídrico)</v>
      </c>
      <c r="C11" s="765">
        <f>+'PILAR RESILIENTE'!AK40</f>
        <v>0.3</v>
      </c>
      <c r="D11" s="761">
        <f>+'PILAR RESILIENTE'!AM40</f>
        <v>7.4999999999999997E-2</v>
      </c>
      <c r="E11" s="761">
        <f>+'PILAR RESILIENTE'!AB40</f>
        <v>0.29000000000000004</v>
      </c>
      <c r="F11" s="761">
        <v>0.31738888888888894</v>
      </c>
      <c r="G11" s="761">
        <f>+'PILAR RESILIENTE'!AC40</f>
        <v>0.36000000000000004</v>
      </c>
      <c r="H11" s="761">
        <f>+'PILAR RESILIENTE'!AX40</f>
        <v>0.85000000000000009</v>
      </c>
      <c r="I11" s="1605">
        <f>+'PILAR RESILIENTE'!AZ40</f>
        <v>0.3833333333333333</v>
      </c>
      <c r="J11" s="1542">
        <f t="shared" si="0"/>
        <v>0.30833333333333329</v>
      </c>
      <c r="K11" s="1514">
        <f>+'PILAR RESILIENTE'!AD40</f>
        <v>0.25666666666666665</v>
      </c>
      <c r="L11" s="1586">
        <f>+'PILAR RESILIENTE'!BK40</f>
        <v>0.74666666666666659</v>
      </c>
      <c r="M11" s="1563">
        <f>+'PILAR RESILIENTE'!BM40</f>
        <v>0.6366666666666666</v>
      </c>
      <c r="N11" s="1501" t="s">
        <v>2048</v>
      </c>
      <c r="O11" s="1784">
        <f>100%-M4</f>
        <v>0.26073457501277386</v>
      </c>
      <c r="Q11" s="1882" t="s">
        <v>2298</v>
      </c>
      <c r="R11" s="1883"/>
      <c r="AE11" s="756" t="s">
        <v>2043</v>
      </c>
      <c r="AF11" s="757" t="s">
        <v>2044</v>
      </c>
      <c r="AG11" s="757" t="s">
        <v>2045</v>
      </c>
      <c r="AJ11" s="768"/>
    </row>
    <row r="12" spans="1:36" ht="30.75" customHeight="1" thickBot="1" x14ac:dyDescent="0.3">
      <c r="A12" s="1280">
        <f>+G4-D4</f>
        <v>0.19498184142651492</v>
      </c>
      <c r="B12" s="1604" t="str">
        <f>+'PILAR RESILIENTE'!T41</f>
        <v>Programa Negocios verdes, Economía Circular, Producción y consumo sostenible (Negocios verdes Inclusivos)</v>
      </c>
      <c r="C12" s="765">
        <f>+'PILAR RESILIENTE'!AK45</f>
        <v>0.73015873015873012</v>
      </c>
      <c r="D12" s="761">
        <f>+'PILAR RESILIENTE'!AM45</f>
        <v>0.14878048780487804</v>
      </c>
      <c r="E12" s="761">
        <f>+'PILAR RESILIENTE'!AB45</f>
        <v>0.16802168021680217</v>
      </c>
      <c r="F12" s="761">
        <v>3.7499999999999999E-2</v>
      </c>
      <c r="G12" s="761">
        <f>+'PILAR RESILIENTE'!AC45</f>
        <v>0.26490514905149048</v>
      </c>
      <c r="H12" s="761">
        <f>+'PILAR RESILIENTE'!AX45</f>
        <v>1</v>
      </c>
      <c r="I12" s="1605">
        <f>+'PILAR RESILIENTE'!AZ45</f>
        <v>0.42256097560975603</v>
      </c>
      <c r="J12" s="1542">
        <f t="shared" si="0"/>
        <v>0.27378048780487796</v>
      </c>
      <c r="K12" s="1514">
        <f>+'PILAR RESILIENTE'!AD45</f>
        <v>0.34146341463414631</v>
      </c>
      <c r="L12" s="1586">
        <f>+'PILAR RESILIENTE'!BK45</f>
        <v>1</v>
      </c>
      <c r="M12" s="1563">
        <f>+'PILAR RESILIENTE'!BM45</f>
        <v>0.80230352303523034</v>
      </c>
      <c r="N12" s="1501" t="s">
        <v>2048</v>
      </c>
      <c r="O12" s="1205">
        <f>+O11/4</f>
        <v>6.5183643753193465E-2</v>
      </c>
      <c r="Q12" s="1146" t="s">
        <v>2055</v>
      </c>
      <c r="R12" s="1146" t="s">
        <v>2297</v>
      </c>
      <c r="AE12" s="758" t="s">
        <v>2046</v>
      </c>
      <c r="AF12" s="759"/>
      <c r="AG12" s="769" t="s">
        <v>2056</v>
      </c>
      <c r="AI12" s="770">
        <f>+P2*0.9</f>
        <v>0.48485208202916757</v>
      </c>
      <c r="AJ12" s="771">
        <f>27.9%*0.9</f>
        <v>0.25109999999999999</v>
      </c>
    </row>
    <row r="13" spans="1:36" ht="58.5" customHeight="1" thickBot="1" x14ac:dyDescent="0.3">
      <c r="A13" s="1280">
        <f>+A12/4</f>
        <v>4.8745460356628731E-2</v>
      </c>
      <c r="B13" s="1604" t="str">
        <f>+'PILAR RESILIENTE'!T46</f>
        <v>Programa Instituciones ambientales más modernas, eficientes y transparentes. (Fortalecimiento Institucional)</v>
      </c>
      <c r="C13" s="765">
        <f>+'PILAR RESILIENTE'!AK50</f>
        <v>0.8</v>
      </c>
      <c r="D13" s="761">
        <f>+'PILAR RESILIENTE'!AM50</f>
        <v>0.14821428571428572</v>
      </c>
      <c r="E13" s="761">
        <f>+'PILAR RESILIENTE'!AB50</f>
        <v>0.17142857142857143</v>
      </c>
      <c r="F13" s="761">
        <v>0.12285456187895212</v>
      </c>
      <c r="G13" s="761">
        <f>+'PILAR RESILIENTE'!AC50</f>
        <v>0.34642857142857142</v>
      </c>
      <c r="H13" s="761">
        <f>+'PILAR RESILIENTE'!AX50</f>
        <v>0.95</v>
      </c>
      <c r="I13" s="1605">
        <f>+'PILAR RESILIENTE'!AZ50</f>
        <v>0.70892857142857146</v>
      </c>
      <c r="J13" s="1542">
        <f t="shared" si="0"/>
        <v>0.56071428571428572</v>
      </c>
      <c r="K13" s="1514">
        <f>+'PILAR RESILIENTE'!AD50</f>
        <v>0.11761904761904762</v>
      </c>
      <c r="L13" s="1586">
        <f>+'PILAR RESILIENTE'!BK50</f>
        <v>0.80999999999999994</v>
      </c>
      <c r="M13" s="1563">
        <f>+'PILAR RESILIENTE'!BM50</f>
        <v>0.96785714285714286</v>
      </c>
      <c r="N13" s="1501" t="s">
        <v>2048</v>
      </c>
      <c r="O13" s="1785"/>
      <c r="Q13" s="772" t="s">
        <v>2057</v>
      </c>
      <c r="R13" s="1717">
        <f>+M4</f>
        <v>0.73926542498722614</v>
      </c>
      <c r="AE13" s="762" t="s">
        <v>2049</v>
      </c>
      <c r="AF13" s="763"/>
      <c r="AG13" s="773" t="s">
        <v>2058</v>
      </c>
      <c r="AI13" s="770">
        <f>+P2*0.6</f>
        <v>0.32323472135277836</v>
      </c>
      <c r="AJ13" s="774">
        <f>27.9*0.6</f>
        <v>16.739999999999998</v>
      </c>
    </row>
    <row r="14" spans="1:36" ht="31.5" customHeight="1" thickBot="1" x14ac:dyDescent="0.3">
      <c r="A14" s="1280">
        <f>+A12+(A13*2)</f>
        <v>0.29247276213977236</v>
      </c>
      <c r="B14" s="1606" t="str">
        <f>+'PILAR RESILIENTE'!T51</f>
        <v>Programa Bienestar y Protección animal</v>
      </c>
      <c r="C14" s="775">
        <f>+'PILAR RESILIENTE'!AK57</f>
        <v>0.83333333333333337</v>
      </c>
      <c r="D14" s="32">
        <f>+'PILAR RESILIENTE'!AM57</f>
        <v>0.20000000000000004</v>
      </c>
      <c r="E14" s="32">
        <f>+'PILAR RESILIENTE'!AB57</f>
        <v>0.13870967741935483</v>
      </c>
      <c r="F14" s="32">
        <v>0.37261904761904757</v>
      </c>
      <c r="G14" s="32">
        <f>+'PILAR RESILIENTE'!AC57</f>
        <v>0.21875</v>
      </c>
      <c r="H14" s="32">
        <f>+'PILAR RESILIENTE'!AX57</f>
        <v>1</v>
      </c>
      <c r="I14" s="1607">
        <f>+'PILAR RESILIENTE'!AZ57</f>
        <v>0.45249999999999996</v>
      </c>
      <c r="J14" s="1542">
        <f t="shared" si="0"/>
        <v>0.25249999999999995</v>
      </c>
      <c r="K14" s="1515">
        <f>+'PILAR RESILIENTE'!AD57</f>
        <v>0.21088709677419354</v>
      </c>
      <c r="L14" s="1586">
        <f>+'PILAR RESILIENTE'!BK57</f>
        <v>0.55000000000000004</v>
      </c>
      <c r="M14" s="1564">
        <f>+'PILAR RESILIENTE'!BM57</f>
        <v>0.63780465949820786</v>
      </c>
      <c r="N14" s="1501" t="s">
        <v>2059</v>
      </c>
      <c r="Q14" s="776" t="s">
        <v>162</v>
      </c>
      <c r="R14" s="777">
        <f>+M5</f>
        <v>0.64980743416302122</v>
      </c>
      <c r="AE14" s="766" t="s">
        <v>2052</v>
      </c>
      <c r="AF14" s="767"/>
      <c r="AG14" s="773" t="s">
        <v>2060</v>
      </c>
      <c r="AJ14" s="768"/>
    </row>
    <row r="15" spans="1:36" ht="40.5" customHeight="1" thickBot="1" x14ac:dyDescent="0.3">
      <c r="B15" s="1608" t="str">
        <f>+'PILAR RESILIENTE'!B59</f>
        <v>LÍNEA ESTRATÉGICA ESPACIO PÚBLICO, MOVILIDAD Y TRANSPORTE RESILIENTE</v>
      </c>
      <c r="C15" s="778">
        <f>+'PILAR RESILIENTE'!AK110</f>
        <v>0.609125850340136</v>
      </c>
      <c r="D15" s="779">
        <f>+'PILAR RESILIENTE'!AM110</f>
        <v>0.15547599768116671</v>
      </c>
      <c r="E15" s="779">
        <f>+'PILAR RESILIENTE'!AB110</f>
        <v>0.13261661828858617</v>
      </c>
      <c r="F15" s="779">
        <v>7.4999999999999997E-2</v>
      </c>
      <c r="G15" s="779">
        <f>+'PILAR RESILIENTE'!AC110</f>
        <v>0.3762322386922744</v>
      </c>
      <c r="H15" s="779">
        <f>+'PILAR RESILIENTE'!AX110</f>
        <v>0.71596518640350881</v>
      </c>
      <c r="I15" s="780">
        <f>+'PILAR RESILIENTE'!AZ110</f>
        <v>0.37368701858284553</v>
      </c>
      <c r="J15" s="1543">
        <f t="shared" si="0"/>
        <v>0.21821102090167882</v>
      </c>
      <c r="K15" s="1523">
        <f>+'PILAR RESILIENTE'!AD110</f>
        <v>0.32618786040567688</v>
      </c>
      <c r="L15" s="1523">
        <f>+'PILAR RESILIENTE'!BK110</f>
        <v>0.72269737103174603</v>
      </c>
      <c r="M15" s="1565">
        <f>+'PILAR RESILIENTE'!BM110</f>
        <v>0.64373690247544646</v>
      </c>
      <c r="N15" s="1506"/>
      <c r="Q15" s="772" t="s">
        <v>606</v>
      </c>
      <c r="R15" s="1633">
        <f>+M51</f>
        <v>0.82594070908882966</v>
      </c>
      <c r="U15" s="44"/>
    </row>
    <row r="16" spans="1:36" ht="30.75" customHeight="1" thickBot="1" x14ac:dyDescent="0.3">
      <c r="B16" s="1604" t="str">
        <f>+'PILAR RESILIENTE'!T59</f>
        <v>Programa Sostenibilidad del Espacio Público</v>
      </c>
      <c r="C16" s="765">
        <f>+'PILAR RESILIENTE'!AK63</f>
        <v>0.36000000000000004</v>
      </c>
      <c r="D16" s="35">
        <f>+'PILAR RESILIENTE'!AM63</f>
        <v>0.13487179487179488</v>
      </c>
      <c r="E16" s="35">
        <f>+'PILAR RESILIENTE'!AB63</f>
        <v>0.16773504273504272</v>
      </c>
      <c r="F16" s="35">
        <v>0.13169086209915615</v>
      </c>
      <c r="G16" s="35">
        <f>+'PILAR RESILIENTE'!AC63</f>
        <v>0.38999542124542125</v>
      </c>
      <c r="H16" s="35">
        <f>+'PILAR RESILIENTE'!AX63</f>
        <v>0.66625000000000001</v>
      </c>
      <c r="I16" s="1609">
        <f>+'PILAR RESILIENTE'!AZ63</f>
        <v>0.39007783882783881</v>
      </c>
      <c r="J16" s="1544">
        <f t="shared" si="0"/>
        <v>0.25520604395604396</v>
      </c>
      <c r="K16" s="1510">
        <f>+'PILAR RESILIENTE'!AD63</f>
        <v>0.36249999999999999</v>
      </c>
      <c r="L16" s="1510">
        <f>+'PILAR RESILIENTE'!BK63</f>
        <v>0.875</v>
      </c>
      <c r="M16" s="1566">
        <f>+'PILAR RESILIENTE'!BM63</f>
        <v>0.875</v>
      </c>
      <c r="N16" s="1501" t="s">
        <v>2061</v>
      </c>
      <c r="Q16" s="776" t="s">
        <v>1276</v>
      </c>
      <c r="R16" s="1634">
        <f>+M103</f>
        <v>0.81331553252547473</v>
      </c>
      <c r="AJ16" s="480"/>
    </row>
    <row r="17" spans="1:33" ht="15.75" customHeight="1" thickBot="1" x14ac:dyDescent="0.3">
      <c r="B17" s="1604" t="str">
        <f>+'PILAR RESILIENTE'!T64</f>
        <v xml:space="preserve">Programa Recuperación del Espacio Público </v>
      </c>
      <c r="C17" s="765">
        <f>+'PILAR RESILIENTE'!AK67</f>
        <v>1.0923333333333334</v>
      </c>
      <c r="D17" s="35">
        <f>+'PILAR RESILIENTE'!AM67</f>
        <v>0.34997407407407405</v>
      </c>
      <c r="E17" s="35">
        <f>+'PILAR RESILIENTE'!AB67</f>
        <v>8.7037037037037038E-2</v>
      </c>
      <c r="F17" s="35">
        <v>0.16987179487179485</v>
      </c>
      <c r="G17" s="35">
        <f>+'PILAR RESILIENTE'!AC67</f>
        <v>0.27777777777777773</v>
      </c>
      <c r="H17" s="35">
        <f>+'PILAR RESILIENTE'!AX67</f>
        <v>1</v>
      </c>
      <c r="I17" s="1609">
        <f>+'PILAR RESILIENTE'!AZ67</f>
        <v>0.6087014814814814</v>
      </c>
      <c r="J17" s="1544">
        <f t="shared" si="0"/>
        <v>0.25872740740740735</v>
      </c>
      <c r="K17" s="1510">
        <f>+'PILAR RESILIENTE'!AD67</f>
        <v>0.31666666666666665</v>
      </c>
      <c r="L17" s="1510">
        <f>+'PILAR RESILIENTE'!BK67</f>
        <v>1</v>
      </c>
      <c r="M17" s="1566">
        <f>+'PILAR RESILIENTE'!BM67</f>
        <v>1</v>
      </c>
      <c r="N17" s="1501" t="s">
        <v>2062</v>
      </c>
      <c r="Q17" s="772" t="s">
        <v>1461</v>
      </c>
      <c r="R17" s="1635">
        <f>+M128</f>
        <v>0.73724365084391763</v>
      </c>
    </row>
    <row r="18" spans="1:33" ht="44.25" customHeight="1" thickBot="1" x14ac:dyDescent="0.3">
      <c r="A18" s="1283">
        <f>+K4/4</f>
        <v>8.7316882672508964E-2</v>
      </c>
      <c r="B18" s="1604" t="str">
        <f>+'PILAR RESILIENTE'!T68</f>
        <v xml:space="preserve">Programa Generación del Espacio Público  </v>
      </c>
      <c r="C18" s="765">
        <f>+'PILAR RESILIENTE'!AK72</f>
        <v>0.3125</v>
      </c>
      <c r="D18" s="35">
        <f>+'PILAR RESILIENTE'!AM72</f>
        <v>0.17204250703517587</v>
      </c>
      <c r="E18" s="35">
        <f>+'PILAR RESILIENTE'!AB72</f>
        <v>0.10126072649527484</v>
      </c>
      <c r="F18" s="35">
        <v>9.5437037037037029E-2</v>
      </c>
      <c r="G18" s="35">
        <f>+'PILAR RESILIENTE'!AC72</f>
        <v>0.31520542766342469</v>
      </c>
      <c r="H18" s="35">
        <f>+'PILAR RESILIENTE'!AX72</f>
        <v>0.60501315789473686</v>
      </c>
      <c r="I18" s="1609">
        <f>+'PILAR RESILIENTE'!AZ72</f>
        <v>0.37213011040086408</v>
      </c>
      <c r="J18" s="1544">
        <f t="shared" si="0"/>
        <v>0.2000876033656882</v>
      </c>
      <c r="K18" s="1510">
        <f>+'PILAR RESILIENTE'!AD72</f>
        <v>0.32032659759130788</v>
      </c>
      <c r="L18" s="1510">
        <f>+'PILAR RESILIENTE'!BK72</f>
        <v>0.78040119047619039</v>
      </c>
      <c r="M18" s="1566">
        <f>+'PILAR RESILIENTE'!BM72</f>
        <v>0.5441128416906863</v>
      </c>
      <c r="N18" s="1501" t="s">
        <v>2063</v>
      </c>
      <c r="Q18" s="781" t="s">
        <v>90</v>
      </c>
      <c r="R18" s="1636">
        <f>+M171</f>
        <v>0.67001979831488723</v>
      </c>
      <c r="AE18" s="1884" t="s">
        <v>2272</v>
      </c>
      <c r="AF18" s="1885"/>
      <c r="AG18" s="1886"/>
    </row>
    <row r="19" spans="1:33" ht="30" customHeight="1" thickBot="1" x14ac:dyDescent="0.3">
      <c r="A19" s="1282">
        <f>+I4+A18</f>
        <v>0.59908614739493693</v>
      </c>
      <c r="B19" s="1604" t="str">
        <f>+'PILAR RESILIENTE'!T73</f>
        <v xml:space="preserve">Programa Movilidad en Cartagena  </v>
      </c>
      <c r="C19" s="765">
        <f>+'PILAR RESILIENTE'!AK76</f>
        <v>0</v>
      </c>
      <c r="D19" s="35">
        <f>+'PILAR RESILIENTE'!AM76</f>
        <v>0</v>
      </c>
      <c r="E19" s="35">
        <f>+'PILAR RESILIENTE'!AB76</f>
        <v>0</v>
      </c>
      <c r="F19" s="35">
        <v>0.17204250703517587</v>
      </c>
      <c r="G19" s="35">
        <f>+'PILAR RESILIENTE'!AC76</f>
        <v>0.5</v>
      </c>
      <c r="H19" s="35">
        <f>+'PILAR RESILIENTE'!AX76</f>
        <v>0.53333333333333333</v>
      </c>
      <c r="I19" s="1609">
        <f>+'PILAR RESILIENTE'!AZ76</f>
        <v>0.3666666666666667</v>
      </c>
      <c r="J19" s="1544">
        <f t="shared" si="0"/>
        <v>0.3666666666666667</v>
      </c>
      <c r="K19" s="1510">
        <f>+'PILAR RESILIENTE'!AD76</f>
        <v>0.43333333333333335</v>
      </c>
      <c r="L19" s="1510">
        <f>+'PILAR RESILIENTE'!BK76</f>
        <v>0.70000000000000007</v>
      </c>
      <c r="M19" s="1566">
        <f>+'PILAR RESILIENTE'!BM76</f>
        <v>0.59</v>
      </c>
      <c r="N19" s="1501" t="s">
        <v>2064</v>
      </c>
      <c r="T19" s="782"/>
      <c r="U19" s="782"/>
      <c r="AE19" s="1488" t="s">
        <v>2043</v>
      </c>
      <c r="AF19" s="1156" t="s">
        <v>2121</v>
      </c>
      <c r="AG19" s="1147" t="s">
        <v>2045</v>
      </c>
    </row>
    <row r="20" spans="1:33" ht="45" customHeight="1" thickBot="1" x14ac:dyDescent="0.3">
      <c r="A20" s="1284">
        <f>+A19*0.6</f>
        <v>0.35945168843696212</v>
      </c>
      <c r="B20" s="1604" t="str">
        <f>+'PILAR RESILIENTE'!T77</f>
        <v>Programa Transporte para todos</v>
      </c>
      <c r="C20" s="765">
        <f>+'PILAR RESILIENTE'!AK82</f>
        <v>0.78</v>
      </c>
      <c r="D20" s="35">
        <f>+'PILAR RESILIENTE'!AM82</f>
        <v>0.10955056179775281</v>
      </c>
      <c r="E20" s="35">
        <f>+'PILAR RESILIENTE'!AB82</f>
        <v>0.1404494382022472</v>
      </c>
      <c r="F20" s="35">
        <v>0</v>
      </c>
      <c r="G20" s="35">
        <f>+'PILAR RESILIENTE'!AC82</f>
        <v>1.4044943820224719E-2</v>
      </c>
      <c r="H20" s="35">
        <f>+'PILAR RESILIENTE'!AX82</f>
        <v>1</v>
      </c>
      <c r="I20" s="1609">
        <f>+'PILAR RESILIENTE'!AZ82</f>
        <v>0.1348314606741573</v>
      </c>
      <c r="J20" s="1544">
        <f t="shared" si="0"/>
        <v>2.5280898876404487E-2</v>
      </c>
      <c r="K20" s="1510">
        <f>+'PILAR RESILIENTE'!AD82</f>
        <v>5.4036073329390893E-2</v>
      </c>
      <c r="L20" s="1510">
        <f>+'PILAR RESILIENTE'!BK82</f>
        <v>0.5</v>
      </c>
      <c r="M20" s="1566">
        <f>+'PILAR RESILIENTE'!BM82</f>
        <v>9.4433767001774097E-2</v>
      </c>
      <c r="N20" s="1501" t="s">
        <v>2065</v>
      </c>
      <c r="AE20" s="1489" t="s">
        <v>2046</v>
      </c>
      <c r="AF20" s="759"/>
      <c r="AG20" s="1212" t="s">
        <v>2180</v>
      </c>
    </row>
    <row r="21" spans="1:33" ht="41.25" customHeight="1" thickBot="1" x14ac:dyDescent="0.3">
      <c r="A21" s="1284">
        <f>+A19*0.9</f>
        <v>0.53917753265544321</v>
      </c>
      <c r="B21" s="1604" t="str">
        <f>+'PILAR RESILIENTE'!T83</f>
        <v xml:space="preserve">Programa Reducción de la Siniestralidad vial </v>
      </c>
      <c r="C21" s="765">
        <f>+'PILAR RESILIENTE'!AK91</f>
        <v>0.2857142857142857</v>
      </c>
      <c r="D21" s="35">
        <f>+'PILAR RESILIENTE'!AM91</f>
        <v>0.10006666666666666</v>
      </c>
      <c r="E21" s="35">
        <f>+'PILAR RESILIENTE'!AB91</f>
        <v>0.10539682539682539</v>
      </c>
      <c r="F21" s="35">
        <v>0.10955056179775281</v>
      </c>
      <c r="G21" s="35">
        <f>+'PILAR RESILIENTE'!AC91</f>
        <v>0.29027777777777775</v>
      </c>
      <c r="H21" s="35">
        <f>+'PILAR RESILIENTE'!AX91</f>
        <v>0.66437500000000005</v>
      </c>
      <c r="I21" s="1609">
        <f>+'PILAR RESILIENTE'!AZ91</f>
        <v>0.35080208333333329</v>
      </c>
      <c r="J21" s="1544">
        <f t="shared" si="0"/>
        <v>0.25073541666666666</v>
      </c>
      <c r="K21" s="1510">
        <f>+'PILAR RESILIENTE'!AD91</f>
        <v>0.3698412698412698</v>
      </c>
      <c r="L21" s="1510">
        <f>+'PILAR RESILIENTE'!BK91</f>
        <v>0.63493333333333335</v>
      </c>
      <c r="M21" s="1566">
        <f>+'PILAR RESILIENTE'!BM91</f>
        <v>0.55981527777777784</v>
      </c>
      <c r="N21" s="1501" t="s">
        <v>2282</v>
      </c>
      <c r="AE21" s="1490" t="s">
        <v>2049</v>
      </c>
      <c r="AF21" s="763"/>
      <c r="AG21" s="1491" t="s">
        <v>2181</v>
      </c>
    </row>
    <row r="22" spans="1:33" ht="29.25" customHeight="1" thickBot="1" x14ac:dyDescent="0.3">
      <c r="A22" s="1281">
        <f>+A19*0.6</f>
        <v>0.35945168843696212</v>
      </c>
      <c r="B22" s="1604" t="str">
        <f>+'PILAR RESILIENTE'!T92</f>
        <v>Programa Fortalecimiento de la capacidad de respuesta del Departamento Administrativo de Tránsito y Transporte</v>
      </c>
      <c r="C22" s="765">
        <f>+'PILAR RESILIENTE'!AK98</f>
        <v>0.76666666666666661</v>
      </c>
      <c r="D22" s="35">
        <f>+'PILAR RESILIENTE'!AM98</f>
        <v>0.11804311774461029</v>
      </c>
      <c r="E22" s="35">
        <f>+'PILAR RESILIENTE'!AB98</f>
        <v>0.12041873963515753</v>
      </c>
      <c r="F22" s="35">
        <v>8.5780952380952388E-2</v>
      </c>
      <c r="G22" s="35">
        <f>+'PILAR RESILIENTE'!AC98</f>
        <v>0.52139303482587063</v>
      </c>
      <c r="H22" s="35">
        <f>+'PILAR RESILIENTE'!AX98</f>
        <v>0.76500000000000001</v>
      </c>
      <c r="I22" s="1609">
        <f>+'PILAR RESILIENTE'!AZ98</f>
        <v>0.46603959369817577</v>
      </c>
      <c r="J22" s="1544">
        <f t="shared" si="0"/>
        <v>0.34799647595356548</v>
      </c>
      <c r="K22" s="1510">
        <f>+'PILAR RESILIENTE'!AD98</f>
        <v>0.31225124378109453</v>
      </c>
      <c r="L22" s="1510">
        <f>+'PILAR RESILIENTE'!BK98</f>
        <v>0.76680000000000004</v>
      </c>
      <c r="M22" s="1566">
        <f>+'PILAR RESILIENTE'!BM98</f>
        <v>0.9038666666666666</v>
      </c>
      <c r="N22" s="1501" t="s">
        <v>2281</v>
      </c>
      <c r="P22" s="1206">
        <f>+I4-D4</f>
        <v>0.3239477790109539</v>
      </c>
      <c r="AE22" s="1492" t="s">
        <v>2052</v>
      </c>
      <c r="AF22" s="1493"/>
      <c r="AG22" s="1213" t="s">
        <v>2182</v>
      </c>
    </row>
    <row r="23" spans="1:33" ht="55.5" customHeight="1" thickBot="1" x14ac:dyDescent="0.3">
      <c r="B23" s="1610" t="str">
        <f>+'PILAR RESILIENTE'!T99</f>
        <v>Programa Movilidad Sostenible en el Distrito de Cartagena</v>
      </c>
      <c r="C23" s="765">
        <f>+'PILAR RESILIENTE'!AK109</f>
        <v>0.66666666666666663</v>
      </c>
      <c r="D23" s="35">
        <f>+'PILAR RESILIENTE'!AM109</f>
        <v>0.25925925925925924</v>
      </c>
      <c r="E23" s="35">
        <f>+'PILAR RESILIENTE'!AB109</f>
        <v>0.20601851851851852</v>
      </c>
      <c r="F23" s="35">
        <v>0.16158478441127697</v>
      </c>
      <c r="G23" s="35">
        <f>+'PILAR RESILIENTE'!AC109</f>
        <v>0.32493128773542401</v>
      </c>
      <c r="H23" s="35">
        <f>+'PILAR RESILIENTE'!AX109</f>
        <v>0.49375000000000002</v>
      </c>
      <c r="I23" s="1609">
        <f>+'PILAR RESILIENTE'!AZ109</f>
        <v>0.30024691358024691</v>
      </c>
      <c r="J23" s="1544">
        <f t="shared" si="0"/>
        <v>4.0987654320987665E-2</v>
      </c>
      <c r="K23" s="1510">
        <f>+'PILAR RESILIENTE'!AD109</f>
        <v>0.440547698702352</v>
      </c>
      <c r="L23" s="1510">
        <f>+'PILAR RESILIENTE'!BK109</f>
        <v>0.52444444444444438</v>
      </c>
      <c r="M23" s="1566">
        <f>+'PILAR RESILIENTE'!BM109</f>
        <v>0.58266666666666667</v>
      </c>
      <c r="N23" s="1501" t="s">
        <v>2066</v>
      </c>
      <c r="P23" s="478"/>
      <c r="Q23" s="1875" t="s">
        <v>2273</v>
      </c>
      <c r="R23" s="1875"/>
      <c r="S23" s="1875"/>
    </row>
    <row r="24" spans="1:33" ht="15.75" customHeight="1" thickBot="1" x14ac:dyDescent="0.3">
      <c r="A24" s="1282">
        <f>+I4+K4</f>
        <v>0.86103679541246381</v>
      </c>
      <c r="B24" s="1608" t="str">
        <f>+'PILAR RESILIENTE'!B111</f>
        <v xml:space="preserve">LÍNEA ESTRATÉGICA DESARROLLO URBANO </v>
      </c>
      <c r="C24" s="783">
        <f>+'PILAR RESILIENTE'!AK129</f>
        <v>9.0416666666666673E-2</v>
      </c>
      <c r="D24" s="784">
        <f>+'PILAR RESILIENTE'!AM129</f>
        <v>5.519615384615385E-3</v>
      </c>
      <c r="E24" s="784">
        <f>+'PILAR RESILIENTE'!AB129</f>
        <v>0.14261289394985049</v>
      </c>
      <c r="F24" s="784">
        <v>5.519615384615385E-3</v>
      </c>
      <c r="G24" s="784">
        <f>+'PILAR RESILIENTE'!AC129</f>
        <v>0.58213446926262136</v>
      </c>
      <c r="H24" s="784">
        <f>+'PILAR RESILIENTE'!AX129</f>
        <v>0.32644370941846013</v>
      </c>
      <c r="I24" s="785">
        <f>+'PILAR RESILIENTE'!AZ129</f>
        <v>0.28522087710622712</v>
      </c>
      <c r="J24" s="1545">
        <f t="shared" si="0"/>
        <v>0.27970126172161175</v>
      </c>
      <c r="K24" s="1524">
        <f>+'PILAR RESILIENTE'!AD129</f>
        <v>0.46167670638548247</v>
      </c>
      <c r="L24" s="1524">
        <f>+'PILAR RESILIENTE'!BK129</f>
        <v>0.38774912739704021</v>
      </c>
      <c r="M24" s="1567">
        <f>+'PILAR RESILIENTE'!BM129</f>
        <v>0.50124935902255641</v>
      </c>
      <c r="N24" s="1506"/>
      <c r="Q24" s="1271" t="s">
        <v>2055</v>
      </c>
      <c r="R24" s="1271" t="s">
        <v>2296</v>
      </c>
      <c r="S24" s="1494" t="s">
        <v>2195</v>
      </c>
      <c r="AE24" s="1884" t="s">
        <v>2306</v>
      </c>
      <c r="AF24" s="1885"/>
      <c r="AG24" s="1886"/>
    </row>
    <row r="25" spans="1:33" ht="15.75" customHeight="1" thickBot="1" x14ac:dyDescent="0.3">
      <c r="A25" s="1283">
        <f>+A24*0.6</f>
        <v>0.51662207724747822</v>
      </c>
      <c r="B25" s="1611" t="str">
        <f>+'PILAR RESILIENTE'!T111</f>
        <v>Programa Cartagena se Mueve</v>
      </c>
      <c r="C25" s="786">
        <f>+'PILAR RESILIENTE'!AK114</f>
        <v>4.8750000000000002E-2</v>
      </c>
      <c r="D25" s="787">
        <f>+'PILAR RESILIENTE'!AM114</f>
        <v>1.21875E-2</v>
      </c>
      <c r="E25" s="787">
        <f>+'PILAR RESILIENTE'!AB114</f>
        <v>0.25</v>
      </c>
      <c r="F25" s="787">
        <v>1.21875E-2</v>
      </c>
      <c r="G25" s="787">
        <f>+'PILAR RESILIENTE'!AC114</f>
        <v>0.45427083333333335</v>
      </c>
      <c r="H25" s="787">
        <f>+'PILAR RESILIENTE'!AX114</f>
        <v>0.77777777777777779</v>
      </c>
      <c r="I25" s="1278">
        <f>+'PILAR RESILIENTE'!AZ114</f>
        <v>0.41937500000000005</v>
      </c>
      <c r="J25" s="1546">
        <f t="shared" si="0"/>
        <v>0.40718750000000004</v>
      </c>
      <c r="K25" s="1525">
        <f>+'PILAR RESILIENTE'!AD114</f>
        <v>0.3125</v>
      </c>
      <c r="L25" s="1525">
        <f>+'PILAR RESILIENTE'!BK114</f>
        <v>1</v>
      </c>
      <c r="M25" s="1568">
        <f>+'PILAR RESILIENTE'!BM114</f>
        <v>1</v>
      </c>
      <c r="N25" s="1501" t="s">
        <v>2067</v>
      </c>
      <c r="Q25" s="1273" t="s">
        <v>2057</v>
      </c>
      <c r="R25" s="1275">
        <f t="shared" ref="R25:R30" si="1">+R13</f>
        <v>0.73926542498722614</v>
      </c>
      <c r="S25" s="1637">
        <v>0.85899999999999999</v>
      </c>
      <c r="AE25" s="1488" t="s">
        <v>2043</v>
      </c>
      <c r="AF25" s="1156" t="s">
        <v>2121</v>
      </c>
      <c r="AG25" s="1147" t="s">
        <v>2045</v>
      </c>
    </row>
    <row r="26" spans="1:33" ht="36.75" customHeight="1" thickBot="1" x14ac:dyDescent="0.3">
      <c r="B26" s="1611" t="str">
        <f>+'PILAR RESILIENTE'!T115</f>
        <v>Programa Sistema Hídrico y Plan maestro de drenajes pluviales en la ciudad para salvar el hábitat</v>
      </c>
      <c r="C26" s="786">
        <f>+'PILAR RESILIENTE'!AK118</f>
        <v>0.33333333333333331</v>
      </c>
      <c r="D26" s="787">
        <f>+'PILAR RESILIENTE'!AM118</f>
        <v>6.6605769230769227E-3</v>
      </c>
      <c r="E26" s="787">
        <f>+'PILAR RESILIENTE'!AB118</f>
        <v>0.17298941798941803</v>
      </c>
      <c r="F26" s="787">
        <v>6.6605769230769227E-3</v>
      </c>
      <c r="G26" s="787">
        <f>+'PILAR RESILIENTE'!AC118</f>
        <v>0.79401538461538468</v>
      </c>
      <c r="H26" s="787">
        <f>+'PILAR RESILIENTE'!AX118</f>
        <v>4.4440769314523031E-2</v>
      </c>
      <c r="I26" s="788">
        <f>+'PILAR RESILIENTE'!AZ118</f>
        <v>0.35530081410256414</v>
      </c>
      <c r="J26" s="1546">
        <f t="shared" si="0"/>
        <v>0.34864023717948722</v>
      </c>
      <c r="K26" s="1525">
        <f>+'PILAR RESILIENTE'!AD118</f>
        <v>0.47516665822140824</v>
      </c>
      <c r="L26" s="1525">
        <f>+'PILAR RESILIENTE'!BK118</f>
        <v>0.45907897031853429</v>
      </c>
      <c r="M26" s="1569">
        <f>+'PILAR RESILIENTE'!BM118</f>
        <v>0.43081822368421047</v>
      </c>
      <c r="N26" s="1501" t="s">
        <v>2068</v>
      </c>
      <c r="Q26" s="1273" t="s">
        <v>162</v>
      </c>
      <c r="R26" s="1275">
        <f t="shared" si="1"/>
        <v>0.64980743416302122</v>
      </c>
      <c r="S26" s="1637">
        <v>0.77149999999999996</v>
      </c>
      <c r="AE26" s="1489" t="s">
        <v>2046</v>
      </c>
      <c r="AF26" s="759"/>
      <c r="AG26" s="1212" t="s">
        <v>2183</v>
      </c>
    </row>
    <row r="27" spans="1:33" ht="43.5" customHeight="1" thickBot="1" x14ac:dyDescent="0.3">
      <c r="A27" s="1282">
        <f>+I4</f>
        <v>0.51176926472242801</v>
      </c>
      <c r="B27" s="1611" t="str">
        <f>+'PILAR RESILIENTE'!T119</f>
        <v xml:space="preserve">Programa Cartagena Ciudad de Bordes y Orillas Resiliente </v>
      </c>
      <c r="C27" s="789">
        <f>+'PILAR RESILIENTE'!AK120</f>
        <v>0</v>
      </c>
      <c r="D27" s="790">
        <f>+'PILAR RESILIENTE'!AM120</f>
        <v>0</v>
      </c>
      <c r="E27" s="790">
        <f>+'PILAR RESILIENTE'!AB120</f>
        <v>7.1428571428571425E-2</v>
      </c>
      <c r="F27" s="790">
        <v>0</v>
      </c>
      <c r="G27" s="790">
        <f>+'PILAR RESILIENTE'!AC120</f>
        <v>0.5714285714285714</v>
      </c>
      <c r="H27" s="790">
        <f>+'PILAR RESILIENTE'!AX120</f>
        <v>0.26</v>
      </c>
      <c r="I27" s="791">
        <f>+'PILAR RESILIENTE'!AZ120</f>
        <v>0.29142857142857143</v>
      </c>
      <c r="J27" s="1547">
        <f t="shared" si="0"/>
        <v>0.29142857142857143</v>
      </c>
      <c r="K27" s="1511">
        <f>+'PILAR RESILIENTE'!AD120</f>
        <v>0.25</v>
      </c>
      <c r="L27" s="1511">
        <f>+'PILAR RESILIENTE'!BK120</f>
        <v>0.38966666666666666</v>
      </c>
      <c r="M27" s="1570">
        <f>+'PILAR RESILIENTE'!BM120</f>
        <v>0.62542857142857144</v>
      </c>
      <c r="N27" s="1502" t="s">
        <v>2069</v>
      </c>
      <c r="Q27" s="1273" t="s">
        <v>606</v>
      </c>
      <c r="R27" s="1274">
        <f t="shared" si="1"/>
        <v>0.82594070908882966</v>
      </c>
      <c r="S27" s="1637">
        <v>0.90669999999999995</v>
      </c>
      <c r="AE27" s="1490" t="s">
        <v>2049</v>
      </c>
      <c r="AF27" s="763"/>
      <c r="AG27" s="1491" t="s">
        <v>2184</v>
      </c>
    </row>
    <row r="28" spans="1:33" ht="51" customHeight="1" thickBot="1" x14ac:dyDescent="0.3">
      <c r="A28" s="1285">
        <f>+K4</f>
        <v>0.34926753069003585</v>
      </c>
      <c r="B28" s="1611" t="str">
        <f>+'PILAR RESILIENTE'!T121</f>
        <v>Programa Cartagena se Conecta</v>
      </c>
      <c r="C28" s="789">
        <f>+'PILAR RESILIENTE'!AK125</f>
        <v>0</v>
      </c>
      <c r="D28" s="790">
        <f>+'PILAR RESILIENTE'!AM125</f>
        <v>0</v>
      </c>
      <c r="E28" s="790">
        <f>+'PILAR RESILIENTE'!AB125</f>
        <v>9.3646480331262938E-2</v>
      </c>
      <c r="F28" s="790">
        <v>0</v>
      </c>
      <c r="G28" s="790">
        <f>+'PILAR RESILIENTE'!AC125</f>
        <v>0.77845755693581786</v>
      </c>
      <c r="H28" s="790">
        <f>+'PILAR RESILIENTE'!AX125</f>
        <v>0</v>
      </c>
      <c r="I28" s="791">
        <f>+'PILAR RESILIENTE'!AZ125</f>
        <v>0</v>
      </c>
      <c r="J28" s="1547">
        <f t="shared" si="0"/>
        <v>0</v>
      </c>
      <c r="K28" s="1511">
        <f>+'PILAR RESILIENTE'!AD125</f>
        <v>0.92071687370600419</v>
      </c>
      <c r="L28" s="1511">
        <f>+'PILAR RESILIENTE'!BK125</f>
        <v>0</v>
      </c>
      <c r="M28" s="1570">
        <f>+'PILAR RESILIENTE'!BM125</f>
        <v>0</v>
      </c>
      <c r="N28" s="1502" t="s">
        <v>2069</v>
      </c>
      <c r="Q28" s="1273" t="s">
        <v>1276</v>
      </c>
      <c r="R28" s="1274">
        <f t="shared" si="1"/>
        <v>0.81331553252547473</v>
      </c>
      <c r="S28" s="1637">
        <v>0.87939999999999996</v>
      </c>
      <c r="AE28" s="1492" t="s">
        <v>2052</v>
      </c>
      <c r="AF28" s="1493"/>
      <c r="AG28" s="1213" t="s">
        <v>2185</v>
      </c>
    </row>
    <row r="29" spans="1:33" ht="38.25" customHeight="1" x14ac:dyDescent="0.25">
      <c r="A29" s="1282">
        <f>+A28+A27</f>
        <v>0.86103679541246381</v>
      </c>
      <c r="B29" s="1611" t="str">
        <f>+'PILAR RESILIENTE'!T126</f>
        <v>Programa Integral de Caños, lagos, lagunas y ciénagas de Cartagena de Indias</v>
      </c>
      <c r="C29" s="789">
        <f>+'PILAR RESILIENTE'!AK128</f>
        <v>7.0000000000000007E-2</v>
      </c>
      <c r="D29" s="790">
        <f>+'PILAR RESILIENTE'!AM128</f>
        <v>8.7500000000000008E-3</v>
      </c>
      <c r="E29" s="790">
        <f>+'PILAR RESILIENTE'!AB128</f>
        <v>0.125</v>
      </c>
      <c r="F29" s="790">
        <v>8.7500000000000008E-3</v>
      </c>
      <c r="G29" s="790">
        <f>+'PILAR RESILIENTE'!AC128</f>
        <v>0.3125</v>
      </c>
      <c r="H29" s="790">
        <f>+'PILAR RESILIENTE'!AX128</f>
        <v>0.55000000000000004</v>
      </c>
      <c r="I29" s="791">
        <f>+'PILAR RESILIENTE'!AZ128</f>
        <v>0.36</v>
      </c>
      <c r="J29" s="1547">
        <f t="shared" si="0"/>
        <v>0.35125000000000001</v>
      </c>
      <c r="K29" s="1511">
        <f>+'PILAR RESILIENTE'!AD128</f>
        <v>0.35</v>
      </c>
      <c r="L29" s="1511">
        <f>+'PILAR RESILIENTE'!BK128</f>
        <v>9.0000000000000011E-2</v>
      </c>
      <c r="M29" s="1570">
        <f>+'PILAR RESILIENTE'!BM128</f>
        <v>0.44999999999999996</v>
      </c>
      <c r="N29" s="1502" t="s">
        <v>2070</v>
      </c>
      <c r="Q29" s="1273" t="s">
        <v>1461</v>
      </c>
      <c r="R29" s="1275">
        <f t="shared" si="1"/>
        <v>0.73724365084391763</v>
      </c>
      <c r="S29" s="1637">
        <v>0.87490000000000001</v>
      </c>
    </row>
    <row r="30" spans="1:33" ht="31.5" customHeight="1" x14ac:dyDescent="0.25">
      <c r="A30" s="1281">
        <f>+A28/4</f>
        <v>8.7316882672508964E-2</v>
      </c>
      <c r="B30" s="1608" t="str">
        <f>+'PILAR RESILIENTE'!B130</f>
        <v>LÍNEA ESTRATÉGICA GESTIÓN DEL RIESGO.</v>
      </c>
      <c r="C30" s="783">
        <f>+'PILAR RESILIENTE'!AK151</f>
        <v>0.67799999999999994</v>
      </c>
      <c r="D30" s="784">
        <f>+'PILAR RESILIENTE'!AM151</f>
        <v>0.40286309523809527</v>
      </c>
      <c r="E30" s="784">
        <f>+'PILAR RESILIENTE'!AB151</f>
        <v>0.32642857142857146</v>
      </c>
      <c r="F30" s="784">
        <v>0.38513161375661376</v>
      </c>
      <c r="G30" s="784">
        <f>+'PILAR RESILIENTE'!AC151</f>
        <v>0.60727777777777781</v>
      </c>
      <c r="H30" s="784">
        <f>+'PILAR RESILIENTE'!AX151</f>
        <v>0.71757432818753575</v>
      </c>
      <c r="I30" s="785">
        <f>+'PILAR RESILIENTE'!AZ151</f>
        <v>0.6295298165137615</v>
      </c>
      <c r="J30" s="1545">
        <f t="shared" si="0"/>
        <v>0.22666672127566623</v>
      </c>
      <c r="K30" s="1524">
        <f>+'PILAR RESILIENTE'!AD151</f>
        <v>0.47034148827726807</v>
      </c>
      <c r="L30" s="1524">
        <f>+'PILAR RESILIENTE'!BK151</f>
        <v>0.73916666666666664</v>
      </c>
      <c r="M30" s="1567">
        <f>+'PILAR RESILIENTE'!BM151</f>
        <v>0.72826898572884813</v>
      </c>
      <c r="N30" s="1506"/>
      <c r="Q30" s="1273" t="s">
        <v>90</v>
      </c>
      <c r="R30" s="1275">
        <f t="shared" si="1"/>
        <v>0.67001979831488723</v>
      </c>
      <c r="S30" s="1637">
        <v>0.86219999999999997</v>
      </c>
    </row>
    <row r="31" spans="1:33" ht="15.75" customHeight="1" x14ac:dyDescent="0.25">
      <c r="A31" s="1282">
        <f>+A30+A27</f>
        <v>0.59908614739493693</v>
      </c>
      <c r="B31" s="1604" t="str">
        <f>+'PILAR RESILIENTE'!T130</f>
        <v>Programa Conocimiento del Riesgo</v>
      </c>
      <c r="C31" s="775">
        <f>+'PILAR RESILIENTE'!AK134</f>
        <v>0.05</v>
      </c>
      <c r="D31" s="39">
        <f>+'PILAR RESILIENTE'!AM134</f>
        <v>0.125</v>
      </c>
      <c r="E31" s="39">
        <f>+'PILAR RESILIENTE'!AB134</f>
        <v>0.625</v>
      </c>
      <c r="F31" s="39">
        <v>0.05</v>
      </c>
      <c r="G31" s="39">
        <f>+'PILAR RESILIENTE'!AC134</f>
        <v>0.5</v>
      </c>
      <c r="H31" s="39">
        <f>+'PILAR RESILIENTE'!AX134</f>
        <v>1</v>
      </c>
      <c r="I31" s="1612">
        <f>+'PILAR RESILIENTE'!AZ134</f>
        <v>0.83333333333333337</v>
      </c>
      <c r="J31" s="1548">
        <f t="shared" si="0"/>
        <v>0.70833333333333337</v>
      </c>
      <c r="K31" s="1512">
        <f>+'PILAR RESILIENTE'!AD134</f>
        <v>0.375</v>
      </c>
      <c r="L31" s="1512">
        <f>+'PILAR RESILIENTE'!BK134</f>
        <v>0.75</v>
      </c>
      <c r="M31" s="1571">
        <f>+'PILAR RESILIENTE'!BM134</f>
        <v>0.6875</v>
      </c>
      <c r="N31" s="1502" t="s">
        <v>2071</v>
      </c>
    </row>
    <row r="32" spans="1:33" ht="15.75" customHeight="1" x14ac:dyDescent="0.25">
      <c r="B32" s="1604" t="str">
        <f>+'PILAR RESILIENTE'!T135</f>
        <v>Programa Reducción del Riesgo</v>
      </c>
      <c r="C32" s="775">
        <f>+'PILAR RESILIENTE'!AK139</f>
        <v>1</v>
      </c>
      <c r="D32" s="39">
        <f>+'PILAR RESILIENTE'!AM139</f>
        <v>0.63811904761904759</v>
      </c>
      <c r="E32" s="39">
        <f>+'PILAR RESILIENTE'!AB139</f>
        <v>0.13095238095238096</v>
      </c>
      <c r="F32" s="39">
        <v>0.65478571428571419</v>
      </c>
      <c r="G32" s="39">
        <f>+'PILAR RESILIENTE'!AC139</f>
        <v>0.53050000000000008</v>
      </c>
      <c r="H32" s="39">
        <f>+'PILAR RESILIENTE'!AX139</f>
        <v>0.93696397941680964</v>
      </c>
      <c r="I32" s="1612">
        <f>+'PILAR RESILIENTE'!AZ139</f>
        <v>0.82645259938837923</v>
      </c>
      <c r="J32" s="1548">
        <f t="shared" si="0"/>
        <v>0.18833355176933164</v>
      </c>
      <c r="K32" s="1512">
        <f>+'PILAR RESILIENTE'!AD139</f>
        <v>0.3058103975535168</v>
      </c>
      <c r="L32" s="1512">
        <f>+'PILAR RESILIENTE'!BK139</f>
        <v>1</v>
      </c>
      <c r="M32" s="1571">
        <f>+'PILAR RESILIENTE'!BM139</f>
        <v>0.94113149847094801</v>
      </c>
      <c r="N32" s="1502" t="s">
        <v>2071</v>
      </c>
    </row>
    <row r="33" spans="1:14" ht="15.75" customHeight="1" x14ac:dyDescent="0.25">
      <c r="A33" s="1286">
        <f>+A31*0.9</f>
        <v>0.53917753265544321</v>
      </c>
      <c r="B33" s="1604" t="str">
        <f>+'PILAR RESILIENTE'!T140</f>
        <v>Programa Manejo de Desastre</v>
      </c>
      <c r="C33" s="775">
        <f>+'PILAR RESILIENTE'!AK146</f>
        <v>0.98399999999999999</v>
      </c>
      <c r="D33" s="39">
        <f>+'PILAR RESILIENTE'!AM146</f>
        <v>0.84833333333333338</v>
      </c>
      <c r="E33" s="39">
        <f>+'PILAR RESILIENTE'!AB146</f>
        <v>0.22333333333333333</v>
      </c>
      <c r="F33" s="39">
        <v>0.83574074074074078</v>
      </c>
      <c r="G33" s="35">
        <f>+'PILAR RESILIENTE'!AC146</f>
        <v>0.39861111111111108</v>
      </c>
      <c r="H33" s="39">
        <f>+'PILAR RESILIENTE'!AX146</f>
        <v>0.93333333333333324</v>
      </c>
      <c r="I33" s="1612">
        <f>+'PILAR RESILIENTE'!AZ146</f>
        <v>0.85833333333333339</v>
      </c>
      <c r="J33" s="1548">
        <f t="shared" si="0"/>
        <v>1.0000000000000009E-2</v>
      </c>
      <c r="K33" s="1510">
        <f>+'PILAR RESILIENTE'!AD146</f>
        <v>0.20055555555555557</v>
      </c>
      <c r="L33" s="1512">
        <f>+'PILAR RESILIENTE'!BK146</f>
        <v>0.70666666666666667</v>
      </c>
      <c r="M33" s="1571">
        <f>+'PILAR RESILIENTE'!BM146</f>
        <v>0.95111111111111113</v>
      </c>
      <c r="N33" s="1502" t="s">
        <v>2071</v>
      </c>
    </row>
    <row r="34" spans="1:14" ht="15.75" customHeight="1" x14ac:dyDescent="0.25">
      <c r="B34" s="1604" t="str">
        <f>+'PILAR RESILIENTE'!T147</f>
        <v>Programa Fortalecimiento Cuerpo de Bomberos</v>
      </c>
      <c r="C34" s="775">
        <f>+'PILAR RESILIENTE'!AK150</f>
        <v>0</v>
      </c>
      <c r="D34" s="39">
        <f>+'PILAR RESILIENTE'!AM150</f>
        <v>0</v>
      </c>
      <c r="E34" s="39">
        <f>+'PILAR RESILIENTE'!AB150</f>
        <v>0</v>
      </c>
      <c r="F34" s="39">
        <v>0</v>
      </c>
      <c r="G34" s="39">
        <f>+'PILAR RESILIENTE'!AC150</f>
        <v>1</v>
      </c>
      <c r="H34" s="39">
        <f>+'PILAR RESILIENTE'!AX150</f>
        <v>0</v>
      </c>
      <c r="I34" s="1612">
        <f>+'PILAR RESILIENTE'!AZ150</f>
        <v>0</v>
      </c>
      <c r="J34" s="1548">
        <f t="shared" si="0"/>
        <v>0</v>
      </c>
      <c r="K34" s="1512">
        <f>+'PILAR RESILIENTE'!AD150</f>
        <v>1</v>
      </c>
      <c r="L34" s="1512">
        <f>+'PILAR RESILIENTE'!BK150</f>
        <v>0.5</v>
      </c>
      <c r="M34" s="1571">
        <f>+'PILAR RESILIENTE'!BM150</f>
        <v>0.33333333333333331</v>
      </c>
      <c r="N34" s="1502" t="s">
        <v>2072</v>
      </c>
    </row>
    <row r="35" spans="1:14" ht="15.75" customHeight="1" x14ac:dyDescent="0.25">
      <c r="B35" s="1608" t="str">
        <f>+'PILAR RESILIENTE'!B152</f>
        <v>LÍNEA ESTRATÉGICA VIVIENDA  PARA TODOS</v>
      </c>
      <c r="C35" s="783">
        <f>+'PILAR RESILIENTE'!AK168</f>
        <v>0.52676923076923077</v>
      </c>
      <c r="D35" s="792">
        <f>+'PILAR RESILIENTE'!AM168</f>
        <v>0.19623111111111111</v>
      </c>
      <c r="E35" s="792">
        <f>+'PILAR RESILIENTE'!AB168</f>
        <v>0.19809460317460317</v>
      </c>
      <c r="F35" s="792">
        <v>0.21223873015873015</v>
      </c>
      <c r="G35" s="792">
        <f>+'PILAR RESILIENTE'!AC168</f>
        <v>0.29517428571428572</v>
      </c>
      <c r="H35" s="792">
        <f>+'PILAR RESILIENTE'!AX168</f>
        <v>0.79968856409192224</v>
      </c>
      <c r="I35" s="793">
        <f>+'PILAR RESILIENTE'!AZ168</f>
        <v>0.28824238095238097</v>
      </c>
      <c r="J35" s="1549">
        <f t="shared" si="0"/>
        <v>9.2011269841269866E-2</v>
      </c>
      <c r="K35" s="1526">
        <f>+'PILAR RESILIENTE'!AD168</f>
        <v>0.49651269841269841</v>
      </c>
      <c r="L35" s="1526">
        <f>+'PILAR RESILIENTE'!BK168</f>
        <v>0.4484690597898956</v>
      </c>
      <c r="M35" s="1572">
        <f>+'PILAR RESILIENTE'!BM168</f>
        <v>0.44369166666666671</v>
      </c>
      <c r="N35" s="1506"/>
    </row>
    <row r="36" spans="1:14" ht="15.75" customHeight="1" x14ac:dyDescent="0.25">
      <c r="B36" s="1604" t="str">
        <f>+'PILAR RESILIENTE'!T152</f>
        <v>Programa Juntos por una Vivienda Digna</v>
      </c>
      <c r="C36" s="775">
        <f>+'PILAR RESILIENTE'!AK154</f>
        <v>1</v>
      </c>
      <c r="D36" s="35">
        <f>+'PILAR RESILIENTE'!AM154</f>
        <v>0.3896</v>
      </c>
      <c r="E36" s="35">
        <f>+'PILAR RESILIENTE'!AB154</f>
        <v>0.34360000000000002</v>
      </c>
      <c r="F36" s="35">
        <v>0.26440000000000002</v>
      </c>
      <c r="G36" s="35">
        <f>+'PILAR RESILIENTE'!AC154</f>
        <v>0.1978</v>
      </c>
      <c r="H36" s="35">
        <f>+'PILAR RESILIENTE'!AX154</f>
        <v>0.87980769230769229</v>
      </c>
      <c r="I36" s="1609">
        <f>+'PILAR RESILIENTE'!AZ154</f>
        <v>0.57194999999999996</v>
      </c>
      <c r="J36" s="1544">
        <f t="shared" si="0"/>
        <v>0.18234999999999996</v>
      </c>
      <c r="K36" s="1510">
        <f>+'PILAR RESILIENTE'!AD154</f>
        <v>0.29499999999999998</v>
      </c>
      <c r="L36" s="1510">
        <f>+'PILAR RESILIENTE'!BK154</f>
        <v>8.2671908055634749E-2</v>
      </c>
      <c r="M36" s="1566">
        <f>+'PILAR RESILIENTE'!BM154</f>
        <v>0.58712500000000001</v>
      </c>
      <c r="N36" s="1503" t="s">
        <v>2073</v>
      </c>
    </row>
    <row r="37" spans="1:14" ht="15.75" customHeight="1" x14ac:dyDescent="0.25">
      <c r="B37" s="1604" t="str">
        <f>+'PILAR RESILIENTE'!T155</f>
        <v>Programa Mejoro Mi Casa, compromiso de todos</v>
      </c>
      <c r="C37" s="775">
        <f>+'PILAR RESILIENTE'!AK157</f>
        <v>0.5</v>
      </c>
      <c r="D37" s="35">
        <f>+'PILAR RESILIENTE'!AM157</f>
        <v>0</v>
      </c>
      <c r="E37" s="35">
        <f>+'PILAR RESILIENTE'!AB157</f>
        <v>0.10242857142857142</v>
      </c>
      <c r="F37" s="35">
        <v>0.26057142857142856</v>
      </c>
      <c r="G37" s="35">
        <f>+'PILAR RESILIENTE'!AC157</f>
        <v>0.28457142857142859</v>
      </c>
      <c r="H37" s="35">
        <f>+'PILAR RESILIENTE'!AX157</f>
        <v>0.65184140818593517</v>
      </c>
      <c r="I37" s="1609">
        <f>+'PILAR RESILIENTE'!AZ157</f>
        <v>8.6928571428571438E-2</v>
      </c>
      <c r="J37" s="1544">
        <f t="shared" si="0"/>
        <v>8.6928571428571438E-2</v>
      </c>
      <c r="K37" s="1510">
        <f>+'PILAR RESILIENTE'!AD157</f>
        <v>0.33478571428571424</v>
      </c>
      <c r="L37" s="1510">
        <f>+'PILAR RESILIENTE'!BK157</f>
        <v>0.27590422220942012</v>
      </c>
      <c r="M37" s="1566">
        <f>+'PILAR RESILIENTE'!BM157</f>
        <v>0.30649999999999999</v>
      </c>
      <c r="N37" s="1503" t="s">
        <v>2073</v>
      </c>
    </row>
    <row r="38" spans="1:14" ht="15.75" customHeight="1" x14ac:dyDescent="0.25">
      <c r="B38" s="1604" t="str">
        <f>+'PILAR RESILIENTE'!T158</f>
        <v>Programa ¡Mi Casa a lo Legal!</v>
      </c>
      <c r="C38" s="775">
        <f>+'PILAR RESILIENTE'!AK159</f>
        <v>0.63384615384615384</v>
      </c>
      <c r="D38" s="35">
        <f>+'PILAR RESILIENTE'!AM159</f>
        <v>9.1555555555555557E-2</v>
      </c>
      <c r="E38" s="35">
        <f>+'PILAR RESILIENTE'!AB159</f>
        <v>0.14444444444444443</v>
      </c>
      <c r="F38" s="35">
        <v>3.6222222222222225E-2</v>
      </c>
      <c r="G38" s="35">
        <f>+'PILAR RESILIENTE'!AC159</f>
        <v>5.6000000000000001E-2</v>
      </c>
      <c r="H38" s="35">
        <f>+'PILAR RESILIENTE'!AX159</f>
        <v>0.46679371996598346</v>
      </c>
      <c r="I38" s="1609">
        <f>+'PILAR RESILIENTE'!AZ159</f>
        <v>0.10733333333333334</v>
      </c>
      <c r="J38" s="1544">
        <f t="shared" si="0"/>
        <v>1.5777777777777779E-2</v>
      </c>
      <c r="K38" s="1510">
        <f>+'PILAR RESILIENTE'!AD159</f>
        <v>0.77777777777777779</v>
      </c>
      <c r="L38" s="1510">
        <f>+'PILAR RESILIENTE'!BK159</f>
        <v>0.33857142857142858</v>
      </c>
      <c r="M38" s="1566">
        <f>+'PILAR RESILIENTE'!BM159</f>
        <v>0.37066666666666664</v>
      </c>
      <c r="N38" s="1503" t="s">
        <v>2073</v>
      </c>
    </row>
    <row r="39" spans="1:14" ht="15.75" customHeight="1" x14ac:dyDescent="0.25">
      <c r="B39" s="1604" t="str">
        <f>+'PILAR RESILIENTE'!T160</f>
        <v>Programa Un Lugar apto para mi hogar</v>
      </c>
      <c r="C39" s="775">
        <f>+'PILAR RESILIENTE'!AK162</f>
        <v>0</v>
      </c>
      <c r="D39" s="35">
        <f>+'PILAR RESILIENTE'!AM162</f>
        <v>0</v>
      </c>
      <c r="E39" s="35">
        <f>+'PILAR RESILIENTE'!AB162</f>
        <v>0.15</v>
      </c>
      <c r="F39" s="35">
        <v>0</v>
      </c>
      <c r="G39" s="35">
        <f>+'PILAR RESILIENTE'!AC162</f>
        <v>0.5</v>
      </c>
      <c r="H39" s="35">
        <v>0</v>
      </c>
      <c r="I39" s="1609">
        <v>0.5</v>
      </c>
      <c r="J39" s="1544">
        <f t="shared" si="0"/>
        <v>0.5</v>
      </c>
      <c r="K39" s="1510">
        <f>+'PILAR RESILIENTE'!AD162</f>
        <v>0.5</v>
      </c>
      <c r="L39" s="1510">
        <f>+'PILAR RESILIENTE'!BK162</f>
        <v>1</v>
      </c>
      <c r="M39" s="1566">
        <f>+'PILAR RESILIENTE'!BM162</f>
        <v>0.5</v>
      </c>
      <c r="N39" s="1503" t="s">
        <v>2073</v>
      </c>
    </row>
    <row r="40" spans="1:14" ht="15.75" customHeight="1" x14ac:dyDescent="0.25">
      <c r="B40" s="1604" t="str">
        <f>+'PILAR RESILIENTE'!T163</f>
        <v xml:space="preserve">Programa Mi Casa, Mi Entorno, Mi Hábitat    </v>
      </c>
      <c r="C40" s="775">
        <f>+'PILAR RESILIENTE'!AK167</f>
        <v>0.5</v>
      </c>
      <c r="D40" s="35">
        <f>+'PILAR RESILIENTE'!AM167</f>
        <v>0.5</v>
      </c>
      <c r="E40" s="35">
        <f>+'PILAR RESILIENTE'!AB167</f>
        <v>0.25</v>
      </c>
      <c r="F40" s="35">
        <v>0.5</v>
      </c>
      <c r="G40" s="35">
        <f>+'PILAR RESILIENTE'!AC167</f>
        <v>0.43749999999999994</v>
      </c>
      <c r="H40" s="35"/>
      <c r="I40" s="1609">
        <f>+'PILAR RESILIENTE'!AZ167</f>
        <v>0.17499999999999999</v>
      </c>
      <c r="J40" s="1544">
        <f t="shared" si="0"/>
        <v>-0.32500000000000001</v>
      </c>
      <c r="K40" s="1510">
        <f>+'PILAR RESILIENTE'!AD167</f>
        <v>0.57499999999999996</v>
      </c>
      <c r="L40" s="1510">
        <f>+'PILAR RESILIENTE'!BK167</f>
        <v>0.54519774011299438</v>
      </c>
      <c r="M40" s="1566">
        <f>+'PILAR RESILIENTE'!BM167</f>
        <v>0.45416666666666661</v>
      </c>
      <c r="N40" s="1503" t="s">
        <v>2073</v>
      </c>
    </row>
    <row r="41" spans="1:14" ht="51" customHeight="1" x14ac:dyDescent="0.25">
      <c r="B41" s="1613" t="str">
        <f>+'PILAR RESILIENTE'!B169</f>
        <v>LÍNEA ESTRATÉGICA SERVICIOS PÚBLICOS BÁSICOS DEL DISTRITO DE CARTAGENA DE INDIAS: “TODOS CON TODO”</v>
      </c>
      <c r="C41" s="794">
        <f>+'PILAR RESILIENTE'!AK201</f>
        <v>0.94374999999999998</v>
      </c>
      <c r="D41" s="795">
        <f>+'PILAR RESILIENTE'!AM201</f>
        <v>0.13365196078431374</v>
      </c>
      <c r="E41" s="795">
        <f>+'PILAR RESILIENTE'!AB201</f>
        <v>0.1409667941063065</v>
      </c>
      <c r="F41" s="795">
        <v>0.24914256323312051</v>
      </c>
      <c r="G41" s="795">
        <f>+'PILAR RESILIENTE'!AC201</f>
        <v>0.18731203007518799</v>
      </c>
      <c r="H41" s="795">
        <f>+'PILAR RESILIENTE'!AX201</f>
        <v>0.73497766666666675</v>
      </c>
      <c r="I41" s="796">
        <f>+'PILAR RESILIENTE'!AZ201</f>
        <v>0.31431501719414817</v>
      </c>
      <c r="J41" s="1550">
        <f t="shared" si="0"/>
        <v>0.18066305640983443</v>
      </c>
      <c r="K41" s="1527">
        <f>+'PILAR RESILIENTE'!AD201</f>
        <v>0.31220880701373643</v>
      </c>
      <c r="L41" s="1531">
        <f>+'PILAR RESILIENTE'!BK201</f>
        <v>0.92021083333333331</v>
      </c>
      <c r="M41" s="1573">
        <f>+'PILAR RESILIENTE'!BM201</f>
        <v>0.74953835477582842</v>
      </c>
      <c r="N41" s="1506"/>
    </row>
    <row r="42" spans="1:14" ht="36" customHeight="1" x14ac:dyDescent="0.25">
      <c r="B42" s="1604" t="str">
        <f>+'PILAR RESILIENTE'!T169</f>
        <v>Programa de Ahorro y Uso Eficiente De Los Servicios Públicos, "Agua y Saneamiento Básico Para Todos”</v>
      </c>
      <c r="C42" s="765">
        <f>+'PILAR RESILIENTE'!AK180</f>
        <v>0.77500000000000002</v>
      </c>
      <c r="D42" s="35">
        <f>+'PILAR RESILIENTE'!AM180</f>
        <v>0.12708333333333333</v>
      </c>
      <c r="E42" s="761">
        <f>+'PILAR RESILIENTE'!AB180</f>
        <v>0.17698934837092734</v>
      </c>
      <c r="F42" s="797">
        <v>0.67293755221386797</v>
      </c>
      <c r="G42" s="761">
        <f>+'PILAR RESILIENTE'!AC180</f>
        <v>0.49924812030075189</v>
      </c>
      <c r="H42" s="761">
        <f>+'PILAR RESILIENTE'!AX180</f>
        <v>0.103244</v>
      </c>
      <c r="I42" s="1609">
        <f>+'PILAR RESILIENTE'!AZ180</f>
        <v>9.7640977443609028E-2</v>
      </c>
      <c r="J42" s="1551">
        <f t="shared" si="0"/>
        <v>-2.9442355889724298E-2</v>
      </c>
      <c r="K42" s="1514">
        <f>+'PILAR RESILIENTE'!AD180</f>
        <v>0.10124999999999999</v>
      </c>
      <c r="L42" s="1514">
        <f>+'PILAR RESILIENTE'!BK180</f>
        <v>0.76772083333333341</v>
      </c>
      <c r="M42" s="1566">
        <f>+'PILAR RESILIENTE'!BM180</f>
        <v>0.26965473684210528</v>
      </c>
      <c r="N42" s="1504" t="s">
        <v>2074</v>
      </c>
    </row>
    <row r="43" spans="1:14" ht="36.75" customHeight="1" x14ac:dyDescent="0.25">
      <c r="B43" s="1604" t="str">
        <f>+'PILAR RESILIENTE'!T181</f>
        <v>Programa Energía Asequible, Confiable Sostenible y Moderna Para Todos.</v>
      </c>
      <c r="C43" s="765">
        <f>+'PILAR RESILIENTE'!AK184</f>
        <v>1</v>
      </c>
      <c r="D43" s="761">
        <f>+'PILAR RESILIENTE'!AM184</f>
        <v>1.1764705882352942E-3</v>
      </c>
      <c r="E43" s="761">
        <f>+'PILAR RESILIENTE'!AB184</f>
        <v>0.11764705882352942</v>
      </c>
      <c r="F43" s="761">
        <v>0.11764705882352942</v>
      </c>
      <c r="G43" s="761">
        <f>+'PILAR RESILIENTE'!AC184</f>
        <v>0</v>
      </c>
      <c r="H43" s="761">
        <f>+'PILAR RESILIENTE'!AX184</f>
        <v>0.33666666666666667</v>
      </c>
      <c r="I43" s="1605">
        <f>+'PILAR RESILIENTE'!AZ184</f>
        <v>0.12310077519379846</v>
      </c>
      <c r="J43" s="1551">
        <f t="shared" si="0"/>
        <v>0.12192430460556317</v>
      </c>
      <c r="K43" s="1514">
        <f>+'PILAR RESILIENTE'!AD184</f>
        <v>0.33333333333333337</v>
      </c>
      <c r="L43" s="1514">
        <f>+'PILAR RESILIENTE'!BK184</f>
        <v>1</v>
      </c>
      <c r="M43" s="1563">
        <f>+'PILAR RESILIENTE'!BM184</f>
        <v>0.90303703703703697</v>
      </c>
      <c r="N43" s="1504" t="s">
        <v>2075</v>
      </c>
    </row>
    <row r="44" spans="1:14" ht="68.25" customHeight="1" x14ac:dyDescent="0.25">
      <c r="B44" s="1604" t="str">
        <f>+'PILAR RESILIENTE'!T185</f>
        <v>Programa Gestión Integral De Residuos Sólidos "Cultura ciudadana para el reciclaje inclusivo y la economía circular"</v>
      </c>
      <c r="C44" s="765">
        <f>+'PILAR RESILIENTE'!AK193</f>
        <v>1</v>
      </c>
      <c r="D44" s="761">
        <f>+'PILAR RESILIENTE'!AM193</f>
        <v>0.04</v>
      </c>
      <c r="E44" s="761">
        <f>+'PILAR RESILIENTE'!AB193</f>
        <v>1.9230769230769232E-2</v>
      </c>
      <c r="F44" s="761">
        <v>3.8461538461538464E-2</v>
      </c>
      <c r="G44" s="761">
        <f>+'PILAR RESILIENTE'!AC193</f>
        <v>0</v>
      </c>
      <c r="H44" s="761">
        <f>+'PILAR RESILIENTE'!AX193</f>
        <v>0.5</v>
      </c>
      <c r="I44" s="1605">
        <f>+'PILAR RESILIENTE'!AZ193</f>
        <v>0.5</v>
      </c>
      <c r="J44" s="1551">
        <f t="shared" si="0"/>
        <v>0.46</v>
      </c>
      <c r="K44" s="1514">
        <f>+'PILAR RESILIENTE'!AD193</f>
        <v>0.54646070173534866</v>
      </c>
      <c r="L44" s="1514">
        <f>+'PILAR RESILIENTE'!BK193</f>
        <v>0.83333333333333337</v>
      </c>
      <c r="M44" s="1563">
        <f>+'PILAR RESILIENTE'!BM193</f>
        <v>0.875</v>
      </c>
      <c r="N44" s="1504" t="s">
        <v>2076</v>
      </c>
    </row>
    <row r="45" spans="1:14" ht="40.5" customHeight="1" x14ac:dyDescent="0.25">
      <c r="B45" s="1604" t="str">
        <f>+'PILAR RESILIENTE'!T194</f>
        <v>Programa Sistema de Información De Los Servicios Públicos, “Servinfo”</v>
      </c>
      <c r="C45" s="765">
        <f>+'PILAR RESILIENTE'!AK195</f>
        <v>0</v>
      </c>
      <c r="D45" s="761">
        <f>+'PILAR RESILIENTE'!AM195</f>
        <v>0</v>
      </c>
      <c r="E45" s="761">
        <f>+'PILAR RESILIENTE'!AB195</f>
        <v>0</v>
      </c>
      <c r="F45" s="761">
        <v>0</v>
      </c>
      <c r="G45" s="761">
        <f>+'PILAR RESILIENTE'!AC195</f>
        <v>0</v>
      </c>
      <c r="H45" s="761"/>
      <c r="I45" s="1605"/>
      <c r="J45" s="1551">
        <f t="shared" si="0"/>
        <v>0</v>
      </c>
      <c r="K45" s="1514">
        <f>+'PILAR RESILIENTE'!AD195</f>
        <v>0.33</v>
      </c>
      <c r="L45" s="1514">
        <f>+'PILAR RESILIENTE'!BK195</f>
        <v>1</v>
      </c>
      <c r="M45" s="1563"/>
      <c r="N45" s="1508" t="s">
        <v>2077</v>
      </c>
    </row>
    <row r="46" spans="1:14" ht="15.75" customHeight="1" x14ac:dyDescent="0.25">
      <c r="B46" s="1604" t="str">
        <f>+'PILAR RESILIENTE'!T196</f>
        <v>Programa Cementerios</v>
      </c>
      <c r="C46" s="765">
        <f>+'PILAR RESILIENTE'!AK200</f>
        <v>1</v>
      </c>
      <c r="D46" s="761">
        <f>+'PILAR RESILIENTE'!AM200</f>
        <v>0.5</v>
      </c>
      <c r="E46" s="761">
        <f>+'PILAR RESILIENTE'!AB200</f>
        <v>0.25</v>
      </c>
      <c r="F46" s="797">
        <v>0.41666666666666669</v>
      </c>
      <c r="G46" s="761">
        <f>+'PILAR RESILIENTE'!AC200</f>
        <v>0.25</v>
      </c>
      <c r="H46" s="761">
        <f>+'PILAR RESILIENTE'!AX200</f>
        <v>1</v>
      </c>
      <c r="I46" s="1605">
        <f>+'PILAR RESILIENTE'!AZ200</f>
        <v>0.52083333333333337</v>
      </c>
      <c r="J46" s="1551">
        <f t="shared" si="0"/>
        <v>2.083333333333337E-2</v>
      </c>
      <c r="K46" s="1514">
        <f>+'PILAR RESILIENTE'!AD200</f>
        <v>0.25</v>
      </c>
      <c r="L46" s="1514">
        <f>+'PILAR RESILIENTE'!BK200</f>
        <v>1</v>
      </c>
      <c r="M46" s="1563">
        <f>+'PILAR RESILIENTE'!BM200</f>
        <v>0.70000000000000007</v>
      </c>
      <c r="N46" s="1504" t="s">
        <v>2078</v>
      </c>
    </row>
    <row r="47" spans="1:14" ht="47.25" customHeight="1" x14ac:dyDescent="0.25">
      <c r="B47" s="1613" t="str">
        <f>+'PILAR RESILIENTE'!B202</f>
        <v>LÍNEA ESTRATÉGICA INSTRUMENTOS DE ORDENAMIENTO TERRITORIAL.</v>
      </c>
      <c r="C47" s="798">
        <f>+'PILAR RESILIENTE'!AK217</f>
        <v>0.82266666666666666</v>
      </c>
      <c r="D47" s="799">
        <f>+'PILAR RESILIENTE'!AM217</f>
        <v>0.37833333333333335</v>
      </c>
      <c r="E47" s="799">
        <f>+'PILAR RESILIENTE'!AB217</f>
        <v>0.29633333333333334</v>
      </c>
      <c r="F47" s="799">
        <v>0.31739999999999996</v>
      </c>
      <c r="G47" s="799">
        <f>+'PILAR RESILIENTE'!AC217</f>
        <v>0.31033333333333335</v>
      </c>
      <c r="H47" s="799">
        <f>+'PILAR RESILIENTE'!AX217</f>
        <v>0.5038901235112988</v>
      </c>
      <c r="I47" s="800">
        <f>+'PILAR RESILIENTE'!AZ217</f>
        <v>0.47254694835680749</v>
      </c>
      <c r="J47" s="1552">
        <f t="shared" si="0"/>
        <v>9.421361502347414E-2</v>
      </c>
      <c r="K47" s="1528">
        <f>+'PILAR RESILIENTE'!AD217</f>
        <v>0.4451984126984127</v>
      </c>
      <c r="L47" s="1528">
        <f>+'PILAR RESILIENTE'!BK217</f>
        <v>0.76652777777777781</v>
      </c>
      <c r="M47" s="1574">
        <f>+'PILAR RESILIENTE'!BM217</f>
        <v>0.75861111111111101</v>
      </c>
      <c r="N47" s="1506"/>
    </row>
    <row r="48" spans="1:14" ht="38.25" customHeight="1" x14ac:dyDescent="0.25">
      <c r="B48" s="1604" t="str">
        <f>+'PILAR RESILIENTE'!T202</f>
        <v>Programa Plan de Ordenamiento Territorial y Especial de Manejo de Patrimonio.</v>
      </c>
      <c r="C48" s="775">
        <f>+'PILAR RESILIENTE'!AK208</f>
        <v>0.96799999999999997</v>
      </c>
      <c r="D48" s="761">
        <f>+'PILAR RESILIENTE'!AM208</f>
        <v>0.54200000000000004</v>
      </c>
      <c r="E48" s="761">
        <f>+'PILAR RESILIENTE'!AB208</f>
        <v>0.46399999999999997</v>
      </c>
      <c r="F48" s="761">
        <v>0.37719999999999998</v>
      </c>
      <c r="G48" s="761">
        <f>+'PILAR RESILIENTE'!AC208</f>
        <v>0.38400000000000001</v>
      </c>
      <c r="H48" s="761">
        <f>+'PILAR RESILIENTE'!AX208</f>
        <v>0.47453848833159179</v>
      </c>
      <c r="I48" s="1605">
        <f>+'PILAR RESILIENTE'!AZ208</f>
        <v>0.48500000000000004</v>
      </c>
      <c r="J48" s="1551">
        <f t="shared" si="0"/>
        <v>-5.6999999999999995E-2</v>
      </c>
      <c r="K48" s="1514">
        <f>+'PILAR RESILIENTE'!A208</f>
        <v>0</v>
      </c>
      <c r="L48" s="1514">
        <f>+'PILAR RESILIENTE'!BK208</f>
        <v>0.7270833333333333</v>
      </c>
      <c r="M48" s="1563">
        <f>+'PILAR RESILIENTE'!BM208</f>
        <v>0.70333333333333325</v>
      </c>
      <c r="N48" s="1505" t="s">
        <v>2079</v>
      </c>
    </row>
    <row r="49" spans="2:19" ht="33" customHeight="1" x14ac:dyDescent="0.25">
      <c r="B49" s="1604" t="str">
        <f>+'PILAR RESILIENTE'!T209</f>
        <v>Programa Administrando Juntos El Control Urbano</v>
      </c>
      <c r="C49" s="775">
        <f>+'PILAR RESILIENTE'!AK210</f>
        <v>1</v>
      </c>
      <c r="D49" s="761">
        <f>+'PILAR RESILIENTE'!AM210</f>
        <v>0.42799999999999999</v>
      </c>
      <c r="E49" s="761">
        <f>+'PILAR RESILIENTE'!AB210</f>
        <v>0.15</v>
      </c>
      <c r="F49" s="761">
        <v>0.41</v>
      </c>
      <c r="G49" s="761">
        <f>+'PILAR RESILIENTE'!AC210</f>
        <v>0.13200000000000001</v>
      </c>
      <c r="H49" s="761">
        <f>+'PILAR RESILIENTE'!AX210</f>
        <v>0.40909090909090901</v>
      </c>
      <c r="I49" s="1605">
        <f>+'PILAR RESILIENTE'!AZ210</f>
        <v>0.43</v>
      </c>
      <c r="J49" s="1551">
        <f t="shared" si="0"/>
        <v>2.0000000000000018E-3</v>
      </c>
      <c r="K49" s="1514">
        <f>+'PILAR RESILIENTE'!AD210</f>
        <v>0.5</v>
      </c>
      <c r="L49" s="1514">
        <f>+'PILAR RESILIENTE'!BK210</f>
        <v>0.96</v>
      </c>
      <c r="M49" s="1563">
        <f>+'PILAR RESILIENTE'!BM210</f>
        <v>0.90999999999999992</v>
      </c>
      <c r="N49" s="1505" t="s">
        <v>2079</v>
      </c>
    </row>
    <row r="50" spans="2:19" ht="63" customHeight="1" x14ac:dyDescent="0.25">
      <c r="B50" s="1604" t="str">
        <f>+'PILAR RESILIENTE'!T211</f>
        <v>Programa Ordenación territorial y  Recuperación social, ambiental y Urbana de la Ciénaga de la Virgen.</v>
      </c>
      <c r="C50" s="775">
        <f>+'PILAR RESILIENTE'!AK216</f>
        <v>0.5</v>
      </c>
      <c r="D50" s="761">
        <f>+'PILAR RESILIENTE'!AM216</f>
        <v>0.16500000000000001</v>
      </c>
      <c r="E50" s="761">
        <f>+'PILAR RESILIENTE'!AB216</f>
        <v>0.27500000000000002</v>
      </c>
      <c r="F50" s="761">
        <v>0.16500000000000001</v>
      </c>
      <c r="G50" s="761">
        <f>+'PILAR RESILIENTE'!AC216</f>
        <v>0.41500000000000004</v>
      </c>
      <c r="H50" s="761">
        <f>+'PILAR RESILIENTE'!AX216</f>
        <v>0.62804097311139562</v>
      </c>
      <c r="I50" s="1605">
        <f>+'PILAR RESILIENTE'!AZ216</f>
        <v>0.5026408450704225</v>
      </c>
      <c r="J50" s="1551">
        <f t="shared" si="0"/>
        <v>0.33764084507042247</v>
      </c>
      <c r="K50" s="1514">
        <f>+'PILAR RESILIENTE'!AD216</f>
        <v>0.48692857142857138</v>
      </c>
      <c r="L50" s="1514">
        <f>+'PILAR RESILIENTE'!BK216</f>
        <v>0.61250000000000004</v>
      </c>
      <c r="M50" s="1563">
        <f>+'PILAR RESILIENTE'!BM216</f>
        <v>0.66249999999999998</v>
      </c>
      <c r="N50" s="1502" t="s">
        <v>2080</v>
      </c>
    </row>
    <row r="51" spans="2:19" ht="36" customHeight="1" x14ac:dyDescent="0.25">
      <c r="B51" s="1614" t="str">
        <f>+INCLUYENTE!A2</f>
        <v>PILAR CARTAGENA INCLUYENTE</v>
      </c>
      <c r="C51" s="801">
        <f>+(C52+C63+C74+C85+C93+C100)/6</f>
        <v>0.64973008425662859</v>
      </c>
      <c r="D51" s="802">
        <f>+(D52+D63+D74+D85+D93+D100)/6</f>
        <v>0.19705891080422874</v>
      </c>
      <c r="E51" s="802">
        <f>+(E52+E63+E74+E85+E93+E100)/6</f>
        <v>0.21388643886582148</v>
      </c>
      <c r="F51" s="802">
        <v>0.2249677098927971</v>
      </c>
      <c r="G51" s="802">
        <f>+(G52+G63+G74+G85+G93+G100)/6</f>
        <v>0.31398117576902096</v>
      </c>
      <c r="H51" s="802">
        <f>+(H52+H63+H74+H85+H93+H100)/6</f>
        <v>0.81833099897376316</v>
      </c>
      <c r="I51" s="803">
        <f>+(I52+I63+I74+I85+I93+I100)/6</f>
        <v>0.55656771418855933</v>
      </c>
      <c r="J51" s="1553">
        <f t="shared" si="0"/>
        <v>0.35950880338433056</v>
      </c>
      <c r="K51" s="1529">
        <f>+(K52+K63+K74+K85+K93+K100)/6</f>
        <v>0.36730223420465541</v>
      </c>
      <c r="L51" s="1529">
        <f>+(L52+L63+L74+L85+L93+L100)/6</f>
        <v>0.8893726838674928</v>
      </c>
      <c r="M51" s="1575">
        <f>+(M52+M63+M74+M85+M93+M100)/6</f>
        <v>0.82594070908882966</v>
      </c>
      <c r="N51" s="1506"/>
    </row>
    <row r="52" spans="2:19" ht="34.5" customHeight="1" x14ac:dyDescent="0.25">
      <c r="B52" s="1615" t="str">
        <f>+INCLUYENTE!B2</f>
        <v>LÍNEA ESTRATÉGICA: SUPERACIÓN DE LA POBREZA Y DESIGUALDAD.</v>
      </c>
      <c r="C52" s="798">
        <f>+INCLUYENTE!AL44</f>
        <v>0.70277222222222235</v>
      </c>
      <c r="D52" s="804">
        <f>+INCLUYENTE!AN44</f>
        <v>9.7563026724382731E-2</v>
      </c>
      <c r="E52" s="804">
        <f>+INCLUYENTE!AC44</f>
        <v>6.8312536370888702E-2</v>
      </c>
      <c r="F52" s="804">
        <v>0.10693827460953861</v>
      </c>
      <c r="G52" s="804">
        <f>+INCLUYENTE!AD44</f>
        <v>0.23352915520440662</v>
      </c>
      <c r="H52" s="804">
        <f>+INCLUYENTE!AY44</f>
        <v>0.74958090243648035</v>
      </c>
      <c r="I52" s="805">
        <f>+INCLUYENTE!BA44</f>
        <v>0.38039715789936024</v>
      </c>
      <c r="J52" s="1554">
        <f t="shared" si="0"/>
        <v>0.28283413117497752</v>
      </c>
      <c r="K52" s="1530">
        <f>+INCLUYENTE!AE44</f>
        <v>0.42182229267210192</v>
      </c>
      <c r="L52" s="1530">
        <f>+INCLUYENTE!BL44</f>
        <v>0.8531582811753925</v>
      </c>
      <c r="M52" s="1576">
        <f>+INCLUYENTE!BN44</f>
        <v>0.75270263213906807</v>
      </c>
      <c r="N52" s="1506"/>
    </row>
    <row r="53" spans="2:19" ht="44.25" customHeight="1" x14ac:dyDescent="0.25">
      <c r="B53" s="1616" t="str">
        <f>+INCLUYENTE!U2</f>
        <v xml:space="preserve">Programa: Identificación para la superación de la pobreza extrema y desigualdad </v>
      </c>
      <c r="C53" s="807">
        <f>+INCLUYENTE!AL5</f>
        <v>1</v>
      </c>
      <c r="D53" s="39">
        <f>+INCLUYENTE!AN5</f>
        <v>7.965976086897042E-2</v>
      </c>
      <c r="E53" s="39">
        <f>+INCLUYENTE!AC5</f>
        <v>5.0346931516594161E-2</v>
      </c>
      <c r="F53" s="39">
        <v>7.965976086897042E-2</v>
      </c>
      <c r="G53" s="39">
        <f>+INCLUYENTE!AD5</f>
        <v>0.28892172152452872</v>
      </c>
      <c r="H53" s="39">
        <f>+INCLUYENTE!AY5</f>
        <v>0.5295299145299146</v>
      </c>
      <c r="I53" s="1612">
        <f>+INCLUYENTE!BA5</f>
        <v>0.23332387479821612</v>
      </c>
      <c r="J53" s="1548">
        <f t="shared" si="0"/>
        <v>0.1536641139292457</v>
      </c>
      <c r="K53" s="1512">
        <f>+INCLUYENTE!AE5</f>
        <v>0.47608689704232682</v>
      </c>
      <c r="L53" s="1512">
        <f>+INCLUYENTE!BL5</f>
        <v>0.58180841102658987</v>
      </c>
      <c r="M53" s="1571">
        <f>+INCLUYENTE!BN5</f>
        <v>0.58027520315193304</v>
      </c>
      <c r="N53" s="1502" t="s">
        <v>2081</v>
      </c>
    </row>
    <row r="54" spans="2:19" ht="15.75" customHeight="1" x14ac:dyDescent="0.25">
      <c r="B54" s="1616" t="str">
        <f>+INCLUYENTE!U6</f>
        <v xml:space="preserve">Programa: Salud para la superación de la pobreza extrema y desigualdad </v>
      </c>
      <c r="C54" s="807">
        <f>+INCLUYENTE!AL9</f>
        <v>1</v>
      </c>
      <c r="D54" s="39">
        <f>+INCLUYENTE!AN9</f>
        <v>0.128919012818282</v>
      </c>
      <c r="E54" s="39">
        <f>+INCLUYENTE!AC9</f>
        <v>6.0306826750188502E-2</v>
      </c>
      <c r="F54" s="39">
        <v>0.12911758241758242</v>
      </c>
      <c r="G54" s="39">
        <f>+INCLUYENTE!AD9</f>
        <v>0.3372165187634128</v>
      </c>
      <c r="H54" s="39">
        <f>+INCLUYENTE!AY9</f>
        <v>0.53688095238095246</v>
      </c>
      <c r="I54" s="1612">
        <f>+INCLUYENTE!BA9</f>
        <v>0.307784623861725</v>
      </c>
      <c r="J54" s="1548">
        <f t="shared" si="0"/>
        <v>0.17886561104344301</v>
      </c>
      <c r="K54" s="1512">
        <f>+INCLUYENTE!AE9</f>
        <v>0.48283017226378977</v>
      </c>
      <c r="L54" s="1512">
        <f>+INCLUYENTE!BL9</f>
        <v>0.8149462212745795</v>
      </c>
      <c r="M54" s="1571">
        <f>+INCLUYENTE!BN9</f>
        <v>0.79293732962125174</v>
      </c>
      <c r="N54" s="1502" t="s">
        <v>2081</v>
      </c>
    </row>
    <row r="55" spans="2:19" ht="28.5" customHeight="1" x14ac:dyDescent="0.25">
      <c r="B55" s="1616" t="str">
        <f>+INCLUYENTE!U10</f>
        <v>Programa: Educación para la superación de la pobreza extrema y la desigualdad</v>
      </c>
      <c r="C55" s="807">
        <f>+INCLUYENTE!AL14</f>
        <v>0.90500000000000003</v>
      </c>
      <c r="D55" s="39">
        <f>+INCLUYENTE!AN14</f>
        <v>5.0482445061884318E-2</v>
      </c>
      <c r="E55" s="39">
        <f>+INCLUYENTE!AC14</f>
        <v>2.0064725940894167E-2</v>
      </c>
      <c r="F55" s="39">
        <v>5.0482445061884318E-2</v>
      </c>
      <c r="G55" s="39">
        <f>+INCLUYENTE!AD14</f>
        <v>0.16282362970447084</v>
      </c>
      <c r="H55" s="39">
        <f>+INCLUYENTE!AY14</f>
        <v>0.90800000000000003</v>
      </c>
      <c r="I55" s="1612">
        <f>+INCLUYENTE!BA14</f>
        <v>0.28444078365748926</v>
      </c>
      <c r="J55" s="1548">
        <f t="shared" si="0"/>
        <v>0.23395833859560494</v>
      </c>
      <c r="K55" s="1512">
        <f>+INCLUYENTE!AE14</f>
        <v>0.40491061505430664</v>
      </c>
      <c r="L55" s="1512">
        <f>+INCLUYENTE!BL14</f>
        <v>1</v>
      </c>
      <c r="M55" s="1571">
        <f>+INCLUYENTE!BN14</f>
        <v>0.85717223941230947</v>
      </c>
      <c r="N55" s="1501" t="s">
        <v>2082</v>
      </c>
    </row>
    <row r="56" spans="2:19" ht="33" customHeight="1" x14ac:dyDescent="0.25">
      <c r="B56" s="1616" t="str">
        <f>+INCLUYENTE!U15</f>
        <v>Programa: Habitabilidad para la superación de la pobreza extrema y la desigualdad</v>
      </c>
      <c r="C56" s="807">
        <f>+INCLUYENTE!AL18</f>
        <v>0</v>
      </c>
      <c r="D56" s="39">
        <f>+INCLUYENTE!AN18</f>
        <v>0</v>
      </c>
      <c r="E56" s="39">
        <f>+INCLUYENTE!AC18</f>
        <v>7.4386520754645177E-2</v>
      </c>
      <c r="F56" s="39">
        <v>0</v>
      </c>
      <c r="G56" s="39">
        <f>+INCLUYENTE!AD18</f>
        <v>5.8070420280671331E-2</v>
      </c>
      <c r="H56" s="39">
        <f>+INCLUYENTE!AY18</f>
        <v>0.33333333333333331</v>
      </c>
      <c r="I56" s="1612">
        <f>+INCLUYENTE!BA18</f>
        <v>0.13838748495788208</v>
      </c>
      <c r="J56" s="1548">
        <f t="shared" si="0"/>
        <v>0.13838748495788208</v>
      </c>
      <c r="K56" s="1512">
        <f>+INCLUYENTE!AE18</f>
        <v>0.25524522582239895</v>
      </c>
      <c r="L56" s="1512">
        <f>+INCLUYENTE!BL18</f>
        <v>0.99199999999999999</v>
      </c>
      <c r="M56" s="1571">
        <f>+INCLUYENTE!BN18</f>
        <v>0.42149160912543343</v>
      </c>
      <c r="N56" s="1501" t="s">
        <v>2083</v>
      </c>
    </row>
    <row r="57" spans="2:19" ht="32.25" customHeight="1" x14ac:dyDescent="0.25">
      <c r="B57" s="1616" t="str">
        <f>+INCLUYENTE!U19</f>
        <v xml:space="preserve">Programa Ingresos y trabajo para la superación de la pobreza extrema y desigualdad </v>
      </c>
      <c r="C57" s="807">
        <f>+INCLUYENTE!AL24</f>
        <v>0.2</v>
      </c>
      <c r="D57" s="39">
        <f>+INCLUYENTE!AN24</f>
        <v>2.3133333333333332E-2</v>
      </c>
      <c r="E57" s="39">
        <f>+INCLUYENTE!AC24</f>
        <v>2.8333333333333332E-2</v>
      </c>
      <c r="F57" s="39">
        <v>2.3133333333333332E-2</v>
      </c>
      <c r="G57" s="39">
        <f>+INCLUYENTE!AD24</f>
        <v>0.16333333333333333</v>
      </c>
      <c r="H57" s="39">
        <f>+INCLUYENTE!AY24</f>
        <v>0.5151</v>
      </c>
      <c r="I57" s="1612">
        <f>+INCLUYENTE!BA24</f>
        <v>0.19333333333333333</v>
      </c>
      <c r="J57" s="1548">
        <f t="shared" si="0"/>
        <v>0.17019999999999999</v>
      </c>
      <c r="K57" s="1512">
        <f>+INCLUYENTE!AE24</f>
        <v>0.45753333333333329</v>
      </c>
      <c r="L57" s="1512">
        <f>+INCLUYENTE!BL24</f>
        <v>0.75184356406814079</v>
      </c>
      <c r="M57" s="1571">
        <f>+INCLUYENTE!BN24</f>
        <v>0.55725000000000002</v>
      </c>
      <c r="N57" s="1502" t="s">
        <v>2081</v>
      </c>
    </row>
    <row r="58" spans="2:19" ht="54" customHeight="1" x14ac:dyDescent="0.25">
      <c r="B58" s="1616" t="str">
        <f>+INCLUYENTE!U25</f>
        <v xml:space="preserve">Programa: Bancarización para la superación de la pobreza extrema y desigualdad </v>
      </c>
      <c r="C58" s="807">
        <f>+INCLUYENTE!AL28</f>
        <v>0.54233333333333333</v>
      </c>
      <c r="D58" s="39">
        <f>+INCLUYENTE!AN28</f>
        <v>9.8252873563218393E-2</v>
      </c>
      <c r="E58" s="39">
        <f>+INCLUYENTE!AC28</f>
        <v>0.10169220945083013</v>
      </c>
      <c r="F58" s="39">
        <v>9.7319540229885051E-2</v>
      </c>
      <c r="G58" s="39">
        <f>+INCLUYENTE!AD28</f>
        <v>0.18933588761174969</v>
      </c>
      <c r="H58" s="39">
        <f>+INCLUYENTE!AY28</f>
        <v>0.93</v>
      </c>
      <c r="I58" s="1612">
        <f>+INCLUYENTE!BA28</f>
        <v>0.57225925925925925</v>
      </c>
      <c r="J58" s="1548">
        <f t="shared" si="0"/>
        <v>0.47400638569604087</v>
      </c>
      <c r="K58" s="1512">
        <f>+INCLUYENTE!AE28</f>
        <v>0.64955172413793105</v>
      </c>
      <c r="L58" s="1512">
        <f>+INCLUYENTE!BL28</f>
        <v>0.46233333333333332</v>
      </c>
      <c r="M58" s="1571">
        <f>+INCLUYENTE!BN28</f>
        <v>0.69381481481481488</v>
      </c>
      <c r="N58" s="1502" t="s">
        <v>2081</v>
      </c>
      <c r="Q58" s="1875" t="s">
        <v>2276</v>
      </c>
      <c r="R58" s="1875"/>
      <c r="S58" s="1875"/>
    </row>
    <row r="59" spans="2:19" ht="45.75" customHeight="1" x14ac:dyDescent="0.25">
      <c r="B59" s="1616" t="str">
        <f>+INCLUYENTE!U29</f>
        <v>Programa: Dinámica Familiar para la Superación de la Pobreza Extrema</v>
      </c>
      <c r="C59" s="807">
        <f>+INCLUYENTE!AL32</f>
        <v>0.97388888888888892</v>
      </c>
      <c r="D59" s="39">
        <f>+INCLUYENTE!AN32</f>
        <v>0.22112627088546957</v>
      </c>
      <c r="E59" s="39">
        <f>+INCLUYENTE!AC32</f>
        <v>9.5606160896430717E-2</v>
      </c>
      <c r="F59" s="39">
        <v>0.22112627088546957</v>
      </c>
      <c r="G59" s="39">
        <f>+INCLUYENTE!AD32</f>
        <v>0.25290429112996571</v>
      </c>
      <c r="H59" s="39">
        <f>+INCLUYENTE!AY32</f>
        <v>1</v>
      </c>
      <c r="I59" s="1612">
        <f>+INCLUYENTE!BA32</f>
        <v>0.55443499414186248</v>
      </c>
      <c r="J59" s="1548">
        <f t="shared" si="0"/>
        <v>0.33330872325639294</v>
      </c>
      <c r="K59" s="1512">
        <f>+INCLUYENTE!AE32</f>
        <v>0.28857064394676823</v>
      </c>
      <c r="L59" s="1512">
        <f>+INCLUYENTE!BL32</f>
        <v>0.94793333333333329</v>
      </c>
      <c r="M59" s="1571">
        <f>+INCLUYENTE!BN32</f>
        <v>0.84539191175863293</v>
      </c>
      <c r="N59" s="1502" t="s">
        <v>2081</v>
      </c>
      <c r="Q59" s="1271" t="s">
        <v>2055</v>
      </c>
      <c r="R59" s="1271" t="s">
        <v>2275</v>
      </c>
      <c r="S59" s="1272" t="s">
        <v>2196</v>
      </c>
    </row>
    <row r="60" spans="2:19" ht="29.25" customHeight="1" x14ac:dyDescent="0.25">
      <c r="B60" s="1616" t="str">
        <f>+INCLUYENTE!U33</f>
        <v>Programa Seguridad alimentaria y nutrición para la superación de la pobreza extrema</v>
      </c>
      <c r="C60" s="807">
        <f>+INCLUYENTE!AL37</f>
        <v>0.5</v>
      </c>
      <c r="D60" s="39">
        <f>+INCLUYENTE!AN37</f>
        <v>3.2151785714285716E-2</v>
      </c>
      <c r="E60" s="39">
        <f>+INCLUYENTE!AC37</f>
        <v>6.7931547619047628E-2</v>
      </c>
      <c r="F60" s="808">
        <v>0.12663902829987764</v>
      </c>
      <c r="G60" s="39">
        <f>+INCLUYENTE!AD37</f>
        <v>0.26428571428571429</v>
      </c>
      <c r="H60" s="39">
        <f>+INCLUYENTE!AY37</f>
        <v>1</v>
      </c>
      <c r="I60" s="1612">
        <f>+INCLUYENTE!BA37</f>
        <v>0.53269270833333326</v>
      </c>
      <c r="J60" s="1548">
        <f t="shared" si="0"/>
        <v>0.50054092261904759</v>
      </c>
      <c r="K60" s="1512">
        <f>+INCLUYENTE!AE37</f>
        <v>0.42902777777777779</v>
      </c>
      <c r="L60" s="1512">
        <f>+INCLUYENTE!BL37</f>
        <v>0.9807179487179486</v>
      </c>
      <c r="M60" s="1571">
        <f>+INCLUYENTE!BN37</f>
        <v>0.94442187499999997</v>
      </c>
      <c r="N60" s="1501" t="s">
        <v>2084</v>
      </c>
      <c r="Q60" s="1273" t="s">
        <v>2057</v>
      </c>
      <c r="R60" s="1495">
        <f t="shared" ref="R60:R65" si="2">+R25</f>
        <v>0.73926542498722614</v>
      </c>
      <c r="S60" s="1276">
        <v>0.51700000000000002</v>
      </c>
    </row>
    <row r="61" spans="2:19" ht="42.75" customHeight="1" x14ac:dyDescent="0.25">
      <c r="B61" s="1616" t="str">
        <f>+INCLUYENTE!U38</f>
        <v>Programa: Acceso a la justicia para la superación de la pobreza extrema y desigualdad</v>
      </c>
      <c r="C61" s="807">
        <f>+INCLUYENTE!AL40</f>
        <v>0.90649999999999997</v>
      </c>
      <c r="D61" s="39">
        <f>+INCLUYENTE!AN40</f>
        <v>0.11799999999999999</v>
      </c>
      <c r="E61" s="39">
        <f>+INCLUYENTE!AC40</f>
        <v>9.3333333333333338E-2</v>
      </c>
      <c r="F61" s="39">
        <v>0.11799999999999999</v>
      </c>
      <c r="G61" s="39">
        <f>+INCLUYENTE!AD40</f>
        <v>0.26785714285714285</v>
      </c>
      <c r="H61" s="39">
        <f>+INCLUYENTE!AY40</f>
        <v>1</v>
      </c>
      <c r="I61" s="1612">
        <f>+INCLUYENTE!BA40</f>
        <v>0.4482666666666667</v>
      </c>
      <c r="J61" s="1548">
        <f t="shared" si="0"/>
        <v>0.33026666666666671</v>
      </c>
      <c r="K61" s="1512">
        <f>+INCLUYENTE!AE40</f>
        <v>0.4</v>
      </c>
      <c r="L61" s="1512">
        <f>+INCLUYENTE!BL40</f>
        <v>1</v>
      </c>
      <c r="M61" s="1571">
        <f>+INCLUYENTE!BN40</f>
        <v>0.9129166666666666</v>
      </c>
      <c r="N61" s="1501" t="s">
        <v>2083</v>
      </c>
      <c r="Q61" s="1273" t="s">
        <v>162</v>
      </c>
      <c r="R61" s="1274">
        <f t="shared" si="2"/>
        <v>0.64980743416302122</v>
      </c>
      <c r="S61" s="1276">
        <v>0.42</v>
      </c>
    </row>
    <row r="62" spans="2:19" ht="36.75" customHeight="1" x14ac:dyDescent="0.25">
      <c r="B62" s="1616" t="str">
        <f>+INCLUYENTE!U41</f>
        <v>Programa: Fortalecimiento institucional para superación de la pobreza extrema y desigualdad</v>
      </c>
      <c r="C62" s="807">
        <f>+INCLUYENTE!AL43</f>
        <v>1</v>
      </c>
      <c r="D62" s="39">
        <f>+INCLUYENTE!AN43</f>
        <v>0.22390478499838345</v>
      </c>
      <c r="E62" s="39">
        <f>+INCLUYENTE!AC43</f>
        <v>9.1123774113589823E-2</v>
      </c>
      <c r="F62" s="39">
        <v>0.22390478499838345</v>
      </c>
      <c r="G62" s="39">
        <f>+INCLUYENTE!AD43</f>
        <v>0.3505428925530768</v>
      </c>
      <c r="H62" s="39">
        <f>+INCLUYENTE!AY43</f>
        <v>0.74296482412060305</v>
      </c>
      <c r="I62" s="1612">
        <f>+INCLUYENTE!BA43</f>
        <v>0.53904784998383448</v>
      </c>
      <c r="J62" s="1548">
        <f t="shared" si="0"/>
        <v>0.31514306498545103</v>
      </c>
      <c r="K62" s="1512">
        <f>+INCLUYENTE!AE43</f>
        <v>0.374466537342386</v>
      </c>
      <c r="L62" s="1512">
        <f>+INCLUYENTE!BL43</f>
        <v>1</v>
      </c>
      <c r="M62" s="1571">
        <f>+INCLUYENTE!BN43</f>
        <v>0.92135467183963793</v>
      </c>
      <c r="N62" s="1501" t="s">
        <v>2083</v>
      </c>
      <c r="Q62" s="1273" t="s">
        <v>606</v>
      </c>
      <c r="R62" s="1274">
        <f t="shared" si="2"/>
        <v>0.82594070908882966</v>
      </c>
      <c r="S62" s="1276">
        <v>0.56000000000000005</v>
      </c>
    </row>
    <row r="63" spans="2:19" ht="46.5" customHeight="1" x14ac:dyDescent="0.25">
      <c r="B63" s="1613" t="str">
        <f>+INCLUYENTE!B45</f>
        <v>LÍNEA EDUCACIÓN: CULTURA DE LA FORMACIÓN “Con la Educación para Todos y Todas Salvamos Juntos a Cartagena”</v>
      </c>
      <c r="C63" s="798">
        <f>+INCLUYENTE!AL100</f>
        <v>0.585361342580767</v>
      </c>
      <c r="D63" s="809">
        <f>+INCLUYENTE!AN100</f>
        <v>0.19057870516762102</v>
      </c>
      <c r="E63" s="809">
        <f>+INCLUYENTE!AC100</f>
        <v>0.2668712925410216</v>
      </c>
      <c r="F63" s="809">
        <v>0.331874540125629</v>
      </c>
      <c r="G63" s="809">
        <f>+INCLUYENTE!AD100</f>
        <v>0.35573196662595408</v>
      </c>
      <c r="H63" s="809">
        <f>+INCLUYENTE!AY100</f>
        <v>0.86319156834776511</v>
      </c>
      <c r="I63" s="810">
        <f>+INCLUYENTE!BA100</f>
        <v>0.51959755944461627</v>
      </c>
      <c r="J63" s="1555">
        <f t="shared" si="0"/>
        <v>0.32901885427699529</v>
      </c>
      <c r="K63" s="1531">
        <f>+INCLUYENTE!AE100</f>
        <v>0.24848615366130708</v>
      </c>
      <c r="L63" s="1531">
        <f>+INCLUYENTE!BL100</f>
        <v>0.85663931263507642</v>
      </c>
      <c r="M63" s="1577">
        <f>+INCLUYENTE!BN100</f>
        <v>0.81211184128851488</v>
      </c>
      <c r="N63" s="1506"/>
      <c r="Q63" s="1273" t="s">
        <v>1276</v>
      </c>
      <c r="R63" s="1274">
        <f t="shared" si="2"/>
        <v>0.81331553252547473</v>
      </c>
      <c r="S63" s="1276">
        <v>0.53</v>
      </c>
    </row>
    <row r="64" spans="2:19" ht="15.75" customHeight="1" x14ac:dyDescent="0.25">
      <c r="B64" s="1604" t="str">
        <f>+INCLUYENTE!U45</f>
        <v>Programa: Acogida “atención a poblaciones y estrategias de acceso y permanencia”</v>
      </c>
      <c r="C64" s="765">
        <f>+INCLUYENTE!AL52</f>
        <v>0.33333333333333331</v>
      </c>
      <c r="D64" s="39">
        <f>+INCLUYENTE!AN52</f>
        <v>0.11588158730158729</v>
      </c>
      <c r="E64" s="39">
        <f>+INCLUYENTE!AC52</f>
        <v>0.17353059581320451</v>
      </c>
      <c r="F64" s="39">
        <v>6.5195185185185175E-2</v>
      </c>
      <c r="G64" s="39">
        <f>+INCLUYENTE!AD52</f>
        <v>0.28868760064412241</v>
      </c>
      <c r="H64" s="39">
        <f>+INCLUYENTE!AY52</f>
        <v>0.9394285714285715</v>
      </c>
      <c r="I64" s="1612">
        <f>+INCLUYENTE!BA52</f>
        <v>0.53331806245686686</v>
      </c>
      <c r="J64" s="1548">
        <f t="shared" si="0"/>
        <v>0.4174364751552796</v>
      </c>
      <c r="K64" s="1512">
        <f>+INCLUYENTE!AE52</f>
        <v>0.30404589371980673</v>
      </c>
      <c r="L64" s="1512">
        <f>+INCLUYENTE!BL52</f>
        <v>0.81512820512820516</v>
      </c>
      <c r="M64" s="1571">
        <f>+INCLUYENTE!BN52</f>
        <v>0.82434265010351981</v>
      </c>
      <c r="N64" s="1506" t="s">
        <v>2085</v>
      </c>
      <c r="Q64" s="1273" t="s">
        <v>1461</v>
      </c>
      <c r="R64" s="1274">
        <f t="shared" si="2"/>
        <v>0.73724365084391763</v>
      </c>
      <c r="S64" s="1276">
        <v>0.52</v>
      </c>
    </row>
    <row r="65" spans="2:26" ht="40.5" customHeight="1" x14ac:dyDescent="0.25">
      <c r="B65" s="1604" t="str">
        <f>+INCLUYENTE!U53</f>
        <v>Programa: Sabiduría de la primera infancia “grandes banderas, gesto e ideas para cambiar el planeta”</v>
      </c>
      <c r="C65" s="765">
        <f>+INCLUYENTE!AL57</f>
        <v>0.61119302949061671</v>
      </c>
      <c r="D65" s="39">
        <f>+INCLUYENTE!AN57</f>
        <v>0.45955000000000001</v>
      </c>
      <c r="E65" s="39">
        <f>+INCLUYENTE!AC57</f>
        <v>0.25</v>
      </c>
      <c r="F65" s="808">
        <v>0.96051295073641452</v>
      </c>
      <c r="G65" s="39">
        <f>+INCLUYENTE!AD57</f>
        <v>0.38439999999999996</v>
      </c>
      <c r="H65" s="39">
        <f>+INCLUYENTE!AY57</f>
        <v>0.97031696544557033</v>
      </c>
      <c r="I65" s="1612">
        <f>+INCLUYENTE!BA57</f>
        <v>0.59346273489080759</v>
      </c>
      <c r="J65" s="1548">
        <f t="shared" si="0"/>
        <v>0.13391273489080757</v>
      </c>
      <c r="K65" s="1512">
        <f>+INCLUYENTE!AE57</f>
        <v>0.26666666666666666</v>
      </c>
      <c r="L65" s="1512">
        <f>+INCLUYENTE!BL57</f>
        <v>0.97476510919248349</v>
      </c>
      <c r="M65" s="1571">
        <f>+INCLUYENTE!BN57</f>
        <v>0.91539010919248343</v>
      </c>
      <c r="N65" s="1506" t="s">
        <v>2085</v>
      </c>
      <c r="Q65" s="1273" t="s">
        <v>90</v>
      </c>
      <c r="R65" s="1274">
        <f t="shared" si="2"/>
        <v>0.67001979831488723</v>
      </c>
      <c r="S65" s="1276">
        <v>0.51</v>
      </c>
    </row>
    <row r="66" spans="2:26" ht="15.75" customHeight="1" x14ac:dyDescent="0.25">
      <c r="B66" s="1604" t="str">
        <f>+INCLUYENTE!U58</f>
        <v>Programa: Formando con amor “Genio Singular”</v>
      </c>
      <c r="C66" s="765">
        <f>+INCLUYENTE!AL62</f>
        <v>0.5</v>
      </c>
      <c r="D66" s="39">
        <f>+INCLUYENTE!AN62</f>
        <v>7.6923076923076927E-2</v>
      </c>
      <c r="E66" s="39">
        <f>+INCLUYENTE!AC62</f>
        <v>0.30213675213675217</v>
      </c>
      <c r="F66" s="808">
        <v>0.29380341880341876</v>
      </c>
      <c r="G66" s="39">
        <f>+INCLUYENTE!AD62</f>
        <v>0.31880341880341878</v>
      </c>
      <c r="H66" s="39">
        <f>+INCLUYENTE!AY62</f>
        <v>1</v>
      </c>
      <c r="I66" s="1612">
        <f>+INCLUYENTE!BA62</f>
        <v>0.56642628205128209</v>
      </c>
      <c r="J66" s="1548">
        <f t="shared" si="0"/>
        <v>0.48950320512820517</v>
      </c>
      <c r="K66" s="1512">
        <f>+INCLUYENTE!AE62</f>
        <v>0.17663817663817663</v>
      </c>
      <c r="L66" s="1512">
        <f>+INCLUYENTE!BL62</f>
        <v>1</v>
      </c>
      <c r="M66" s="1571">
        <f>+INCLUYENTE!BN62</f>
        <v>0.83333333333333337</v>
      </c>
      <c r="N66" s="1506" t="s">
        <v>2085</v>
      </c>
    </row>
    <row r="67" spans="2:26" ht="15.75" customHeight="1" x14ac:dyDescent="0.25">
      <c r="B67" s="1604" t="str">
        <f>+INCLUYENTE!U63</f>
        <v>Programa Desarrollo de potencialidades</v>
      </c>
      <c r="C67" s="765">
        <f>+INCLUYENTE!AL67</f>
        <v>0.31067499999999998</v>
      </c>
      <c r="D67" s="39">
        <f>+INCLUYENTE!AN67</f>
        <v>0.11611111111111111</v>
      </c>
      <c r="E67" s="39">
        <f>+INCLUYENTE!AC67</f>
        <v>0.26180555555555551</v>
      </c>
      <c r="F67" s="808">
        <v>0.5407777777777778</v>
      </c>
      <c r="G67" s="39">
        <f>+INCLUYENTE!AD67</f>
        <v>0.2290625</v>
      </c>
      <c r="H67" s="39">
        <f>+INCLUYENTE!AY67</f>
        <v>1</v>
      </c>
      <c r="I67" s="1612">
        <f>+INCLUYENTE!BA67</f>
        <v>0.42994444444444446</v>
      </c>
      <c r="J67" s="1548">
        <f t="shared" si="0"/>
        <v>0.31383333333333335</v>
      </c>
      <c r="K67" s="1512">
        <f>+INCLUYENTE!AE67</f>
        <v>0.33055555555555555</v>
      </c>
      <c r="L67" s="1512">
        <f>+INCLUYENTE!BL67</f>
        <v>0.97899999999999998</v>
      </c>
      <c r="M67" s="1571">
        <f>+INCLUYENTE!BN67</f>
        <v>0.79974999999999996</v>
      </c>
      <c r="N67" s="1506" t="s">
        <v>2085</v>
      </c>
    </row>
    <row r="68" spans="2:26" ht="15.75" customHeight="1" x14ac:dyDescent="0.25">
      <c r="B68" s="1604" t="str">
        <f>+INCLUYENTE!U68</f>
        <v>Programa Participación, democracia y autonomía</v>
      </c>
      <c r="C68" s="765">
        <f>+INCLUYENTE!AL72</f>
        <v>1</v>
      </c>
      <c r="D68" s="39">
        <f>+INCLUYENTE!AN72</f>
        <v>0.19853801169590643</v>
      </c>
      <c r="E68" s="39">
        <f>+INCLUYENTE!AC72</f>
        <v>0.19269005847953213</v>
      </c>
      <c r="F68" s="39">
        <v>0.16111111111111109</v>
      </c>
      <c r="G68" s="39">
        <f>+INCLUYENTE!AD72</f>
        <v>0.46578947368421053</v>
      </c>
      <c r="H68" s="39">
        <f>+INCLUYENTE!AY72</f>
        <v>0.83333333333333337</v>
      </c>
      <c r="I68" s="1612">
        <f>+INCLUYENTE!BA72</f>
        <v>0.51820175438596494</v>
      </c>
      <c r="J68" s="1548">
        <f t="shared" si="0"/>
        <v>0.31966374269005848</v>
      </c>
      <c r="K68" s="1512">
        <f>+INCLUYENTE!AE72</f>
        <v>0.25087719298245614</v>
      </c>
      <c r="L68" s="1512">
        <f>+INCLUYENTE!BL72</f>
        <v>0.9642857142857143</v>
      </c>
      <c r="M68" s="1571">
        <f>+INCLUYENTE!BN72</f>
        <v>0.79226190476190483</v>
      </c>
      <c r="N68" s="1506" t="s">
        <v>2085</v>
      </c>
    </row>
    <row r="69" spans="2:26" ht="30.75" customHeight="1" x14ac:dyDescent="0.25">
      <c r="B69" s="1604" t="str">
        <f>+INCLUYENTE!U73</f>
        <v>Programa de Educación mediada a través de tecnologías de la información y las comunicaciones-Tic´s</v>
      </c>
      <c r="C69" s="765">
        <f>+INCLUYENTE!AL78</f>
        <v>0.73333333333333339</v>
      </c>
      <c r="D69" s="39">
        <f>+INCLUYENTE!AN78</f>
        <v>0.32544892108822177</v>
      </c>
      <c r="E69" s="39">
        <f>+INCLUYENTE!AC78</f>
        <v>0.1864788050898267</v>
      </c>
      <c r="F69" s="39">
        <v>0.32544892108822177</v>
      </c>
      <c r="G69" s="39">
        <f>+INCLUYENTE!AD78</f>
        <v>0.4659940511112764</v>
      </c>
      <c r="H69" s="39">
        <f>+INCLUYENTE!AY78</f>
        <v>1</v>
      </c>
      <c r="I69" s="1612">
        <f>+INCLUYENTE!BA78</f>
        <v>0.87034354333137764</v>
      </c>
      <c r="J69" s="1548">
        <f t="shared" si="0"/>
        <v>0.54489462224315588</v>
      </c>
      <c r="K69" s="1512">
        <f>+INCLUYENTE!AE78</f>
        <v>0.25278249474591724</v>
      </c>
      <c r="L69" s="1512">
        <f>+INCLUYENTE!BL78</f>
        <v>0.75095238095238104</v>
      </c>
      <c r="M69" s="1571">
        <f>+INCLUYENTE!BN78</f>
        <v>0.91494770805518466</v>
      </c>
      <c r="N69" s="1506" t="s">
        <v>2085</v>
      </c>
    </row>
    <row r="70" spans="2:26" ht="33" customHeight="1" x14ac:dyDescent="0.25">
      <c r="B70" s="1604" t="str">
        <f>+INCLUYENTE!U79</f>
        <v>Programa: Educación para transformar “educación media técnica y superior”</v>
      </c>
      <c r="C70" s="765">
        <f>+INCLUYENTE!AL84</f>
        <v>0.68174539631705366</v>
      </c>
      <c r="D70" s="39">
        <f>+INCLUYENTE!AN84</f>
        <v>0.20540101022297352</v>
      </c>
      <c r="E70" s="39">
        <f>+INCLUYENTE!AC84</f>
        <v>0.34623782500201239</v>
      </c>
      <c r="F70" s="39">
        <v>0.20540101022297352</v>
      </c>
      <c r="G70" s="39">
        <f>+INCLUYENTE!AD84</f>
        <v>0.3412822989616035</v>
      </c>
      <c r="H70" s="39">
        <f>+INCLUYENTE!AY84</f>
        <v>0.52881335561125042</v>
      </c>
      <c r="I70" s="1612">
        <f>+INCLUYENTE!BA84</f>
        <v>0.34142177491946885</v>
      </c>
      <c r="J70" s="1548">
        <f t="shared" si="0"/>
        <v>0.13602076469649532</v>
      </c>
      <c r="K70" s="1512">
        <f>+INCLUYENTE!AE84</f>
        <v>0.37043841344734851</v>
      </c>
      <c r="L70" s="1512">
        <f>+INCLUYENTE!BL84</f>
        <v>0.54464266917293236</v>
      </c>
      <c r="M70" s="1571">
        <f>+INCLUYENTE!BN84</f>
        <v>0.58502127886729627</v>
      </c>
      <c r="N70" s="1506" t="s">
        <v>2085</v>
      </c>
    </row>
    <row r="71" spans="2:26" ht="36.75" customHeight="1" x14ac:dyDescent="0.25">
      <c r="B71" s="1604" t="str">
        <f>+INCLUYENTE!U85</f>
        <v>Programa: Movilización educativa “Por una gestión educativa transparente, participativa y eficiente”</v>
      </c>
      <c r="C71" s="765">
        <f>+INCLUYENTE!AL90</f>
        <v>0.6</v>
      </c>
      <c r="D71" s="39">
        <f>+INCLUYENTE!AN90</f>
        <v>0.09</v>
      </c>
      <c r="E71" s="39">
        <f>+INCLUYENTE!AC90</f>
        <v>0.56249999999999989</v>
      </c>
      <c r="F71" s="39">
        <v>0.37333333333333329</v>
      </c>
      <c r="G71" s="39">
        <f>+INCLUYENTE!AD90</f>
        <v>0.34714285714285709</v>
      </c>
      <c r="H71" s="39">
        <f>+INCLUYENTE!AY90</f>
        <v>1</v>
      </c>
      <c r="I71" s="1612">
        <f>+INCLUYENTE!BA90</f>
        <v>0.2871428571428572</v>
      </c>
      <c r="J71" s="1548">
        <f t="shared" si="0"/>
        <v>0.1971428571428572</v>
      </c>
      <c r="K71" s="1512">
        <f>+INCLUYENTE!AE90</f>
        <v>0.32142857142857145</v>
      </c>
      <c r="L71" s="1512">
        <f>+INCLUYENTE!BL90</f>
        <v>0.78761904761904766</v>
      </c>
      <c r="M71" s="1571">
        <f>+INCLUYENTE!BN90</f>
        <v>0.61857142857142855</v>
      </c>
      <c r="N71" s="1506" t="s">
        <v>2085</v>
      </c>
      <c r="Q71" s="1875" t="s">
        <v>2278</v>
      </c>
      <c r="R71" s="1875"/>
      <c r="S71" s="1875"/>
      <c r="T71" s="1875"/>
      <c r="U71" s="1875"/>
    </row>
    <row r="72" spans="2:26" ht="84" customHeight="1" x14ac:dyDescent="0.25">
      <c r="B72" s="1604" t="str">
        <f>+INCLUYENTE!U91</f>
        <v>Programa: Por una Educación Post secundaria Distrital</v>
      </c>
      <c r="C72" s="765">
        <f>+INCLUYENTE!AL94</f>
        <v>0.75</v>
      </c>
      <c r="D72" s="39">
        <f>+INCLUYENTE!AN94</f>
        <v>0.12</v>
      </c>
      <c r="E72" s="39">
        <f>+INCLUYENTE!AC94</f>
        <v>0.16</v>
      </c>
      <c r="F72" s="39">
        <v>0.12</v>
      </c>
      <c r="G72" s="39">
        <f>+INCLUYENTE!AD94</f>
        <v>0.45859943977591033</v>
      </c>
      <c r="H72" s="39">
        <f>+INCLUYENTE!AY94</f>
        <v>0.63142857142857134</v>
      </c>
      <c r="I72" s="1612">
        <f>+INCLUYENTE!BA94</f>
        <v>0.45653333333333329</v>
      </c>
      <c r="J72" s="1548">
        <f t="shared" si="0"/>
        <v>0.3365333333333333</v>
      </c>
      <c r="K72" s="1512">
        <f>+INCLUYENTE!AE94</f>
        <v>0.21142857142857144</v>
      </c>
      <c r="L72" s="1512">
        <f>+INCLUYENTE!BL94</f>
        <v>1</v>
      </c>
      <c r="M72" s="1571">
        <f>+INCLUYENTE!BN94</f>
        <v>1</v>
      </c>
      <c r="N72" s="1501" t="s">
        <v>2086</v>
      </c>
      <c r="Q72" s="1271" t="s">
        <v>2055</v>
      </c>
      <c r="R72" s="1271" t="s">
        <v>2274</v>
      </c>
      <c r="S72" s="1498" t="s">
        <v>2279</v>
      </c>
      <c r="T72" s="1498" t="s">
        <v>2277</v>
      </c>
      <c r="U72" s="1498" t="s">
        <v>2280</v>
      </c>
    </row>
    <row r="73" spans="2:26" ht="60" customHeight="1" x14ac:dyDescent="0.25">
      <c r="B73" s="1604" t="str">
        <f>+INCLUYENTE!U95</f>
        <v>Programa Fortalecimiento de la oferta de educación superior oficial del Distrito de Cartagena D. T. y C.</v>
      </c>
      <c r="C73" s="765">
        <f>+INCLUYENTE!AL99</f>
        <v>0.33333333333333331</v>
      </c>
      <c r="D73" s="39">
        <f>+INCLUYENTE!AN99</f>
        <v>0.19793333333333332</v>
      </c>
      <c r="E73" s="39">
        <f>+INCLUYENTE!AC99</f>
        <v>0.23333333333333331</v>
      </c>
      <c r="F73" s="39">
        <v>0.27316169299785448</v>
      </c>
      <c r="G73" s="39">
        <f>+INCLUYENTE!AD99</f>
        <v>0.25755802613614204</v>
      </c>
      <c r="H73" s="39">
        <f>+INCLUYENTE!AY99</f>
        <v>0.72859488623035418</v>
      </c>
      <c r="I73" s="1612">
        <f>+INCLUYENTE!BA99</f>
        <v>0.5991808074897601</v>
      </c>
      <c r="J73" s="1548">
        <f t="shared" si="0"/>
        <v>0.40124747415642681</v>
      </c>
      <c r="K73" s="1512">
        <f>+INCLUYENTE!AE99</f>
        <v>0</v>
      </c>
      <c r="L73" s="1512">
        <f>+INCLUYENTE!BL99</f>
        <v>0.75</v>
      </c>
      <c r="M73" s="1571">
        <f>+INCLUYENTE!BN99</f>
        <v>0.83750000000000002</v>
      </c>
      <c r="N73" s="1501" t="s">
        <v>2087</v>
      </c>
      <c r="Q73" s="1499" t="s">
        <v>2057</v>
      </c>
      <c r="R73" s="1274">
        <f t="shared" ref="R73:R78" si="3">+R60</f>
        <v>0.73926542498722614</v>
      </c>
      <c r="S73" s="1276">
        <v>0.51700000000000002</v>
      </c>
      <c r="T73" s="1497">
        <f t="shared" ref="T73:T78" si="4">+R73-S73</f>
        <v>0.22226542498722612</v>
      </c>
      <c r="U73" s="1276">
        <f>+S73+W81</f>
        <v>0.77800000000000002</v>
      </c>
      <c r="V73" s="1285">
        <f t="shared" ref="V73:V78" si="5">+U73-R73</f>
        <v>3.8734575012773886E-2</v>
      </c>
      <c r="W73" s="1281"/>
      <c r="X73" s="1281"/>
    </row>
    <row r="74" spans="2:26" ht="33.75" customHeight="1" x14ac:dyDescent="0.25">
      <c r="B74" s="1617" t="str">
        <f>+INCLUYENTE!B101</f>
        <v>LÍNEA ESTRATÉGICA SALUD PARA TODOS.</v>
      </c>
      <c r="C74" s="809">
        <f>+INCLUYENTE!AL196</f>
        <v>0.83884306880404824</v>
      </c>
      <c r="D74" s="809">
        <f>+INCLUYENTE!AN196</f>
        <v>0.22535719427213827</v>
      </c>
      <c r="E74" s="809">
        <f>+INCLUYENTE!AC196</f>
        <v>0.2394246638627282</v>
      </c>
      <c r="F74" s="809">
        <v>0.27909628901875549</v>
      </c>
      <c r="G74" s="809">
        <f>+INCLUYENTE!AD196</f>
        <v>0.25590860868718973</v>
      </c>
      <c r="H74" s="809">
        <f>+INCLUYENTE!AY196</f>
        <v>0.85492903392233344</v>
      </c>
      <c r="I74" s="810">
        <f>+INCLUYENTE!BA196</f>
        <v>0.49591387361512573</v>
      </c>
      <c r="J74" s="1555">
        <f t="shared" si="0"/>
        <v>0.27055667934298744</v>
      </c>
      <c r="K74" s="1531">
        <f>+INCLUYENTE!AE196</f>
        <v>0.22315037288107026</v>
      </c>
      <c r="L74" s="1531">
        <f>+INCLUYENTE!BL196</f>
        <v>0.93708508864727913</v>
      </c>
      <c r="M74" s="1577">
        <f>+INCLUYENTE!BN196</f>
        <v>0.72897940477146805</v>
      </c>
      <c r="N74" s="1506"/>
      <c r="Q74" s="1273" t="s">
        <v>162</v>
      </c>
      <c r="R74" s="1274">
        <f t="shared" si="3"/>
        <v>0.64980743416302122</v>
      </c>
      <c r="S74" s="1276">
        <v>0.42</v>
      </c>
      <c r="T74" s="1497">
        <f t="shared" si="4"/>
        <v>0.22980743416302124</v>
      </c>
      <c r="U74" s="1276">
        <f>+S74+$W$81</f>
        <v>0.68100000000000005</v>
      </c>
      <c r="V74" s="1285">
        <f t="shared" si="5"/>
        <v>3.1192565836978825E-2</v>
      </c>
      <c r="W74" s="1281"/>
      <c r="X74" s="1281"/>
    </row>
    <row r="75" spans="2:26" ht="35.25" customHeight="1" x14ac:dyDescent="0.25">
      <c r="B75" s="1618" t="str">
        <f>+INCLUYENTE!U101</f>
        <v>Programa: Fortalecimiento de la autoridad sanitaria</v>
      </c>
      <c r="C75" s="32">
        <f>+INCLUYENTE!AL116</f>
        <v>0.83015776739466673</v>
      </c>
      <c r="D75" s="39">
        <f>+INCLUYENTE!AN116</f>
        <v>0.25184363499450352</v>
      </c>
      <c r="E75" s="39">
        <f>+INCLUYENTE!AC116</f>
        <v>0.25</v>
      </c>
      <c r="F75" s="808">
        <v>0.39083904017411913</v>
      </c>
      <c r="G75" s="39">
        <f>+INCLUYENTE!AD116</f>
        <v>0.28595702207153151</v>
      </c>
      <c r="H75" s="39">
        <f>+INCLUYENTE!AY116</f>
        <v>0.80968220551378445</v>
      </c>
      <c r="I75" s="1612">
        <f>+INCLUYENTE!BA116</f>
        <v>0.57850915909062361</v>
      </c>
      <c r="J75" s="1548">
        <f t="shared" si="0"/>
        <v>0.3266655240961201</v>
      </c>
      <c r="K75" s="1512">
        <f>+INCLUYENTE!AE116</f>
        <v>0.22728181818181817</v>
      </c>
      <c r="L75" s="1512">
        <f>+INCLUYENTE!BL116</f>
        <v>0.97714035087719298</v>
      </c>
      <c r="M75" s="1571">
        <f>+INCLUYENTE!BN116</f>
        <v>0.75835868074942092</v>
      </c>
      <c r="N75" s="1501" t="s">
        <v>2088</v>
      </c>
      <c r="Q75" s="1273" t="s">
        <v>606</v>
      </c>
      <c r="R75" s="1274">
        <f t="shared" si="3"/>
        <v>0.82594070908882966</v>
      </c>
      <c r="S75" s="1276">
        <v>0.56000000000000005</v>
      </c>
      <c r="T75" s="1497">
        <f t="shared" si="4"/>
        <v>0.26594070908882961</v>
      </c>
      <c r="U75" s="1276">
        <f>+S75+$W$81</f>
        <v>0.82100000000000006</v>
      </c>
      <c r="V75" s="1285">
        <f t="shared" si="5"/>
        <v>-4.9407090888295979E-3</v>
      </c>
      <c r="W75" s="1281"/>
      <c r="X75" s="1281"/>
    </row>
    <row r="76" spans="2:26" ht="15.75" customHeight="1" x14ac:dyDescent="0.25">
      <c r="B76" s="1618" t="str">
        <f>+INCLUYENTE!U117</f>
        <v>Programa: Transversal gestión diferencial de poblaciones vulnerables</v>
      </c>
      <c r="C76" s="32">
        <f>+INCLUYENTE!AL123</f>
        <v>8.5405543471096176E-2</v>
      </c>
      <c r="D76" s="39">
        <f>+INCLUYENTE!AN123</f>
        <v>4.7392486406327233E-2</v>
      </c>
      <c r="E76" s="39">
        <f>+INCLUYENTE!AC123</f>
        <v>0.24998208836273181</v>
      </c>
      <c r="F76" s="39">
        <v>4.7392486406327233E-2</v>
      </c>
      <c r="G76" s="39">
        <f>+INCLUYENTE!AD123</f>
        <v>0.24998620765750856</v>
      </c>
      <c r="H76" s="39">
        <f>+INCLUYENTE!AY123</f>
        <v>0.66825844751728747</v>
      </c>
      <c r="I76" s="1612">
        <f>+INCLUYENTE!BA123</f>
        <v>0.4227747608477353</v>
      </c>
      <c r="J76" s="1548">
        <f t="shared" si="0"/>
        <v>0.37538227444140804</v>
      </c>
      <c r="K76" s="1512">
        <f>+INCLUYENTE!AE123</f>
        <v>0.24996417672546364</v>
      </c>
      <c r="L76" s="1512">
        <f>+INCLUYENTE!BL123</f>
        <v>0.85542515325291679</v>
      </c>
      <c r="M76" s="1571">
        <f>+INCLUYENTE!BN123</f>
        <v>0.6379776595345189</v>
      </c>
      <c r="N76" s="1501" t="s">
        <v>2088</v>
      </c>
      <c r="Q76" s="1273" t="s">
        <v>1276</v>
      </c>
      <c r="R76" s="1274">
        <f t="shared" si="3"/>
        <v>0.81331553252547473</v>
      </c>
      <c r="S76" s="1276">
        <v>0.53</v>
      </c>
      <c r="T76" s="1497">
        <f t="shared" si="4"/>
        <v>0.2833155325254747</v>
      </c>
      <c r="U76" s="1276">
        <f>+S76+$W$81</f>
        <v>0.79100000000000004</v>
      </c>
      <c r="V76" s="1285">
        <f t="shared" si="5"/>
        <v>-2.2315532525474691E-2</v>
      </c>
      <c r="W76" s="1281"/>
      <c r="X76" s="1281"/>
    </row>
    <row r="77" spans="2:26" ht="15.75" customHeight="1" x14ac:dyDescent="0.25">
      <c r="B77" s="1618" t="str">
        <f>+INCLUYENTE!U124</f>
        <v>Programa Salud ambiental</v>
      </c>
      <c r="C77" s="32">
        <f>+INCLUYENTE!AL129</f>
        <v>0.19560508250553388</v>
      </c>
      <c r="D77" s="39">
        <f>+INCLUYENTE!AN129</f>
        <v>0.11140127062638347</v>
      </c>
      <c r="E77" s="39">
        <f>+INCLUYENTE!AC129</f>
        <v>0.25</v>
      </c>
      <c r="F77" s="39">
        <v>0.1455475167160602</v>
      </c>
      <c r="G77" s="39">
        <f>+INCLUYENTE!AD129</f>
        <v>0.26600000000000001</v>
      </c>
      <c r="H77" s="39">
        <f>+INCLUYENTE!AY129</f>
        <v>0.74064789711505041</v>
      </c>
      <c r="I77" s="1612">
        <f>+INCLUYENTE!BA129</f>
        <v>0.28640799077986939</v>
      </c>
      <c r="J77" s="1548">
        <f t="shared" si="0"/>
        <v>0.17500672015348592</v>
      </c>
      <c r="K77" s="1512">
        <f>+INCLUYENTE!AE129</f>
        <v>0</v>
      </c>
      <c r="L77" s="1512">
        <f>+INCLUYENTE!BL129</f>
        <v>0.89511142007492384</v>
      </c>
      <c r="M77" s="1571">
        <f>+INCLUYENTE!BN129</f>
        <v>0.67434972696339401</v>
      </c>
      <c r="N77" s="1501" t="s">
        <v>2088</v>
      </c>
      <c r="Q77" s="1273" t="s">
        <v>1461</v>
      </c>
      <c r="R77" s="1274">
        <f t="shared" si="3"/>
        <v>0.73724365084391763</v>
      </c>
      <c r="S77" s="1276">
        <v>0.52</v>
      </c>
      <c r="T77" s="1497">
        <f t="shared" si="4"/>
        <v>0.21724365084391761</v>
      </c>
      <c r="U77" s="1276">
        <f>+S77+$W$81</f>
        <v>0.78100000000000003</v>
      </c>
      <c r="V77" s="1285">
        <f t="shared" si="5"/>
        <v>4.3756349156082397E-2</v>
      </c>
      <c r="W77" s="1281"/>
      <c r="X77" s="1281"/>
    </row>
    <row r="78" spans="2:26" ht="15.75" customHeight="1" x14ac:dyDescent="0.25">
      <c r="B78" s="1618" t="str">
        <f>+INCLUYENTE!U130</f>
        <v>Programa: Vida saludable y condiciones no transmisibles</v>
      </c>
      <c r="C78" s="32">
        <f>+INCLUYENTE!AL146</f>
        <v>0.9785575048732944</v>
      </c>
      <c r="D78" s="39">
        <f>+INCLUYENTE!AN146</f>
        <v>0.20537962962962961</v>
      </c>
      <c r="E78" s="39">
        <f>+INCLUYENTE!AC146</f>
        <v>0.21129629629629632</v>
      </c>
      <c r="F78" s="808">
        <v>0.46366739667459816</v>
      </c>
      <c r="G78" s="39">
        <f>+INCLUYENTE!AD146</f>
        <v>0.25</v>
      </c>
      <c r="H78" s="39">
        <f>+INCLUYENTE!AY146</f>
        <v>0.9375</v>
      </c>
      <c r="I78" s="1612">
        <f>+INCLUYENTE!BA146</f>
        <v>0.5099565972222222</v>
      </c>
      <c r="J78" s="1548">
        <f t="shared" si="0"/>
        <v>0.30457696759259256</v>
      </c>
      <c r="K78" s="1512">
        <f>+INCLUYENTE!AE146</f>
        <v>0.23734374999999999</v>
      </c>
      <c r="L78" s="1512">
        <f>+INCLUYENTE!BL146</f>
        <v>0.97270193713450293</v>
      </c>
      <c r="M78" s="1571">
        <f>+INCLUYENTE!BN146</f>
        <v>0.74875274122807034</v>
      </c>
      <c r="N78" s="1501" t="s">
        <v>2088</v>
      </c>
      <c r="Q78" s="1273" t="s">
        <v>90</v>
      </c>
      <c r="R78" s="1274">
        <f t="shared" si="3"/>
        <v>0.67001979831488723</v>
      </c>
      <c r="S78" s="1276">
        <v>0.51</v>
      </c>
      <c r="T78" s="1497">
        <f t="shared" si="4"/>
        <v>0.16001979831488722</v>
      </c>
      <c r="U78" s="1276">
        <f>+S78+$W$81</f>
        <v>0.77100000000000002</v>
      </c>
      <c r="V78" s="1285">
        <f t="shared" si="5"/>
        <v>0.10098020168511279</v>
      </c>
      <c r="W78" s="1281"/>
      <c r="X78" s="1281"/>
    </row>
    <row r="79" spans="2:26" ht="15.75" customHeight="1" x14ac:dyDescent="0.25">
      <c r="B79" s="1618" t="str">
        <f>+INCLUYENTE!U147</f>
        <v>Programa: Convivencia social y salud mental</v>
      </c>
      <c r="C79" s="32">
        <f>+INCLUYENTE!AL152</f>
        <v>1</v>
      </c>
      <c r="D79" s="39">
        <f>+INCLUYENTE!AN152</f>
        <v>0.35789473684210532</v>
      </c>
      <c r="E79" s="39">
        <f>+INCLUYENTE!AC152</f>
        <v>0.25</v>
      </c>
      <c r="F79" s="39">
        <v>0.4</v>
      </c>
      <c r="G79" s="39">
        <f>+INCLUYENTE!AD152</f>
        <v>0.25</v>
      </c>
      <c r="H79" s="39">
        <f>+INCLUYENTE!AY152</f>
        <v>0.91999999999999993</v>
      </c>
      <c r="I79" s="1612">
        <f>+INCLUYENTE!BA152</f>
        <v>0.51315789473684215</v>
      </c>
      <c r="J79" s="1548">
        <f t="shared" si="0"/>
        <v>0.15526315789473683</v>
      </c>
      <c r="K79" s="1512">
        <f>+INCLUYENTE!AE152</f>
        <v>0.25</v>
      </c>
      <c r="L79" s="1512">
        <f>+INCLUYENTE!BL152</f>
        <v>0.96842105263157896</v>
      </c>
      <c r="M79" s="1571">
        <f>+INCLUYENTE!BN152</f>
        <v>0.73178947368421055</v>
      </c>
      <c r="N79" s="1501" t="s">
        <v>2088</v>
      </c>
      <c r="U79" s="1439"/>
      <c r="V79" s="1281"/>
      <c r="W79" s="1281"/>
      <c r="X79" s="1281"/>
      <c r="Y79" s="1439"/>
      <c r="Z79" s="1439"/>
    </row>
    <row r="80" spans="2:26" ht="15.75" customHeight="1" x14ac:dyDescent="0.25">
      <c r="B80" s="1618" t="str">
        <f>+INCLUYENTE!U153</f>
        <v>Programa Nutrición e inocuidad de alimentos</v>
      </c>
      <c r="C80" s="32">
        <f>+INCLUYENTE!AL158</f>
        <v>2.2795804195804199</v>
      </c>
      <c r="D80" s="39">
        <f>+INCLUYENTE!AN158</f>
        <v>0.35099020277967652</v>
      </c>
      <c r="E80" s="39">
        <f>+INCLUYENTE!AC158</f>
        <v>0.18296825396825395</v>
      </c>
      <c r="F80" s="39">
        <v>0.3708354978354978</v>
      </c>
      <c r="G80" s="39">
        <f>+INCLUYENTE!AD158</f>
        <v>0.25714285714285712</v>
      </c>
      <c r="H80" s="39">
        <f>+INCLUYENTE!AY158</f>
        <v>1</v>
      </c>
      <c r="I80" s="1612">
        <f>+INCLUYENTE!BA158</f>
        <v>0.69813333333333327</v>
      </c>
      <c r="J80" s="1548">
        <f t="shared" si="0"/>
        <v>0.34714313055365675</v>
      </c>
      <c r="K80" s="1512">
        <f>+INCLUYENTE!AE158</f>
        <v>0.27380952380952378</v>
      </c>
      <c r="L80" s="1512">
        <f>+INCLUYENTE!BL158</f>
        <v>0.8</v>
      </c>
      <c r="M80" s="1571">
        <f>+INCLUYENTE!BN158</f>
        <v>0.8670500000000001</v>
      </c>
      <c r="N80" s="1501" t="s">
        <v>2088</v>
      </c>
      <c r="U80" s="1439"/>
      <c r="V80" s="1281"/>
      <c r="W80" s="1281">
        <f>+W74</f>
        <v>0</v>
      </c>
      <c r="X80" s="1281"/>
      <c r="Y80" s="1439"/>
      <c r="Z80" s="1439"/>
    </row>
    <row r="81" spans="2:26" ht="15.75" customHeight="1" x14ac:dyDescent="0.25">
      <c r="B81" s="1618" t="str">
        <f>+INCLUYENTE!U159</f>
        <v>Programa Sexualidad, derechos sexuales y reproductivos</v>
      </c>
      <c r="C81" s="32">
        <f>+INCLUYENTE!AL169</f>
        <v>0.58063492063492061</v>
      </c>
      <c r="D81" s="39">
        <f>+INCLUYENTE!AN169</f>
        <v>0.2232142857142857</v>
      </c>
      <c r="E81" s="39">
        <f>+INCLUYENTE!AC169</f>
        <v>0.25</v>
      </c>
      <c r="F81" s="39">
        <v>0.29404761904761906</v>
      </c>
      <c r="G81" s="39">
        <f>+INCLUYENTE!AD169</f>
        <v>0.25</v>
      </c>
      <c r="H81" s="39">
        <f>+INCLUYENTE!AY169</f>
        <v>0.76214999999999999</v>
      </c>
      <c r="I81" s="1612">
        <f>+INCLUYENTE!BA169</f>
        <v>0.4651803571428571</v>
      </c>
      <c r="J81" s="1548">
        <f t="shared" si="0"/>
        <v>0.24196607142857141</v>
      </c>
      <c r="K81" s="1512">
        <f>+INCLUYENTE!AE169</f>
        <v>0.25</v>
      </c>
      <c r="L81" s="1512">
        <f>+INCLUYENTE!BL169</f>
        <v>0.92428571428571438</v>
      </c>
      <c r="M81" s="1571">
        <f>+INCLUYENTE!BN169</f>
        <v>0.69750178571428578</v>
      </c>
      <c r="N81" s="1501" t="s">
        <v>2088</v>
      </c>
      <c r="U81" s="1439"/>
      <c r="V81" s="1281"/>
      <c r="W81" s="1282">
        <v>0.26100000000000001</v>
      </c>
      <c r="X81" s="1281"/>
      <c r="Y81" s="1439"/>
      <c r="Z81" s="1439"/>
    </row>
    <row r="82" spans="2:26" ht="15.75" customHeight="1" x14ac:dyDescent="0.25">
      <c r="B82" s="1618" t="str">
        <f>+INCLUYENTE!U170</f>
        <v>Programa: Vida saludable y enfermedades transmisibles</v>
      </c>
      <c r="C82" s="32">
        <f>+INCLUYENTE!AL185</f>
        <v>0.92515611624721794</v>
      </c>
      <c r="D82" s="39">
        <f>+INCLUYENTE!AN185</f>
        <v>0.2437890290618045</v>
      </c>
      <c r="E82" s="39">
        <f>+INCLUYENTE!AC185</f>
        <v>0.25</v>
      </c>
      <c r="F82" s="39">
        <v>0.21696666666666667</v>
      </c>
      <c r="G82" s="39">
        <f>+INCLUYENTE!AD185</f>
        <v>0.25</v>
      </c>
      <c r="H82" s="39">
        <f>+INCLUYENTE!AY185</f>
        <v>0.91105178907721285</v>
      </c>
      <c r="I82" s="1612">
        <f>+INCLUYENTE!BA185</f>
        <v>0.54508530966444091</v>
      </c>
      <c r="J82" s="1548">
        <f t="shared" si="0"/>
        <v>0.30129628060263641</v>
      </c>
      <c r="K82" s="1512">
        <f>+INCLUYENTE!AE185</f>
        <v>0.24310446009389672</v>
      </c>
      <c r="L82" s="1512">
        <f>+INCLUYENTE!BL185</f>
        <v>0.97776525821596239</v>
      </c>
      <c r="M82" s="1571">
        <f>+INCLUYENTE!BN185</f>
        <v>0.75368064650744737</v>
      </c>
      <c r="N82" s="1501" t="s">
        <v>2088</v>
      </c>
      <c r="U82" s="1439"/>
      <c r="V82" s="1281"/>
      <c r="W82" s="1281"/>
      <c r="X82" s="1281"/>
      <c r="Y82" s="1439"/>
      <c r="Z82" s="1439"/>
    </row>
    <row r="83" spans="2:26" ht="15.75" customHeight="1" x14ac:dyDescent="0.25">
      <c r="B83" s="1618" t="str">
        <f>+INCLUYENTE!U186</f>
        <v>Programa: Salud pública en emergencias y desastres</v>
      </c>
      <c r="C83" s="32">
        <f>+INCLUYENTE!AL189</f>
        <v>0.66666666666666663</v>
      </c>
      <c r="D83" s="39">
        <f>+INCLUYENTE!AN189</f>
        <v>0.25</v>
      </c>
      <c r="E83" s="39">
        <f>+INCLUYENTE!AC189</f>
        <v>0.25</v>
      </c>
      <c r="F83" s="39">
        <v>0.25</v>
      </c>
      <c r="G83" s="39">
        <f>+INCLUYENTE!AD189</f>
        <v>0.25</v>
      </c>
      <c r="H83" s="39">
        <f>+INCLUYENTE!AY189</f>
        <v>1</v>
      </c>
      <c r="I83" s="1612">
        <f>+INCLUYENTE!BA189</f>
        <v>0.51</v>
      </c>
      <c r="J83" s="1548">
        <f t="shared" si="0"/>
        <v>0.26</v>
      </c>
      <c r="K83" s="1512">
        <f>+INCLUYENTE!AE189</f>
        <v>0.25</v>
      </c>
      <c r="L83" s="1512">
        <f>+INCLUYENTE!BL189</f>
        <v>1</v>
      </c>
      <c r="M83" s="1571">
        <f>+INCLUYENTE!BN189</f>
        <v>0.75</v>
      </c>
      <c r="N83" s="1501" t="s">
        <v>2088</v>
      </c>
      <c r="U83" s="1439"/>
      <c r="V83" s="1439"/>
      <c r="W83" s="1439"/>
      <c r="X83" s="1439"/>
      <c r="Y83" s="1439"/>
      <c r="Z83" s="1439"/>
    </row>
    <row r="84" spans="2:26" ht="15.75" customHeight="1" x14ac:dyDescent="0.25">
      <c r="B84" s="1618" t="str">
        <f>+INCLUYENTE!U190</f>
        <v>Programa: Salud y ámbito laboral</v>
      </c>
      <c r="C84" s="32">
        <f>+INCLUYENTE!AL195</f>
        <v>0.84666666666666668</v>
      </c>
      <c r="D84" s="39">
        <f>+INCLUYENTE!AN195</f>
        <v>0.21166666666666667</v>
      </c>
      <c r="E84" s="39">
        <f>+INCLUYENTE!AC195</f>
        <v>0.25</v>
      </c>
      <c r="F84" s="39">
        <v>0.21166666666666667</v>
      </c>
      <c r="G84" s="39">
        <f>+INCLUYENTE!AD195</f>
        <v>0.25</v>
      </c>
      <c r="H84" s="39">
        <f>+INCLUYENTE!AY195</f>
        <v>0.8</v>
      </c>
      <c r="I84" s="1612">
        <f>+INCLUYENTE!BA195</f>
        <v>0.42993333333333333</v>
      </c>
      <c r="J84" s="1548">
        <f t="shared" si="0"/>
        <v>0.21826666666666666</v>
      </c>
      <c r="K84" s="1512">
        <f>+INCLUYENTE!AE195</f>
        <v>0.25</v>
      </c>
      <c r="L84" s="1512">
        <f>+INCLUYENTE!BL195</f>
        <v>1</v>
      </c>
      <c r="M84" s="1571">
        <f>+INCLUYENTE!BN195</f>
        <v>0.67033333333333334</v>
      </c>
      <c r="N84" s="1501" t="s">
        <v>2088</v>
      </c>
      <c r="U84" s="1439"/>
      <c r="V84" s="1439"/>
      <c r="W84" s="1439"/>
      <c r="X84" s="1439"/>
      <c r="Y84" s="1439"/>
      <c r="Z84" s="1439"/>
    </row>
    <row r="85" spans="2:26" ht="32.25" customHeight="1" x14ac:dyDescent="0.25">
      <c r="B85" s="1613" t="str">
        <f>+INCLUYENTE!B197</f>
        <v xml:space="preserve">LÍNEA ESTRATÉGICA: DEPORTE Y RECREACIÓN PARA  LA TRANSFORMACIÓN SOCIAL </v>
      </c>
      <c r="C85" s="794">
        <f>+INCLUYENTE!AL228</f>
        <v>0.68992239045125181</v>
      </c>
      <c r="D85" s="795">
        <f>+INCLUYENTE!AN228</f>
        <v>0.32142756931687133</v>
      </c>
      <c r="E85" s="795">
        <f>+INCLUYENTE!AC228</f>
        <v>0.3082928779956427</v>
      </c>
      <c r="F85" s="795">
        <v>0.32222107786125853</v>
      </c>
      <c r="G85" s="795">
        <f>+INCLUYENTE!AD228</f>
        <v>0.40539255213196385</v>
      </c>
      <c r="H85" s="795">
        <f>+INCLUYENTE!AY228</f>
        <v>0.64176709183023817</v>
      </c>
      <c r="I85" s="796">
        <f>+INCLUYENTE!BA228</f>
        <v>0.61379859431740724</v>
      </c>
      <c r="J85" s="1550">
        <f t="shared" si="0"/>
        <v>0.29237102500053591</v>
      </c>
      <c r="K85" s="1527">
        <f>+INCLUYENTE!AE228</f>
        <v>0.36521327936092562</v>
      </c>
      <c r="L85" s="1527">
        <f>+INCLUYENTE!BL228</f>
        <v>0.94214999999999993</v>
      </c>
      <c r="M85" s="1573">
        <f>+INCLUYENTE!BN228</f>
        <v>0.90119133652329642</v>
      </c>
      <c r="N85" s="1506"/>
      <c r="U85" s="1439"/>
      <c r="V85" s="1439"/>
      <c r="W85" s="1439"/>
      <c r="X85" s="1439"/>
      <c r="Y85" s="1439"/>
      <c r="Z85" s="1439"/>
    </row>
    <row r="86" spans="2:26" ht="15.75" customHeight="1" x14ac:dyDescent="0.25">
      <c r="B86" s="1604" t="str">
        <f>+INCLUYENTE!U197</f>
        <v xml:space="preserve">Programa “La escuela y el deporte son de todos” </v>
      </c>
      <c r="C86" s="775">
        <f>+INCLUYENTE!AL200</f>
        <v>0.7962526205450734</v>
      </c>
      <c r="D86" s="761">
        <f>+INCLUYENTE!AN200</f>
        <v>0.67668471931050556</v>
      </c>
      <c r="E86" s="761">
        <f>+INCLUYENTE!AC200</f>
        <v>0.5</v>
      </c>
      <c r="F86" s="761">
        <v>0.55480389587700907</v>
      </c>
      <c r="G86" s="761">
        <f>+INCLUYENTE!AD200</f>
        <v>0.5</v>
      </c>
      <c r="H86" s="761">
        <f>+INCLUYENTE!AY200</f>
        <v>0.71498296645702297</v>
      </c>
      <c r="I86" s="1605">
        <f>+INCLUYENTE!BA200</f>
        <v>0.82605040181691125</v>
      </c>
      <c r="J86" s="1551">
        <f t="shared" si="0"/>
        <v>0.14936568250640569</v>
      </c>
      <c r="K86" s="1514">
        <f>+INCLUYENTE!AE200</f>
        <v>0.71462810097833684</v>
      </c>
      <c r="L86" s="1514">
        <f>+INCLUYENTE!BL200</f>
        <v>1</v>
      </c>
      <c r="M86" s="1563">
        <f>+INCLUYENTE!BN200</f>
        <v>0.98765432098765427</v>
      </c>
      <c r="N86" s="1506" t="s">
        <v>2089</v>
      </c>
      <c r="U86" s="1439"/>
      <c r="V86" s="1439"/>
      <c r="W86" s="1439"/>
      <c r="X86" s="1439"/>
      <c r="Y86" s="1439"/>
      <c r="Z86" s="1439"/>
    </row>
    <row r="87" spans="2:26" ht="15.75" customHeight="1" x14ac:dyDescent="0.25">
      <c r="B87" s="1604" t="str">
        <f>+INCLUYENTE!U201</f>
        <v>Programa: Deporte asociado “incentivos con-sentido”</v>
      </c>
      <c r="C87" s="775">
        <f>+INCLUYENTE!AL205</f>
        <v>0.85</v>
      </c>
      <c r="D87" s="761">
        <f>+INCLUYENTE!AN205</f>
        <v>0.39673611111111112</v>
      </c>
      <c r="E87" s="761">
        <f>+INCLUYENTE!AC205</f>
        <v>0</v>
      </c>
      <c r="F87" s="761">
        <v>0.39673611111111112</v>
      </c>
      <c r="G87" s="761">
        <f>+INCLUYENTE!AD205</f>
        <v>0.25</v>
      </c>
      <c r="H87" s="761">
        <f>+INCLUYENTE!AY205</f>
        <v>0.87749999999999995</v>
      </c>
      <c r="I87" s="1605">
        <f>+INCLUYENTE!BA205</f>
        <v>0.78793402777777777</v>
      </c>
      <c r="J87" s="1551">
        <f t="shared" si="0"/>
        <v>0.39119791666666665</v>
      </c>
      <c r="K87" s="1514">
        <f>+INCLUYENTE!AE205</f>
        <v>0.375</v>
      </c>
      <c r="L87" s="1514">
        <f>+INCLUYENTE!BL205</f>
        <v>0.92500000000000004</v>
      </c>
      <c r="M87" s="1563">
        <f>+INCLUYENTE!BN205</f>
        <v>0.88187499999999996</v>
      </c>
      <c r="N87" s="1506" t="s">
        <v>2090</v>
      </c>
      <c r="U87" s="1439"/>
      <c r="V87" s="1439"/>
      <c r="W87" s="1439"/>
      <c r="X87" s="1439"/>
      <c r="Y87" s="1439"/>
      <c r="Z87" s="1439"/>
    </row>
    <row r="88" spans="2:26" ht="41.25" customHeight="1" x14ac:dyDescent="0.25">
      <c r="B88" s="1604" t="str">
        <f>+INCLUYENTE!U206</f>
        <v>Programa: Deporte social comunitario con inclusión “Cartagena Incluyente”</v>
      </c>
      <c r="C88" s="775">
        <f>+INCLUYENTE!AL208</f>
        <v>0.20088024504118715</v>
      </c>
      <c r="D88" s="761">
        <f>+INCLUYENTE!AN208</f>
        <v>5.6291666666666663E-2</v>
      </c>
      <c r="E88" s="761">
        <f>+INCLUYENTE!AC208</f>
        <v>0.21937833333333331</v>
      </c>
      <c r="F88" s="761">
        <v>5.6291666666666663E-2</v>
      </c>
      <c r="G88" s="761">
        <f>+INCLUYENTE!AD208</f>
        <v>0.30049761904761907</v>
      </c>
      <c r="H88" s="761">
        <f>+INCLUYENTE!AY208</f>
        <v>0.53164151366592971</v>
      </c>
      <c r="I88" s="1605">
        <f>+INCLUYENTE!BA208</f>
        <v>0.4626791666666667</v>
      </c>
      <c r="J88" s="1551">
        <f t="shared" si="0"/>
        <v>0.40638750000000001</v>
      </c>
      <c r="K88" s="1514">
        <f>+INCLUYENTE!AE208</f>
        <v>0.32500000000000001</v>
      </c>
      <c r="L88" s="1514">
        <f>+INCLUYENTE!BL208</f>
        <v>1</v>
      </c>
      <c r="M88" s="1563">
        <f>+INCLUYENTE!BN208</f>
        <v>0.8505125</v>
      </c>
      <c r="N88" s="1506" t="s">
        <v>2090</v>
      </c>
      <c r="U88" s="1439"/>
      <c r="V88" s="1439"/>
      <c r="W88" s="1439"/>
      <c r="X88" s="1439"/>
      <c r="Y88" s="1439"/>
      <c r="Z88" s="1439"/>
    </row>
    <row r="89" spans="2:26" ht="15.75" customHeight="1" x14ac:dyDescent="0.25">
      <c r="B89" s="1604" t="str">
        <f>+INCLUYENTE!U209</f>
        <v>Programa: Hábitos y estilos de vida saludable “actívate por tu salud”.</v>
      </c>
      <c r="C89" s="775">
        <f>+INCLUYENTE!AL212</f>
        <v>0.99882380616325561</v>
      </c>
      <c r="D89" s="761">
        <f>+INCLUYENTE!AN212</f>
        <v>0.62189263636852798</v>
      </c>
      <c r="E89" s="761">
        <f>+INCLUYENTE!AC212</f>
        <v>0.20370370370370372</v>
      </c>
      <c r="F89" s="761">
        <v>0.63080529234000748</v>
      </c>
      <c r="G89" s="761">
        <f>+INCLUYENTE!AD212</f>
        <v>0.25925925925925924</v>
      </c>
      <c r="H89" s="761">
        <f>+INCLUYENTE!AY212</f>
        <v>0.5453636758721504</v>
      </c>
      <c r="I89" s="1605">
        <f>+INCLUYENTE!BA212</f>
        <v>0.702578195225254</v>
      </c>
      <c r="J89" s="1551">
        <f t="shared" si="0"/>
        <v>8.0685558856726014E-2</v>
      </c>
      <c r="K89" s="1514">
        <f>+INCLUYENTE!AE212</f>
        <v>0.20316285022167374</v>
      </c>
      <c r="L89" s="1514">
        <f>+INCLUYENTE!BL212</f>
        <v>1</v>
      </c>
      <c r="M89" s="1563">
        <f>+INCLUYENTE!BN212</f>
        <v>1</v>
      </c>
      <c r="N89" s="1506" t="s">
        <v>2091</v>
      </c>
      <c r="U89" s="1439"/>
      <c r="V89" s="1439"/>
      <c r="W89" s="1439"/>
      <c r="X89" s="1439"/>
      <c r="Y89" s="1439"/>
      <c r="Z89" s="1439"/>
    </row>
    <row r="90" spans="2:26" ht="27.75" customHeight="1" x14ac:dyDescent="0.25">
      <c r="B90" s="1604" t="str">
        <f>+INCLUYENTE!U213</f>
        <v xml:space="preserve">Programa: Recreación comunitaria “Recréate Cartagena” </v>
      </c>
      <c r="C90" s="775">
        <f>+INCLUYENTE!AL216</f>
        <v>0.50201006354099942</v>
      </c>
      <c r="D90" s="761">
        <f>+INCLUYENTE!AN216</f>
        <v>0.16500086232371189</v>
      </c>
      <c r="E90" s="761">
        <f>+INCLUYENTE!AC216</f>
        <v>0.20588235294117649</v>
      </c>
      <c r="F90" s="761">
        <v>0.16500086232371189</v>
      </c>
      <c r="G90" s="761">
        <f>+INCLUYENTE!AD216</f>
        <v>0.26470588235294118</v>
      </c>
      <c r="H90" s="761">
        <f>+INCLUYENTE!AY216</f>
        <v>0.4706073147669389</v>
      </c>
      <c r="I90" s="1605">
        <f>+INCLUYENTE!BA216</f>
        <v>0.41824015495794908</v>
      </c>
      <c r="J90" s="1551">
        <f t="shared" si="0"/>
        <v>0.25323929263423717</v>
      </c>
      <c r="K90" s="1514">
        <f>+INCLUYENTE!AE216</f>
        <v>0.36445958008404455</v>
      </c>
      <c r="L90" s="1514">
        <f>+INCLUYENTE!BL216</f>
        <v>0.86780000000000002</v>
      </c>
      <c r="M90" s="1563">
        <f>+INCLUYENTE!BN216</f>
        <v>0.84329753467542068</v>
      </c>
      <c r="N90" s="1506" t="s">
        <v>2090</v>
      </c>
      <c r="U90" s="1439"/>
      <c r="V90" s="1439"/>
      <c r="W90" s="1439"/>
      <c r="X90" s="1439"/>
      <c r="Y90" s="1439"/>
      <c r="Z90" s="1439"/>
    </row>
    <row r="91" spans="2:26" ht="42.75" customHeight="1" x14ac:dyDescent="0.25">
      <c r="B91" s="1604" t="str">
        <f>+INCLUYENTE!U217</f>
        <v>Programa: Observatorio de ciencias aplicadas al deporte, la recreación, la actividad física y el aprovechamiento del tiempo libre en el distrito de Cartagena de indias.</v>
      </c>
      <c r="C91" s="775">
        <f>+INCLUYENTE!AL222</f>
        <v>0.49940566968691125</v>
      </c>
      <c r="D91" s="761">
        <f>+INCLUYENTE!AN222</f>
        <v>0.2329395933014354</v>
      </c>
      <c r="E91" s="761">
        <f>+INCLUYENTE!AC222</f>
        <v>0.2</v>
      </c>
      <c r="F91" s="761">
        <v>0.2329395933014354</v>
      </c>
      <c r="G91" s="761">
        <f>+INCLUYENTE!AD222</f>
        <v>0.43999999999999995</v>
      </c>
      <c r="H91" s="761">
        <f>+INCLUYENTE!AY222</f>
        <v>0.60227417204962574</v>
      </c>
      <c r="I91" s="1605">
        <f>+INCLUYENTE!BA222</f>
        <v>0.55000000000000004</v>
      </c>
      <c r="J91" s="1551">
        <f t="shared" si="0"/>
        <v>0.31706040669856461</v>
      </c>
      <c r="K91" s="1514">
        <f>+INCLUYENTE!AE222</f>
        <v>0.30000000000000004</v>
      </c>
      <c r="L91" s="1514">
        <f>+INCLUYENTE!BL222</f>
        <v>0.80225000000000013</v>
      </c>
      <c r="M91" s="1563">
        <f>+INCLUYENTE!BN222</f>
        <v>0.82000000000000006</v>
      </c>
      <c r="N91" s="1506" t="s">
        <v>2090</v>
      </c>
      <c r="U91" s="1439"/>
      <c r="V91" s="1439"/>
      <c r="W91" s="1439"/>
      <c r="X91" s="1439"/>
      <c r="Y91" s="1439"/>
      <c r="Z91" s="1439"/>
    </row>
    <row r="92" spans="2:26" ht="15.75" customHeight="1" x14ac:dyDescent="0.25">
      <c r="B92" s="1604" t="str">
        <f>+INCLUYENTE!U223</f>
        <v xml:space="preserve">Programa Administración, Mantenimiento, Adecuación, Mejoramiento y Construcción de Escenarios Deportivos  </v>
      </c>
      <c r="C92" s="775">
        <f>+INCLUYENTE!AL227</f>
        <v>0.4522395472788322</v>
      </c>
      <c r="D92" s="761">
        <f>+INCLUYENTE!AN227</f>
        <v>0.10044739613614052</v>
      </c>
      <c r="E92" s="761">
        <f>+INCLUYENTE!AC227</f>
        <v>0.21249999999999999</v>
      </c>
      <c r="F92" s="761">
        <v>0.21897012340886779</v>
      </c>
      <c r="G92" s="761">
        <f>+INCLUYENTE!AD227</f>
        <v>0.26250000000000001</v>
      </c>
      <c r="H92" s="761">
        <f>+INCLUYENTE!AY227</f>
        <v>0.75</v>
      </c>
      <c r="I92" s="1605">
        <f>+INCLUYENTE!BA227</f>
        <v>0.54910821377729224</v>
      </c>
      <c r="J92" s="1551">
        <f t="shared" si="0"/>
        <v>0.44866081764115173</v>
      </c>
      <c r="K92" s="1514">
        <f>+INCLUYENTE!AE227</f>
        <v>0.27424242424242423</v>
      </c>
      <c r="L92" s="1514">
        <f>+INCLUYENTE!BL227</f>
        <v>1</v>
      </c>
      <c r="M92" s="1563">
        <f>+INCLUYENTE!BN227</f>
        <v>0.92500000000000004</v>
      </c>
      <c r="N92" s="1506" t="s">
        <v>2090</v>
      </c>
      <c r="U92" s="1439"/>
      <c r="V92" s="1439"/>
      <c r="W92" s="1439"/>
      <c r="X92" s="1439"/>
      <c r="Y92" s="1439"/>
      <c r="Z92" s="1439"/>
    </row>
    <row r="93" spans="2:26" ht="38.25" customHeight="1" x14ac:dyDescent="0.25">
      <c r="B93" s="1613" t="str">
        <f>+INCLUYENTE!B229</f>
        <v>LÍNEA ESTRATÉGICA ARTES, CULTURA Y PATRIMONIO PARA UNA CARTAGENA INCLUYENTE</v>
      </c>
      <c r="C93" s="794">
        <f>+INCLUYENTE!AL253</f>
        <v>0.60648148148148151</v>
      </c>
      <c r="D93" s="809">
        <f>+INCLUYENTE!AN253</f>
        <v>0.15305196934435908</v>
      </c>
      <c r="E93" s="809">
        <f>+INCLUYENTE!AC253</f>
        <v>0.15979226242464764</v>
      </c>
      <c r="F93" s="809">
        <v>0.16155107774160088</v>
      </c>
      <c r="G93" s="809">
        <f>+INCLUYENTE!AD253</f>
        <v>0.34096762910746842</v>
      </c>
      <c r="H93" s="809">
        <f>+INCLUYENTE!AY253</f>
        <v>0.89687454016290447</v>
      </c>
      <c r="I93" s="810">
        <f>+INCLUYENTE!BA253</f>
        <v>0.65327052842627509</v>
      </c>
      <c r="J93" s="1555">
        <f t="shared" si="0"/>
        <v>0.50021855908191604</v>
      </c>
      <c r="K93" s="1531">
        <f>+INCLUYENTE!AE253</f>
        <v>0.32847463998586085</v>
      </c>
      <c r="L93" s="1531">
        <f>+INCLUYENTE!BL253</f>
        <v>0.89006056360435248</v>
      </c>
      <c r="M93" s="1577">
        <f>+INCLUYENTE!BN253</f>
        <v>0.84637332552491618</v>
      </c>
      <c r="N93" s="1506"/>
      <c r="U93" s="1439"/>
      <c r="V93" s="1439"/>
      <c r="W93" s="1439"/>
      <c r="X93" s="1439"/>
      <c r="Y93" s="1439"/>
      <c r="Z93" s="1439"/>
    </row>
    <row r="94" spans="2:26" ht="15.75" customHeight="1" x14ac:dyDescent="0.25">
      <c r="B94" s="1618" t="str">
        <f>+INCLUYENTE!U229</f>
        <v xml:space="preserve"> Programa: Mediación  y bibliotecas para la Inclusión </v>
      </c>
      <c r="C94" s="761">
        <f>+INCLUYENTE!AL232</f>
        <v>0.72222222222222232</v>
      </c>
      <c r="D94" s="811">
        <f>+INCLUYENTE!AN232</f>
        <v>6.1111111111111116E-2</v>
      </c>
      <c r="E94" s="811">
        <f>+INCLUYENTE!AC232</f>
        <v>0.11592962064099448</v>
      </c>
      <c r="F94" s="811">
        <v>0.11210576149456186</v>
      </c>
      <c r="G94" s="811">
        <f>+INCLUYENTE!AD232</f>
        <v>0.3135790153418907</v>
      </c>
      <c r="H94" s="811">
        <f>+INCLUYENTE!AY232</f>
        <v>0.94115715088733642</v>
      </c>
      <c r="I94" s="1619">
        <f>+INCLUYENTE!BA232</f>
        <v>0.59946665822948153</v>
      </c>
      <c r="J94" s="1556">
        <f t="shared" si="0"/>
        <v>0.53835554711837041</v>
      </c>
      <c r="K94" s="1532">
        <f>+INCLUYENTE!AE232</f>
        <v>0.29584783991516495</v>
      </c>
      <c r="L94" s="1516">
        <f>+INCLUYENTE!BL232</f>
        <v>0.66115137034034277</v>
      </c>
      <c r="M94" s="1578">
        <f>+INCLUYENTE!BN232</f>
        <v>0.70218024033294346</v>
      </c>
      <c r="N94" s="1506" t="s">
        <v>2092</v>
      </c>
      <c r="U94" s="1439"/>
      <c r="V94" s="1439"/>
      <c r="W94" s="1439"/>
      <c r="X94" s="1439"/>
      <c r="Y94" s="1439"/>
      <c r="Z94" s="1439"/>
    </row>
    <row r="95" spans="2:26" ht="15.75" customHeight="1" x14ac:dyDescent="0.25">
      <c r="B95" s="1618" t="str">
        <f>+INCLUYENTE!U233</f>
        <v>Programa: Estímulos para las artes y el Emprendimiento incluyente</v>
      </c>
      <c r="C95" s="761">
        <f>+INCLUYENTE!AL237</f>
        <v>0.75</v>
      </c>
      <c r="D95" s="761">
        <f>+INCLUYENTE!AN237</f>
        <v>0.27756598825207368</v>
      </c>
      <c r="E95" s="761">
        <f>+INCLUYENTE!AC237</f>
        <v>9.1637578350786314E-2</v>
      </c>
      <c r="F95" s="761">
        <v>0.27756598825207368</v>
      </c>
      <c r="G95" s="761">
        <f>+INCLUYENTE!AD237</f>
        <v>0.26049994370003376</v>
      </c>
      <c r="H95" s="761">
        <f>+INCLUYENTE!AY237</f>
        <v>1</v>
      </c>
      <c r="I95" s="1605">
        <f>+INCLUYENTE!BA237</f>
        <v>0.70588663063468826</v>
      </c>
      <c r="J95" s="1551">
        <f t="shared" si="0"/>
        <v>0.42832064238261458</v>
      </c>
      <c r="K95" s="1514">
        <f>+INCLUYENTE!AE237</f>
        <v>0.16666666666666666</v>
      </c>
      <c r="L95" s="1145">
        <f>+INCLUYENTE!BL237</f>
        <v>0.6792120112857718</v>
      </c>
      <c r="M95" s="1563">
        <f>+INCLUYENTE!BN237</f>
        <v>0.77129780805464854</v>
      </c>
      <c r="N95" s="1506" t="s">
        <v>2092</v>
      </c>
      <c r="U95" s="1439"/>
      <c r="V95" s="1439"/>
      <c r="W95" s="1439"/>
      <c r="X95" s="1439"/>
      <c r="Y95" s="1439"/>
      <c r="Z95" s="1439"/>
    </row>
    <row r="96" spans="2:26" ht="15.75" customHeight="1" x14ac:dyDescent="0.25">
      <c r="B96" s="1618" t="str">
        <f>+INCLUYENTE!U238</f>
        <v>Programa: Patrimonio Inmaterial: Prácticas significativas para la memoria</v>
      </c>
      <c r="C96" s="761">
        <f>+INCLUYENTE!AL241</f>
        <v>1</v>
      </c>
      <c r="D96" s="761">
        <f>+INCLUYENTE!AN241</f>
        <v>0.44185126582278483</v>
      </c>
      <c r="E96" s="761">
        <f>+INCLUYENTE!AC241</f>
        <v>0.19290611814345993</v>
      </c>
      <c r="F96" s="761">
        <v>0.44185126582278483</v>
      </c>
      <c r="G96" s="761">
        <f>+INCLUYENTE!AD241</f>
        <v>0.33860759493670889</v>
      </c>
      <c r="H96" s="32">
        <f>+INCLUYENTE!AY241</f>
        <v>1</v>
      </c>
      <c r="I96" s="1605">
        <f>+INCLUYENTE!BA241</f>
        <v>1</v>
      </c>
      <c r="J96" s="1551">
        <f t="shared" si="0"/>
        <v>0.55814873417721511</v>
      </c>
      <c r="K96" s="1514">
        <f>+INCLUYENTE!AE241</f>
        <v>0</v>
      </c>
      <c r="L96" s="1517">
        <f>+INCLUYENTE!BL241</f>
        <v>1</v>
      </c>
      <c r="M96" s="1563">
        <f>+INCLUYENTE!BN241</f>
        <v>1</v>
      </c>
      <c r="N96" s="1506" t="s">
        <v>2092</v>
      </c>
      <c r="U96" s="1439"/>
      <c r="V96" s="1439"/>
      <c r="W96" s="1439"/>
      <c r="X96" s="1439"/>
      <c r="Y96" s="1439"/>
      <c r="Z96" s="1439"/>
    </row>
    <row r="97" spans="2:26" ht="15.75" customHeight="1" x14ac:dyDescent="0.25">
      <c r="B97" s="1618" t="str">
        <f>+INCLUYENTE!U242</f>
        <v xml:space="preserve"> Programa: Valoración, Cuidado y Apropiación Social del Patrimonio Material</v>
      </c>
      <c r="C97" s="761">
        <f>+INCLUYENTE!AL246</f>
        <v>1</v>
      </c>
      <c r="D97" s="761">
        <f>+INCLUYENTE!AN246</f>
        <v>0.11397392707066115</v>
      </c>
      <c r="E97" s="761">
        <f>+INCLUYENTE!AC246</f>
        <v>0.11185168598407372</v>
      </c>
      <c r="F97" s="761">
        <v>0.11397392707066115</v>
      </c>
      <c r="G97" s="761">
        <f>+INCLUYENTE!AD246</f>
        <v>0.29383350638046302</v>
      </c>
      <c r="H97" s="761">
        <f>+INCLUYENTE!AY246</f>
        <v>0.94009009009009015</v>
      </c>
      <c r="I97" s="1605">
        <f>+INCLUYENTE!BA246</f>
        <v>0.60236511978871909</v>
      </c>
      <c r="J97" s="1551">
        <f t="shared" si="0"/>
        <v>0.48839119271805798</v>
      </c>
      <c r="K97" s="1514">
        <f>+INCLUYENTE!AE246</f>
        <v>0.2583333333333333</v>
      </c>
      <c r="L97" s="1145">
        <f>+INCLUYENTE!BL246</f>
        <v>1</v>
      </c>
      <c r="M97" s="1563">
        <f>+INCLUYENTE!BN246</f>
        <v>0.95</v>
      </c>
      <c r="N97" s="1506" t="s">
        <v>2092</v>
      </c>
      <c r="U97" s="1439"/>
      <c r="V97" s="1439"/>
      <c r="W97" s="1439"/>
      <c r="X97" s="1439"/>
      <c r="Y97" s="1439"/>
      <c r="Z97" s="1439"/>
    </row>
    <row r="98" spans="2:26" ht="15.75" customHeight="1" x14ac:dyDescent="0.25">
      <c r="B98" s="1604" t="str">
        <f>+INCLUYENTE!U247</f>
        <v>Programa: Derechos culturales y buen gobierno para el fortalecimiento institucional y ciudadano</v>
      </c>
      <c r="C98" s="761">
        <f>+INCLUYENTE!AL249</f>
        <v>0</v>
      </c>
      <c r="D98" s="761">
        <f>+INCLUYENTE!AN249</f>
        <v>0</v>
      </c>
      <c r="E98" s="761">
        <f>+INCLUYENTE!AC249</f>
        <v>0.25</v>
      </c>
      <c r="F98" s="761">
        <v>0</v>
      </c>
      <c r="G98" s="761">
        <f>+INCLUYENTE!AD249</f>
        <v>0.5</v>
      </c>
      <c r="H98" s="761">
        <f>+INCLUYENTE!AY249</f>
        <v>1</v>
      </c>
      <c r="I98" s="1605">
        <f>+INCLUYENTE!BA249</f>
        <v>0.75</v>
      </c>
      <c r="J98" s="1551">
        <f t="shared" si="0"/>
        <v>0.75</v>
      </c>
      <c r="K98" s="1514">
        <f>+INCLUYENTE!AE249</f>
        <v>0.25</v>
      </c>
      <c r="L98" s="1145">
        <f>+INCLUYENTE!BL249</f>
        <v>1</v>
      </c>
      <c r="M98" s="1563">
        <f>+INCLUYENTE!BN249</f>
        <v>0.75</v>
      </c>
      <c r="N98" s="1506" t="s">
        <v>2092</v>
      </c>
      <c r="U98" s="1439"/>
      <c r="V98" s="1439"/>
      <c r="W98" s="1439"/>
      <c r="X98" s="1439"/>
      <c r="Y98" s="1439"/>
      <c r="Z98" s="1439"/>
    </row>
    <row r="99" spans="2:26" ht="15.75" customHeight="1" x14ac:dyDescent="0.25">
      <c r="B99" s="1618" t="str">
        <f>+INCLUYENTE!U250</f>
        <v>Programa: Infraestructura Cultural para la Inclusión</v>
      </c>
      <c r="C99" s="761">
        <f>+INCLUYENTE!AL252</f>
        <v>0.16666666666666666</v>
      </c>
      <c r="D99" s="761">
        <f>+INCLUYENTE!AN252</f>
        <v>2.3809523809523808E-2</v>
      </c>
      <c r="E99" s="761">
        <f>+INCLUYENTE!AC252</f>
        <v>0.19642857142857142</v>
      </c>
      <c r="F99" s="761">
        <v>2.3809523809523808E-2</v>
      </c>
      <c r="G99" s="761">
        <f>+INCLUYENTE!AD252</f>
        <v>0.3392857142857143</v>
      </c>
      <c r="H99" s="761">
        <f>+INCLUYENTE!AY252</f>
        <v>0.5</v>
      </c>
      <c r="I99" s="1605">
        <f>+INCLUYENTE!BA252</f>
        <v>0.26190476190476192</v>
      </c>
      <c r="J99" s="1551">
        <f t="shared" si="0"/>
        <v>0.23809523809523811</v>
      </c>
      <c r="K99" s="1514">
        <f>+INCLUYENTE!AE252</f>
        <v>1</v>
      </c>
      <c r="L99" s="1145">
        <f>+INCLUYENTE!BL252</f>
        <v>1</v>
      </c>
      <c r="M99" s="1563">
        <f>+INCLUYENTE!BN252</f>
        <v>0.90476190476190477</v>
      </c>
      <c r="N99" s="1506" t="s">
        <v>2092</v>
      </c>
      <c r="U99" s="1439"/>
      <c r="V99" s="1439"/>
      <c r="W99" s="1439"/>
      <c r="X99" s="1439"/>
      <c r="Y99" s="1439"/>
      <c r="Z99" s="1439"/>
    </row>
    <row r="100" spans="2:26" ht="15.75" customHeight="1" x14ac:dyDescent="0.25">
      <c r="B100" s="1613" t="str">
        <f>+INCLUYENTE!B254</f>
        <v xml:space="preserve">LÍNEA ESTRATÉGICA: PLANEACIÓN SOCIAL DEL TERRITORIO </v>
      </c>
      <c r="C100" s="794">
        <f>+INCLUYENTE!AL265</f>
        <v>0.47500000000000003</v>
      </c>
      <c r="D100" s="809">
        <f>+INCLUYENTE!AN265</f>
        <v>0.19437500000000002</v>
      </c>
      <c r="E100" s="809">
        <f>+INCLUYENTE!AC265</f>
        <v>0.24062499999999998</v>
      </c>
      <c r="F100" s="809">
        <v>0.14812500000000001</v>
      </c>
      <c r="G100" s="809">
        <f>+INCLUYENTE!AD265</f>
        <v>0.29235714285714287</v>
      </c>
      <c r="H100" s="809">
        <f>+INCLUYENTE!AY265</f>
        <v>0.90364285714285719</v>
      </c>
      <c r="I100" s="810">
        <f>+INCLUYENTE!BA265</f>
        <v>0.67642857142857138</v>
      </c>
      <c r="J100" s="1555">
        <f t="shared" si="0"/>
        <v>0.48205357142857136</v>
      </c>
      <c r="K100" s="1531">
        <f>+INCLUYENTE!AE265</f>
        <v>0.6166666666666667</v>
      </c>
      <c r="L100" s="1531">
        <f>+INCLUYENTE!BL265</f>
        <v>0.85714285714285721</v>
      </c>
      <c r="M100" s="1577">
        <f>+INCLUYENTE!BN265</f>
        <v>0.91428571428571426</v>
      </c>
      <c r="N100" s="1506"/>
      <c r="U100" s="1439"/>
      <c r="V100" s="1439"/>
      <c r="W100" s="1439"/>
      <c r="X100" s="1439"/>
      <c r="Y100" s="1439"/>
      <c r="Z100" s="1439"/>
    </row>
    <row r="101" spans="2:26" ht="15.75" customHeight="1" x14ac:dyDescent="0.25">
      <c r="B101" s="1618" t="str">
        <f>+INCLUYENTE!U254</f>
        <v xml:space="preserve">Programa: Instrumentos de planificación social del territorio </v>
      </c>
      <c r="C101" s="32">
        <f>+INCLUYENTE!AL261</f>
        <v>0.95000000000000007</v>
      </c>
      <c r="D101" s="761">
        <f>+INCLUYENTE!AN261</f>
        <v>0.38875000000000004</v>
      </c>
      <c r="E101" s="761">
        <f>+INCLUYENTE!AC261</f>
        <v>0.33124999999999999</v>
      </c>
      <c r="F101" s="761">
        <v>0.29625000000000001</v>
      </c>
      <c r="G101" s="761">
        <f>+INCLUYENTE!AD261</f>
        <v>0.33471428571428569</v>
      </c>
      <c r="H101" s="32">
        <f>+INCLUYENTE!AY261</f>
        <v>0.80728571428571427</v>
      </c>
      <c r="I101" s="1605">
        <f>+INCLUYENTE!BA261</f>
        <v>0.80285714285714282</v>
      </c>
      <c r="J101" s="1551">
        <f t="shared" si="0"/>
        <v>0.41410714285714278</v>
      </c>
      <c r="K101" s="1514">
        <f>+INCLUYENTE!AE261</f>
        <v>0.73333333333333339</v>
      </c>
      <c r="L101" s="1514">
        <f>+INCLUYENTE!BL261</f>
        <v>0.7142857142857143</v>
      </c>
      <c r="M101" s="1563">
        <f>+INCLUYENTE!BN261</f>
        <v>0.82857142857142851</v>
      </c>
      <c r="N101" s="1506" t="s">
        <v>2093</v>
      </c>
      <c r="U101" s="1439"/>
      <c r="V101" s="1439"/>
      <c r="W101" s="1439"/>
      <c r="X101" s="1439"/>
      <c r="Y101" s="1439"/>
      <c r="Z101" s="1439"/>
    </row>
    <row r="102" spans="2:26" ht="15.75" customHeight="1" x14ac:dyDescent="0.25">
      <c r="B102" s="1618" t="str">
        <f>+INCLUYENTE!U262</f>
        <v>Programa: Catastro multipropósito</v>
      </c>
      <c r="C102" s="32">
        <f>+INCLUYENTE!AL264</f>
        <v>0</v>
      </c>
      <c r="D102" s="761">
        <f>+INCLUYENTE!AN264</f>
        <v>0</v>
      </c>
      <c r="E102" s="761">
        <f>+INCLUYENTE!AC264</f>
        <v>0.15</v>
      </c>
      <c r="F102" s="761">
        <v>0</v>
      </c>
      <c r="G102" s="761">
        <f>+INCLUYENTE!AD264</f>
        <v>0.25</v>
      </c>
      <c r="H102" s="761">
        <f>+INCLUYENTE!AY264</f>
        <v>1</v>
      </c>
      <c r="I102" s="1605">
        <f>+INCLUYENTE!BA264</f>
        <v>0.55000000000000004</v>
      </c>
      <c r="J102" s="1551">
        <f t="shared" si="0"/>
        <v>0.55000000000000004</v>
      </c>
      <c r="K102" s="1514">
        <f>+INCLUYENTE!AE264</f>
        <v>0.5</v>
      </c>
      <c r="L102" s="1514">
        <f>+INCLUYENTE!BL264</f>
        <v>1</v>
      </c>
      <c r="M102" s="1563">
        <f>+INCLUYENTE!BN264</f>
        <v>1</v>
      </c>
      <c r="N102" s="1506" t="s">
        <v>2093</v>
      </c>
      <c r="U102" s="1439"/>
      <c r="V102" s="1439"/>
      <c r="W102" s="1439"/>
      <c r="X102" s="1439"/>
      <c r="Y102" s="1439"/>
      <c r="Z102" s="1439"/>
    </row>
    <row r="103" spans="2:26" ht="27" customHeight="1" x14ac:dyDescent="0.25">
      <c r="B103" s="1614" t="str">
        <f>+CONTINGENTE!A2</f>
        <v xml:space="preserve">PILAR CARTAGENA CONTINGENTE </v>
      </c>
      <c r="C103" s="812">
        <f>+(C104+C117+C121+C125)/3</f>
        <v>0.43856696197686335</v>
      </c>
      <c r="D103" s="802">
        <f>+(D104+D117+D121+D125)/4</f>
        <v>0.12209514705508813</v>
      </c>
      <c r="E103" s="802">
        <f>+(E104+E117+E121+E125)/3</f>
        <v>0.28771667638221343</v>
      </c>
      <c r="F103" s="802">
        <v>0.13735803319153184</v>
      </c>
      <c r="G103" s="802">
        <f>+(G104+G117+G121+G125)/3</f>
        <v>0.42260024228839144</v>
      </c>
      <c r="H103" s="802">
        <f>+(H104+H117+H121+H125)/3</f>
        <v>1.256443140883641</v>
      </c>
      <c r="I103" s="803">
        <f>+(I104+I117+I121+I125)/4</f>
        <v>0.58921382734277439</v>
      </c>
      <c r="J103" s="1553">
        <f t="shared" si="0"/>
        <v>0.46711868028768627</v>
      </c>
      <c r="K103" s="1529">
        <f>+(K104+K117+K121+K125)/3</f>
        <v>0.26501774988872767</v>
      </c>
      <c r="L103" s="1529">
        <f>+(L104+L117+L121+L125)/4</f>
        <v>0.87928705742190327</v>
      </c>
      <c r="M103" s="1575">
        <f>+(M104+M117+M121+M125)/4</f>
        <v>0.81331553252547473</v>
      </c>
      <c r="N103" s="1506"/>
      <c r="U103" s="1439"/>
      <c r="V103" s="1439"/>
      <c r="W103" s="1439"/>
      <c r="X103" s="1439"/>
      <c r="Y103" s="1439"/>
      <c r="Z103" s="1439"/>
    </row>
    <row r="104" spans="2:26" ht="30.75" customHeight="1" x14ac:dyDescent="0.25">
      <c r="B104" s="1615" t="str">
        <f>+CONTINGENTE!B2</f>
        <v xml:space="preserve"> LÍNEA ESTRATÉGICA: DESARROLLO ECONÓMICO Y EMPLEABILIDAD</v>
      </c>
      <c r="C104" s="798">
        <f>+CONTINGENTE!AI58</f>
        <v>0.60837037037037034</v>
      </c>
      <c r="D104" s="813">
        <f>+CONTINGENTE!AK58</f>
        <v>0.14372951195754824</v>
      </c>
      <c r="E104" s="813">
        <f>+CONTINGENTE!AB58</f>
        <v>0.22721743663855876</v>
      </c>
      <c r="F104" s="813">
        <v>0.15172521085403587</v>
      </c>
      <c r="G104" s="813">
        <f>+CONTINGENTE!AC58</f>
        <v>0.45837400837180819</v>
      </c>
      <c r="H104" s="813">
        <f>+CONTINGENTE!AV58</f>
        <v>0.67704309786459771</v>
      </c>
      <c r="I104" s="814">
        <f>+CONTINGENTE!AX58</f>
        <v>0.3624751314955918</v>
      </c>
      <c r="J104" s="1557">
        <f t="shared" si="0"/>
        <v>0.21874561953804356</v>
      </c>
      <c r="K104" s="1533">
        <f>+CONTINGENTE!AD58</f>
        <v>0.38605324966618287</v>
      </c>
      <c r="L104" s="1533">
        <f>+CONTINGENTE!BI58</f>
        <v>0.68381489635427994</v>
      </c>
      <c r="M104" s="1579">
        <f>+CONTINGENTE!BK58</f>
        <v>0.64909546343523228</v>
      </c>
      <c r="N104" s="1506"/>
    </row>
    <row r="105" spans="2:26" ht="27" customHeight="1" x14ac:dyDescent="0.25">
      <c r="B105" s="1616" t="str">
        <f>+CONTINGENTE!T2</f>
        <v xml:space="preserve">Programa: Centros para el emprendimiento y la gestión de la empleabilidad en Cartagena de Indias </v>
      </c>
      <c r="C105" s="765">
        <f>+CONTINGENTE!AI11</f>
        <v>0.83200000000000007</v>
      </c>
      <c r="D105" s="811">
        <f>+CONTINGENTE!AK11</f>
        <v>2.7839999999999997E-2</v>
      </c>
      <c r="E105" s="671">
        <f>+CONTINGENTE!AB11</f>
        <v>3.7866666666666667E-2</v>
      </c>
      <c r="F105" s="671">
        <v>2.7839999999999997E-2</v>
      </c>
      <c r="G105" s="671">
        <f>+CONTINGENTE!AC11</f>
        <v>0.44425925925925935</v>
      </c>
      <c r="H105" s="761">
        <f>+CONTINGENTE!AV11</f>
        <v>0.54568682629939547</v>
      </c>
      <c r="I105" s="1605">
        <f>+CONTINGENTE!AX11</f>
        <v>0.29344629629629626</v>
      </c>
      <c r="J105" s="1551">
        <f t="shared" si="0"/>
        <v>0.26560629629629628</v>
      </c>
      <c r="K105" s="1514">
        <f>+CONTINGENTE!AD11</f>
        <v>0.31604166666666667</v>
      </c>
      <c r="L105" s="1515">
        <f>+CONTINGENTE!BI11</f>
        <v>0.60376190476190472</v>
      </c>
      <c r="M105" s="1563">
        <f>+CONTINGENTE!BK11</f>
        <v>0.52343518518518506</v>
      </c>
      <c r="N105" s="1502" t="s">
        <v>2094</v>
      </c>
    </row>
    <row r="106" spans="2:26" ht="15.75" customHeight="1" x14ac:dyDescent="0.25">
      <c r="B106" s="1616" t="str">
        <f>+CONTINGENTE!T12</f>
        <v>Programa: Mujeres con Autonomía Económica</v>
      </c>
      <c r="C106" s="765">
        <f>+CONTINGENTE!AI15</f>
        <v>0.94888888888888889</v>
      </c>
      <c r="D106" s="811">
        <f>+CONTINGENTE!AK15</f>
        <v>6.2469746974697461E-2</v>
      </c>
      <c r="E106" s="671">
        <f>+CONTINGENTE!AB15</f>
        <v>8.0060506050605051E-2</v>
      </c>
      <c r="F106" s="671">
        <v>7.2469746974697477E-2</v>
      </c>
      <c r="G106" s="671">
        <f>+CONTINGENTE!AC15</f>
        <v>0.30456545654565459</v>
      </c>
      <c r="H106" s="761">
        <f>+CONTINGENTE!AV15</f>
        <v>1.1792982456140351</v>
      </c>
      <c r="I106" s="1605">
        <f>+CONTINGENTE!AX15</f>
        <v>0.43018701870187021</v>
      </c>
      <c r="J106" s="1551">
        <f t="shared" si="0"/>
        <v>0.36771727172717272</v>
      </c>
      <c r="K106" s="1514">
        <f>+CONTINGENTE!AD15</f>
        <v>0.31012101210121013</v>
      </c>
      <c r="L106" s="1515">
        <f>+CONTINGENTE!BI15</f>
        <v>0.60944444444444446</v>
      </c>
      <c r="M106" s="1563">
        <f>+CONTINGENTE!BK15</f>
        <v>0.61997249724972503</v>
      </c>
      <c r="N106" s="1502" t="s">
        <v>2094</v>
      </c>
    </row>
    <row r="107" spans="2:26" ht="15.75" customHeight="1" x14ac:dyDescent="0.25">
      <c r="B107" s="1616" t="str">
        <f>+CONTINGENTE!T16</f>
        <v>Programa: "Empleo Inclusivo Para Los Jóvenes”</v>
      </c>
      <c r="C107" s="765">
        <f>+CONTINGENTE!AI19</f>
        <v>0.77777777777777768</v>
      </c>
      <c r="D107" s="811">
        <f>+CONTINGENTE!AK19</f>
        <v>2.5000000000000005E-2</v>
      </c>
      <c r="E107" s="671">
        <f>+CONTINGENTE!AB19</f>
        <v>5.8636363636363632E-2</v>
      </c>
      <c r="F107" s="671">
        <v>4.530303030303031E-2</v>
      </c>
      <c r="G107" s="671">
        <f>+CONTINGENTE!AC19</f>
        <v>0.27992424242424246</v>
      </c>
      <c r="H107" s="761">
        <f>+CONTINGENTE!AV19</f>
        <v>0.42888888888888888</v>
      </c>
      <c r="I107" s="1605">
        <f>+CONTINGENTE!AX19</f>
        <v>0.13276515151515153</v>
      </c>
      <c r="J107" s="1551">
        <f t="shared" si="0"/>
        <v>0.10776515151515152</v>
      </c>
      <c r="K107" s="1514">
        <f>+CONTINGENTE!AD19</f>
        <v>0.38920454545454541</v>
      </c>
      <c r="L107" s="1515">
        <f>+CONTINGENTE!BI19</f>
        <v>0.69497716894977168</v>
      </c>
      <c r="M107" s="1563">
        <f>+CONTINGENTE!BK19</f>
        <v>0.58570454545454542</v>
      </c>
      <c r="N107" s="1502" t="s">
        <v>2094</v>
      </c>
    </row>
    <row r="108" spans="2:26" ht="28.5" customHeight="1" x14ac:dyDescent="0.25">
      <c r="B108" s="1616" t="str">
        <f>+CONTINGENTE!T20</f>
        <v>Programa: Encadenamientos productivos</v>
      </c>
      <c r="C108" s="765">
        <f>+CONTINGENTE!AI24</f>
        <v>0</v>
      </c>
      <c r="D108" s="811">
        <f>+CONTINGENTE!AK24</f>
        <v>0</v>
      </c>
      <c r="E108" s="671">
        <f>+CONTINGENTE!AC24</f>
        <v>0.58333333333333337</v>
      </c>
      <c r="F108" s="671">
        <v>0</v>
      </c>
      <c r="G108" s="671">
        <f>+CONTINGENTE!AE24</f>
        <v>0</v>
      </c>
      <c r="H108" s="761">
        <f>+CONTINGENTE!AV24</f>
        <v>0.54999999999999993</v>
      </c>
      <c r="I108" s="1605">
        <f>+CONTINGENTE!AX24</f>
        <v>0.53</v>
      </c>
      <c r="J108" s="1551">
        <f t="shared" si="0"/>
        <v>0.53</v>
      </c>
      <c r="K108" s="1514">
        <f>+CONTINGENTE!AD24</f>
        <v>0.18333333333333335</v>
      </c>
      <c r="L108" s="1515">
        <f>+CONTINGENTE!BI24</f>
        <v>1</v>
      </c>
      <c r="M108" s="1563">
        <f>+CONTINGENTE!BK24</f>
        <v>0.875</v>
      </c>
      <c r="N108" s="1502" t="s">
        <v>2095</v>
      </c>
    </row>
    <row r="109" spans="2:26" ht="15.75" customHeight="1" x14ac:dyDescent="0.25">
      <c r="B109" s="1616" t="str">
        <f>+CONTINGENTE!T25</f>
        <v>Programa: Cartagena facilita el emprendimiento</v>
      </c>
      <c r="C109" s="765">
        <f>+CONTINGENTE!AI29</f>
        <v>0.25</v>
      </c>
      <c r="D109" s="811">
        <f>+CONTINGENTE!AK29</f>
        <v>0.16</v>
      </c>
      <c r="E109" s="671">
        <f>+CONTINGENTE!AB29</f>
        <v>0.25</v>
      </c>
      <c r="F109" s="671">
        <v>0.25</v>
      </c>
      <c r="G109" s="671">
        <f>+CONTINGENTE!AC29</f>
        <v>0.32500000000000001</v>
      </c>
      <c r="H109" s="761">
        <f>+CONTINGENTE!AV29</f>
        <v>0.55974999999999997</v>
      </c>
      <c r="I109" s="1605">
        <f>+CONTINGENTE!AX29</f>
        <v>0.32264999999999999</v>
      </c>
      <c r="J109" s="1551">
        <f t="shared" si="0"/>
        <v>0.16264999999999999</v>
      </c>
      <c r="K109" s="1514">
        <f>+CONTINGENTE!AD29</f>
        <v>0.65766666666666662</v>
      </c>
      <c r="L109" s="1515">
        <f>+CONTINGENTE!BI29</f>
        <v>0.3125</v>
      </c>
      <c r="M109" s="1563">
        <f>+CONTINGENTE!BK29</f>
        <v>0.34094999999999998</v>
      </c>
      <c r="N109" s="1502" t="s">
        <v>2095</v>
      </c>
    </row>
    <row r="110" spans="2:26" ht="15.75" customHeight="1" x14ac:dyDescent="0.25">
      <c r="B110" s="1616" t="str">
        <f>+CONTINGENTE!T30</f>
        <v>Programa: Zonas de aglomeración productiva</v>
      </c>
      <c r="C110" s="765">
        <f>+CONTINGENTE!AI33</f>
        <v>0</v>
      </c>
      <c r="D110" s="811">
        <f>+CONTINGENTE!AK33</f>
        <v>0</v>
      </c>
      <c r="E110" s="671">
        <f>+CONTINGENTE!AB33</f>
        <v>0</v>
      </c>
      <c r="F110" s="671">
        <v>0</v>
      </c>
      <c r="G110" s="671">
        <f>+CONTINGENTE!AC33</f>
        <v>0.34</v>
      </c>
      <c r="H110" s="761">
        <f>+CONTINGENTE!AV33</f>
        <v>0.47000000000000003</v>
      </c>
      <c r="I110" s="1605">
        <f>+CONTINGENTE!AX33</f>
        <v>0.47000000000000003</v>
      </c>
      <c r="J110" s="1551">
        <f t="shared" si="0"/>
        <v>0.47000000000000003</v>
      </c>
      <c r="K110" s="1514">
        <f>+CONTINGENTE!AD33</f>
        <v>0.5</v>
      </c>
      <c r="L110" s="1515">
        <f>+CONTINGENTE!BI33</f>
        <v>0.5</v>
      </c>
      <c r="M110" s="1563">
        <f>+CONTINGENTE!BK33</f>
        <v>0.66666666666666663</v>
      </c>
      <c r="N110" s="1502" t="s">
        <v>2095</v>
      </c>
    </row>
    <row r="111" spans="2:26" ht="15.75" customHeight="1" x14ac:dyDescent="0.25">
      <c r="B111" s="1616" t="str">
        <f>+CONTINGENTE!T34</f>
        <v>Programa: Cierre de brechas de empleabilidad</v>
      </c>
      <c r="C111" s="765">
        <f>+CONTINGENTE!AI36</f>
        <v>0</v>
      </c>
      <c r="D111" s="811">
        <f>+CONTINGENTE!AK36</f>
        <v>0</v>
      </c>
      <c r="E111" s="671">
        <f>+CONTINGENTE!AB36</f>
        <v>0</v>
      </c>
      <c r="F111" s="671">
        <v>0</v>
      </c>
      <c r="G111" s="671">
        <f>+CONTINGENTE!AC36</f>
        <v>0.35416666666666663</v>
      </c>
      <c r="H111" s="761">
        <f>+CONTINGENTE!AV36</f>
        <v>0.3125</v>
      </c>
      <c r="I111" s="1605">
        <f>+CONTINGENTE!AX40</f>
        <v>5.5555555555555552E-2</v>
      </c>
      <c r="J111" s="1551">
        <f t="shared" si="0"/>
        <v>5.5555555555555552E-2</v>
      </c>
      <c r="K111" s="1514">
        <f>+CONTINGENTE!AD36</f>
        <v>0</v>
      </c>
      <c r="L111" s="1515">
        <f>+CONTINGENTE!BI36</f>
        <v>0.78899999999999992</v>
      </c>
      <c r="M111" s="1563">
        <f>+CONTINGENTE!BK40</f>
        <v>1</v>
      </c>
      <c r="N111" s="1502" t="s">
        <v>2095</v>
      </c>
    </row>
    <row r="112" spans="2:26" ht="15.75" customHeight="1" x14ac:dyDescent="0.25">
      <c r="B112" s="1616" t="str">
        <f>+CONTINGENTE!T37</f>
        <v>Programa: Cierre de brechas de capital humano</v>
      </c>
      <c r="C112" s="765">
        <f>+CONTINGENTE!AI40</f>
        <v>0</v>
      </c>
      <c r="D112" s="811">
        <f>+CONTINGENTE!AK40</f>
        <v>0</v>
      </c>
      <c r="E112" s="671">
        <f>+CONTINGENTE!AB40</f>
        <v>0</v>
      </c>
      <c r="F112" s="671">
        <v>0</v>
      </c>
      <c r="G112" s="671">
        <f>+CONTINGENTE!AC40</f>
        <v>0.44444444444444442</v>
      </c>
      <c r="H112" s="761">
        <f>+CONTINGENTE!AV40</f>
        <v>0.20833333333333334</v>
      </c>
      <c r="I112" s="1605">
        <f>+CONTINGENTE!AX40</f>
        <v>5.5555555555555552E-2</v>
      </c>
      <c r="J112" s="1551">
        <f t="shared" si="0"/>
        <v>5.5555555555555552E-2</v>
      </c>
      <c r="K112" s="1514">
        <f>+CONTINGENTE!AD40</f>
        <v>0.60555555555555551</v>
      </c>
      <c r="L112" s="1515">
        <f>+CONTINGENTE!BI40</f>
        <v>1</v>
      </c>
      <c r="M112" s="1563">
        <f>+CONTINGENTE!BK40</f>
        <v>1</v>
      </c>
      <c r="N112" s="1502" t="s">
        <v>2095</v>
      </c>
    </row>
    <row r="113" spans="2:17" ht="35.25" customHeight="1" x14ac:dyDescent="0.25">
      <c r="B113" s="1620" t="str">
        <f>+CONTINGENTE!T41</f>
        <v>Programa: Desarrollo del ecosistema digital basado en la cuarta revolución industrial</v>
      </c>
      <c r="C113" s="765">
        <f>+CONTINGENTE!AI45</f>
        <v>1</v>
      </c>
      <c r="D113" s="811">
        <f>+CONTINGENTE!AK45</f>
        <v>1</v>
      </c>
      <c r="E113" s="671">
        <f>+CONTINGENTE!AB45</f>
        <v>0.25</v>
      </c>
      <c r="F113" s="671">
        <v>1</v>
      </c>
      <c r="G113" s="1141">
        <f>+CONTINGENTE!AC45</f>
        <v>8.4222222222222212E-2</v>
      </c>
      <c r="H113" s="32">
        <f>+CONTINGENTE!AV45</f>
        <v>0.97005988023952094</v>
      </c>
      <c r="I113" s="1607">
        <f>+CONTINGENTE!AX45</f>
        <v>0.62411111111111117</v>
      </c>
      <c r="J113" s="1551">
        <f t="shared" si="0"/>
        <v>-0.37588888888888883</v>
      </c>
      <c r="K113" s="1515">
        <f>+CONTINGENTE!AD45</f>
        <v>0.66700000000000004</v>
      </c>
      <c r="L113" s="1515">
        <f>+CONTINGENTE!BI45</f>
        <v>0.75</v>
      </c>
      <c r="M113" s="1564">
        <f>+CONTINGENTE!BK45</f>
        <v>0.65225</v>
      </c>
      <c r="N113" s="1507" t="s">
        <v>2096</v>
      </c>
      <c r="Q113" s="1646"/>
    </row>
    <row r="114" spans="2:17" ht="24.75" customHeight="1" x14ac:dyDescent="0.25">
      <c r="B114" s="1616" t="str">
        <f>+CONTINGENTE!T46</f>
        <v>Programa: Cartagena emprendedora para pequeños productores rurales</v>
      </c>
      <c r="C114" s="765">
        <f>+CONTINGENTE!AI47</f>
        <v>1</v>
      </c>
      <c r="D114" s="811">
        <f>+CONTINGENTE!AK47</f>
        <v>0.02</v>
      </c>
      <c r="E114" s="671">
        <f>+CONTINGENTE!AB47</f>
        <v>0.1</v>
      </c>
      <c r="F114" s="671">
        <v>2.2499999999999998E-3</v>
      </c>
      <c r="G114" s="1141">
        <f>+CONTINGENTE!AC47</f>
        <v>0.25</v>
      </c>
      <c r="H114" s="761">
        <f>+CONTINGENTE!AV47</f>
        <v>1.55</v>
      </c>
      <c r="I114" s="1605">
        <f>+CONTINGENTE!AX47</f>
        <v>0.39</v>
      </c>
      <c r="J114" s="1551">
        <f t="shared" si="0"/>
        <v>0.37</v>
      </c>
      <c r="K114" s="1514">
        <f>+CONTINGENTE!AD47</f>
        <v>0.26250000000000001</v>
      </c>
      <c r="L114" s="1515">
        <f>+CONTINGENTE!BI47</f>
        <v>0.90476190476190466</v>
      </c>
      <c r="M114" s="1563">
        <f>+CONTINGENTE!BK47</f>
        <v>0.62749999999999995</v>
      </c>
      <c r="N114" s="1501" t="s">
        <v>2097</v>
      </c>
    </row>
    <row r="115" spans="2:17" ht="15.75" customHeight="1" x14ac:dyDescent="0.25">
      <c r="B115" s="1616" t="str">
        <f>+CONTINGENTE!T48</f>
        <v>Programa: Sistemas de Mercados públicos</v>
      </c>
      <c r="C115" s="765">
        <f>+CONTINGENTE!AI53</f>
        <v>0</v>
      </c>
      <c r="D115" s="811">
        <f>+CONTINGENTE!AK53</f>
        <v>0</v>
      </c>
      <c r="E115" s="671">
        <f>+CONTINGENTE!AB53</f>
        <v>0.18506006006006007</v>
      </c>
      <c r="F115" s="671">
        <v>0</v>
      </c>
      <c r="G115" s="671">
        <f>+CONTINGENTE!AC53</f>
        <v>0.41545045045045048</v>
      </c>
      <c r="H115" s="761">
        <f>+CONTINGENTE!AV53</f>
        <v>0.5</v>
      </c>
      <c r="I115" s="1605">
        <f>+CONTINGENTE!AX53</f>
        <v>0.25045045045045045</v>
      </c>
      <c r="J115" s="1551">
        <f t="shared" si="0"/>
        <v>0.25045045045045045</v>
      </c>
      <c r="K115" s="1514">
        <f>+CONTINGENTE!AD53</f>
        <v>0.41621621621621618</v>
      </c>
      <c r="L115" s="1515">
        <f>+CONTINGENTE!BI53</f>
        <v>0.25800000000000001</v>
      </c>
      <c r="M115" s="1563">
        <f>+CONTINGENTE!BK53</f>
        <v>0.25266666666666665</v>
      </c>
      <c r="N115" s="1501" t="s">
        <v>2098</v>
      </c>
    </row>
    <row r="116" spans="2:17" ht="15.75" customHeight="1" x14ac:dyDescent="0.25">
      <c r="B116" s="1620" t="str">
        <f>+CONTINGENTE!T54</f>
        <v>Programa: Más Cooperación Internacional</v>
      </c>
      <c r="C116" s="765">
        <f>+CONTINGENTE!AI57</f>
        <v>0.66666666666666663</v>
      </c>
      <c r="D116" s="811">
        <f>+CONTINGENTE!AK57</f>
        <v>0.28571488455833333</v>
      </c>
      <c r="E116" s="671">
        <f>+CONTINGENTE!AB57</f>
        <v>0.5</v>
      </c>
      <c r="F116" s="671">
        <v>0.27111454211666669</v>
      </c>
      <c r="G116" s="671">
        <f>+CONTINGENTE!AC57</f>
        <v>0.3</v>
      </c>
      <c r="H116" s="761">
        <f>+CONTINGENTE!AV57</f>
        <v>0.85</v>
      </c>
      <c r="I116" s="1607">
        <f>+CONTINGENTE!AX57</f>
        <v>0.74636932765000008</v>
      </c>
      <c r="J116" s="1551">
        <f t="shared" si="0"/>
        <v>0.46065444309166675</v>
      </c>
      <c r="K116" s="1515">
        <f>+CONTINGENTE!AD57</f>
        <v>0.32500000000000001</v>
      </c>
      <c r="L116" s="1515">
        <f>+CONTINGENTE!BI57</f>
        <v>0.78333333333333333</v>
      </c>
      <c r="M116" s="1564">
        <f>+CONTINGENTE!BK57</f>
        <v>0.84</v>
      </c>
      <c r="N116" s="1507" t="s">
        <v>2099</v>
      </c>
    </row>
    <row r="117" spans="2:17" ht="25.5" customHeight="1" x14ac:dyDescent="0.25">
      <c r="B117" s="1621" t="str">
        <f>+CONTINGENTE!B59</f>
        <v>LÍNEA ESTRATÉGICA: COMPETITIVIDAD E INNOVACIÓN</v>
      </c>
      <c r="C117" s="795">
        <f>+CONTINGENTE!AI71</f>
        <v>0.29333333333333333</v>
      </c>
      <c r="D117" s="813">
        <f>+CONTINGENTE!AK71</f>
        <v>7.5333333333333322E-2</v>
      </c>
      <c r="E117" s="813">
        <f>+CONTINGENTE!AB71</f>
        <v>0.31666666666666665</v>
      </c>
      <c r="F117" s="813">
        <v>7.5333333333333322E-2</v>
      </c>
      <c r="G117" s="813">
        <f>+CONTINGENTE!AC71</f>
        <v>0.31444444444444447</v>
      </c>
      <c r="H117" s="813">
        <f>+CONTINGENTE!AV71</f>
        <v>1.314786324786325</v>
      </c>
      <c r="I117" s="814">
        <f>+CONTINGENTE!AX71</f>
        <v>0.81820000000000004</v>
      </c>
      <c r="J117" s="1557">
        <f t="shared" si="0"/>
        <v>0.74286666666666668</v>
      </c>
      <c r="K117" s="1533">
        <f>+CONTINGENTE!AD71</f>
        <v>0.22066666666666668</v>
      </c>
      <c r="L117" s="1533">
        <f>+CONTINGENTE!BI71</f>
        <v>0.83333333333333326</v>
      </c>
      <c r="M117" s="1579">
        <f>+CONTINGENTE!BK71</f>
        <v>0.85416666666666663</v>
      </c>
      <c r="N117" s="1506"/>
    </row>
    <row r="118" spans="2:17" ht="15.75" customHeight="1" x14ac:dyDescent="0.25">
      <c r="B118" s="1618" t="str">
        <f>+CONTINGENTE!T59</f>
        <v>Programa: Cartagena ciudad Innovadora</v>
      </c>
      <c r="C118" s="32">
        <f>+CONTINGENTE!AI63</f>
        <v>0</v>
      </c>
      <c r="D118" s="32">
        <f>+CONTINGENTE!AK63</f>
        <v>0</v>
      </c>
      <c r="E118" s="32">
        <f>+CONTINGENTE!AB63</f>
        <v>0.25</v>
      </c>
      <c r="F118" s="32">
        <v>0</v>
      </c>
      <c r="G118" s="32">
        <f>+CONTINGENTE!AC63</f>
        <v>0.30333333333333334</v>
      </c>
      <c r="H118" s="32">
        <f>+CONTINGENTE!AV63</f>
        <v>0.96666666666666667</v>
      </c>
      <c r="I118" s="1607">
        <f>+CONTINGENTE!AX63</f>
        <v>1</v>
      </c>
      <c r="J118" s="1558">
        <f t="shared" si="0"/>
        <v>1</v>
      </c>
      <c r="K118" s="1515">
        <f>+CONTINGENTE!AD63</f>
        <v>0.5</v>
      </c>
      <c r="L118" s="1515">
        <f>+CONTINGENTE!BI63</f>
        <v>0.66666666666666663</v>
      </c>
      <c r="M118" s="1564">
        <f>+CONTINGENTE!BK63</f>
        <v>0.5625</v>
      </c>
      <c r="N118" s="1505" t="s">
        <v>2095</v>
      </c>
    </row>
    <row r="119" spans="2:17" ht="15.75" customHeight="1" x14ac:dyDescent="0.25">
      <c r="B119" s="1618" t="str">
        <f>+CONTINGENTE!T64</f>
        <v>Programa: Cartagena destino de inversión</v>
      </c>
      <c r="C119" s="32">
        <f>+CONTINGENTE!AI67</f>
        <v>0</v>
      </c>
      <c r="D119" s="32">
        <f>+CONTINGENTE!AK67</f>
        <v>0</v>
      </c>
      <c r="E119" s="32">
        <f>+CONTINGENTE!AB67</f>
        <v>0.5</v>
      </c>
      <c r="F119" s="32">
        <v>0</v>
      </c>
      <c r="G119" s="32">
        <f>+CONTINGENTE!AC67</f>
        <v>0.36000000000000004</v>
      </c>
      <c r="H119" s="32">
        <f>+CONTINGENTE!AV67</f>
        <v>0.9</v>
      </c>
      <c r="I119" s="1607">
        <f>+CONTINGENTE!AX67</f>
        <v>0.65</v>
      </c>
      <c r="J119" s="1558">
        <f t="shared" si="0"/>
        <v>0.65</v>
      </c>
      <c r="K119" s="1515">
        <f>+CONTINGENTE!AD67</f>
        <v>0</v>
      </c>
      <c r="L119" s="1515"/>
      <c r="M119" s="1564">
        <f>+CONTINGENTE!BK67</f>
        <v>1</v>
      </c>
      <c r="N119" s="1505" t="s">
        <v>2095</v>
      </c>
    </row>
    <row r="120" spans="2:17" ht="28.5" customHeight="1" x14ac:dyDescent="0.25">
      <c r="B120" s="1604" t="str">
        <f>+CONTINGENTE!T68</f>
        <v>Programa: Cartagena fomenta la ciencia, tecnología e innovación agropecuaria: juntos por la extensión agropecuaria a pequeños productores.</v>
      </c>
      <c r="C120" s="32">
        <f>+CONTINGENTE!AI70</f>
        <v>0.88</v>
      </c>
      <c r="D120" s="32">
        <f>+CONTINGENTE!AK70</f>
        <v>0.22599999999999998</v>
      </c>
      <c r="E120" s="32">
        <f>+CONTINGENTE!AB70</f>
        <v>0.2</v>
      </c>
      <c r="F120" s="32">
        <v>0.22599999999999998</v>
      </c>
      <c r="G120" s="32">
        <f>+CONTINGENTE!AC70</f>
        <v>0.28000000000000003</v>
      </c>
      <c r="H120" s="32">
        <f>+CONTINGENTE!AV70</f>
        <v>2.0776923076923079</v>
      </c>
      <c r="I120" s="1607">
        <f>+CONTINGENTE!AX70</f>
        <v>0.80459999999999998</v>
      </c>
      <c r="J120" s="1558">
        <f t="shared" si="0"/>
        <v>0.5786</v>
      </c>
      <c r="K120" s="1515">
        <f>+CONTINGENTE!AD70</f>
        <v>0.16200000000000001</v>
      </c>
      <c r="L120" s="1515">
        <f>+CONTINGENTE!BI70</f>
        <v>1</v>
      </c>
      <c r="M120" s="1564">
        <f>+CONTINGENTE!BK70</f>
        <v>1</v>
      </c>
      <c r="N120" s="1506" t="s">
        <v>2100</v>
      </c>
    </row>
    <row r="121" spans="2:17" ht="48" customHeight="1" x14ac:dyDescent="0.25">
      <c r="B121" s="1615" t="str">
        <f>+CONTINGENTE!B72</f>
        <v>LÍNEA ESTRATÉGICA: TURISMO, MOTOR DE REACTIVACIÓN ECONÓMICA PARA CARTAGENA DE INDIAS</v>
      </c>
      <c r="C121" s="813">
        <f>+CONTINGENTE!AI81</f>
        <v>0.41399718222688647</v>
      </c>
      <c r="D121" s="813">
        <f>+CONTINGENTE!AK81</f>
        <v>0.26931774292947097</v>
      </c>
      <c r="E121" s="813">
        <f>+CONTINGENTE!AB81</f>
        <v>0.25676592584141494</v>
      </c>
      <c r="F121" s="813">
        <v>0.18501555538722633</v>
      </c>
      <c r="G121" s="813">
        <f>+CONTINGENTE!AC81</f>
        <v>0.31223227404892168</v>
      </c>
      <c r="H121" s="813">
        <f>+CONTINGENTE!AV81</f>
        <v>0.9375</v>
      </c>
      <c r="I121" s="814">
        <f>+CONTINGENTE!AX81</f>
        <v>0.84118017787550559</v>
      </c>
      <c r="J121" s="1557">
        <f t="shared" si="0"/>
        <v>0.57186243494603461</v>
      </c>
      <c r="K121" s="1533">
        <f>+CONTINGENTE!AD81</f>
        <v>0</v>
      </c>
      <c r="L121" s="1533">
        <f>+CONTINGENTE!BI81</f>
        <v>1</v>
      </c>
      <c r="M121" s="1579">
        <f>+CONTINGENTE!BK81</f>
        <v>1</v>
      </c>
      <c r="N121" s="1501"/>
      <c r="O121" s="815"/>
    </row>
    <row r="122" spans="2:17" ht="15.75" customHeight="1" x14ac:dyDescent="0.25">
      <c r="B122" s="1618" t="str">
        <f>+CONTINGENTE!T72</f>
        <v>Programa: Promoción Nacional e Internacional de Cartagena de Indias</v>
      </c>
      <c r="C122" s="30"/>
      <c r="D122" s="32">
        <f>+CONTINGENTE!AK73</f>
        <v>0.29128656212174631</v>
      </c>
      <c r="E122" s="671">
        <f>+CONTINGENTE!AB73</f>
        <v>0.27029777752424489</v>
      </c>
      <c r="F122" s="671">
        <v>3.8379999495012314E-2</v>
      </c>
      <c r="G122" s="671">
        <f>+CONTINGENTE!AC73</f>
        <v>0.40544682214676503</v>
      </c>
      <c r="H122" s="761">
        <f>+CONTINGENTE!AV73</f>
        <v>1</v>
      </c>
      <c r="I122" s="1605">
        <f>+CONTINGENTE!AX73</f>
        <v>0.92076275584873934</v>
      </c>
      <c r="J122" s="1551">
        <f t="shared" si="0"/>
        <v>0.62947619372699304</v>
      </c>
      <c r="K122" s="1514">
        <f>+CONTINGENTE!AD73</f>
        <v>0</v>
      </c>
      <c r="L122" s="1514">
        <f>+CONTINGENTE!BI73</f>
        <v>1</v>
      </c>
      <c r="M122" s="1564">
        <f>+CONTINGENTE!BK73</f>
        <v>1</v>
      </c>
      <c r="N122" s="1506" t="s">
        <v>2101</v>
      </c>
    </row>
    <row r="123" spans="2:17" ht="15.75" customHeight="1" x14ac:dyDescent="0.25">
      <c r="B123" s="1618" t="str">
        <f>+CONTINGENTE!T74</f>
        <v>Programa: Conectividad</v>
      </c>
      <c r="C123" s="30"/>
      <c r="D123" s="32">
        <f>+CONTINGENTE!AK75</f>
        <v>5.5555555555555552E-2</v>
      </c>
      <c r="E123" s="671">
        <f>+CONTINGENTE!AB75</f>
        <v>0.25</v>
      </c>
      <c r="F123" s="671">
        <v>5.5555555555555552E-2</v>
      </c>
      <c r="G123" s="671">
        <f>+CONTINGENTE!AC75</f>
        <v>0.25</v>
      </c>
      <c r="H123" s="761">
        <f>+CONTINGENTE!AV75</f>
        <v>1</v>
      </c>
      <c r="I123" s="1605">
        <f>+CONTINGENTE!AX75</f>
        <v>0.77777777777777779</v>
      </c>
      <c r="J123" s="1551">
        <f t="shared" si="0"/>
        <v>0.72222222222222221</v>
      </c>
      <c r="K123" s="1514">
        <f>+CONTINGENTE!AD75</f>
        <v>0</v>
      </c>
      <c r="L123" s="1514">
        <f>+CONTINGENTE!BI75</f>
        <v>1</v>
      </c>
      <c r="M123" s="1564">
        <f>+CONTINGENTE!BK75</f>
        <v>1</v>
      </c>
      <c r="N123" s="1506" t="s">
        <v>2101</v>
      </c>
    </row>
    <row r="124" spans="2:17" ht="15.75" customHeight="1" x14ac:dyDescent="0.25">
      <c r="B124" s="1618" t="str">
        <f>+CONTINGENTE!T76</f>
        <v>Programa: Turismo Competitivo y Sostenible</v>
      </c>
      <c r="C124" s="30"/>
      <c r="D124" s="32">
        <f>+CONTINGENTE!AK80</f>
        <v>0.46111111111111108</v>
      </c>
      <c r="E124" s="671">
        <f>+CONTINGENTE!AB80</f>
        <v>0.25</v>
      </c>
      <c r="F124" s="671">
        <v>0.46111111111111108</v>
      </c>
      <c r="G124" s="761">
        <f>+CONTINGENTE!AC80</f>
        <v>0.28125</v>
      </c>
      <c r="H124" s="761">
        <f>+CONTINGENTE!AV80</f>
        <v>0.8125</v>
      </c>
      <c r="I124" s="1605">
        <f>+CONTINGENTE!AX80</f>
        <v>0.82499999999999996</v>
      </c>
      <c r="J124" s="1551">
        <f t="shared" si="0"/>
        <v>0.36388888888888887</v>
      </c>
      <c r="K124" s="1514">
        <f>+CONTINGENTE!AD80</f>
        <v>0</v>
      </c>
      <c r="L124" s="1514">
        <f>+CONTINGENTE!BI80</f>
        <v>1</v>
      </c>
      <c r="M124" s="1563">
        <f>+CONTINGENTE!BK80</f>
        <v>1</v>
      </c>
      <c r="N124" s="1506" t="s">
        <v>2101</v>
      </c>
    </row>
    <row r="125" spans="2:17" ht="36" customHeight="1" x14ac:dyDescent="0.25">
      <c r="B125" s="1615" t="str">
        <f>+CONTINGENTE!B82</f>
        <v>LÍNEA ESTRATÉGICA: PLANEACIÓN E INTEGRACIÓN CONTINGENTE DEL TERRITORIO</v>
      </c>
      <c r="C125" s="794">
        <f>+CONTINGENTE!AI87</f>
        <v>0</v>
      </c>
      <c r="D125" s="795">
        <f>+CONTINGENTE!AK87</f>
        <v>0</v>
      </c>
      <c r="E125" s="795">
        <f>+CONTINGENTE!AB87</f>
        <v>6.25E-2</v>
      </c>
      <c r="F125" s="795">
        <v>0</v>
      </c>
      <c r="G125" s="795">
        <f>+CONTINGENTE!AC87</f>
        <v>0.18275</v>
      </c>
      <c r="H125" s="795">
        <f>+CONTINGENTE!AV87</f>
        <v>0.84000000000000008</v>
      </c>
      <c r="I125" s="796">
        <f>+CONTINGENTE!AX87</f>
        <v>0.33500000000000002</v>
      </c>
      <c r="J125" s="1550">
        <f t="shared" si="0"/>
        <v>0.33500000000000002</v>
      </c>
      <c r="K125" s="1527">
        <f>+CONTINGENTE!AD87</f>
        <v>0.18833333333333335</v>
      </c>
      <c r="L125" s="1527">
        <f>+CONTINGENTE!BI87</f>
        <v>1</v>
      </c>
      <c r="M125" s="1573">
        <f>+CONTINGENTE!BK87</f>
        <v>0.75</v>
      </c>
      <c r="N125" s="1506"/>
    </row>
    <row r="126" spans="2:17" ht="15.75" customHeight="1" x14ac:dyDescent="0.25">
      <c r="B126" s="1618" t="str">
        <f>+CONTINGENTE!T82</f>
        <v>Programa Integración y proyectos entre ciudades</v>
      </c>
      <c r="C126" s="32">
        <f>+CONTINGENTE!AI84</f>
        <v>0</v>
      </c>
      <c r="D126" s="32">
        <f>+CONTINGENTE!AK84</f>
        <v>0</v>
      </c>
      <c r="E126" s="671">
        <f>+CONTINGENTE!AB84</f>
        <v>0.125</v>
      </c>
      <c r="F126" s="671">
        <v>0</v>
      </c>
      <c r="G126" s="671">
        <f>+CONTINGENTE!AC84</f>
        <v>0.25</v>
      </c>
      <c r="H126" s="32">
        <f>+CONTINGENTE!AV84</f>
        <v>0.68</v>
      </c>
      <c r="I126" s="1607">
        <f>+CONTINGENTE!AX84</f>
        <v>0.34</v>
      </c>
      <c r="J126" s="1558">
        <f t="shared" si="0"/>
        <v>0.34</v>
      </c>
      <c r="K126" s="1514">
        <f>+CONTINGENTE!AD84</f>
        <v>0.16</v>
      </c>
      <c r="L126" s="1515">
        <f>+CONTINGENTE!BI84</f>
        <v>1</v>
      </c>
      <c r="M126" s="1564">
        <f>+CONTINGENTE!BK84</f>
        <v>0.5</v>
      </c>
      <c r="N126" s="1506" t="s">
        <v>2093</v>
      </c>
    </row>
    <row r="127" spans="2:17" ht="15.75" customHeight="1" x14ac:dyDescent="0.25">
      <c r="B127" s="1618" t="str">
        <f>+CONTINGENTE!T85</f>
        <v>Programa: Normas de promoción del desarrollo urbano y económico</v>
      </c>
      <c r="C127" s="32">
        <f>+CONTINGENTE!AI86</f>
        <v>0</v>
      </c>
      <c r="D127" s="32">
        <f>+CONTINGENTE!AK86</f>
        <v>0</v>
      </c>
      <c r="E127" s="671">
        <f>+CONTINGENTE!AB86</f>
        <v>0</v>
      </c>
      <c r="F127" s="671">
        <v>0</v>
      </c>
      <c r="G127" s="671">
        <f>+CONTINGENTE!AC86</f>
        <v>0.11549999999999999</v>
      </c>
      <c r="H127" s="32">
        <f>+CONTINGENTE!AV86</f>
        <v>1</v>
      </c>
      <c r="I127" s="1607">
        <f>+CONTINGENTE!AX86</f>
        <v>0.33</v>
      </c>
      <c r="J127" s="1558">
        <f t="shared" si="0"/>
        <v>0.33</v>
      </c>
      <c r="K127" s="1514">
        <f>+CONTINGENTE!AD86</f>
        <v>0.21666666666666667</v>
      </c>
      <c r="L127" s="1515">
        <f>+CONTINGENTE!BI86</f>
        <v>1</v>
      </c>
      <c r="M127" s="1564">
        <f>+CONTINGENTE!BK86</f>
        <v>1</v>
      </c>
      <c r="N127" s="1506" t="s">
        <v>2093</v>
      </c>
    </row>
    <row r="128" spans="2:17" ht="34.5" customHeight="1" x14ac:dyDescent="0.25">
      <c r="B128" s="1614" t="str">
        <f>+TRANSPARENTE!A2</f>
        <v>PILAR CARTAGENA TRANSPARENTE</v>
      </c>
      <c r="C128" s="812">
        <f>+(C129+C132+C138+C150+C153+C156+C163+C168)/8</f>
        <v>0.69053865512016621</v>
      </c>
      <c r="D128" s="802">
        <f>+(D129+D132+D138+D150+D153+D156+D163+D168)/8</f>
        <v>0.26444451169446737</v>
      </c>
      <c r="E128" s="802">
        <f>+(E129+E132+E138+E150+E153+E156+E163+E168)/8</f>
        <v>0.21919454065663629</v>
      </c>
      <c r="F128" s="802">
        <v>0.27824179034449875</v>
      </c>
      <c r="G128" s="802">
        <f>+(G129+G132+G138+G150+G153+G156+G163+G168)/8</f>
        <v>0.36076008571758228</v>
      </c>
      <c r="H128" s="802">
        <f>+(H129+H132+H138+H150+H153+H156+H163+H168)/8</f>
        <v>0.86061356594135652</v>
      </c>
      <c r="I128" s="803">
        <f>+(I129+I132+I138+I150+I153+I156+I163+I168)/8</f>
        <v>0.50995720843566728</v>
      </c>
      <c r="J128" s="1553">
        <f t="shared" si="0"/>
        <v>0.24551269674119991</v>
      </c>
      <c r="K128" s="1529">
        <f>+(K129+K132+K138+K150+K153+K156+K163+K168)/8</f>
        <v>0.38399301051472723</v>
      </c>
      <c r="L128" s="1529">
        <f>+(L129+L132+L138+L150+L153+L156+L163+L168)/8</f>
        <v>0.7615233206218901</v>
      </c>
      <c r="M128" s="1575">
        <f>+(M129+M132+M138+M150+M153+M156+M163+M168)/8</f>
        <v>0.73724365084391763</v>
      </c>
      <c r="N128" s="1506"/>
    </row>
    <row r="129" spans="2:14" ht="28.5" customHeight="1" x14ac:dyDescent="0.25">
      <c r="B129" s="1615" t="str">
        <f>+TRANSPARENTE!B2</f>
        <v>LÍNEA ESTRATÉGICA GESTIÓN Y DESEMPEÑO INSTITUCIONAL PARA LA GOBERNANZA</v>
      </c>
      <c r="C129" s="798">
        <f>+TRANSPARENTE!AK8</f>
        <v>0.6</v>
      </c>
      <c r="D129" s="813">
        <f>+TRANSPARENTE!AM8</f>
        <v>0.32500000000000001</v>
      </c>
      <c r="E129" s="813">
        <f>+TRANSPARENTE!AB8</f>
        <v>0.17321428571428571</v>
      </c>
      <c r="F129" s="813">
        <v>0.32083333333333336</v>
      </c>
      <c r="G129" s="813">
        <f>+TRANSPARENTE!AC8</f>
        <v>0.25714285714285712</v>
      </c>
      <c r="H129" s="813">
        <f>+TRANSPARENTE!AX8</f>
        <v>0.719225</v>
      </c>
      <c r="I129" s="814">
        <f>+TRANSPARENTE!AZ8</f>
        <v>0.45806428571428576</v>
      </c>
      <c r="J129" s="1557">
        <f t="shared" si="0"/>
        <v>0.13306428571428575</v>
      </c>
      <c r="K129" s="1533">
        <f>+TRANSPARENTE!AD8</f>
        <v>0.47916666666666669</v>
      </c>
      <c r="L129" s="1533">
        <f>+TRANSPARENTE!BK8</f>
        <v>0.85416666666666663</v>
      </c>
      <c r="M129" s="1579">
        <f>+TRANSPARENTE!BM8</f>
        <v>0.76864880952380954</v>
      </c>
      <c r="N129" s="1506"/>
    </row>
    <row r="130" spans="2:14" ht="45.75" customHeight="1" x14ac:dyDescent="0.25">
      <c r="B130" s="1604" t="str">
        <f>+TRANSPARENTE!T2</f>
        <v>Programa: Gestión pública integrada y transparente</v>
      </c>
      <c r="C130" s="765">
        <f>+TRANSPARENTE!AK4</f>
        <v>0.19999999999999998</v>
      </c>
      <c r="D130" s="35">
        <f>+TRANSPARENTE!AM4</f>
        <v>2.5000000000000001E-2</v>
      </c>
      <c r="E130" s="35">
        <f>+TRANSPARENTE!AB4</f>
        <v>9.6428571428571419E-2</v>
      </c>
      <c r="F130" s="35">
        <v>1.6666666666666666E-2</v>
      </c>
      <c r="G130" s="35">
        <f>+TRANSPARENTE!AC4</f>
        <v>0.26428571428571429</v>
      </c>
      <c r="H130" s="35">
        <f>+TRANSPARENTE!AX4</f>
        <v>0.68845000000000001</v>
      </c>
      <c r="I130" s="1609">
        <f>+TRANSPARENTE!AZ4</f>
        <v>0.25987857142857151</v>
      </c>
      <c r="J130" s="1544">
        <f t="shared" si="0"/>
        <v>0.23487857142857152</v>
      </c>
      <c r="K130" s="1510">
        <f>+TRANSPARENTE!AD4</f>
        <v>0.33333333333333337</v>
      </c>
      <c r="L130" s="1510">
        <f>+TRANSPARENTE!BK4</f>
        <v>0.70833333333333326</v>
      </c>
      <c r="M130" s="1566">
        <f>+TRANSPARENTE!BM4</f>
        <v>0.72479761904761908</v>
      </c>
      <c r="N130" s="1501" t="s">
        <v>2102</v>
      </c>
    </row>
    <row r="131" spans="2:14" ht="54.75" customHeight="1" x14ac:dyDescent="0.25">
      <c r="B131" s="1604" t="str">
        <f>+TRANSPARENTE!T5</f>
        <v>Programa: Transparencia para el fortalecimiento de la   confianza en las instituciones del distrito de Cartagena.</v>
      </c>
      <c r="C131" s="765">
        <f>+TRANSPARENTE!AK7</f>
        <v>1</v>
      </c>
      <c r="D131" s="35">
        <f>+TRANSPARENTE!AM7</f>
        <v>0.625</v>
      </c>
      <c r="E131" s="35">
        <f>+TRANSPARENTE!AB7</f>
        <v>0.25</v>
      </c>
      <c r="F131" s="35">
        <v>0.625</v>
      </c>
      <c r="G131" s="35">
        <f>+TRANSPARENTE!AC7</f>
        <v>0.25</v>
      </c>
      <c r="H131" s="35">
        <f>+TRANSPARENTE!AX7</f>
        <v>0.75</v>
      </c>
      <c r="I131" s="1609">
        <f>+TRANSPARENTE!AZ7</f>
        <v>0.65625</v>
      </c>
      <c r="J131" s="1544">
        <f t="shared" si="0"/>
        <v>3.125E-2</v>
      </c>
      <c r="K131" s="1510">
        <f>+TRANSPARENTE!AD7</f>
        <v>0.625</v>
      </c>
      <c r="L131" s="1510">
        <f>+TRANSPARENTE!BK7</f>
        <v>1</v>
      </c>
      <c r="M131" s="1566">
        <f>+TRANSPARENTE!BM7</f>
        <v>0.8125</v>
      </c>
      <c r="N131" s="1506" t="s">
        <v>2103</v>
      </c>
    </row>
    <row r="132" spans="2:14" ht="36.75" customHeight="1" x14ac:dyDescent="0.25">
      <c r="B132" s="1615" t="str">
        <f>+TRANSPARENTE!B9</f>
        <v>LÍNEA ESTRATÉGICA: CARTAGENA INTELIGENTE CON TODOS Y PARA  TODOS</v>
      </c>
      <c r="C132" s="798">
        <f>+TRANSPARENTE!AK28</f>
        <v>0.5</v>
      </c>
      <c r="D132" s="816">
        <f>+TRANSPARENTE!AM28</f>
        <v>0.13749999999999998</v>
      </c>
      <c r="E132" s="816">
        <f>+TRANSPARENTE!AB28</f>
        <v>0.30499999999999999</v>
      </c>
      <c r="F132" s="816">
        <v>0.13749999999999998</v>
      </c>
      <c r="G132" s="816">
        <f>+TRANSPARENTE!AC28</f>
        <v>0.3823333333333333</v>
      </c>
      <c r="H132" s="816">
        <f>+TRANSPARENTE!AX28</f>
        <v>1.3333333333333335</v>
      </c>
      <c r="I132" s="817">
        <f>+TRANSPARENTE!AZ28</f>
        <v>0.67533333333333334</v>
      </c>
      <c r="J132" s="1559">
        <f t="shared" si="0"/>
        <v>0.53783333333333339</v>
      </c>
      <c r="K132" s="1534">
        <f>+TRANSPARENTE!AD28</f>
        <v>0.495</v>
      </c>
      <c r="L132" s="1534">
        <f>+TRANSPARENTE!BK28</f>
        <v>0.69428571428571428</v>
      </c>
      <c r="M132" s="1580">
        <f>+TRANSPARENTE!BM28</f>
        <v>0.84028571428571419</v>
      </c>
      <c r="N132" s="1506"/>
    </row>
    <row r="133" spans="2:14" ht="15.75" customHeight="1" x14ac:dyDescent="0.25">
      <c r="B133" s="1604" t="str">
        <f>+TRANSPARENTE!T9</f>
        <v>Programa: Cartagena inteligente con todos y para todos</v>
      </c>
      <c r="C133" s="765">
        <f>+TRANSPARENTE!AK16</f>
        <v>1</v>
      </c>
      <c r="D133" s="35">
        <f>+TRANSPARENTE!AM16</f>
        <v>0.25</v>
      </c>
      <c r="E133" s="35">
        <f>+TRANSPARENTE!AB16</f>
        <v>0.25</v>
      </c>
      <c r="F133" s="35">
        <v>0.25</v>
      </c>
      <c r="G133" s="35">
        <f>+TRANSPARENTE!AC16</f>
        <v>0.38666666666666666</v>
      </c>
      <c r="H133" s="35">
        <f>+TRANSPARENTE!AX16</f>
        <v>0.66666666666666663</v>
      </c>
      <c r="I133" s="1609">
        <f>+TRANSPARENTE!AZ16</f>
        <v>0.66666666666666663</v>
      </c>
      <c r="J133" s="1544">
        <f t="shared" si="0"/>
        <v>0.41666666666666663</v>
      </c>
      <c r="K133" s="1510">
        <f>+TRANSPARENTE!AD16</f>
        <v>1</v>
      </c>
      <c r="L133" s="1510">
        <f>+TRANSPARENTE!BK16</f>
        <v>0.5714285714285714</v>
      </c>
      <c r="M133" s="1566">
        <f>+TRANSPARENTE!BM16</f>
        <v>0.5714285714285714</v>
      </c>
      <c r="N133" s="1506" t="s">
        <v>2103</v>
      </c>
    </row>
    <row r="134" spans="2:14" ht="15.75" customHeight="1" x14ac:dyDescent="0.25">
      <c r="B134" s="1604" t="str">
        <f>+TRANSPARENTE!T17</f>
        <v>Programa: Cartageneros conectados y alfabetizados</v>
      </c>
      <c r="C134" s="765">
        <f>+TRANSPARENTE!AK19</f>
        <v>1</v>
      </c>
      <c r="D134" s="35">
        <f>+TRANSPARENTE!AM19</f>
        <v>0.375</v>
      </c>
      <c r="E134" s="35">
        <f>+TRANSPARENTE!AB19</f>
        <v>0.375</v>
      </c>
      <c r="F134" s="35">
        <v>0.375</v>
      </c>
      <c r="G134" s="35">
        <f>+TRANSPARENTE!AC19</f>
        <v>0.375</v>
      </c>
      <c r="H134" s="35">
        <f>+TRANSPARENTE!AX19</f>
        <v>1</v>
      </c>
      <c r="I134" s="1609">
        <f>+TRANSPARENTE!AZ19</f>
        <v>1</v>
      </c>
      <c r="J134" s="1544">
        <f t="shared" si="0"/>
        <v>0.625</v>
      </c>
      <c r="K134" s="1510">
        <f>+TRANSPARENTE!AD19</f>
        <v>0</v>
      </c>
      <c r="L134" s="1510">
        <f>+TRANSPARENTE!BK19</f>
        <v>1</v>
      </c>
      <c r="M134" s="1566">
        <f>+TRANSPARENTE!BM19</f>
        <v>1</v>
      </c>
      <c r="N134" s="1506" t="s">
        <v>2103</v>
      </c>
    </row>
    <row r="135" spans="2:14" ht="15.75" customHeight="1" x14ac:dyDescent="0.25">
      <c r="B135" s="1604" t="str">
        <f>+TRANSPARENTE!T20</f>
        <v>Programa: Cartagena hacia la modernidad</v>
      </c>
      <c r="C135" s="765">
        <f>+TRANSPARENTE!AK22</f>
        <v>0.5</v>
      </c>
      <c r="D135" s="35">
        <f>+TRANSPARENTE!AM22</f>
        <v>0.2</v>
      </c>
      <c r="E135" s="35">
        <f>+TRANSPARENTE!AB22</f>
        <v>0.4</v>
      </c>
      <c r="F135" s="35">
        <v>0.2</v>
      </c>
      <c r="G135" s="35">
        <f>+TRANSPARENTE!AC22</f>
        <v>0.4</v>
      </c>
      <c r="H135" s="35">
        <f>+TRANSPARENTE!AX22</f>
        <v>1</v>
      </c>
      <c r="I135" s="1609">
        <f>+TRANSPARENTE!AZ22</f>
        <v>0.6</v>
      </c>
      <c r="J135" s="1544">
        <f t="shared" si="0"/>
        <v>0.39999999999999997</v>
      </c>
      <c r="K135" s="1510">
        <f>+TRANSPARENTE!AD22</f>
        <v>0.6</v>
      </c>
      <c r="L135" s="1510">
        <f>+TRANSPARENTE!BK22</f>
        <v>0.9</v>
      </c>
      <c r="M135" s="1566">
        <f>+TRANSPARENTE!BM22</f>
        <v>0.88</v>
      </c>
      <c r="N135" s="1506" t="s">
        <v>2103</v>
      </c>
    </row>
    <row r="136" spans="2:14" ht="55.5" customHeight="1" x14ac:dyDescent="0.25">
      <c r="B136" s="1604" t="str">
        <f>+TRANSPARENTE!T23</f>
        <v xml:space="preserve">Programa: Organización y recuperación del patrimonio público del distrito de Cartagena </v>
      </c>
      <c r="C136" s="765">
        <f>+TRANSPARENTE!AK25</f>
        <v>0</v>
      </c>
      <c r="D136" s="35">
        <f>+TRANSPARENTE!AM25</f>
        <v>0</v>
      </c>
      <c r="E136" s="35">
        <f>+TRANSPARENTE!AB25</f>
        <v>0.25</v>
      </c>
      <c r="F136" s="35">
        <v>0</v>
      </c>
      <c r="G136" s="35">
        <f>+TRANSPARENTE!AC25</f>
        <v>0.5</v>
      </c>
      <c r="H136" s="35">
        <f>+TRANSPARENTE!AX25</f>
        <v>1</v>
      </c>
      <c r="I136" s="1609">
        <f>+TRANSPARENTE!AZ25</f>
        <v>0.36</v>
      </c>
      <c r="J136" s="1544">
        <f t="shared" si="0"/>
        <v>0.36</v>
      </c>
      <c r="K136" s="1510">
        <f>+TRANSPARENTE!AD25</f>
        <v>0.625</v>
      </c>
      <c r="L136" s="1510">
        <f>+TRANSPARENTE!BK25</f>
        <v>1</v>
      </c>
      <c r="M136" s="1566">
        <f>+TRANSPARENTE!BM25</f>
        <v>1</v>
      </c>
      <c r="N136" s="1513" t="s">
        <v>2104</v>
      </c>
    </row>
    <row r="137" spans="2:14" ht="15.75" customHeight="1" x14ac:dyDescent="0.25">
      <c r="B137" s="1604" t="str">
        <f>+TRANSPARENTE!T26</f>
        <v>Programa: Premio Jorge Piedrahita Aduen</v>
      </c>
      <c r="C137" s="765">
        <f>+TRANSPARENTE!AK27</f>
        <v>0</v>
      </c>
      <c r="D137" s="35">
        <f>+TRANSPARENTE!AM27</f>
        <v>0</v>
      </c>
      <c r="E137" s="35">
        <f>+TRANSPARENTE!AB27</f>
        <v>0.25</v>
      </c>
      <c r="F137" s="35">
        <v>0</v>
      </c>
      <c r="G137" s="35">
        <f>+TRANSPARENTE!AC27</f>
        <v>0.25</v>
      </c>
      <c r="H137" s="35">
        <f>+TRANSPARENTE!AX27</f>
        <v>3</v>
      </c>
      <c r="I137" s="1609">
        <f>+TRANSPARENTE!AZ27</f>
        <v>0.75</v>
      </c>
      <c r="J137" s="1544">
        <f t="shared" si="0"/>
        <v>0.75</v>
      </c>
      <c r="K137" s="1510">
        <f>+TRANSPARENTE!AD27</f>
        <v>0.25</v>
      </c>
      <c r="L137" s="1510">
        <f>+TRANSPARENTE!BK27</f>
        <v>0</v>
      </c>
      <c r="M137" s="1566">
        <f>+TRANSPARENTE!BM27</f>
        <v>0.75</v>
      </c>
      <c r="N137" s="1501" t="s">
        <v>2105</v>
      </c>
    </row>
    <row r="138" spans="2:14" ht="28.5" customHeight="1" x14ac:dyDescent="0.25">
      <c r="B138" s="1615" t="str">
        <f>+TRANSPARENTE!B29</f>
        <v>LÍNEA ESTRATÉGICA: CONVIVENCIA Y SEGURIDAD PARA LA GOBERNABILIDAD</v>
      </c>
      <c r="C138" s="798">
        <f>+TRANSPARENTE!AK67</f>
        <v>0.8571428571428571</v>
      </c>
      <c r="D138" s="816">
        <f>+TRANSPARENTE!AM67</f>
        <v>0.23200745920745919</v>
      </c>
      <c r="E138" s="816">
        <f>+TRANSPARENTE!AB67</f>
        <v>0.17683487179487178</v>
      </c>
      <c r="F138" s="816">
        <v>0.19109836829836829</v>
      </c>
      <c r="G138" s="816">
        <f>+TRANSPARENTE!AC67</f>
        <v>0.32373154797648745</v>
      </c>
      <c r="H138" s="816">
        <f>+TRANSPARENTE!AX67</f>
        <v>0.97023809523809523</v>
      </c>
      <c r="I138" s="817">
        <f>+TRANSPARENTE!AZ67</f>
        <v>0.52826645299145303</v>
      </c>
      <c r="J138" s="1559">
        <f t="shared" si="0"/>
        <v>0.29625899378399384</v>
      </c>
      <c r="K138" s="1534">
        <f>+TRANSPARENTE!AD67</f>
        <v>0.42971280304204984</v>
      </c>
      <c r="L138" s="1533">
        <f>+TRANSPARENTE!BK67</f>
        <v>0.81818181818181823</v>
      </c>
      <c r="M138" s="1580">
        <f>+TRANSPARENTE!BM67</f>
        <v>0.74869852369852374</v>
      </c>
      <c r="N138" s="1506"/>
    </row>
    <row r="139" spans="2:14" ht="15.75" customHeight="1" x14ac:dyDescent="0.25">
      <c r="B139" s="1610" t="str">
        <f>+TRANSPARENTE!T29</f>
        <v>Programa:   Plan integral de seguridad y convivencia ciudadana</v>
      </c>
      <c r="C139" s="775">
        <f>+TRANSPARENTE!AK30</f>
        <v>1</v>
      </c>
      <c r="D139" s="35">
        <f>+TRANSPARENTE!AM30</f>
        <v>0.5</v>
      </c>
      <c r="E139" s="35">
        <f>+TRANSPARENTE!AB30</f>
        <v>0.25</v>
      </c>
      <c r="F139" s="35">
        <v>0.25</v>
      </c>
      <c r="G139" s="35">
        <f>+TRANSPARENTE!AC30</f>
        <v>0.25</v>
      </c>
      <c r="H139" s="35">
        <f>+TRANSPARENTE!AX30</f>
        <v>0.5</v>
      </c>
      <c r="I139" s="1609">
        <f>+TRANSPARENTE!AZ30</f>
        <v>0.75</v>
      </c>
      <c r="J139" s="1544">
        <f t="shared" si="0"/>
        <v>0.25</v>
      </c>
      <c r="K139" s="1510">
        <f>+TRANSPARENTE!AD30</f>
        <v>0.1225</v>
      </c>
      <c r="L139" s="1510">
        <f>+TRANSPARENTE!BK30</f>
        <v>0.875</v>
      </c>
      <c r="M139" s="1566">
        <f>+TRANSPARENTE!BM30</f>
        <v>0.875</v>
      </c>
      <c r="N139" s="1502" t="s">
        <v>2072</v>
      </c>
    </row>
    <row r="140" spans="2:14" ht="28.5" customHeight="1" x14ac:dyDescent="0.25">
      <c r="B140" s="1610" t="str">
        <f>+TRANSPARENTE!T31</f>
        <v>Programa:    Fortalecimiento de la convivencia y la seguridad ciudadana</v>
      </c>
      <c r="C140" s="775">
        <f>+TRANSPARENTE!AK33</f>
        <v>1</v>
      </c>
      <c r="D140" s="35">
        <f>+TRANSPARENTE!AM33</f>
        <v>0.96666666666666667</v>
      </c>
      <c r="E140" s="35">
        <f>+TRANSPARENTE!AB33</f>
        <v>0.33333333333333331</v>
      </c>
      <c r="F140" s="35">
        <v>0.96666666666666667</v>
      </c>
      <c r="G140" s="35">
        <f>+TRANSPARENTE!AC33</f>
        <v>0.25</v>
      </c>
      <c r="H140" s="39">
        <f>+TRANSPARENTE!AX33</f>
        <v>0.625</v>
      </c>
      <c r="I140" s="1609">
        <f>+TRANSPARENTE!AZ33</f>
        <v>1</v>
      </c>
      <c r="J140" s="1544">
        <f t="shared" si="0"/>
        <v>3.3333333333333326E-2</v>
      </c>
      <c r="K140" s="1510">
        <f>+TRANSPARENTE!AD33</f>
        <v>0</v>
      </c>
      <c r="L140" s="1510">
        <f>+TRANSPARENTE!BK33</f>
        <v>1</v>
      </c>
      <c r="M140" s="1566">
        <f>+TRANSPARENTE!BM33</f>
        <v>1</v>
      </c>
      <c r="N140" s="1502" t="s">
        <v>2072</v>
      </c>
    </row>
    <row r="141" spans="2:14" ht="29.25" customHeight="1" x14ac:dyDescent="0.25">
      <c r="B141" s="1610" t="str">
        <f>+TRANSPARENTE!T34</f>
        <v>Programa:   Mejorar la convivencia ciudadana con la implementación del código nacional de policía y convivencia</v>
      </c>
      <c r="C141" s="775">
        <f>+TRANSPARENTE!AK37</f>
        <v>0</v>
      </c>
      <c r="D141" s="35">
        <f>+TRANSPARENTE!AM37</f>
        <v>0</v>
      </c>
      <c r="E141" s="35">
        <f>+TRANSPARENTE!AB37</f>
        <v>0</v>
      </c>
      <c r="F141" s="35">
        <v>0</v>
      </c>
      <c r="G141" s="35">
        <f>+TRANSPARENTE!AC37</f>
        <v>0.51470588235294124</v>
      </c>
      <c r="H141" s="35">
        <f>+TRANSPARENTE!AX37</f>
        <v>0.66666666666666663</v>
      </c>
      <c r="I141" s="1609">
        <f>+TRANSPARENTE!AZ37</f>
        <v>0.5</v>
      </c>
      <c r="J141" s="1544">
        <f t="shared" si="0"/>
        <v>0.5</v>
      </c>
      <c r="K141" s="1510">
        <f>+TRANSPARENTE!AD37</f>
        <v>0.67647058823529416</v>
      </c>
      <c r="L141" s="1510">
        <f>+TRANSPARENTE!BK37</f>
        <v>0.5</v>
      </c>
      <c r="M141" s="1566">
        <f>+TRANSPARENTE!BM37</f>
        <v>0.5</v>
      </c>
      <c r="N141" s="1502" t="s">
        <v>2072</v>
      </c>
    </row>
    <row r="142" spans="2:14" ht="33" customHeight="1" x14ac:dyDescent="0.25">
      <c r="B142" s="1610" t="str">
        <f>+TRANSPARENTE!T38</f>
        <v>Programa:    Fortalecimiento capacidad operativa de la secretaria del interior y convivencia ciudadana</v>
      </c>
      <c r="C142" s="775">
        <f>+TRANSPARENTE!AK39</f>
        <v>1</v>
      </c>
      <c r="D142" s="35">
        <f>+TRANSPARENTE!AM39</f>
        <v>8.461538461538462E-2</v>
      </c>
      <c r="E142" s="35">
        <f>+TRANSPARENTE!AB39</f>
        <v>8.461538461538462E-2</v>
      </c>
      <c r="F142" s="35">
        <v>8.461538461538462E-2</v>
      </c>
      <c r="G142" s="35">
        <f>+TRANSPARENTE!AC39</f>
        <v>0.30769230769230771</v>
      </c>
      <c r="H142" s="35">
        <f>+TRANSPARENTE!AX39</f>
        <v>0.82499999999999996</v>
      </c>
      <c r="I142" s="1609">
        <f>+TRANSPARENTE!AZ39</f>
        <v>0.33846153846153848</v>
      </c>
      <c r="J142" s="1544">
        <f t="shared" si="0"/>
        <v>0.25384615384615383</v>
      </c>
      <c r="K142" s="1510">
        <f>+TRANSPARENTE!AD39</f>
        <v>0.30384615384615382</v>
      </c>
      <c r="L142" s="1510">
        <f>+TRANSPARENTE!BK39</f>
        <v>1</v>
      </c>
      <c r="M142" s="1566">
        <f>+TRANSPARENTE!BM39</f>
        <v>0.88846153846153841</v>
      </c>
      <c r="N142" s="1502" t="s">
        <v>2072</v>
      </c>
    </row>
    <row r="143" spans="2:14" ht="19.5" customHeight="1" x14ac:dyDescent="0.25">
      <c r="B143" s="1610" t="str">
        <f>+TRANSPARENTE!T40</f>
        <v>Programa:   Promoción al acceso a la justicia</v>
      </c>
      <c r="C143" s="775">
        <f>+TRANSPARENTE!AK44</f>
        <v>1</v>
      </c>
      <c r="D143" s="35">
        <f>+TRANSPARENTE!AM44</f>
        <v>0.25</v>
      </c>
      <c r="E143" s="35">
        <f>+TRANSPARENTE!AB44</f>
        <v>0.25</v>
      </c>
      <c r="F143" s="35">
        <v>0.25</v>
      </c>
      <c r="G143" s="35">
        <f>+TRANSPARENTE!AC44</f>
        <v>0.51041666666666663</v>
      </c>
      <c r="H143" s="35">
        <f>+TRANSPARENTE!AX44</f>
        <v>1</v>
      </c>
      <c r="I143" s="1609">
        <f>+TRANSPARENTE!AZ44</f>
        <v>0.84658333333333335</v>
      </c>
      <c r="J143" s="1544">
        <f t="shared" si="0"/>
        <v>0.59658333333333335</v>
      </c>
      <c r="K143" s="1510">
        <f>+TRANSPARENTE!AD44</f>
        <v>0</v>
      </c>
      <c r="L143" s="1510">
        <f>+TRANSPARENTE!BK44</f>
        <v>0.875</v>
      </c>
      <c r="M143" s="1566">
        <f>+TRANSPARENTE!BM44</f>
        <v>0.875</v>
      </c>
      <c r="N143" s="1502" t="s">
        <v>2072</v>
      </c>
    </row>
    <row r="144" spans="2:14" ht="25.5" customHeight="1" x14ac:dyDescent="0.25">
      <c r="B144" s="1610" t="str">
        <f>+TRANSPARENTE!T45</f>
        <v>Programa:    Asistencia y atención integral a los niños, niñas,  adolescentes y jóvenes en riesgo de vincularse a actividades delictivas</v>
      </c>
      <c r="C144" s="775">
        <f>+TRANSPARENTE!AK48</f>
        <v>1</v>
      </c>
      <c r="D144" s="35">
        <f>+TRANSPARENTE!AM48</f>
        <v>0.25080000000000002</v>
      </c>
      <c r="E144" s="35">
        <f>+TRANSPARENTE!AB48</f>
        <v>0.15040000000000001</v>
      </c>
      <c r="F144" s="35">
        <v>0.25080000000000002</v>
      </c>
      <c r="G144" s="35">
        <f>+TRANSPARENTE!AC48</f>
        <v>0.28320000000000001</v>
      </c>
      <c r="H144" s="39">
        <f>+TRANSPARENTE!AX48</f>
        <v>1</v>
      </c>
      <c r="I144" s="1609">
        <f>+TRANSPARENTE!AZ48</f>
        <v>0.77777777777777779</v>
      </c>
      <c r="J144" s="1544">
        <f t="shared" si="0"/>
        <v>0.52697777777777777</v>
      </c>
      <c r="K144" s="1510">
        <f>+TRANSPARENTE!AD48</f>
        <v>0.33333333333333331</v>
      </c>
      <c r="L144" s="1510">
        <f>+TRANSPARENTE!BK48</f>
        <v>1</v>
      </c>
      <c r="M144" s="1566">
        <f>+TRANSPARENTE!BM48</f>
        <v>0.88888888888888884</v>
      </c>
      <c r="N144" s="1502" t="s">
        <v>2072</v>
      </c>
    </row>
    <row r="145" spans="2:14" ht="34.5" customHeight="1" x14ac:dyDescent="0.25">
      <c r="B145" s="1610" t="str">
        <f>+TRANSPARENTE!T49</f>
        <v>Programa:    Fortalecimiento sistema de responsabilidad penal para adolescentes –SRPA</v>
      </c>
      <c r="C145" s="775">
        <f>+TRANSPARENTE!AK50</f>
        <v>0</v>
      </c>
      <c r="D145" s="35">
        <f>+TRANSPARENTE!AM50</f>
        <v>0</v>
      </c>
      <c r="E145" s="35">
        <f>+TRANSPARENTE!AB50</f>
        <v>0.25</v>
      </c>
      <c r="F145" s="35">
        <v>0</v>
      </c>
      <c r="G145" s="35">
        <f>+TRANSPARENTE!AC50</f>
        <v>0.25</v>
      </c>
      <c r="H145" s="35">
        <f>+TRANSPARENTE!AX50</f>
        <v>0</v>
      </c>
      <c r="I145" s="1609">
        <f>+TRANSPARENTE!AZ50</f>
        <v>0</v>
      </c>
      <c r="J145" s="1544">
        <f t="shared" si="0"/>
        <v>0</v>
      </c>
      <c r="K145" s="1510">
        <f>+TRANSPARENTE!AD50</f>
        <v>1</v>
      </c>
      <c r="L145" s="1510">
        <f>+TRANSPARENTE!BK50</f>
        <v>1</v>
      </c>
      <c r="M145" s="1566">
        <f>+TRANSPARENTE!BM50</f>
        <v>0.25</v>
      </c>
      <c r="N145" s="1502" t="s">
        <v>2072</v>
      </c>
    </row>
    <row r="146" spans="2:14" ht="36.75" customHeight="1" x14ac:dyDescent="0.25">
      <c r="B146" s="1610" t="str">
        <f>+TRANSPARENTE!T51</f>
        <v>Programa: Implementación y sostenimiento de herramientas tecnológicas para seguridad y socorro</v>
      </c>
      <c r="C146" s="775">
        <f>+TRANSPARENTE!AK55</f>
        <v>0</v>
      </c>
      <c r="D146" s="35">
        <f>+TRANSPARENTE!AM55</f>
        <v>0</v>
      </c>
      <c r="E146" s="35">
        <f>+TRANSPARENTE!AB55</f>
        <v>0</v>
      </c>
      <c r="F146" s="35">
        <v>0</v>
      </c>
      <c r="G146" s="35">
        <f>+TRANSPARENTE!AC55</f>
        <v>0.49630062305295947</v>
      </c>
      <c r="H146" s="35"/>
      <c r="I146" s="1609">
        <v>0</v>
      </c>
      <c r="J146" s="1544">
        <f t="shared" si="0"/>
        <v>0</v>
      </c>
      <c r="K146" s="1510">
        <f>+TRANSPARENTE!AD55</f>
        <v>0.69029075804776729</v>
      </c>
      <c r="L146" s="1510">
        <f>+TRANSPARENTE!BK55</f>
        <v>0.25</v>
      </c>
      <c r="M146" s="1566">
        <f>+TRANSPARENTE!BM55</f>
        <v>0.33333333333333331</v>
      </c>
      <c r="N146" s="1502" t="s">
        <v>2106</v>
      </c>
    </row>
    <row r="147" spans="2:14" ht="35.25" customHeight="1" x14ac:dyDescent="0.25">
      <c r="B147" s="1610" t="str">
        <f>+TRANSPARENTE!T56</f>
        <v>Programa: Optimización de la infraestructura y movilidad de los organismos de seguridad y socorro</v>
      </c>
      <c r="C147" s="775">
        <f>+TRANSPARENTE!AK58</f>
        <v>0</v>
      </c>
      <c r="D147" s="35">
        <f>+TRANSPARENTE!AM58</f>
        <v>0</v>
      </c>
      <c r="E147" s="35">
        <f>+TRANSPARENTE!AB58</f>
        <v>0</v>
      </c>
      <c r="F147" s="35">
        <v>0</v>
      </c>
      <c r="G147" s="35">
        <f>+TRANSPARENTE!AC58</f>
        <v>0.375</v>
      </c>
      <c r="H147" s="35"/>
      <c r="I147" s="1609">
        <v>0</v>
      </c>
      <c r="J147" s="1544">
        <f t="shared" si="0"/>
        <v>0</v>
      </c>
      <c r="K147" s="1510">
        <f>+TRANSPARENTE!AD58</f>
        <v>0.67500000000000004</v>
      </c>
      <c r="L147" s="1510">
        <f>+TRANSPARENTE!BK58</f>
        <v>0.5</v>
      </c>
      <c r="M147" s="1566">
        <f>+TRANSPARENTE!BM58</f>
        <v>0.625</v>
      </c>
      <c r="N147" s="1502" t="s">
        <v>2106</v>
      </c>
    </row>
    <row r="148" spans="2:14" ht="15.75" customHeight="1" x14ac:dyDescent="0.25">
      <c r="B148" s="1610" t="str">
        <f>+TRANSPARENTE!T59</f>
        <v>Programa: Vigilancia de las playas del distrito de Cartagena</v>
      </c>
      <c r="C148" s="775">
        <f>+TRANSPARENTE!AK63</f>
        <v>1</v>
      </c>
      <c r="D148" s="35">
        <f>+TRANSPARENTE!AM63</f>
        <v>0.5</v>
      </c>
      <c r="E148" s="35">
        <f>+TRANSPARENTE!AB63</f>
        <v>0.45</v>
      </c>
      <c r="F148" s="35">
        <v>0.3</v>
      </c>
      <c r="G148" s="35">
        <f>+TRANSPARENTE!AC63</f>
        <v>0</v>
      </c>
      <c r="H148" s="35"/>
      <c r="I148" s="1609">
        <f>+TRANSPARENTE!AZ63</f>
        <v>0.39999999999999997</v>
      </c>
      <c r="J148" s="1544">
        <f t="shared" si="0"/>
        <v>-0.10000000000000003</v>
      </c>
      <c r="K148" s="1510">
        <f>+TRANSPARENTE!AD63</f>
        <v>0.625</v>
      </c>
      <c r="L148" s="1510">
        <f>+TRANSPARENTE!BK63</f>
        <v>1</v>
      </c>
      <c r="M148" s="1566">
        <f>+TRANSPARENTE!BM63</f>
        <v>1</v>
      </c>
      <c r="N148" s="1502" t="s">
        <v>2107</v>
      </c>
    </row>
    <row r="149" spans="2:14" ht="15.75" customHeight="1" x14ac:dyDescent="0.25">
      <c r="B149" s="1610" t="str">
        <f>+TRANSPARENTE!T64</f>
        <v>Programa Convivencia para la Seguridad</v>
      </c>
      <c r="C149" s="775">
        <f>+TRANSPARENTE!AK66</f>
        <v>0</v>
      </c>
      <c r="D149" s="35">
        <f>+TRANSPARENTE!AM66</f>
        <v>0</v>
      </c>
      <c r="E149" s="35">
        <f>+TRANSPARENTE!AB66</f>
        <v>0</v>
      </c>
      <c r="F149" s="35">
        <v>0</v>
      </c>
      <c r="G149" s="35">
        <f>+TRANSPARENTE!AC66</f>
        <v>0</v>
      </c>
      <c r="H149" s="35"/>
      <c r="I149" s="1609"/>
      <c r="J149" s="1544">
        <f t="shared" si="0"/>
        <v>0</v>
      </c>
      <c r="K149" s="1510">
        <f>+TRANSPARENTE!AD66</f>
        <v>0.3004</v>
      </c>
      <c r="L149" s="1510">
        <f>+TRANSPARENTE!BK66</f>
        <v>1</v>
      </c>
      <c r="M149" s="1566">
        <f>+TRANSPARENTE!BM66</f>
        <v>1</v>
      </c>
      <c r="N149" s="1502" t="s">
        <v>2072</v>
      </c>
    </row>
    <row r="150" spans="2:14" ht="32.25" customHeight="1" x14ac:dyDescent="0.25">
      <c r="B150" s="1615" t="str">
        <f>+TRANSPARENTE!B68</f>
        <v>LÍNEA ESTRATÉGICA DERECHOS HUMANOS PARA LA PAZ</v>
      </c>
      <c r="C150" s="794">
        <f>+TRANSPARENTE!AK81</f>
        <v>0.83333333333333326</v>
      </c>
      <c r="D150" s="816">
        <f>+TRANSPARENTE!AM81</f>
        <v>0.70833333333333326</v>
      </c>
      <c r="E150" s="816">
        <f>+TRANSPARENTE!AB81</f>
        <v>0.25083333333333335</v>
      </c>
      <c r="F150" s="816">
        <v>0.7416666666666667</v>
      </c>
      <c r="G150" s="816">
        <f>+TRANSPARENTE!AC81</f>
        <v>0.3689549180327869</v>
      </c>
      <c r="H150" s="816">
        <f>+TRANSPARENTE!AX81</f>
        <v>0.76785714285714279</v>
      </c>
      <c r="I150" s="817">
        <f>+TRANSPARENTE!AZ81</f>
        <v>0.6160714285714286</v>
      </c>
      <c r="J150" s="1559">
        <f t="shared" si="0"/>
        <v>-9.2261904761904656E-2</v>
      </c>
      <c r="K150" s="1534">
        <f>+TRANSPARENTE!AD81</f>
        <v>0.36738387978142073</v>
      </c>
      <c r="L150" s="1534">
        <f>+TRANSPARENTE!BK81</f>
        <v>0.76354166666666656</v>
      </c>
      <c r="M150" s="1580">
        <f>+TRANSPARENTE!BM81</f>
        <v>0.64172277517564402</v>
      </c>
      <c r="N150" s="1506"/>
    </row>
    <row r="151" spans="2:14" ht="32.25" customHeight="1" x14ac:dyDescent="0.25">
      <c r="B151" s="1604" t="str">
        <f>+TRANSPARENTE!T68</f>
        <v>Programa: Prevención, promoción y protección de los derechos humanos en el distrito de Cartagena</v>
      </c>
      <c r="C151" s="32">
        <f>+TRANSPARENTE!AK75</f>
        <v>1</v>
      </c>
      <c r="D151" s="35">
        <f>+TRANSPARENTE!AM75</f>
        <v>0.75</v>
      </c>
      <c r="E151" s="35">
        <f>+TRANSPARENTE!AB75</f>
        <v>0.25</v>
      </c>
      <c r="F151" s="35">
        <v>0.75</v>
      </c>
      <c r="G151" s="35">
        <f>+TRANSPARENTE!AC75</f>
        <v>0.47540983606557374</v>
      </c>
      <c r="H151" s="35">
        <f>+TRANSPARENTE!AX75</f>
        <v>0.7857142857142857</v>
      </c>
      <c r="I151" s="1609">
        <f>+TRANSPARENTE!AZ75</f>
        <v>0.7321428571428571</v>
      </c>
      <c r="J151" s="1544">
        <f t="shared" si="0"/>
        <v>-1.7857142857142905E-2</v>
      </c>
      <c r="K151" s="1510">
        <f>+TRANSPARENTE!AD75</f>
        <v>0.35143442622950816</v>
      </c>
      <c r="L151" s="1510">
        <f>+TRANSPARENTE!BK75</f>
        <v>0.93333333333333324</v>
      </c>
      <c r="M151" s="1566">
        <f>+TRANSPARENTE!BM75</f>
        <v>0.81469555035128793</v>
      </c>
      <c r="N151" s="1502" t="s">
        <v>2072</v>
      </c>
    </row>
    <row r="152" spans="2:14" ht="44.25" customHeight="1" x14ac:dyDescent="0.25">
      <c r="B152" s="1616" t="str">
        <f>+TRANSPARENTE!T76</f>
        <v>Programa:   Sistema penitenciario y carcelario en el marco de los derechos humanos</v>
      </c>
      <c r="C152" s="32">
        <f>+TRANSPARENTE!AK80</f>
        <v>0.66666666666666663</v>
      </c>
      <c r="D152" s="35">
        <f>+TRANSPARENTE!AM80</f>
        <v>0.66666666666666663</v>
      </c>
      <c r="E152" s="35">
        <f>+TRANSPARENTE!AB80</f>
        <v>0.25166666666666671</v>
      </c>
      <c r="F152" s="35">
        <v>0.73333333333333339</v>
      </c>
      <c r="G152" s="35">
        <f>+TRANSPARENTE!AC80</f>
        <v>0.26250000000000001</v>
      </c>
      <c r="H152" s="39">
        <f>+TRANSPARENTE!AX80</f>
        <v>0.75</v>
      </c>
      <c r="I152" s="1609">
        <f>+TRANSPARENTE!AZ80</f>
        <v>0.5</v>
      </c>
      <c r="J152" s="1544">
        <f t="shared" si="0"/>
        <v>-0.16666666666666663</v>
      </c>
      <c r="K152" s="1510">
        <f>+TRANSPARENTE!AD80</f>
        <v>0.3833333333333333</v>
      </c>
      <c r="L152" s="1510">
        <f>+TRANSPARENTE!BK80</f>
        <v>0.59375</v>
      </c>
      <c r="M152" s="1566">
        <f>+TRANSPARENTE!BM80</f>
        <v>0.46875</v>
      </c>
      <c r="N152" s="1502" t="s">
        <v>2072</v>
      </c>
    </row>
    <row r="153" spans="2:14" ht="33" customHeight="1" x14ac:dyDescent="0.25">
      <c r="B153" s="1615" t="str">
        <f>+TRANSPARENTE!B82</f>
        <v>LÍNEA ESTRATÉGICA: ATENCIÓN Y REPARACIÓN A VICTIMAS PARA LA CONSTRUCCIÓN DE LA  PAZ TERRITORIAL</v>
      </c>
      <c r="C153" s="794">
        <f>+TRANSPARENTE!AK92</f>
        <v>0.5</v>
      </c>
      <c r="D153" s="818">
        <f>+TRANSPARENTE!AM92</f>
        <v>8.313864256480219E-2</v>
      </c>
      <c r="E153" s="818">
        <f>+TRANSPARENTE!AB92</f>
        <v>0.1238844361073215</v>
      </c>
      <c r="F153" s="818">
        <v>8.313864256480219E-2</v>
      </c>
      <c r="G153" s="818">
        <f>+TRANSPARENTE!AC92</f>
        <v>0.47111262695164469</v>
      </c>
      <c r="H153" s="818">
        <f>+TRANSPARENTE!AX92</f>
        <v>0.71237651707592442</v>
      </c>
      <c r="I153" s="819">
        <f>+TRANSPARENTE!AZ92</f>
        <v>0.36475860239502805</v>
      </c>
      <c r="J153" s="1560">
        <f t="shared" si="0"/>
        <v>0.28161995983022586</v>
      </c>
      <c r="K153" s="1535">
        <f>+TRANSPARENTE!AD92</f>
        <v>0.38906377899045019</v>
      </c>
      <c r="L153" s="1535">
        <f>+TRANSPARENTE!BK92</f>
        <v>0.88451776649746194</v>
      </c>
      <c r="M153" s="1581">
        <f>+TRANSPARENTE!BM92</f>
        <v>0.77276981961497648</v>
      </c>
      <c r="N153" s="1506"/>
    </row>
    <row r="154" spans="2:14" ht="15.75" customHeight="1" x14ac:dyDescent="0.25">
      <c r="B154" s="1604" t="str">
        <f>+TRANSPARENTE!T82</f>
        <v>Programa: Atención, asistencia y reparación integral a las víctimas</v>
      </c>
      <c r="C154" s="775">
        <f>+TRANSPARENTE!AK87</f>
        <v>1</v>
      </c>
      <c r="D154" s="761">
        <f>+TRANSPARENTE!AM87</f>
        <v>0.16627728512960438</v>
      </c>
      <c r="E154" s="761">
        <f>+TRANSPARENTE!AB87</f>
        <v>0.16443553888130968</v>
      </c>
      <c r="F154" s="761">
        <v>0.16627728512960438</v>
      </c>
      <c r="G154" s="761">
        <f>+TRANSPARENTE!AC87</f>
        <v>0.41444747612551158</v>
      </c>
      <c r="H154" s="761">
        <f>+TRANSPARENTE!AX87</f>
        <v>0.7580863674851821</v>
      </c>
      <c r="I154" s="1605">
        <f>+TRANSPARENTE!AZ87</f>
        <v>0.35173942701227834</v>
      </c>
      <c r="J154" s="1551">
        <f t="shared" si="0"/>
        <v>0.18546214188267396</v>
      </c>
      <c r="K154" s="1514">
        <f>+TRANSPARENTE!AD87</f>
        <v>0.26812755798090038</v>
      </c>
      <c r="L154" s="1514">
        <f>+TRANSPARENTE!BK87</f>
        <v>0.76903553299492389</v>
      </c>
      <c r="M154" s="1563">
        <f>+TRANSPARENTE!BM87</f>
        <v>0.65665075034106413</v>
      </c>
      <c r="N154" s="1502" t="s">
        <v>2072</v>
      </c>
    </row>
    <row r="155" spans="2:14" ht="15.75" customHeight="1" x14ac:dyDescent="0.25">
      <c r="B155" s="1604" t="str">
        <f>+TRANSPARENTE!T88</f>
        <v>Programa: Construcción de paz territorial</v>
      </c>
      <c r="C155" s="775">
        <f>+TRANSPARENTE!AK91</f>
        <v>0</v>
      </c>
      <c r="D155" s="761">
        <f>+TRANSPARENTE!AM91</f>
        <v>0</v>
      </c>
      <c r="E155" s="761">
        <f>+TRANSPARENTE!AB91</f>
        <v>8.3333333333333329E-2</v>
      </c>
      <c r="F155" s="761">
        <v>0</v>
      </c>
      <c r="G155" s="761">
        <f>+TRANSPARENTE!AC91</f>
        <v>0.52777777777777779</v>
      </c>
      <c r="H155" s="761">
        <f>+TRANSPARENTE!AX91</f>
        <v>0.66666666666666663</v>
      </c>
      <c r="I155" s="1605">
        <f>+TRANSPARENTE!AZ91</f>
        <v>0.37777777777777777</v>
      </c>
      <c r="J155" s="1551">
        <f t="shared" si="0"/>
        <v>0.37777777777777777</v>
      </c>
      <c r="K155" s="1514">
        <f>+TRANSPARENTE!AD91</f>
        <v>0.51</v>
      </c>
      <c r="L155" s="1514">
        <f>+TRANSPARENTE!BK91</f>
        <v>1</v>
      </c>
      <c r="M155" s="1563">
        <f>+TRANSPARENTE!BM91</f>
        <v>0.88888888888888884</v>
      </c>
      <c r="N155" s="1502" t="s">
        <v>2072</v>
      </c>
    </row>
    <row r="156" spans="2:14" ht="30" customHeight="1" x14ac:dyDescent="0.25">
      <c r="B156" s="1615" t="str">
        <f>+TRANSPARENTE!B93</f>
        <v>LÍNEA ESTRATÉGICA: CULTURA CIUDADANA PARA LA DEMOCRACIA Y LA PAZ</v>
      </c>
      <c r="C156" s="794">
        <f>+TRANSPARENTE!AK105</f>
        <v>0.8</v>
      </c>
      <c r="D156" s="816">
        <f>+TRANSPARENTE!AM105</f>
        <v>0.21390836125130366</v>
      </c>
      <c r="E156" s="816">
        <f>+TRANSPARENTE!AB105</f>
        <v>0.10950450293378312</v>
      </c>
      <c r="F156" s="816">
        <v>0.34775893612315528</v>
      </c>
      <c r="G156" s="816">
        <f>+TRANSPARENTE!AC105</f>
        <v>0.37326048733150441</v>
      </c>
      <c r="H156" s="816">
        <f>+TRANSPARENTE!AX105</f>
        <v>0.86628806069777065</v>
      </c>
      <c r="I156" s="817">
        <f>+TRANSPARENTE!AZ105</f>
        <v>0.55531771559331178</v>
      </c>
      <c r="J156" s="1559">
        <f t="shared" si="0"/>
        <v>0.34140935434200814</v>
      </c>
      <c r="K156" s="1534">
        <f>+TRANSPARENTE!AD105</f>
        <v>0.23268181021303269</v>
      </c>
      <c r="L156" s="1534">
        <f>+TRANSPARENTE!BK105</f>
        <v>0.84198140728927617</v>
      </c>
      <c r="M156" s="1580">
        <f>+TRANSPARENTE!BM105</f>
        <v>0.90395399191600945</v>
      </c>
      <c r="N156" s="1506"/>
    </row>
    <row r="157" spans="2:14" ht="15.75" customHeight="1" x14ac:dyDescent="0.25">
      <c r="B157" s="1604" t="str">
        <f>+TRANSPARENTE!T93</f>
        <v>Programa: Servidor y servidora pública al servicio de la ciudadanía</v>
      </c>
      <c r="C157" s="775">
        <f>+TRANSPARENTE!AK94</f>
        <v>1</v>
      </c>
      <c r="D157" s="39">
        <f>+TRANSPARENTE!AM94</f>
        <v>1</v>
      </c>
      <c r="E157" s="39">
        <f>+TRANSPARENTE!AB94</f>
        <v>0.24857685009487665</v>
      </c>
      <c r="F157" s="39">
        <v>1</v>
      </c>
      <c r="G157" s="35">
        <f>+TRANSPARENTE!AC94</f>
        <v>0.25047438330170779</v>
      </c>
      <c r="H157" s="39">
        <f>+TRANSPARENTE!AX94</f>
        <v>1</v>
      </c>
      <c r="I157" s="1612">
        <f>+TRANSPARENTE!AZ94</f>
        <v>1</v>
      </c>
      <c r="J157" s="1548">
        <f t="shared" si="0"/>
        <v>0</v>
      </c>
      <c r="K157" s="1510">
        <f>+TRANSPARENTE!AD94</f>
        <v>0</v>
      </c>
      <c r="L157" s="1512">
        <f>+TRANSPARENTE!BK94</f>
        <v>1</v>
      </c>
      <c r="M157" s="1571">
        <f>+TRANSPARENTE!BM94</f>
        <v>1</v>
      </c>
      <c r="N157" s="1502" t="s">
        <v>2108</v>
      </c>
    </row>
    <row r="158" spans="2:14" ht="15.75" customHeight="1" x14ac:dyDescent="0.25">
      <c r="B158" s="1604" t="str">
        <f>+TRANSPARENTE!T95</f>
        <v>Programa: Ciudadanía libre, incluyente y transformadora</v>
      </c>
      <c r="C158" s="775">
        <f>+TRANSPARENTE!AK96</f>
        <v>1</v>
      </c>
      <c r="D158" s="39">
        <f>+TRANSPARENTE!AM96</f>
        <v>0.28125</v>
      </c>
      <c r="E158" s="39">
        <f>+TRANSPARENTE!AB96</f>
        <v>0.15625</v>
      </c>
      <c r="F158" s="39">
        <v>0.8359375</v>
      </c>
      <c r="G158" s="39">
        <f>+TRANSPARENTE!AC96</f>
        <v>0.28125</v>
      </c>
      <c r="H158" s="39">
        <f>+TRANSPARENTE!AX96</f>
        <v>1</v>
      </c>
      <c r="I158" s="1612">
        <f>+TRANSPARENTE!AZ96</f>
        <v>1</v>
      </c>
      <c r="J158" s="1548">
        <f t="shared" si="0"/>
        <v>0.71875</v>
      </c>
      <c r="K158" s="1512">
        <f>+TRANSPARENTE!AD96</f>
        <v>0</v>
      </c>
      <c r="L158" s="1512">
        <f>+TRANSPARENTE!BK96</f>
        <v>1</v>
      </c>
      <c r="M158" s="1571">
        <f>+TRANSPARENTE!BM96</f>
        <v>1</v>
      </c>
      <c r="N158" s="1501" t="s">
        <v>2109</v>
      </c>
    </row>
    <row r="159" spans="2:14" ht="15.75" customHeight="1" x14ac:dyDescent="0.25">
      <c r="B159" s="1604" t="str">
        <f>+TRANSPARENTE!T97</f>
        <v>Programa: Cartagena te quiere, quiere a Cartagena: plan decenal de cultura ciudadana y Cartageneidad.</v>
      </c>
      <c r="C159" s="775">
        <f>+TRANSPARENTE!AK98</f>
        <v>1</v>
      </c>
      <c r="D159" s="39">
        <f>+TRANSPARENTE!AM98</f>
        <v>0</v>
      </c>
      <c r="E159" s="39">
        <f>+TRANSPARENTE!AB98</f>
        <v>0.25</v>
      </c>
      <c r="F159" s="39">
        <v>0.25</v>
      </c>
      <c r="G159" s="39">
        <f>+TRANSPARENTE!AC98</f>
        <v>0.25</v>
      </c>
      <c r="H159" s="39">
        <f>+TRANSPARENTE!AX98</f>
        <v>1</v>
      </c>
      <c r="I159" s="1612">
        <f>+TRANSPARENTE!AZ98</f>
        <v>0.35</v>
      </c>
      <c r="J159" s="1548">
        <f t="shared" si="0"/>
        <v>0.35</v>
      </c>
      <c r="K159" s="1512">
        <f>+TRANSPARENTE!AD98</f>
        <v>0.65</v>
      </c>
      <c r="L159" s="1512">
        <f>+TRANSPARENTE!BK98</f>
        <v>1</v>
      </c>
      <c r="M159" s="1571">
        <f>+TRANSPARENTE!BM98</f>
        <v>0.75</v>
      </c>
      <c r="N159" s="1502" t="s">
        <v>2108</v>
      </c>
    </row>
    <row r="160" spans="2:14" ht="31.5" customHeight="1" x14ac:dyDescent="0.25">
      <c r="B160" s="1604" t="str">
        <f>+TRANSPARENTE!T99</f>
        <v>Programa: Yo soy Cartagena</v>
      </c>
      <c r="C160" s="775">
        <f>+TRANSPARENTE!AK100</f>
        <v>1</v>
      </c>
      <c r="D160" s="39">
        <f>+TRANSPARENTE!AM100</f>
        <v>2.2001675078220945E-3</v>
      </c>
      <c r="E160" s="39">
        <f>+TRANSPARENTE!AB100</f>
        <v>2.2001675078220945E-3</v>
      </c>
      <c r="F160" s="39">
        <v>6.1611673893177264E-4</v>
      </c>
      <c r="G160" s="39">
        <f>+TRANSPARENTE!AC100</f>
        <v>0.95784097171895133</v>
      </c>
      <c r="H160" s="39"/>
      <c r="I160" s="1622">
        <f>+TRANSPARENTE!AZ100</f>
        <v>0.19159249599673664</v>
      </c>
      <c r="J160" s="1548">
        <f t="shared" si="0"/>
        <v>0.18939232848891455</v>
      </c>
      <c r="K160" s="1512">
        <f>+TRANSPARENTE!AD100</f>
        <v>0.24609329230982871</v>
      </c>
      <c r="L160" s="1512">
        <f>+TRANSPARENTE!BK100</f>
        <v>1</v>
      </c>
      <c r="M160" s="1582">
        <f>+TRANSPARENTE!BM100</f>
        <v>1</v>
      </c>
      <c r="N160" s="1502" t="s">
        <v>2110</v>
      </c>
    </row>
    <row r="161" spans="2:14" ht="30.75" customHeight="1" x14ac:dyDescent="0.25">
      <c r="B161" s="1618" t="str">
        <f>+TRANSPARENTE!T101</f>
        <v>Programa: Nuestra Cartagena soñada.</v>
      </c>
      <c r="C161" s="32">
        <f>+TRANSPARENTE!AK102</f>
        <v>0</v>
      </c>
      <c r="D161" s="39">
        <f>+TRANSPARENTE!AM102</f>
        <v>0</v>
      </c>
      <c r="E161" s="39">
        <f>+TRANSPARENTE!AB102</f>
        <v>0</v>
      </c>
      <c r="F161" s="39">
        <v>0</v>
      </c>
      <c r="G161" s="39">
        <f>+TRANSPARENTE!AC102</f>
        <v>0.24999756896836742</v>
      </c>
      <c r="H161" s="39"/>
      <c r="I161" s="1612">
        <f>+TRANSPARENTE!AZ102</f>
        <v>0.29031379756313391</v>
      </c>
      <c r="J161" s="1548">
        <f t="shared" si="0"/>
        <v>0.29031379756313391</v>
      </c>
      <c r="K161" s="1512">
        <f>+TRANSPARENTE!AD102</f>
        <v>0.24999756896836742</v>
      </c>
      <c r="L161" s="1512">
        <f>+TRANSPARENTE!BK102</f>
        <v>5.1888443735656771E-2</v>
      </c>
      <c r="M161" s="1571">
        <f>+TRANSPARENTE!BM102</f>
        <v>0.92372395149605691</v>
      </c>
      <c r="N161" s="1502" t="s">
        <v>2108</v>
      </c>
    </row>
    <row r="162" spans="2:14" ht="15.75" customHeight="1" x14ac:dyDescent="0.25">
      <c r="B162" s="1618" t="str">
        <f>+TRANSPARENTE!T103</f>
        <v>Programa Conéctate Con Cartagena</v>
      </c>
      <c r="C162" s="32">
        <f>+TRANSPARENTE!AK104</f>
        <v>0</v>
      </c>
      <c r="D162" s="39">
        <f>+TRANSPARENTE!AM104</f>
        <v>0</v>
      </c>
      <c r="E162" s="39">
        <f>+TRANSPARENTE!AB104</f>
        <v>0</v>
      </c>
      <c r="F162" s="39">
        <v>0</v>
      </c>
      <c r="G162" s="35">
        <f>+TRANSPARENTE!AC104</f>
        <v>0.25</v>
      </c>
      <c r="H162" s="39">
        <f>+TRANSPARENTE!AX104</f>
        <v>1</v>
      </c>
      <c r="I162" s="1612">
        <f>+TRANSPARENTE!AZ104</f>
        <v>0.5</v>
      </c>
      <c r="J162" s="1548">
        <f t="shared" si="0"/>
        <v>0.5</v>
      </c>
      <c r="K162" s="1510">
        <f>+TRANSPARENTE!AD104</f>
        <v>0.25</v>
      </c>
      <c r="L162" s="1512">
        <f>+TRANSPARENTE!BK104</f>
        <v>1</v>
      </c>
      <c r="M162" s="1571">
        <f>+TRANSPARENTE!BM104</f>
        <v>0.75</v>
      </c>
      <c r="N162" s="1502" t="s">
        <v>2108</v>
      </c>
    </row>
    <row r="163" spans="2:14" ht="36" customHeight="1" x14ac:dyDescent="0.25">
      <c r="B163" s="1615" t="str">
        <f>+TRANSPARENTE!B106</f>
        <v xml:space="preserve">LÍNEA ESTRATÉGICA: PARTICIPACIÓN Y DESCENTRALIZACIÓN </v>
      </c>
      <c r="C163" s="794">
        <f>+TRANSPARENTE!AK134</f>
        <v>0.9313690476190476</v>
      </c>
      <c r="D163" s="818">
        <f>+TRANSPARENTE!AM134</f>
        <v>0.25113116344119935</v>
      </c>
      <c r="E163" s="818">
        <f>+TRANSPARENTE!AB134</f>
        <v>0.33650711759171709</v>
      </c>
      <c r="F163" s="818">
        <v>0.25113116344119935</v>
      </c>
      <c r="G163" s="818">
        <f>+TRANSPARENTE!AC134</f>
        <v>0.39815251546124636</v>
      </c>
      <c r="H163" s="818">
        <f>+TRANSPARENTE!AX134</f>
        <v>0.57328666666666661</v>
      </c>
      <c r="I163" s="819">
        <f>+TRANSPARENTE!AZ134</f>
        <v>0.52306407123556153</v>
      </c>
      <c r="J163" s="1560">
        <f t="shared" si="0"/>
        <v>0.27193290779436219</v>
      </c>
      <c r="K163" s="1535">
        <f>+TRANSPARENTE!AD134</f>
        <v>0.37261752189066416</v>
      </c>
      <c r="L163" s="1535">
        <f>+TRANSPARENTE!BK134</f>
        <v>0.64021527777777776</v>
      </c>
      <c r="M163" s="1581">
        <f>+TRANSPARENTE!BM134</f>
        <v>0.66016670881692485</v>
      </c>
      <c r="N163" s="1506"/>
    </row>
    <row r="164" spans="2:14" ht="15.75" customHeight="1" x14ac:dyDescent="0.25">
      <c r="B164" s="1604" t="str">
        <f>+TRANSPARENTE!T106</f>
        <v>Programa: Participando salvamos a Cartagena</v>
      </c>
      <c r="C164" s="775">
        <f>+TRANSPARENTE!AK117</f>
        <v>0.79410714285714279</v>
      </c>
      <c r="D164" s="761">
        <f>+TRANSPARENTE!AM117</f>
        <v>0.33649744288044359</v>
      </c>
      <c r="E164" s="761">
        <f>+TRANSPARENTE!AB117</f>
        <v>0.35577985617651181</v>
      </c>
      <c r="F164" s="761">
        <v>0.35078315716615788</v>
      </c>
      <c r="G164" s="761">
        <f>+TRANSPARENTE!AC117</f>
        <v>0.42643033549938514</v>
      </c>
      <c r="H164" s="761">
        <f>+TRANSPARENTE!AX117</f>
        <v>0.60586000000000007</v>
      </c>
      <c r="I164" s="1605">
        <f>+TRANSPARENTE!AZ117</f>
        <v>0.40158507084954193</v>
      </c>
      <c r="J164" s="1551">
        <f t="shared" si="0"/>
        <v>6.5087627969098338E-2</v>
      </c>
      <c r="K164" s="1514">
        <f>+TRANSPARENTE!AD117</f>
        <v>0.27356685138627818</v>
      </c>
      <c r="L164" s="1514">
        <f>+TRANSPARENTE!BK117</f>
        <v>0.63731249999999995</v>
      </c>
      <c r="M164" s="1563">
        <f>+TRANSPARENTE!BM117</f>
        <v>0.62901864496929294</v>
      </c>
      <c r="N164" s="1502" t="s">
        <v>2094</v>
      </c>
    </row>
    <row r="165" spans="2:14" ht="29.25" customHeight="1" x14ac:dyDescent="0.25">
      <c r="B165" s="1604" t="str">
        <f>+TRANSPARENTE!T118</f>
        <v xml:space="preserve">Programa: Modernización del Sistema Distrital de Planeación y Descentralización  </v>
      </c>
      <c r="C165" s="775">
        <f>+TRANSPARENTE!AK127</f>
        <v>1</v>
      </c>
      <c r="D165" s="761">
        <f>+TRANSPARENTE!AM127</f>
        <v>0.46802721088435373</v>
      </c>
      <c r="E165" s="761">
        <f>+TRANSPARENTE!AB127</f>
        <v>0.45374149659863944</v>
      </c>
      <c r="F165" s="761">
        <v>0.45374149659863944</v>
      </c>
      <c r="G165" s="761">
        <f>+TRANSPARENTE!AC127</f>
        <v>0.36802721088435369</v>
      </c>
      <c r="H165" s="761">
        <f>+TRANSPARENTE!AX127</f>
        <v>0.61399999999999999</v>
      </c>
      <c r="I165" s="1605">
        <f>+TRANSPARENTE!AZ127</f>
        <v>0.76760714285714282</v>
      </c>
      <c r="J165" s="1551">
        <f t="shared" si="0"/>
        <v>0.29957993197278909</v>
      </c>
      <c r="K165" s="1514">
        <f>+TRANSPARENTE!AD127</f>
        <v>0.44428571428571428</v>
      </c>
      <c r="L165" s="1514">
        <f>+TRANSPARENTE!BK127</f>
        <v>0.78333333333333333</v>
      </c>
      <c r="M165" s="1563">
        <f>+TRANSPARENTE!BM127</f>
        <v>0.75148148148148153</v>
      </c>
      <c r="N165" s="1501" t="s">
        <v>2079</v>
      </c>
    </row>
    <row r="166" spans="2:14" ht="28.5" customHeight="1" x14ac:dyDescent="0.25">
      <c r="B166" s="1604" t="str">
        <f>+TRANSPARENTE!T128</f>
        <v xml:space="preserve">Programa: Políticas Públicas intersectoriales y con visión Integral de enfoques basados en derechos humanos </v>
      </c>
      <c r="C166" s="775">
        <f>+TRANSPARENTE!AK130</f>
        <v>1</v>
      </c>
      <c r="D166" s="761">
        <f>+TRANSPARENTE!AM130</f>
        <v>0.2</v>
      </c>
      <c r="E166" s="761">
        <f>+TRANSPARENTE!AB130</f>
        <v>0.2</v>
      </c>
      <c r="F166" s="761">
        <v>0.2</v>
      </c>
      <c r="G166" s="761">
        <f>+TRANSPARENTE!AC130</f>
        <v>0.4</v>
      </c>
      <c r="H166" s="761">
        <f>+TRANSPARENTE!AX130</f>
        <v>0.5</v>
      </c>
      <c r="I166" s="1605">
        <f>+TRANSPARENTE!AZ130</f>
        <v>0.4</v>
      </c>
      <c r="J166" s="1551">
        <f t="shared" si="0"/>
        <v>0.2</v>
      </c>
      <c r="K166" s="1514">
        <f>+TRANSPARENTE!AD130</f>
        <v>0.4</v>
      </c>
      <c r="L166" s="1514">
        <f>+TRANSPARENTE!BK130</f>
        <v>0.5</v>
      </c>
      <c r="M166" s="1563">
        <f>+TRANSPARENTE!BM130</f>
        <v>0.6</v>
      </c>
      <c r="N166" s="1502" t="s">
        <v>2079</v>
      </c>
    </row>
    <row r="167" spans="2:14" ht="27.75" customHeight="1" x14ac:dyDescent="0.25">
      <c r="B167" s="1604" t="str">
        <f>+TRANSPARENTE!T131</f>
        <v>Programa:   Presupuesto participativo</v>
      </c>
      <c r="C167" s="775">
        <f>+TRANSPARENTE!AK133</f>
        <v>0</v>
      </c>
      <c r="D167" s="761">
        <f>+TRANSPARENTE!AM133</f>
        <v>0</v>
      </c>
      <c r="E167" s="761">
        <f>+TRANSPARENTE!AB133</f>
        <v>0</v>
      </c>
      <c r="F167" s="761">
        <v>0</v>
      </c>
      <c r="G167" s="761">
        <f>+TRANSPARENTE!AC133</f>
        <v>0</v>
      </c>
      <c r="H167" s="761"/>
      <c r="I167" s="1605"/>
      <c r="J167" s="1551">
        <f t="shared" si="0"/>
        <v>0</v>
      </c>
      <c r="K167" s="1514">
        <f>+TRANSPARENTE!AD133</f>
        <v>0</v>
      </c>
      <c r="L167" s="1514"/>
      <c r="M167" s="1563"/>
      <c r="N167" s="1501" t="s">
        <v>2111</v>
      </c>
    </row>
    <row r="168" spans="2:14" ht="37.5" customHeight="1" x14ac:dyDescent="0.25">
      <c r="B168" s="1615" t="str">
        <f>+TRANSPARENTE!B135</f>
        <v>LÍNEA ESTRATÉGICA: FINANZAS PÚBLICAS PARA SALVAR A CARTAGENA</v>
      </c>
      <c r="C168" s="794">
        <f>+TRANSPARENTE!AK144</f>
        <v>0.5024640028660925</v>
      </c>
      <c r="D168" s="816">
        <f>+TRANSPARENTE!AM144</f>
        <v>0.16453713375764123</v>
      </c>
      <c r="E168" s="816">
        <f>+TRANSPARENTE!AB144</f>
        <v>0.27777777777777779</v>
      </c>
      <c r="F168" s="816">
        <v>0.15280721232846486</v>
      </c>
      <c r="G168" s="816">
        <f>+TRANSPARENTE!AC144</f>
        <v>0.31139239951079845</v>
      </c>
      <c r="H168" s="816">
        <f>+TRANSPARENTE!AX144</f>
        <v>0.94230371166191951</v>
      </c>
      <c r="I168" s="817">
        <f>+TRANSPARENTE!AZ144</f>
        <v>0.35878177765093583</v>
      </c>
      <c r="J168" s="1559">
        <f t="shared" si="0"/>
        <v>0.1942446438932946</v>
      </c>
      <c r="K168" s="1534">
        <f>+TRANSPARENTE!AD144</f>
        <v>0.30631762353353409</v>
      </c>
      <c r="L168" s="1534">
        <f>+TRANSPARENTE!BK144</f>
        <v>0.59529624760973898</v>
      </c>
      <c r="M168" s="1580">
        <f>+TRANSPARENTE!BM144</f>
        <v>0.56170286371973865</v>
      </c>
      <c r="N168" s="1501"/>
    </row>
    <row r="169" spans="2:14" ht="36" customHeight="1" x14ac:dyDescent="0.25">
      <c r="B169" s="1623" t="str">
        <f>+TRANSPARENTE!T135</f>
        <v>Programa: Finanzas sostenibles para salvar a Cartagena</v>
      </c>
      <c r="C169" s="32">
        <f>+TRANSPARENTE!AK141</f>
        <v>0.5566681050554172</v>
      </c>
      <c r="D169" s="761">
        <f>+TRANSPARENTE!AM141</f>
        <v>0.21700929234609054</v>
      </c>
      <c r="E169" s="761">
        <f>+TRANSPARENTE!AB141</f>
        <v>0.30555555555555552</v>
      </c>
      <c r="F169" s="761">
        <v>0.14863070218723276</v>
      </c>
      <c r="G169" s="761">
        <f>+TRANSPARENTE!AC141</f>
        <v>0.37278479902159684</v>
      </c>
      <c r="H169" s="761">
        <f>+TRANSPARENTE!AX141</f>
        <v>0.88460742332383913</v>
      </c>
      <c r="I169" s="1605">
        <f>+TRANSPARENTE!AZ141</f>
        <v>0.48340900580374035</v>
      </c>
      <c r="J169" s="1551">
        <f t="shared" si="0"/>
        <v>0.26639971345764979</v>
      </c>
      <c r="K169" s="1514">
        <f>+TRANSPARENTE!AD141</f>
        <v>0.22971252181613377</v>
      </c>
      <c r="L169" s="1514">
        <f>+TRANSPARENTE!BK141</f>
        <v>1</v>
      </c>
      <c r="M169" s="1563">
        <f>+TRANSPARENTE!BM141</f>
        <v>0.81626898025952777</v>
      </c>
      <c r="N169" s="1501" t="s">
        <v>2112</v>
      </c>
    </row>
    <row r="170" spans="2:14" ht="41.25" customHeight="1" x14ac:dyDescent="0.25">
      <c r="B170" s="1623" t="str">
        <f>+TRANSPARENTE!T142</f>
        <v>Programa: Saneamiento fiscal y financiero</v>
      </c>
      <c r="C170" s="32">
        <f>+TRANSPARENTE!AK143</f>
        <v>0.44825990067676769</v>
      </c>
      <c r="D170" s="761">
        <f>+TRANSPARENTE!AM143</f>
        <v>0.11206497516919192</v>
      </c>
      <c r="E170" s="761">
        <f>+TRANSPARENTE!AB143</f>
        <v>0.25</v>
      </c>
      <c r="F170" s="761">
        <v>0.15698372246969697</v>
      </c>
      <c r="G170" s="761">
        <f>+TRANSPARENTE!AC143</f>
        <v>0.25</v>
      </c>
      <c r="H170" s="32">
        <f>+TRANSPARENTE!AX143</f>
        <v>1</v>
      </c>
      <c r="I170" s="1607">
        <f>+TRANSPARENTE!AZ143</f>
        <v>0.2341545494981313</v>
      </c>
      <c r="J170" s="1558">
        <f t="shared" si="0"/>
        <v>0.12208957432893938</v>
      </c>
      <c r="K170" s="1515">
        <f>+TRANSPARENTE!AD143</f>
        <v>0.38292272525093435</v>
      </c>
      <c r="L170" s="1515">
        <f>+TRANSPARENTE!BK143</f>
        <v>0.19059249521947799</v>
      </c>
      <c r="M170" s="1564">
        <f>+TRANSPARENTE!BM143</f>
        <v>0.30713674717994949</v>
      </c>
      <c r="N170" s="1501" t="s">
        <v>2112</v>
      </c>
    </row>
    <row r="171" spans="2:14" ht="80.25" customHeight="1" x14ac:dyDescent="0.25">
      <c r="B171" s="1614" t="str">
        <f>+TRANSVERSAL!A2</f>
        <v>EJE TRANSVERSAL: CARTAGENA CON ATENCION Y GARANTIA DE DERECHOS A POBLACION DIFERENCIAL.</v>
      </c>
      <c r="C171" s="812">
        <f>+(C172+C184+C189+C194+C197+C199+C203+C206)/8</f>
        <v>0.69612517361111115</v>
      </c>
      <c r="D171" s="802">
        <f>+(D172+D184+D189+D194+D197+D199+D203+D206)/8</f>
        <v>0.14621747976544702</v>
      </c>
      <c r="E171" s="802">
        <f>+(E172+E184+E189+E194+E197+E199+E203+E206)/8</f>
        <v>0.18082354013642138</v>
      </c>
      <c r="F171" s="802">
        <v>0.14387372976544704</v>
      </c>
      <c r="G171" s="802">
        <f>+(G172+G184+G189+G194+G197+G199+G203+G206)/8</f>
        <v>0.43055971287940437</v>
      </c>
      <c r="H171" s="802">
        <f>+(H172+H184+H189+H194+H197+H199+H203+H206)/8</f>
        <v>0.72772512949145174</v>
      </c>
      <c r="I171" s="803">
        <f>+(I172+I184+I189+I194+I197+I199+I203+I206)/8</f>
        <v>0.49612336898206527</v>
      </c>
      <c r="J171" s="1553">
        <f t="shared" si="0"/>
        <v>0.34990588921661825</v>
      </c>
      <c r="K171" s="1529">
        <f>+(K172+K184+K189+K194+K197+K199+K203+K206)/8</f>
        <v>0.32926844964664115</v>
      </c>
      <c r="L171" s="1529">
        <f>+(L172+L184+L189+L194+L197+L199+L203+L206)/8</f>
        <v>0.73190488922841868</v>
      </c>
      <c r="M171" s="1575">
        <f>+(M172+M184+M189+M194+M197+M199+M203+M206)/8</f>
        <v>0.67001979831488723</v>
      </c>
      <c r="N171" s="1506"/>
    </row>
    <row r="172" spans="2:14" ht="28.5" customHeight="1" x14ac:dyDescent="0.25">
      <c r="B172" s="1615" t="str">
        <f>+TRANSVERSAL!B2</f>
        <v>LINEA ESTRATEGICA PARA LA EQUIDAD E INCLUSIÓN DE LOS NEGROS, AFROS, PALENQUEROS E INDIGENA.</v>
      </c>
      <c r="C172" s="820">
        <f>+TRANSVERSAL!AK39</f>
        <v>0.4</v>
      </c>
      <c r="D172" s="816">
        <f>+TRANSVERSAL!AM39</f>
        <v>4.6969696969696974E-2</v>
      </c>
      <c r="E172" s="816">
        <f>+TRANSVERSAL!AB39</f>
        <v>6.9358974358974368E-2</v>
      </c>
      <c r="F172" s="816">
        <v>4.6969696969696974E-2</v>
      </c>
      <c r="G172" s="816">
        <f>+TRANSVERSAL!AC39</f>
        <v>0.57176923076923081</v>
      </c>
      <c r="H172" s="816">
        <f>+TRANSVERSAL!AX39</f>
        <v>0.65580357142857149</v>
      </c>
      <c r="I172" s="817">
        <f>+TRANSVERSAL!AZ39</f>
        <v>0.3611111111111111</v>
      </c>
      <c r="J172" s="1559">
        <f t="shared" si="0"/>
        <v>0.31414141414141411</v>
      </c>
      <c r="K172" s="1534">
        <f>+TRANSVERSAL!AD39</f>
        <v>0.2707122507122508</v>
      </c>
      <c r="L172" s="1534">
        <f>+TRANSVERSAL!BK39</f>
        <v>0.57637403446226976</v>
      </c>
      <c r="M172" s="1580">
        <f>+TRANSVERSAL!BM39</f>
        <v>0.54308663558663561</v>
      </c>
      <c r="N172" s="1506"/>
    </row>
    <row r="173" spans="2:14" ht="27" customHeight="1" x14ac:dyDescent="0.25">
      <c r="B173" s="1604" t="str">
        <f>+TRANSVERSAL!T2</f>
        <v xml:space="preserve">Fortalecimiento de Población Negra, Afrocolombiana, Raizal y Palenquera en el Distrito de Cartagena </v>
      </c>
      <c r="C173" s="775">
        <f>+TRANSVERSAL!AK4</f>
        <v>0</v>
      </c>
      <c r="D173" s="35">
        <f>+TRANSVERSAL!AM4</f>
        <v>0</v>
      </c>
      <c r="E173" s="35">
        <f>+TRANSVERSAL!AB4</f>
        <v>3.8461538461538464E-2</v>
      </c>
      <c r="F173" s="35">
        <v>0</v>
      </c>
      <c r="G173" s="35">
        <f>+TRANSVERSAL!AC4</f>
        <v>0.31884615384615389</v>
      </c>
      <c r="H173" s="35">
        <f>+TRANSVERSAL!AX4</f>
        <v>0.625</v>
      </c>
      <c r="I173" s="1609">
        <f>+TRANSVERSAL!AZ4</f>
        <v>0.43115384615384617</v>
      </c>
      <c r="J173" s="1544">
        <f t="shared" si="0"/>
        <v>0.43115384615384617</v>
      </c>
      <c r="K173" s="1510">
        <f>+TRANSVERSAL!AD4</f>
        <v>0</v>
      </c>
      <c r="L173" s="1510">
        <f>+TRANSVERSAL!BK4</f>
        <v>0.6875</v>
      </c>
      <c r="M173" s="1566">
        <f>+TRANSVERSAL!BM4</f>
        <v>0.65384615384615385</v>
      </c>
      <c r="N173" s="1502" t="s">
        <v>2113</v>
      </c>
    </row>
    <row r="174" spans="2:14" ht="29.25" customHeight="1" x14ac:dyDescent="0.25">
      <c r="B174" s="1604" t="str">
        <f>+TRANSVERSAL!T5</f>
        <v>Fortalecimiento e Inclusión Productiva para Población Negra, Afrocolombiana, Raizal y Palenquera en el Distrito de Cartagena.</v>
      </c>
      <c r="C174" s="775">
        <f>+TRANSVERSAL!AK7</f>
        <v>1</v>
      </c>
      <c r="D174" s="35">
        <f>+TRANSVERSAL!AM7</f>
        <v>0.1</v>
      </c>
      <c r="E174" s="35">
        <f>+TRANSVERSAL!AB7</f>
        <v>6.6666666666666666E-2</v>
      </c>
      <c r="F174" s="35">
        <v>0.1</v>
      </c>
      <c r="G174" s="35">
        <f>+TRANSVERSAL!AC7</f>
        <v>0.26666666666666666</v>
      </c>
      <c r="H174" s="35">
        <f>+TRANSVERSAL!AX7</f>
        <v>0.97499999999999998</v>
      </c>
      <c r="I174" s="1609">
        <f>+TRANSVERSAL!AZ7</f>
        <v>0.31</v>
      </c>
      <c r="J174" s="1544">
        <f t="shared" si="0"/>
        <v>0.21</v>
      </c>
      <c r="K174" s="1510">
        <f>+TRANSVERSAL!AD7</f>
        <v>0</v>
      </c>
      <c r="L174" s="1510">
        <f>+TRANSVERSAL!BK7</f>
        <v>0.52941176470588236</v>
      </c>
      <c r="M174" s="1566">
        <f>+TRANSVERSAL!BM7</f>
        <v>0.41515151515151516</v>
      </c>
      <c r="N174" s="1501" t="s">
        <v>2114</v>
      </c>
    </row>
    <row r="175" spans="2:14" ht="32.25" customHeight="1" x14ac:dyDescent="0.25">
      <c r="B175" s="1604" t="str">
        <f>+TRANSVERSAL!T8</f>
        <v>Programa: Inclusión Educativa para el Desarrollo para Población Negra, Afrocolombiana, Raizal y Palenquera en el Distrito de Cartagena.</v>
      </c>
      <c r="C175" s="775">
        <f>+TRANSVERSAL!AK9</f>
        <v>0</v>
      </c>
      <c r="D175" s="35">
        <f>+TRANSVERSAL!AM9</f>
        <v>0</v>
      </c>
      <c r="E175" s="35">
        <f>+TRANSVERSAL!AB9</f>
        <v>0</v>
      </c>
      <c r="F175" s="35">
        <v>0</v>
      </c>
      <c r="G175" s="35">
        <f>+TRANSVERSAL!AC9</f>
        <v>0.33333333333333331</v>
      </c>
      <c r="H175" s="35">
        <f>+TRANSVERSAL!AX9</f>
        <v>0</v>
      </c>
      <c r="I175" s="1609">
        <f>+TRANSVERSAL!AZ9</f>
        <v>0</v>
      </c>
      <c r="J175" s="1544">
        <f t="shared" si="0"/>
        <v>0</v>
      </c>
      <c r="K175" s="1510">
        <f>+TRANSVERSAL!AD9</f>
        <v>0.33333333333333331</v>
      </c>
      <c r="L175" s="1510">
        <f>+TRANSVERSAL!BK9</f>
        <v>1</v>
      </c>
      <c r="M175" s="1566">
        <f>+TRANSVERSAL!BM9</f>
        <v>1</v>
      </c>
      <c r="N175" s="1506" t="s">
        <v>2085</v>
      </c>
    </row>
    <row r="176" spans="2:14" ht="49.5" customHeight="1" x14ac:dyDescent="0.25">
      <c r="B176" s="1604" t="str">
        <f>+TRANSVERSAL!T10</f>
        <v>Programa: Promoción, Prevención y Atención En Salud para población Negra, Afrocolombiana, Raizal y Palenquera en el Distrito De Cartagena.</v>
      </c>
      <c r="C176" s="775">
        <f>+TRANSVERSAL!AK12</f>
        <v>0</v>
      </c>
      <c r="D176" s="35">
        <f>+TRANSVERSAL!AM12</f>
        <v>0</v>
      </c>
      <c r="E176" s="35">
        <f>+TRANSVERSAL!AB12</f>
        <v>0</v>
      </c>
      <c r="F176" s="35">
        <v>0</v>
      </c>
      <c r="G176" s="35">
        <f>+TRANSVERSAL!AC12</f>
        <v>0</v>
      </c>
      <c r="H176" s="35">
        <f>+TRANSVERSAL!AX12</f>
        <v>0.5</v>
      </c>
      <c r="I176" s="1609">
        <f>+TRANSVERSAL!AZ12</f>
        <v>0.15384615384615385</v>
      </c>
      <c r="J176" s="1544">
        <f t="shared" si="0"/>
        <v>0.15384615384615385</v>
      </c>
      <c r="K176" s="1510">
        <f>+TRANSVERSAL!AD12</f>
        <v>0.42307692307692307</v>
      </c>
      <c r="L176" s="1510">
        <f>+TRANSVERSAL!BK12</f>
        <v>0.54545454545454541</v>
      </c>
      <c r="M176" s="1566">
        <f>+TRANSVERSAL!BM12</f>
        <v>0.38461538461538464</v>
      </c>
      <c r="N176" s="1501" t="s">
        <v>2115</v>
      </c>
    </row>
    <row r="177" spans="2:14" ht="24.75" customHeight="1" x14ac:dyDescent="0.25">
      <c r="B177" s="1604" t="str">
        <f>+TRANSVERSAL!T13</f>
        <v>Programa: Sostenibilidad Ambiental y Fomento Tradicional</v>
      </c>
      <c r="C177" s="775">
        <f>+TRANSVERSAL!AK15</f>
        <v>0</v>
      </c>
      <c r="D177" s="35">
        <f>+TRANSVERSAL!AM15</f>
        <v>0</v>
      </c>
      <c r="E177" s="35">
        <f>+TRANSVERSAL!AB15</f>
        <v>0</v>
      </c>
      <c r="F177" s="35">
        <v>0</v>
      </c>
      <c r="G177" s="35">
        <f>+TRANSVERSAL!AC15</f>
        <v>0</v>
      </c>
      <c r="H177" s="35"/>
      <c r="I177" s="1609"/>
      <c r="J177" s="1544">
        <f t="shared" si="0"/>
        <v>0</v>
      </c>
      <c r="K177" s="1510">
        <f>+TRANSVERSAL!AD15</f>
        <v>0</v>
      </c>
      <c r="L177" s="1510"/>
      <c r="M177" s="1566"/>
      <c r="N177" s="1501" t="s">
        <v>2116</v>
      </c>
    </row>
    <row r="178" spans="2:14" ht="23.25" customHeight="1" x14ac:dyDescent="0.25">
      <c r="B178" s="1604" t="str">
        <f>+TRANSVERSAL!T16</f>
        <v>Programa: Sostenibilidad Cultural como Garantía de Permanencia.</v>
      </c>
      <c r="C178" s="775">
        <f>+TRANSVERSAL!AK18</f>
        <v>0</v>
      </c>
      <c r="D178" s="35">
        <f>+TRANSVERSAL!AM18</f>
        <v>0</v>
      </c>
      <c r="E178" s="35">
        <f>+TRANSVERSAL!AB18</f>
        <v>0</v>
      </c>
      <c r="F178" s="35">
        <v>0</v>
      </c>
      <c r="G178" s="35">
        <f>+TRANSVERSAL!AC18</f>
        <v>0</v>
      </c>
      <c r="H178" s="35"/>
      <c r="I178" s="1609"/>
      <c r="J178" s="1544">
        <f t="shared" si="0"/>
        <v>0</v>
      </c>
      <c r="K178" s="1510">
        <f>+TRANSVERSAL!AD18</f>
        <v>0.33</v>
      </c>
      <c r="L178" s="1510">
        <f>+TRANSVERSAL!BK18</f>
        <v>0</v>
      </c>
      <c r="M178" s="1566"/>
      <c r="N178" s="1502" t="s">
        <v>2092</v>
      </c>
    </row>
    <row r="179" spans="2:14" ht="31.5" customHeight="1" x14ac:dyDescent="0.25">
      <c r="B179" s="1604" t="str">
        <f>+TRANSVERSAL!T19</f>
        <v>Programa: Fortalecimiento de la Población Indígena en el Distrito de Cartagena.</v>
      </c>
      <c r="C179" s="775">
        <f>+TRANSVERSAL!AK24</f>
        <v>0</v>
      </c>
      <c r="D179" s="35">
        <f>+TRANSVERSAL!AM24</f>
        <v>0</v>
      </c>
      <c r="E179" s="35">
        <f>+TRANSVERSAL!AB24</f>
        <v>0.2</v>
      </c>
      <c r="F179" s="35">
        <v>0</v>
      </c>
      <c r="G179" s="35">
        <f>+TRANSVERSAL!AC24</f>
        <v>0.31666666666666665</v>
      </c>
      <c r="H179" s="35">
        <f>+TRANSVERSAL!AX24</f>
        <v>0.25</v>
      </c>
      <c r="I179" s="1609">
        <f>+TRANSVERSAL!AZ24</f>
        <v>0.05</v>
      </c>
      <c r="J179" s="1544">
        <f t="shared" si="0"/>
        <v>0.05</v>
      </c>
      <c r="K179" s="1510">
        <f>+TRANSVERSAL!AD24</f>
        <v>0.70000000000000007</v>
      </c>
      <c r="L179" s="1510">
        <f>+TRANSVERSAL!BK24</f>
        <v>0.5</v>
      </c>
      <c r="M179" s="1566">
        <f>+TRANSVERSAL!BM24</f>
        <v>0.48749999999999999</v>
      </c>
      <c r="N179" s="1502" t="s">
        <v>2113</v>
      </c>
    </row>
    <row r="180" spans="2:14" ht="36" customHeight="1" x14ac:dyDescent="0.25">
      <c r="B180" s="1604" t="str">
        <f>+TRANSVERSAL!T25</f>
        <v>Programa: Educación con Enfoque Diferencial Indígena SISTEMA EDUCATIVO INDIGENA PROPIO - SEIP</v>
      </c>
      <c r="C180" s="775">
        <f>+TRANSVERSAL!AK27</f>
        <v>0</v>
      </c>
      <c r="D180" s="35">
        <f>+TRANSVERSAL!AM27</f>
        <v>0</v>
      </c>
      <c r="E180" s="35">
        <f>+TRANSVERSAL!AB27</f>
        <v>0</v>
      </c>
      <c r="F180" s="35">
        <v>0</v>
      </c>
      <c r="G180" s="35">
        <f>+TRANSVERSAL!AC27</f>
        <v>0.33166666666666667</v>
      </c>
      <c r="H180" s="35">
        <f>+TRANSVERSAL!AX27</f>
        <v>0.125</v>
      </c>
      <c r="I180" s="1609">
        <f>+TRANSVERSAL!AZ27</f>
        <v>4.1666666666666664E-2</v>
      </c>
      <c r="J180" s="1544">
        <f t="shared" si="0"/>
        <v>4.1666666666666664E-2</v>
      </c>
      <c r="K180" s="1510">
        <f>+TRANSVERSAL!AD27</f>
        <v>0.33333333333333331</v>
      </c>
      <c r="L180" s="1510">
        <f>+TRANSVERSAL!BK27</f>
        <v>0.42499999999999999</v>
      </c>
      <c r="M180" s="1566">
        <f>+TRANSVERSAL!BM27</f>
        <v>0.11666666666666667</v>
      </c>
      <c r="N180" s="1506" t="s">
        <v>2085</v>
      </c>
    </row>
    <row r="181" spans="2:14" ht="15.75" customHeight="1" x14ac:dyDescent="0.25">
      <c r="B181" s="1604" t="str">
        <f>+TRANSVERSAL!T28</f>
        <v>Programa: Intercultural de Salud Propia Preventiva Indígena- SISPI</v>
      </c>
      <c r="C181" s="775">
        <f>+TRANSVERSAL!AK29</f>
        <v>0</v>
      </c>
      <c r="D181" s="35">
        <f>+TRANSVERSAL!AM29</f>
        <v>0</v>
      </c>
      <c r="E181" s="35">
        <f>+TRANSVERSAL!AB29</f>
        <v>0</v>
      </c>
      <c r="F181" s="35">
        <v>0</v>
      </c>
      <c r="G181" s="35">
        <f>+TRANSVERSAL!AC29</f>
        <v>0</v>
      </c>
      <c r="H181" s="35"/>
      <c r="I181" s="1609"/>
      <c r="J181" s="1544">
        <f t="shared" si="0"/>
        <v>0</v>
      </c>
      <c r="K181" s="1510">
        <f>+TRANSVERSAL!AD29</f>
        <v>0.25</v>
      </c>
      <c r="L181" s="1510">
        <f>+TRANSVERSAL!BK29</f>
        <v>0</v>
      </c>
      <c r="M181" s="1566">
        <f>+TRANSVERSAL!BM29</f>
        <v>0</v>
      </c>
      <c r="N181" s="1501" t="s">
        <v>2117</v>
      </c>
    </row>
    <row r="182" spans="2:14" ht="28.5" customHeight="1" x14ac:dyDescent="0.25">
      <c r="B182" s="1604" t="str">
        <f>+TRANSVERSAL!T30</f>
        <v>Programa: Integridad Cultural, Gobierno Propio, Vivienda y Hábitat para las Comunidades Indígenas en el Distrito Cartagena</v>
      </c>
      <c r="C182" s="775">
        <f>+TRANSVERSAL!AK33</f>
        <v>0</v>
      </c>
      <c r="D182" s="35">
        <f>+TRANSVERSAL!AM33</f>
        <v>0</v>
      </c>
      <c r="E182" s="35">
        <f>+TRANSVERSAL!AB33</f>
        <v>0</v>
      </c>
      <c r="F182" s="35">
        <v>0</v>
      </c>
      <c r="G182" s="35">
        <f>+TRANSVERSAL!AC33</f>
        <v>1</v>
      </c>
      <c r="H182" s="39">
        <f>+TRANSVERSAL!AX33</f>
        <v>1</v>
      </c>
      <c r="I182" s="1609">
        <f>+TRANSVERSAL!AZ33</f>
        <v>1</v>
      </c>
      <c r="J182" s="1544">
        <f t="shared" si="0"/>
        <v>1</v>
      </c>
      <c r="K182" s="1510">
        <f>+TRANSVERSAL!AD33</f>
        <v>0</v>
      </c>
      <c r="L182" s="1510">
        <f>+TRANSVERSAL!BK33</f>
        <v>0.5</v>
      </c>
      <c r="M182" s="1566">
        <f>+TRANSVERSAL!BM33</f>
        <v>0.5</v>
      </c>
      <c r="N182" s="1502" t="s">
        <v>2118</v>
      </c>
    </row>
    <row r="183" spans="2:14" ht="36" customHeight="1" x14ac:dyDescent="0.25">
      <c r="B183" s="1604" t="str">
        <f>+TRANSVERSAL!T34</f>
        <v>Programa: Empoderamiento del Liderazgo de las Mujeres, Niñez, Jóvenes, Familia y Generación Indígena</v>
      </c>
      <c r="C183" s="775">
        <f>+TRANSVERSAL!AK38</f>
        <v>1</v>
      </c>
      <c r="D183" s="35">
        <f>+TRANSVERSAL!AM38</f>
        <v>0.41666666666666669</v>
      </c>
      <c r="E183" s="35">
        <f>+TRANSVERSAL!AB38</f>
        <v>4.1666666666666664E-2</v>
      </c>
      <c r="F183" s="35">
        <v>0.41666666666666669</v>
      </c>
      <c r="G183" s="35">
        <f>+TRANSVERSAL!AC38</f>
        <v>0.29166666666666669</v>
      </c>
      <c r="H183" s="35">
        <f>+TRANSVERSAL!AX38</f>
        <v>1.7714285714285716</v>
      </c>
      <c r="I183" s="1609">
        <f>+TRANSVERSAL!AZ38</f>
        <v>0.93333333333333324</v>
      </c>
      <c r="J183" s="1544">
        <f t="shared" si="0"/>
        <v>0.51666666666666661</v>
      </c>
      <c r="K183" s="1510">
        <f>+TRANSVERSAL!AD38</f>
        <v>6.6666666666666666E-2</v>
      </c>
      <c r="L183" s="1510">
        <f>+TRANSVERSAL!BK38</f>
        <v>1</v>
      </c>
      <c r="M183" s="1566">
        <f>+TRANSVERSAL!BM38</f>
        <v>1</v>
      </c>
      <c r="N183" s="1502" t="s">
        <v>2119</v>
      </c>
    </row>
    <row r="184" spans="2:14" ht="36.75" customHeight="1" x14ac:dyDescent="0.25">
      <c r="B184" s="1615" t="str">
        <f>+TRANSVERSAL!B40</f>
        <v>LINEA ESTRATEGICA MUJERES CARTAGENERAS POR SUS DERECHOS.</v>
      </c>
      <c r="C184" s="794">
        <f>+TRANSVERSAL!AK55</f>
        <v>0.875</v>
      </c>
      <c r="D184" s="816">
        <f>+TRANSVERSAL!AM55</f>
        <v>0.16517857142857142</v>
      </c>
      <c r="E184" s="816">
        <f>+TRANSVERSAL!AB55</f>
        <v>0.17654220779220781</v>
      </c>
      <c r="F184" s="816">
        <v>0.16517857142857142</v>
      </c>
      <c r="G184" s="816">
        <f>+TRANSVERSAL!AC55</f>
        <v>0.33693993506493508</v>
      </c>
      <c r="H184" s="816">
        <f>+TRANSVERSAL!AX55</f>
        <v>0.91176470588235292</v>
      </c>
      <c r="I184" s="817">
        <f>+TRANSVERSAL!AZ55</f>
        <v>0.63143506493506496</v>
      </c>
      <c r="J184" s="1559">
        <f t="shared" si="0"/>
        <v>0.46625649350649356</v>
      </c>
      <c r="K184" s="1534">
        <f>+TRANSVERSAL!AD55</f>
        <v>0.24759199134199134</v>
      </c>
      <c r="L184" s="1534">
        <f>+TRANSVERSAL!BK55</f>
        <v>0.99</v>
      </c>
      <c r="M184" s="1580">
        <f>+TRANSVERSAL!BM55</f>
        <v>0.85305728200371056</v>
      </c>
      <c r="N184" s="1506"/>
    </row>
    <row r="185" spans="2:14" ht="42.75" customHeight="1" x14ac:dyDescent="0.25">
      <c r="B185" s="1618" t="str">
        <f>+TRANSVERSAL!T40</f>
        <v>Programa: Las Mujeres Decidimos Sobre el Ejercicio del Poder</v>
      </c>
      <c r="C185" s="32">
        <f>+TRANSVERSAL!AK44</f>
        <v>1</v>
      </c>
      <c r="D185" s="39">
        <f>+TRANSVERSAL!AM44</f>
        <v>0.1</v>
      </c>
      <c r="E185" s="39">
        <f>+TRANSVERSAL!AB44</f>
        <v>0.1</v>
      </c>
      <c r="F185" s="39">
        <v>0.1</v>
      </c>
      <c r="G185" s="39">
        <f>+TRANSVERSAL!AC44</f>
        <v>0.52500000000000002</v>
      </c>
      <c r="H185" s="39">
        <f>+TRANSVERSAL!AX44</f>
        <v>1</v>
      </c>
      <c r="I185" s="1612">
        <f>+TRANSVERSAL!AZ44</f>
        <v>0.52600000000000002</v>
      </c>
      <c r="J185" s="1548">
        <f t="shared" si="0"/>
        <v>0.42600000000000005</v>
      </c>
      <c r="K185" s="1512">
        <f>+TRANSVERSAL!AD44</f>
        <v>0.21666666666666665</v>
      </c>
      <c r="L185" s="1512">
        <f>+TRANSVERSAL!BK44</f>
        <v>1</v>
      </c>
      <c r="M185" s="1571">
        <f>+TRANSVERSAL!BM44</f>
        <v>0.74099999999999999</v>
      </c>
      <c r="N185" s="1508" t="s">
        <v>2094</v>
      </c>
    </row>
    <row r="186" spans="2:14" ht="38.25" customHeight="1" x14ac:dyDescent="0.25">
      <c r="B186" s="1618" t="str">
        <f>+TRANSVERSAL!T45</f>
        <v>Programa: Una Vida Libre de Violencias para las Mujeres</v>
      </c>
      <c r="C186" s="32">
        <f>+TRANSVERSAL!AK49</f>
        <v>1</v>
      </c>
      <c r="D186" s="39">
        <f>+TRANSVERSAL!AM49</f>
        <v>0.18571428571428572</v>
      </c>
      <c r="E186" s="39">
        <f>+TRANSVERSAL!AB49</f>
        <v>0.18571428571428572</v>
      </c>
      <c r="F186" s="39">
        <v>0.18571428571428572</v>
      </c>
      <c r="G186" s="39">
        <f>+TRANSVERSAL!AC49</f>
        <v>0.29321428571428576</v>
      </c>
      <c r="H186" s="39">
        <f>+TRANSVERSAL!AX49</f>
        <v>1</v>
      </c>
      <c r="I186" s="1612">
        <f>+TRANSVERSAL!AZ49</f>
        <v>0.70428571428571429</v>
      </c>
      <c r="J186" s="1548">
        <f t="shared" si="0"/>
        <v>0.51857142857142857</v>
      </c>
      <c r="K186" s="1512">
        <f>+TRANSVERSAL!AD49</f>
        <v>0.17142857142857143</v>
      </c>
      <c r="L186" s="1512">
        <f>+TRANSVERSAL!BK49</f>
        <v>1</v>
      </c>
      <c r="M186" s="1571">
        <f>+TRANSVERSAL!BM49</f>
        <v>0.91668367346938773</v>
      </c>
      <c r="N186" s="1508" t="s">
        <v>2094</v>
      </c>
    </row>
    <row r="187" spans="2:14" ht="37.5" customHeight="1" x14ac:dyDescent="0.25">
      <c r="B187" s="1618" t="str">
        <f>+TRANSVERSAL!T50</f>
        <v>Programa: Mujer, Constructoras De Paz</v>
      </c>
      <c r="C187" s="32">
        <f>+TRANSVERSAL!AK51</f>
        <v>1</v>
      </c>
      <c r="D187" s="39">
        <f>+TRANSVERSAL!AM51</f>
        <v>0.25</v>
      </c>
      <c r="E187" s="39">
        <f>+TRANSVERSAL!AB51</f>
        <v>0.25</v>
      </c>
      <c r="F187" s="39">
        <v>0.25</v>
      </c>
      <c r="G187" s="39">
        <f>+TRANSVERSAL!AC51</f>
        <v>0.25</v>
      </c>
      <c r="H187" s="39">
        <f>+TRANSVERSAL!AX51</f>
        <v>1</v>
      </c>
      <c r="I187" s="1612">
        <f>+TRANSVERSAL!AZ51</f>
        <v>1</v>
      </c>
      <c r="J187" s="1548">
        <f t="shared" si="0"/>
        <v>0.75</v>
      </c>
      <c r="K187" s="1512">
        <f>+TRANSVERSAL!AD51</f>
        <v>0.25</v>
      </c>
      <c r="L187" s="1512">
        <f>+TRANSVERSAL!BK51</f>
        <v>1</v>
      </c>
      <c r="M187" s="1571">
        <f>+TRANSVERSAL!BM51</f>
        <v>1</v>
      </c>
      <c r="N187" s="1508" t="s">
        <v>2094</v>
      </c>
    </row>
    <row r="188" spans="2:14" ht="37.5" customHeight="1" x14ac:dyDescent="0.25">
      <c r="B188" s="1618" t="str">
        <f>+TRANSVERSAL!T52</f>
        <v>Programa: Cartagena Libre de una Cultura Machista</v>
      </c>
      <c r="C188" s="32">
        <f>+TRANSVERSAL!AK54</f>
        <v>0.5</v>
      </c>
      <c r="D188" s="39">
        <f>+TRANSVERSAL!AM54</f>
        <v>0.125</v>
      </c>
      <c r="E188" s="39">
        <f>+TRANSVERSAL!AB54</f>
        <v>0.17045454545454547</v>
      </c>
      <c r="F188" s="39">
        <v>0.125</v>
      </c>
      <c r="G188" s="39">
        <f>+TRANSVERSAL!AC54</f>
        <v>0.27954545454545454</v>
      </c>
      <c r="H188" s="39">
        <f>+TRANSVERSAL!AX54</f>
        <v>0.6470588235294118</v>
      </c>
      <c r="I188" s="1612">
        <f>+TRANSVERSAL!AZ54</f>
        <v>0.29545454545454547</v>
      </c>
      <c r="J188" s="1548">
        <f t="shared" si="0"/>
        <v>0.17045454545454547</v>
      </c>
      <c r="K188" s="1512">
        <f>+TRANSVERSAL!AD54</f>
        <v>0.35227272727272729</v>
      </c>
      <c r="L188" s="1512">
        <f>+TRANSVERSAL!BK54</f>
        <v>0.96</v>
      </c>
      <c r="M188" s="1571">
        <f>+TRANSVERSAL!BM54</f>
        <v>0.75454545454545452</v>
      </c>
      <c r="N188" s="1508" t="s">
        <v>2094</v>
      </c>
    </row>
    <row r="189" spans="2:14" ht="49.5" customHeight="1" x14ac:dyDescent="0.25">
      <c r="B189" s="1615" t="str">
        <f>+TRANSVERSAL!B56</f>
        <v>LINEA ESTRATEGICA: INCLUSION Y OPORTUNIDAD PARA NIÑOS, NIÑAS Y ADOLESCENTES Y FAMILIAS.</v>
      </c>
      <c r="C189" s="794">
        <f>+TRANSVERSAL!AK76</f>
        <v>1</v>
      </c>
      <c r="D189" s="816">
        <f>+TRANSVERSAL!AM76</f>
        <v>0.29987815680395957</v>
      </c>
      <c r="E189" s="816">
        <f>+TRANSVERSAL!AB76</f>
        <v>0.12909147726727999</v>
      </c>
      <c r="F189" s="816">
        <v>0.3019614901372929</v>
      </c>
      <c r="G189" s="816">
        <f>+TRANSVERSAL!AC76</f>
        <v>0.40996210039413661</v>
      </c>
      <c r="H189" s="816">
        <f>+TRANSVERSAL!AX76</f>
        <v>0.8804642857142857</v>
      </c>
      <c r="I189" s="817">
        <f>+TRANSVERSAL!AZ76</f>
        <v>0.55453086861713174</v>
      </c>
      <c r="J189" s="1559">
        <f t="shared" si="0"/>
        <v>0.25465271181317217</v>
      </c>
      <c r="K189" s="1534">
        <f>+TRANSVERSAL!AD76</f>
        <v>0.23911033756729749</v>
      </c>
      <c r="L189" s="1534">
        <f>+TRANSVERSAL!BK76</f>
        <v>0.97599999999999998</v>
      </c>
      <c r="M189" s="1580">
        <f>+TRANSVERSAL!BM76</f>
        <v>0.80470053046947254</v>
      </c>
      <c r="N189" s="1506"/>
    </row>
    <row r="190" spans="2:14" ht="33.75" customHeight="1" x14ac:dyDescent="0.25">
      <c r="B190" s="1604" t="str">
        <f>+TRANSVERSAL!T56</f>
        <v>Programa: Comprometidos con la Salvación de Nuestra Primera Infancia</v>
      </c>
      <c r="C190" s="775">
        <f>+TRANSVERSAL!AK59</f>
        <v>1</v>
      </c>
      <c r="D190" s="39">
        <f>+TRANSVERSAL!AM59</f>
        <v>0.5357142857142857</v>
      </c>
      <c r="E190" s="39">
        <f>+TRANSVERSAL!AB59</f>
        <v>0.1607142857142857</v>
      </c>
      <c r="F190" s="39">
        <v>0.5357142857142857</v>
      </c>
      <c r="G190" s="39">
        <f>+TRANSVERSAL!AC59</f>
        <v>0.2857142857142857</v>
      </c>
      <c r="H190" s="39">
        <f>+TRANSVERSAL!AX59</f>
        <v>1</v>
      </c>
      <c r="I190" s="1612">
        <f>+TRANSVERSAL!AZ59</f>
        <v>0.70832142857142855</v>
      </c>
      <c r="J190" s="1548">
        <f t="shared" si="0"/>
        <v>0.17260714285714285</v>
      </c>
      <c r="K190" s="1512">
        <f>+TRANSVERSAL!AD59</f>
        <v>0.32142857142857145</v>
      </c>
      <c r="L190" s="1512">
        <f>+TRANSVERSAL!BK59</f>
        <v>1</v>
      </c>
      <c r="M190" s="1571">
        <f>+TRANSVERSAL!BM59</f>
        <v>0.90749999999999997</v>
      </c>
      <c r="N190" s="1508" t="s">
        <v>2094</v>
      </c>
    </row>
    <row r="191" spans="2:14" ht="36.75" customHeight="1" x14ac:dyDescent="0.25">
      <c r="B191" s="1604" t="str">
        <f>+TRANSVERSAL!T60</f>
        <v>Programa Protección de la Infancia y la Adolescencia para la Prevención y atención de Violencias.</v>
      </c>
      <c r="C191" s="775">
        <f>+TRANSVERSAL!AK65</f>
        <v>1</v>
      </c>
      <c r="D191" s="39">
        <f>+TRANSVERSAL!AM65</f>
        <v>0.16888198757763975</v>
      </c>
      <c r="E191" s="39">
        <f>+TRANSVERSAL!AB65</f>
        <v>0.16816770186335403</v>
      </c>
      <c r="F191" s="39">
        <v>0.16888198757763975</v>
      </c>
      <c r="G191" s="39">
        <f>+TRANSVERSAL!AC65</f>
        <v>0.24301242236024842</v>
      </c>
      <c r="H191" s="39">
        <f>+TRANSVERSAL!AX65</f>
        <v>0.75614285714285712</v>
      </c>
      <c r="I191" s="1612">
        <f>+TRANSVERSAL!AZ65</f>
        <v>0.34059006211180126</v>
      </c>
      <c r="J191" s="1548">
        <f t="shared" si="0"/>
        <v>0.17170807453416151</v>
      </c>
      <c r="K191" s="1512">
        <f>+TRANSVERSAL!AD65</f>
        <v>0.24126552795031056</v>
      </c>
      <c r="L191" s="1512">
        <f>+TRANSVERSAL!BK65</f>
        <v>0.90399999999999991</v>
      </c>
      <c r="M191" s="1571">
        <f>+TRANSVERSAL!BM65</f>
        <v>0.61404347826086947</v>
      </c>
      <c r="N191" s="1508" t="s">
        <v>2094</v>
      </c>
    </row>
    <row r="192" spans="2:14" ht="28.5" customHeight="1" x14ac:dyDescent="0.25">
      <c r="B192" s="1604" t="str">
        <f>+TRANSVERSAL!T66</f>
        <v>Programa los Niños, las Niñas y Adolescentes de Cartagena Participan y Disfrutan sus Derechos.</v>
      </c>
      <c r="C192" s="775">
        <f>+TRANSVERSAL!AK70</f>
        <v>1</v>
      </c>
      <c r="D192" s="39">
        <f>+TRANSVERSAL!AM70</f>
        <v>5.2526595744680854E-2</v>
      </c>
      <c r="E192" s="39">
        <f>+TRANSVERSAL!AB70</f>
        <v>5.2526595744680854E-2</v>
      </c>
      <c r="F192" s="39">
        <v>5.2526595744680854E-2</v>
      </c>
      <c r="G192" s="39">
        <f>+TRANSVERSAL!AC70</f>
        <v>0.68916223404255317</v>
      </c>
      <c r="H192" s="39">
        <f>+TRANSVERSAL!AX70</f>
        <v>0.82821428571428579</v>
      </c>
      <c r="I192" s="1612">
        <f>+TRANSVERSAL!AZ70</f>
        <v>0.42831582446808514</v>
      </c>
      <c r="J192" s="1548">
        <f t="shared" si="0"/>
        <v>0.37578922872340426</v>
      </c>
      <c r="K192" s="1512">
        <f>+TRANSVERSAL!AD70</f>
        <v>0.25429964539007094</v>
      </c>
      <c r="L192" s="1512">
        <f>+TRANSVERSAL!BK70</f>
        <v>1</v>
      </c>
      <c r="M192" s="1571">
        <f>+TRANSVERSAL!BM70</f>
        <v>0.69725864361702128</v>
      </c>
      <c r="N192" s="1508" t="s">
        <v>2094</v>
      </c>
    </row>
    <row r="193" spans="2:14" ht="34.5" customHeight="1" x14ac:dyDescent="0.25">
      <c r="B193" s="1604" t="str">
        <f>+TRANSVERSAL!T71</f>
        <v>Programa Fortalecimiento Familiar.</v>
      </c>
      <c r="C193" s="775">
        <f>+TRANSVERSAL!AK75</f>
        <v>1</v>
      </c>
      <c r="D193" s="39">
        <f>+TRANSVERSAL!AM75</f>
        <v>0.44238975817923187</v>
      </c>
      <c r="E193" s="39">
        <f>+TRANSVERSAL!AB75</f>
        <v>0.13495732574679942</v>
      </c>
      <c r="F193" s="39">
        <v>0.45072309151256518</v>
      </c>
      <c r="G193" s="35">
        <f>+TRANSVERSAL!AC75</f>
        <v>0.42195945945945945</v>
      </c>
      <c r="H193" s="39">
        <f>+TRANSVERSAL!AX75</f>
        <v>0.9375</v>
      </c>
      <c r="I193" s="1612">
        <f>+TRANSVERSAL!AZ75</f>
        <v>0.74089615931721187</v>
      </c>
      <c r="J193" s="1548">
        <f t="shared" si="0"/>
        <v>0.29850640113797999</v>
      </c>
      <c r="K193" s="1510">
        <f>+TRANSVERSAL!AD75</f>
        <v>0.13944760550023708</v>
      </c>
      <c r="L193" s="1512">
        <f>+TRANSVERSAL!BK75</f>
        <v>1</v>
      </c>
      <c r="M193" s="1571">
        <f>+TRANSVERSAL!BM75</f>
        <v>1</v>
      </c>
      <c r="N193" s="1508" t="s">
        <v>2094</v>
      </c>
    </row>
    <row r="194" spans="2:14" ht="36" customHeight="1" x14ac:dyDescent="0.25">
      <c r="B194" s="1615" t="str">
        <f>+TRANSVERSAL!B77</f>
        <v>LINEA ESTRATEGICA JOVENES SALVANDO A CARTAGENA</v>
      </c>
      <c r="C194" s="798">
        <f>+TRANSVERSAL!AK84</f>
        <v>0.80511250000000001</v>
      </c>
      <c r="D194" s="816">
        <f>+TRANSVERSAL!AM84</f>
        <v>0.18177708333333334</v>
      </c>
      <c r="E194" s="816">
        <f>+TRANSVERSAL!AB84</f>
        <v>0.21145833333333333</v>
      </c>
      <c r="F194" s="816">
        <v>0.18177708333333334</v>
      </c>
      <c r="G194" s="816">
        <f>+TRANSVERSAL!AC84</f>
        <v>0.48902777777777778</v>
      </c>
      <c r="H194" s="816">
        <f>+TRANSVERSAL!AX84</f>
        <v>0.56281609195402293</v>
      </c>
      <c r="I194" s="817">
        <f>+TRANSVERSAL!AZ84</f>
        <v>0.5904562499999999</v>
      </c>
      <c r="J194" s="1559">
        <f t="shared" si="0"/>
        <v>0.40867916666666659</v>
      </c>
      <c r="K194" s="1534">
        <f>+TRANSVERSAL!AD84</f>
        <v>0.31277777777777777</v>
      </c>
      <c r="L194" s="1534">
        <f>+TRANSVERSAL!BK84</f>
        <v>0.34297619047619055</v>
      </c>
      <c r="M194" s="1580">
        <f>+TRANSVERSAL!BM84</f>
        <v>0.65959583333333338</v>
      </c>
      <c r="N194" s="1506"/>
    </row>
    <row r="195" spans="2:14" ht="15.75" customHeight="1" x14ac:dyDescent="0.25">
      <c r="B195" s="1618" t="str">
        <f>+TRANSVERSAL!T77</f>
        <v>Programa: Jóvenes Participando y Salvando a Cartagena</v>
      </c>
      <c r="C195" s="761">
        <f>+TRANSVERSAL!AK81</f>
        <v>0.61022500000000002</v>
      </c>
      <c r="D195" s="35">
        <f>+TRANSVERSAL!AM81</f>
        <v>0.11355416666666666</v>
      </c>
      <c r="E195" s="35">
        <f>+TRANSVERSAL!AB81</f>
        <v>0.17291666666666666</v>
      </c>
      <c r="F195" s="35">
        <v>0.11355416666666666</v>
      </c>
      <c r="G195" s="35">
        <f>+TRANSVERSAL!AC81</f>
        <v>0.22805555555555557</v>
      </c>
      <c r="H195" s="35">
        <f>+TRANSVERSAL!AX81</f>
        <v>0.65896551724137931</v>
      </c>
      <c r="I195" s="1609">
        <f>+TRANSVERSAL!AZ81</f>
        <v>0.58091249999999994</v>
      </c>
      <c r="J195" s="1544">
        <f t="shared" si="0"/>
        <v>0.46735833333333326</v>
      </c>
      <c r="K195" s="1510">
        <f>+TRANSVERSAL!AD81</f>
        <v>0.22555555555555554</v>
      </c>
      <c r="L195" s="1510">
        <f>+TRANSVERSAL!BK81</f>
        <v>0.68595238095238109</v>
      </c>
      <c r="M195" s="1566">
        <f>+TRANSVERSAL!BM81</f>
        <v>0.71919166666666667</v>
      </c>
      <c r="N195" s="1508" t="s">
        <v>2094</v>
      </c>
    </row>
    <row r="196" spans="2:14" ht="32.25" customHeight="1" x14ac:dyDescent="0.25">
      <c r="B196" s="1618" t="str">
        <f>+TRANSVERSAL!T82</f>
        <v>Programa: Política Pública De Juventud</v>
      </c>
      <c r="C196" s="761">
        <f>+TRANSVERSAL!AK83</f>
        <v>1</v>
      </c>
      <c r="D196" s="35">
        <f>+TRANSVERSAL!AM83</f>
        <v>0.25</v>
      </c>
      <c r="E196" s="35">
        <f>+TRANSVERSAL!AB83</f>
        <v>0.25</v>
      </c>
      <c r="F196" s="35">
        <v>0.25</v>
      </c>
      <c r="G196" s="35">
        <f>+TRANSVERSAL!AC83</f>
        <v>0.75</v>
      </c>
      <c r="H196" s="35">
        <f>+TRANSVERSAL!AX83</f>
        <v>0.46666666666666662</v>
      </c>
      <c r="I196" s="1609">
        <f>+TRANSVERSAL!AZ83</f>
        <v>0.6</v>
      </c>
      <c r="J196" s="1544">
        <f t="shared" si="0"/>
        <v>0.35</v>
      </c>
      <c r="K196" s="1510">
        <f>+TRANSVERSAL!AD83</f>
        <v>0.4</v>
      </c>
      <c r="L196" s="1510">
        <f>+TRANSVERSAL!BK83</f>
        <v>0</v>
      </c>
      <c r="M196" s="1566">
        <f>+TRANSVERSAL!BM83</f>
        <v>0.6</v>
      </c>
      <c r="N196" s="1508" t="s">
        <v>2094</v>
      </c>
    </row>
    <row r="197" spans="2:14" ht="30" customHeight="1" x14ac:dyDescent="0.25">
      <c r="B197" s="1615" t="str">
        <f>+TRANSVERSAL!B85</f>
        <v>LINEA ESTRATEGICA EN CARTAGENA SALVAMOS NUESTROS ADULTOS MAYORES.</v>
      </c>
      <c r="C197" s="798">
        <f>+TRANSVERSAL!AK90</f>
        <v>0.22222222222222221</v>
      </c>
      <c r="D197" s="816">
        <f>+TRANSVERSAL!AM90</f>
        <v>5.5555555555555552E-2</v>
      </c>
      <c r="E197" s="816">
        <f>+TRANSVERSAL!AB90</f>
        <v>0.29500000000000004</v>
      </c>
      <c r="F197" s="816">
        <v>5.5555555555555552E-2</v>
      </c>
      <c r="G197" s="816">
        <f>+TRANSVERSAL!AC90</f>
        <v>0.39166666666666666</v>
      </c>
      <c r="H197" s="816">
        <f>+TRANSVERSAL!AX90</f>
        <v>0.66666666666666663</v>
      </c>
      <c r="I197" s="817">
        <f>+TRANSVERSAL!AZ90</f>
        <v>0.47793333333333332</v>
      </c>
      <c r="J197" s="1559">
        <f t="shared" si="0"/>
        <v>0.42237777777777774</v>
      </c>
      <c r="K197" s="1534">
        <f>+TRANSVERSAL!AD90</f>
        <v>0.45833333333333331</v>
      </c>
      <c r="L197" s="1534">
        <f>+TRANSVERSAL!BK90</f>
        <v>0.66666666666666663</v>
      </c>
      <c r="M197" s="1580">
        <f>+TRANSVERSAL!BM90</f>
        <v>0.43715972222222221</v>
      </c>
      <c r="N197" s="1506"/>
    </row>
    <row r="198" spans="2:14" ht="33.75" customHeight="1" x14ac:dyDescent="0.25">
      <c r="B198" s="1604" t="str">
        <f>+TRANSVERSAL!T85</f>
        <v>Programa: Atención Integral Para Mantener a Salvo a los Adultos Mayores</v>
      </c>
      <c r="C198" s="765">
        <f>+TRANSVERSAL!AK89</f>
        <v>0.22222222222222221</v>
      </c>
      <c r="D198" s="761">
        <f>+TRANSVERSAL!AM89</f>
        <v>5.5555555555555552E-2</v>
      </c>
      <c r="E198" s="761">
        <f>+TRANSVERSAL!AB89</f>
        <v>0.29500000000000004</v>
      </c>
      <c r="F198" s="761">
        <v>5.5555555555555552E-2</v>
      </c>
      <c r="G198" s="761">
        <f>+TRANSVERSAL!AC89</f>
        <v>0.39166666666666666</v>
      </c>
      <c r="H198" s="761">
        <f>+TRANSVERSAL!AX89</f>
        <v>0.66666666666666663</v>
      </c>
      <c r="I198" s="1605">
        <f>+TRANSVERSAL!AZ89</f>
        <v>0.47793333333333332</v>
      </c>
      <c r="J198" s="1551">
        <f t="shared" si="0"/>
        <v>0.42237777777777774</v>
      </c>
      <c r="K198" s="1514">
        <f>+TRANSVERSAL!AD89</f>
        <v>0.45833333333333331</v>
      </c>
      <c r="L198" s="1510">
        <f>+TRANSVERSAL!BK89</f>
        <v>0.66666666666666663</v>
      </c>
      <c r="M198" s="1563">
        <f>+TRANSVERSAL!BM89</f>
        <v>0.43715972222222221</v>
      </c>
      <c r="N198" s="1508" t="s">
        <v>2094</v>
      </c>
    </row>
    <row r="199" spans="2:14" ht="54" customHeight="1" x14ac:dyDescent="0.25">
      <c r="B199" s="1615" t="str">
        <f>+TRANSVERSAL!B91</f>
        <v>LÍNEA ESTRATÉGICA: TODOS POR LA PROTECCIÓN SOCIAL DE LAS PERSONAS CON DISCAPACIDAD: “RECONOCIDAS, EMPODERADAS Y RESPETADAS”.</v>
      </c>
      <c r="C199" s="794">
        <f>+TRANSVERSAL!AK101</f>
        <v>0.76666666666666661</v>
      </c>
      <c r="D199" s="816">
        <f>+TRANSVERSAL!AM101</f>
        <v>0.14121410736579273</v>
      </c>
      <c r="E199" s="816">
        <f>+TRANSVERSAL!AB101</f>
        <v>0.1818039950062422</v>
      </c>
      <c r="F199" s="816">
        <v>0.14121410736579273</v>
      </c>
      <c r="G199" s="816">
        <f>+TRANSVERSAL!AC101</f>
        <v>0.32887016229712857</v>
      </c>
      <c r="H199" s="816">
        <f>+TRANSVERSAL!AX101</f>
        <v>0.81761904761904758</v>
      </c>
      <c r="I199" s="817">
        <f>+TRANSVERSAL!AZ101</f>
        <v>0.39175561797752811</v>
      </c>
      <c r="J199" s="1559">
        <f t="shared" si="0"/>
        <v>0.25054151061173535</v>
      </c>
      <c r="K199" s="1534">
        <f>+TRANSVERSAL!AD101</f>
        <v>0.32490948813982518</v>
      </c>
      <c r="L199" s="1534">
        <f>+TRANSVERSAL!BK101</f>
        <v>0.82266666666666666</v>
      </c>
      <c r="M199" s="1580">
        <f>+TRANSVERSAL!BM101</f>
        <v>0.68000936329588013</v>
      </c>
      <c r="N199" s="1506"/>
    </row>
    <row r="200" spans="2:14" ht="25.5" customHeight="1" x14ac:dyDescent="0.25">
      <c r="B200" s="1604" t="str">
        <f>+TRANSVERSAL!T91</f>
        <v>Programa: Gestión Social Integral y Articuladora por la Protección de las Personas Con Discapacidad y/o su Familia o Cuidador.</v>
      </c>
      <c r="C200" s="775">
        <f>+TRANSVERSAL!AK93</f>
        <v>0.75</v>
      </c>
      <c r="D200" s="35">
        <f>+TRANSVERSAL!AM93</f>
        <v>6.5308988764044951E-2</v>
      </c>
      <c r="E200" s="35">
        <f>+TRANSVERSAL!AB93</f>
        <v>8.7078651685393263E-2</v>
      </c>
      <c r="F200" s="35">
        <v>6.5308988764044951E-2</v>
      </c>
      <c r="G200" s="35">
        <f>+TRANSVERSAL!AC93</f>
        <v>0.2949438202247191</v>
      </c>
      <c r="H200" s="35">
        <f>+TRANSVERSAL!AX93</f>
        <v>0.74619047619047618</v>
      </c>
      <c r="I200" s="1609">
        <f>+TRANSVERSAL!AZ93</f>
        <v>0.27193352059925091</v>
      </c>
      <c r="J200" s="1544">
        <f t="shared" si="0"/>
        <v>0.20662453183520596</v>
      </c>
      <c r="K200" s="1510">
        <f>+TRANSVERSAL!AD93</f>
        <v>0.34222846441947563</v>
      </c>
      <c r="L200" s="1510">
        <f>+TRANSVERSAL!BK93</f>
        <v>0.76800000000000002</v>
      </c>
      <c r="M200" s="1566">
        <f>+TRANSVERSAL!BM93</f>
        <v>0.5483614232209737</v>
      </c>
      <c r="N200" s="1508" t="s">
        <v>2094</v>
      </c>
    </row>
    <row r="201" spans="2:14" ht="30.75" customHeight="1" x14ac:dyDescent="0.25">
      <c r="B201" s="1604" t="str">
        <f>+TRANSVERSAL!T94</f>
        <v>Programa: Pacto o Alianza Por La Inclusión Social y Productiva de las Personas Con Discapacidad.</v>
      </c>
      <c r="C201" s="775">
        <f>+TRANSVERSAL!AK96</f>
        <v>0.65</v>
      </c>
      <c r="D201" s="35">
        <f>+TRANSVERSAL!AM96</f>
        <v>0.125</v>
      </c>
      <c r="E201" s="35">
        <f>+TRANSVERSAL!AB96</f>
        <v>0.17499999999999999</v>
      </c>
      <c r="F201" s="35">
        <v>0.125</v>
      </c>
      <c r="G201" s="35">
        <f>+TRANSVERSAL!AC96</f>
        <v>0.27500000000000002</v>
      </c>
      <c r="H201" s="35">
        <f>+TRANSVERSAL!AX96</f>
        <v>1</v>
      </c>
      <c r="I201" s="1609">
        <f>+TRANSVERSAL!AZ96</f>
        <v>0.4</v>
      </c>
      <c r="J201" s="1544">
        <f t="shared" si="0"/>
        <v>0.27500000000000002</v>
      </c>
      <c r="K201" s="1510">
        <f>+TRANSVERSAL!AD96</f>
        <v>0.32499999999999996</v>
      </c>
      <c r="L201" s="1510">
        <f>+TRANSVERSAL!BK96</f>
        <v>1</v>
      </c>
      <c r="M201" s="1566">
        <f>+TRANSVERSAL!BM96</f>
        <v>0.72499999999999998</v>
      </c>
      <c r="N201" s="1508" t="s">
        <v>2094</v>
      </c>
    </row>
    <row r="202" spans="2:14" ht="27" customHeight="1" x14ac:dyDescent="0.25">
      <c r="B202" s="1604" t="str">
        <f>+TRANSVERSAL!T97</f>
        <v>Programa: Desarrollo Local Inclusivo de las Personas Con Discapacidad: Reconocimiento de Capacidades, Diferencias y Diversidad.</v>
      </c>
      <c r="C202" s="775">
        <f>+TRANSVERSAL!AK100</f>
        <v>0.9</v>
      </c>
      <c r="D202" s="35">
        <f>+TRANSVERSAL!AM100</f>
        <v>0.23333333333333331</v>
      </c>
      <c r="E202" s="35">
        <f>+TRANSVERSAL!AB100</f>
        <v>0.28333333333333333</v>
      </c>
      <c r="F202" s="35">
        <v>0.23333333333333331</v>
      </c>
      <c r="G202" s="35">
        <f>+TRANSVERSAL!AC100</f>
        <v>0.41666666666666669</v>
      </c>
      <c r="H202" s="35">
        <f>+TRANSVERSAL!AX100</f>
        <v>0.70666666666666667</v>
      </c>
      <c r="I202" s="1609">
        <f>+TRANSVERSAL!AZ100</f>
        <v>0.5033333333333333</v>
      </c>
      <c r="J202" s="1544">
        <f t="shared" si="0"/>
        <v>0.27</v>
      </c>
      <c r="K202" s="1510">
        <f>+TRANSVERSAL!AD100</f>
        <v>0.3075</v>
      </c>
      <c r="L202" s="1510">
        <f>+TRANSVERSAL!BK100</f>
        <v>0.70000000000000007</v>
      </c>
      <c r="M202" s="1566">
        <f>+TRANSVERSAL!BM100</f>
        <v>0.76666666666666661</v>
      </c>
      <c r="N202" s="1508" t="s">
        <v>2094</v>
      </c>
    </row>
    <row r="203" spans="2:14" ht="40.5" customHeight="1" x14ac:dyDescent="0.25">
      <c r="B203" s="1615" t="str">
        <f>+TRANSVERSAL!B102</f>
        <v>LINEA ESTRATEGICA TRATO HUMANITARIO AL HABITANTE DE CALLE</v>
      </c>
      <c r="C203" s="798">
        <f>+TRANSVERSAL!AK109</f>
        <v>1</v>
      </c>
      <c r="D203" s="816">
        <f>+TRANSVERSAL!AM109</f>
        <v>0.14583333333333331</v>
      </c>
      <c r="E203" s="816">
        <f>+TRANSVERSAL!AB109</f>
        <v>0.25</v>
      </c>
      <c r="F203" s="816">
        <v>0.125</v>
      </c>
      <c r="G203" s="816">
        <f>+TRANSVERSAL!AC109</f>
        <v>0.28290849673202612</v>
      </c>
      <c r="H203" s="816">
        <f>+TRANSVERSAL!AX109</f>
        <v>0.62666666666666671</v>
      </c>
      <c r="I203" s="817">
        <f>+TRANSVERSAL!AZ109</f>
        <v>0.36176470588235293</v>
      </c>
      <c r="J203" s="1559">
        <f t="shared" si="0"/>
        <v>0.21593137254901962</v>
      </c>
      <c r="K203" s="1534">
        <f>+TRANSVERSAL!AD109</f>
        <v>0.31937908496732026</v>
      </c>
      <c r="L203" s="1534">
        <f>+TRANSVERSAL!BK109</f>
        <v>0.81388888888888888</v>
      </c>
      <c r="M203" s="1580">
        <f>+TRANSVERSAL!BM109</f>
        <v>0.63254901960784315</v>
      </c>
      <c r="N203" s="1506"/>
    </row>
    <row r="204" spans="2:14" ht="38.25" customHeight="1" x14ac:dyDescent="0.25">
      <c r="B204" s="1604" t="str">
        <f>+TRANSVERSAL!T102</f>
        <v xml:space="preserve">Programa: Habitante De Calle Con Desarrollo Humano Integral </v>
      </c>
      <c r="C204" s="765">
        <f>+TRANSVERSAL!AK104</f>
        <v>1</v>
      </c>
      <c r="D204" s="35">
        <f>+TRANSVERSAL!AM104</f>
        <v>0.29166666666666663</v>
      </c>
      <c r="E204" s="35">
        <f>+TRANSVERSAL!AB104</f>
        <v>0.25</v>
      </c>
      <c r="F204" s="35">
        <v>0.25</v>
      </c>
      <c r="G204" s="35">
        <f>+TRANSVERSAL!AC104</f>
        <v>0.25</v>
      </c>
      <c r="H204" s="35">
        <f>+TRANSVERSAL!AX104</f>
        <v>1</v>
      </c>
      <c r="I204" s="1609">
        <f>+TRANSVERSAL!AZ104</f>
        <v>0.5</v>
      </c>
      <c r="J204" s="1544">
        <f t="shared" si="0"/>
        <v>0.20833333333333337</v>
      </c>
      <c r="K204" s="1510">
        <f>+TRANSVERSAL!AD104</f>
        <v>0.25</v>
      </c>
      <c r="L204" s="1510">
        <f>+TRANSVERSAL!BK104</f>
        <v>1</v>
      </c>
      <c r="M204" s="1566">
        <f>+TRANSVERSAL!BM104</f>
        <v>0.83333333333333326</v>
      </c>
      <c r="N204" s="1508" t="s">
        <v>2094</v>
      </c>
    </row>
    <row r="205" spans="2:14" ht="32.25" customHeight="1" x14ac:dyDescent="0.25">
      <c r="B205" s="1604" t="str">
        <f>+TRANSVERSAL!T105</f>
        <v>Programa Formación Para El Trabajo - Generación De Ingresos y Responsabilidad Social Empresarial.</v>
      </c>
      <c r="C205" s="765">
        <f>+TRANSVERSAL!AK108</f>
        <v>0</v>
      </c>
      <c r="D205" s="35">
        <f>+TRANSVERSAL!AM108</f>
        <v>0</v>
      </c>
      <c r="E205" s="35">
        <f>+TRANSVERSAL!AB108</f>
        <v>0</v>
      </c>
      <c r="F205" s="35">
        <v>0</v>
      </c>
      <c r="G205" s="35">
        <f>+TRANSVERSAL!AC108</f>
        <v>0.31581699346405229</v>
      </c>
      <c r="H205" s="35">
        <f>+TRANSVERSAL!AX108</f>
        <v>0.25333333333333335</v>
      </c>
      <c r="I205" s="1609">
        <f>+TRANSVERSAL!AZ108</f>
        <v>0.22352941176470589</v>
      </c>
      <c r="J205" s="1544">
        <f t="shared" si="0"/>
        <v>0.22352941176470589</v>
      </c>
      <c r="K205" s="1510">
        <f>+TRANSVERSAL!AD108</f>
        <v>0.38875816993464052</v>
      </c>
      <c r="L205" s="1510">
        <f>+TRANSVERSAL!BK108</f>
        <v>0.62777777777777777</v>
      </c>
      <c r="M205" s="1566">
        <f>+TRANSVERSAL!BM108</f>
        <v>0.43176470588235299</v>
      </c>
      <c r="N205" s="1508" t="s">
        <v>2094</v>
      </c>
    </row>
    <row r="206" spans="2:14" ht="15.75" customHeight="1" x14ac:dyDescent="0.25">
      <c r="B206" s="1615" t="str">
        <f>+TRANSVERSAL!B110</f>
        <v>LINEA ESTRATEGICA DIVERSIDAD SEXUAL Y NUEVAS IDENTIDADES DE GÉNERO.</v>
      </c>
      <c r="C206" s="798">
        <f>+TRANSVERSAL!AK114</f>
        <v>0.5</v>
      </c>
      <c r="D206" s="816">
        <f>+TRANSVERSAL!AM114</f>
        <v>0.13333333333333333</v>
      </c>
      <c r="E206" s="816">
        <f>+TRANSVERSAL!AB114</f>
        <v>0.13333333333333333</v>
      </c>
      <c r="F206" s="816">
        <v>0.13333333333333333</v>
      </c>
      <c r="G206" s="816">
        <f>+TRANSVERSAL!AC114</f>
        <v>0.6333333333333333</v>
      </c>
      <c r="H206" s="816">
        <f>+TRANSVERSAL!AX114</f>
        <v>0.7</v>
      </c>
      <c r="I206" s="817">
        <f>+TRANSVERSAL!AZ114</f>
        <v>0.60000000000000009</v>
      </c>
      <c r="J206" s="1559">
        <f t="shared" si="0"/>
        <v>0.46666666666666679</v>
      </c>
      <c r="K206" s="1534">
        <f>+TRANSVERSAL!AD114</f>
        <v>0.46133333333333332</v>
      </c>
      <c r="L206" s="1534">
        <f>+TRANSVERSAL!BK114</f>
        <v>0.66666666666666663</v>
      </c>
      <c r="M206" s="1580">
        <f>+TRANSVERSAL!BM114</f>
        <v>0.75</v>
      </c>
      <c r="N206" s="1506"/>
    </row>
    <row r="207" spans="2:14" ht="27" customHeight="1" thickBot="1" x14ac:dyDescent="0.3">
      <c r="B207" s="1624" t="str">
        <f>+TRANSVERSAL!T110</f>
        <v>Programa: Diversidad Sexual e Identidades de Género</v>
      </c>
      <c r="C207" s="1625">
        <f>+TRANSVERSAL!AK114</f>
        <v>0.5</v>
      </c>
      <c r="D207" s="1626">
        <f>+TRANSVERSAL!AM114</f>
        <v>0.13333333333333333</v>
      </c>
      <c r="E207" s="1627">
        <f>+TRANSVERSAL!AB114</f>
        <v>0.13333333333333333</v>
      </c>
      <c r="F207" s="1627">
        <v>0.13333333333333333</v>
      </c>
      <c r="G207" s="1627">
        <f>+TRANSVERSAL!AC114</f>
        <v>0.6333333333333333</v>
      </c>
      <c r="H207" s="1628">
        <f>+TRANSVERSAL!AX113</f>
        <v>0.7</v>
      </c>
      <c r="I207" s="1629">
        <f>+TRANSVERSAL!AZ113</f>
        <v>0.60000000000000009</v>
      </c>
      <c r="J207" s="1630">
        <f t="shared" si="0"/>
        <v>0.46666666666666679</v>
      </c>
      <c r="K207" s="1536">
        <f>+TRANSVERSAL!AD114</f>
        <v>0.46133333333333332</v>
      </c>
      <c r="L207" s="1536">
        <f>+TRANSVERSAL!BK113</f>
        <v>0.66666666666666663</v>
      </c>
      <c r="M207" s="1583">
        <f>+TRANSVERSAL!BM113</f>
        <v>0.75</v>
      </c>
      <c r="N207" s="1509" t="s">
        <v>2094</v>
      </c>
    </row>
    <row r="208" spans="2:14" ht="15.75" customHeight="1" x14ac:dyDescent="0.25">
      <c r="B208" s="821"/>
      <c r="F208" s="478">
        <v>0.13333333333333333</v>
      </c>
    </row>
    <row r="209" spans="2:14" ht="15.75" customHeight="1" x14ac:dyDescent="0.25">
      <c r="B209" s="821"/>
    </row>
    <row r="210" spans="2:14" ht="15.75" customHeight="1" x14ac:dyDescent="0.25">
      <c r="B210" s="821"/>
    </row>
    <row r="211" spans="2:14" ht="15.75" customHeight="1" x14ac:dyDescent="0.25">
      <c r="B211" s="821"/>
    </row>
    <row r="212" spans="2:14" ht="15.75" customHeight="1" x14ac:dyDescent="0.25">
      <c r="B212" s="821"/>
    </row>
    <row r="213" spans="2:14" ht="15.75" customHeight="1" x14ac:dyDescent="0.25">
      <c r="B213" s="821"/>
    </row>
    <row r="214" spans="2:14" ht="15.75" customHeight="1" x14ac:dyDescent="0.25">
      <c r="B214" s="821"/>
    </row>
    <row r="215" spans="2:14" ht="15.75" customHeight="1" x14ac:dyDescent="0.25">
      <c r="B215" s="821"/>
    </row>
    <row r="216" spans="2:14" ht="15.75" customHeight="1" x14ac:dyDescent="0.25">
      <c r="B216" s="821"/>
    </row>
    <row r="217" spans="2:14" ht="15.75" customHeight="1" x14ac:dyDescent="0.25">
      <c r="B217" s="821"/>
    </row>
    <row r="218" spans="2:14" ht="15.75" customHeight="1" x14ac:dyDescent="0.25">
      <c r="B218" s="821"/>
    </row>
    <row r="219" spans="2:14" ht="15.75" customHeight="1" x14ac:dyDescent="0.25">
      <c r="B219" s="821"/>
    </row>
    <row r="220" spans="2:14" ht="15.75" customHeight="1" x14ac:dyDescent="0.25">
      <c r="B220" s="821"/>
    </row>
    <row r="221" spans="2:14" ht="15.75" customHeight="1" x14ac:dyDescent="0.25">
      <c r="B221" s="821"/>
    </row>
    <row r="222" spans="2:14" ht="15.75" customHeight="1" x14ac:dyDescent="0.25">
      <c r="B222" s="821"/>
    </row>
    <row r="223" spans="2:14" ht="15.75" customHeight="1" x14ac:dyDescent="0.25">
      <c r="B223" s="821"/>
      <c r="N223" s="1496"/>
    </row>
    <row r="224" spans="2:14" ht="15.75" customHeight="1" x14ac:dyDescent="0.25">
      <c r="B224" s="821"/>
      <c r="N224" s="1520"/>
    </row>
    <row r="225" spans="2:14" ht="15.75" customHeight="1" x14ac:dyDescent="0.25">
      <c r="B225" s="821"/>
      <c r="I225" s="1415"/>
      <c r="N225" s="1496"/>
    </row>
    <row r="226" spans="2:14" ht="15.75" customHeight="1" x14ac:dyDescent="0.25">
      <c r="B226" s="821"/>
      <c r="I226" s="1415"/>
    </row>
    <row r="227" spans="2:14" ht="15.75" customHeight="1" x14ac:dyDescent="0.25">
      <c r="B227" s="821"/>
    </row>
    <row r="228" spans="2:14" ht="15.75" customHeight="1" x14ac:dyDescent="0.25">
      <c r="B228" s="821"/>
    </row>
    <row r="229" spans="2:14" ht="15.75" customHeight="1" x14ac:dyDescent="0.25">
      <c r="B229" s="821"/>
    </row>
    <row r="230" spans="2:14" ht="15.75" customHeight="1" x14ac:dyDescent="0.25">
      <c r="B230" s="821"/>
    </row>
    <row r="231" spans="2:14" ht="15.75" customHeight="1" x14ac:dyDescent="0.25">
      <c r="B231" s="821"/>
    </row>
    <row r="232" spans="2:14" ht="15.75" customHeight="1" x14ac:dyDescent="0.25">
      <c r="B232" s="821"/>
    </row>
    <row r="233" spans="2:14" ht="15.75" customHeight="1" x14ac:dyDescent="0.25">
      <c r="B233" s="821"/>
    </row>
    <row r="234" spans="2:14" ht="15.75" customHeight="1" x14ac:dyDescent="0.25">
      <c r="B234" s="821"/>
    </row>
    <row r="235" spans="2:14" ht="15.75" customHeight="1" x14ac:dyDescent="0.25">
      <c r="B235" s="821"/>
    </row>
    <row r="236" spans="2:14" ht="15.75" customHeight="1" x14ac:dyDescent="0.25">
      <c r="B236" s="821"/>
    </row>
    <row r="237" spans="2:14" ht="15.75" customHeight="1" x14ac:dyDescent="0.25">
      <c r="B237" s="821"/>
    </row>
    <row r="238" spans="2:14" ht="15.75" customHeight="1" x14ac:dyDescent="0.25">
      <c r="B238" s="821"/>
    </row>
    <row r="239" spans="2:14" ht="15.75" customHeight="1" x14ac:dyDescent="0.25">
      <c r="B239" s="821"/>
    </row>
    <row r="240" spans="2:14" ht="15.75" customHeight="1" x14ac:dyDescent="0.25">
      <c r="B240" s="821"/>
    </row>
    <row r="241" spans="2:2" ht="15.75" customHeight="1" x14ac:dyDescent="0.25">
      <c r="B241" s="821"/>
    </row>
    <row r="242" spans="2:2" ht="15.75" customHeight="1" x14ac:dyDescent="0.25">
      <c r="B242" s="821"/>
    </row>
    <row r="243" spans="2:2" ht="15.75" customHeight="1" x14ac:dyDescent="0.25">
      <c r="B243" s="821"/>
    </row>
    <row r="244" spans="2:2" ht="15.75" customHeight="1" x14ac:dyDescent="0.25">
      <c r="B244" s="821"/>
    </row>
    <row r="245" spans="2:2" ht="15.75" customHeight="1" x14ac:dyDescent="0.25">
      <c r="B245" s="821"/>
    </row>
    <row r="246" spans="2:2" ht="15.75" customHeight="1" x14ac:dyDescent="0.25">
      <c r="B246" s="821"/>
    </row>
    <row r="247" spans="2:2" ht="15.75" customHeight="1" x14ac:dyDescent="0.25">
      <c r="B247" s="821"/>
    </row>
    <row r="248" spans="2:2" ht="15.75" customHeight="1" x14ac:dyDescent="0.25">
      <c r="B248" s="821"/>
    </row>
    <row r="249" spans="2:2" ht="15.75" customHeight="1" x14ac:dyDescent="0.25">
      <c r="B249" s="821"/>
    </row>
    <row r="250" spans="2:2" ht="15.75" customHeight="1" x14ac:dyDescent="0.25">
      <c r="B250" s="821"/>
    </row>
    <row r="251" spans="2:2" ht="15.75" customHeight="1" x14ac:dyDescent="0.25">
      <c r="B251" s="821"/>
    </row>
    <row r="252" spans="2:2" ht="15.75" customHeight="1" x14ac:dyDescent="0.25">
      <c r="B252" s="821"/>
    </row>
    <row r="253" spans="2:2" ht="15.75" customHeight="1" x14ac:dyDescent="0.25">
      <c r="B253" s="821"/>
    </row>
    <row r="254" spans="2:2" ht="15.75" customHeight="1" x14ac:dyDescent="0.25">
      <c r="B254" s="821"/>
    </row>
    <row r="255" spans="2:2" ht="15.75" customHeight="1" x14ac:dyDescent="0.25">
      <c r="B255" s="821"/>
    </row>
    <row r="256" spans="2:2" ht="15.75" customHeight="1" x14ac:dyDescent="0.25">
      <c r="B256" s="821"/>
    </row>
    <row r="257" spans="2:2" ht="15.75" customHeight="1" x14ac:dyDescent="0.25">
      <c r="B257" s="821"/>
    </row>
    <row r="258" spans="2:2" ht="15.75" customHeight="1" x14ac:dyDescent="0.25">
      <c r="B258" s="821"/>
    </row>
    <row r="259" spans="2:2" ht="15.75" customHeight="1" x14ac:dyDescent="0.25">
      <c r="B259" s="821"/>
    </row>
    <row r="260" spans="2:2" ht="15.75" customHeight="1" x14ac:dyDescent="0.25">
      <c r="B260" s="821"/>
    </row>
    <row r="261" spans="2:2" ht="15.75" customHeight="1" x14ac:dyDescent="0.25">
      <c r="B261" s="821"/>
    </row>
    <row r="262" spans="2:2" ht="15.75" customHeight="1" x14ac:dyDescent="0.25">
      <c r="B262" s="821"/>
    </row>
    <row r="263" spans="2:2" ht="15.75" customHeight="1" x14ac:dyDescent="0.25">
      <c r="B263" s="821"/>
    </row>
    <row r="264" spans="2:2" ht="15.75" customHeight="1" x14ac:dyDescent="0.25">
      <c r="B264" s="821"/>
    </row>
    <row r="265" spans="2:2" ht="15.75" customHeight="1" x14ac:dyDescent="0.25">
      <c r="B265" s="821"/>
    </row>
    <row r="266" spans="2:2" ht="15.75" customHeight="1" x14ac:dyDescent="0.25">
      <c r="B266" s="821"/>
    </row>
    <row r="267" spans="2:2" ht="15.75" customHeight="1" x14ac:dyDescent="0.25">
      <c r="B267" s="821"/>
    </row>
    <row r="268" spans="2:2" ht="15.75" customHeight="1" x14ac:dyDescent="0.25">
      <c r="B268" s="821"/>
    </row>
    <row r="269" spans="2:2" ht="15.75" customHeight="1" x14ac:dyDescent="0.25">
      <c r="B269" s="821"/>
    </row>
    <row r="270" spans="2:2" ht="15.75" customHeight="1" x14ac:dyDescent="0.25">
      <c r="B270" s="821"/>
    </row>
    <row r="271" spans="2:2" ht="15.75" customHeight="1" x14ac:dyDescent="0.25">
      <c r="B271" s="821"/>
    </row>
    <row r="272" spans="2:2" ht="15.75" customHeight="1" x14ac:dyDescent="0.25">
      <c r="B272" s="821"/>
    </row>
    <row r="273" spans="2:2" ht="15.75" customHeight="1" x14ac:dyDescent="0.25">
      <c r="B273" s="821"/>
    </row>
    <row r="274" spans="2:2" ht="15.75" customHeight="1" x14ac:dyDescent="0.25">
      <c r="B274" s="821"/>
    </row>
    <row r="275" spans="2:2" ht="15.75" customHeight="1" x14ac:dyDescent="0.25">
      <c r="B275" s="821"/>
    </row>
    <row r="276" spans="2:2" ht="15.75" customHeight="1" x14ac:dyDescent="0.25">
      <c r="B276" s="821"/>
    </row>
    <row r="277" spans="2:2" ht="15.75" customHeight="1" x14ac:dyDescent="0.25">
      <c r="B277" s="821"/>
    </row>
    <row r="278" spans="2:2" ht="15.75" customHeight="1" x14ac:dyDescent="0.25">
      <c r="B278" s="821"/>
    </row>
    <row r="279" spans="2:2" ht="15.75" customHeight="1" x14ac:dyDescent="0.25">
      <c r="B279" s="821"/>
    </row>
    <row r="280" spans="2:2" ht="15.75" customHeight="1" x14ac:dyDescent="0.25">
      <c r="B280" s="821"/>
    </row>
    <row r="281" spans="2:2" ht="15.75" customHeight="1" x14ac:dyDescent="0.25">
      <c r="B281" s="821"/>
    </row>
    <row r="282" spans="2:2" ht="15.75" customHeight="1" x14ac:dyDescent="0.25">
      <c r="B282" s="821"/>
    </row>
    <row r="283" spans="2:2" ht="15.75" customHeight="1" x14ac:dyDescent="0.25">
      <c r="B283" s="821"/>
    </row>
    <row r="284" spans="2:2" ht="15.75" customHeight="1" x14ac:dyDescent="0.25">
      <c r="B284" s="821"/>
    </row>
    <row r="285" spans="2:2" ht="15.75" customHeight="1" x14ac:dyDescent="0.25">
      <c r="B285" s="821"/>
    </row>
    <row r="286" spans="2:2" ht="15.75" customHeight="1" x14ac:dyDescent="0.25">
      <c r="B286" s="821"/>
    </row>
    <row r="287" spans="2:2" ht="15.75" customHeight="1" x14ac:dyDescent="0.25">
      <c r="B287" s="821"/>
    </row>
    <row r="288" spans="2:2" ht="15.75" customHeight="1" x14ac:dyDescent="0.25">
      <c r="B288" s="821"/>
    </row>
    <row r="289" spans="2:2" ht="15.75" customHeight="1" x14ac:dyDescent="0.25">
      <c r="B289" s="821"/>
    </row>
    <row r="290" spans="2:2" ht="15.75" customHeight="1" x14ac:dyDescent="0.25">
      <c r="B290" s="821"/>
    </row>
    <row r="291" spans="2:2" ht="15.75" customHeight="1" x14ac:dyDescent="0.25">
      <c r="B291" s="821"/>
    </row>
    <row r="292" spans="2:2" ht="15.75" customHeight="1" x14ac:dyDescent="0.25">
      <c r="B292" s="821"/>
    </row>
    <row r="293" spans="2:2" ht="15.75" customHeight="1" x14ac:dyDescent="0.25">
      <c r="B293" s="821"/>
    </row>
    <row r="294" spans="2:2" ht="15.75" customHeight="1" x14ac:dyDescent="0.25">
      <c r="B294" s="821"/>
    </row>
    <row r="295" spans="2:2" ht="15.75" customHeight="1" x14ac:dyDescent="0.25">
      <c r="B295" s="821"/>
    </row>
    <row r="296" spans="2:2" ht="15.75" customHeight="1" x14ac:dyDescent="0.25">
      <c r="B296" s="821"/>
    </row>
    <row r="297" spans="2:2" ht="15.75" customHeight="1" x14ac:dyDescent="0.25">
      <c r="B297" s="821"/>
    </row>
    <row r="298" spans="2:2" ht="15.75" customHeight="1" x14ac:dyDescent="0.25">
      <c r="B298" s="821"/>
    </row>
    <row r="299" spans="2:2" ht="15.75" customHeight="1" x14ac:dyDescent="0.25">
      <c r="B299" s="821"/>
    </row>
    <row r="300" spans="2:2" ht="15.75" customHeight="1" x14ac:dyDescent="0.25">
      <c r="B300" s="821"/>
    </row>
    <row r="301" spans="2:2" ht="15.75" customHeight="1" x14ac:dyDescent="0.25">
      <c r="B301" s="821"/>
    </row>
    <row r="302" spans="2:2" ht="15.75" customHeight="1" x14ac:dyDescent="0.25">
      <c r="B302" s="821"/>
    </row>
    <row r="303" spans="2:2" ht="15.75" customHeight="1" x14ac:dyDescent="0.25">
      <c r="B303" s="821"/>
    </row>
    <row r="304" spans="2:2" ht="15.75" customHeight="1" x14ac:dyDescent="0.25">
      <c r="B304" s="821"/>
    </row>
    <row r="305" spans="2:2" ht="15.75" customHeight="1" x14ac:dyDescent="0.25">
      <c r="B305" s="821"/>
    </row>
    <row r="306" spans="2:2" ht="15.75" customHeight="1" x14ac:dyDescent="0.25">
      <c r="B306" s="821"/>
    </row>
    <row r="307" spans="2:2" ht="15.75" customHeight="1" x14ac:dyDescent="0.25">
      <c r="B307" s="821"/>
    </row>
    <row r="308" spans="2:2" ht="15.75" customHeight="1" x14ac:dyDescent="0.25">
      <c r="B308" s="821"/>
    </row>
    <row r="309" spans="2:2" ht="15.75" customHeight="1" x14ac:dyDescent="0.25">
      <c r="B309" s="821"/>
    </row>
    <row r="310" spans="2:2" ht="15.75" customHeight="1" x14ac:dyDescent="0.25">
      <c r="B310" s="821"/>
    </row>
    <row r="311" spans="2:2" ht="15.75" customHeight="1" x14ac:dyDescent="0.25">
      <c r="B311" s="821"/>
    </row>
    <row r="312" spans="2:2" ht="15.75" customHeight="1" x14ac:dyDescent="0.25">
      <c r="B312" s="821"/>
    </row>
    <row r="313" spans="2:2" ht="15.75" customHeight="1" x14ac:dyDescent="0.25">
      <c r="B313" s="821"/>
    </row>
    <row r="314" spans="2:2" ht="15.75" customHeight="1" x14ac:dyDescent="0.25">
      <c r="B314" s="821"/>
    </row>
    <row r="315" spans="2:2" ht="15.75" customHeight="1" x14ac:dyDescent="0.25">
      <c r="B315" s="821"/>
    </row>
    <row r="316" spans="2:2" ht="15.75" customHeight="1" x14ac:dyDescent="0.25">
      <c r="B316" s="821"/>
    </row>
    <row r="317" spans="2:2" ht="15.75" customHeight="1" x14ac:dyDescent="0.25">
      <c r="B317" s="821"/>
    </row>
    <row r="318" spans="2:2" ht="15.75" customHeight="1" x14ac:dyDescent="0.25">
      <c r="B318" s="821"/>
    </row>
    <row r="319" spans="2:2" ht="15.75" customHeight="1" x14ac:dyDescent="0.25">
      <c r="B319" s="821"/>
    </row>
    <row r="320" spans="2:2" ht="15.75" customHeight="1" x14ac:dyDescent="0.25">
      <c r="B320" s="821"/>
    </row>
    <row r="321" spans="2:2" ht="15.75" customHeight="1" x14ac:dyDescent="0.25">
      <c r="B321" s="821"/>
    </row>
    <row r="322" spans="2:2" ht="15.75" customHeight="1" x14ac:dyDescent="0.25">
      <c r="B322" s="821"/>
    </row>
    <row r="323" spans="2:2" ht="15.75" customHeight="1" x14ac:dyDescent="0.25">
      <c r="B323" s="821"/>
    </row>
    <row r="324" spans="2:2" ht="15.75" customHeight="1" x14ac:dyDescent="0.25">
      <c r="B324" s="821"/>
    </row>
    <row r="325" spans="2:2" ht="15.75" customHeight="1" x14ac:dyDescent="0.25">
      <c r="B325" s="821"/>
    </row>
    <row r="326" spans="2:2" ht="15.75" customHeight="1" x14ac:dyDescent="0.25">
      <c r="B326" s="821"/>
    </row>
    <row r="327" spans="2:2" ht="15.75" customHeight="1" x14ac:dyDescent="0.25">
      <c r="B327" s="821"/>
    </row>
    <row r="328" spans="2:2" ht="15.75" customHeight="1" x14ac:dyDescent="0.25">
      <c r="B328" s="821"/>
    </row>
    <row r="329" spans="2:2" ht="15.75" customHeight="1" x14ac:dyDescent="0.25">
      <c r="B329" s="821"/>
    </row>
    <row r="330" spans="2:2" ht="15.75" customHeight="1" x14ac:dyDescent="0.25">
      <c r="B330" s="821"/>
    </row>
    <row r="331" spans="2:2" ht="15.75" customHeight="1" x14ac:dyDescent="0.25">
      <c r="B331" s="821"/>
    </row>
    <row r="332" spans="2:2" ht="15.75" customHeight="1" x14ac:dyDescent="0.25">
      <c r="B332" s="821"/>
    </row>
    <row r="333" spans="2:2" ht="15.75" customHeight="1" x14ac:dyDescent="0.25">
      <c r="B333" s="821"/>
    </row>
    <row r="334" spans="2:2" ht="15.75" customHeight="1" x14ac:dyDescent="0.25">
      <c r="B334" s="821"/>
    </row>
    <row r="335" spans="2:2" ht="15.75" customHeight="1" x14ac:dyDescent="0.25">
      <c r="B335" s="821"/>
    </row>
    <row r="336" spans="2:2" ht="15.75" customHeight="1" x14ac:dyDescent="0.25">
      <c r="B336" s="821"/>
    </row>
    <row r="337" spans="2:2" ht="15.75" customHeight="1" x14ac:dyDescent="0.25">
      <c r="B337" s="821"/>
    </row>
    <row r="338" spans="2:2" ht="15.75" customHeight="1" x14ac:dyDescent="0.25">
      <c r="B338" s="821"/>
    </row>
    <row r="339" spans="2:2" ht="15.75" customHeight="1" x14ac:dyDescent="0.25">
      <c r="B339" s="821"/>
    </row>
    <row r="340" spans="2:2" ht="15.75" customHeight="1" x14ac:dyDescent="0.25">
      <c r="B340" s="821"/>
    </row>
    <row r="341" spans="2:2" ht="15.75" customHeight="1" x14ac:dyDescent="0.25">
      <c r="B341" s="821"/>
    </row>
    <row r="342" spans="2:2" ht="15.75" customHeight="1" x14ac:dyDescent="0.25">
      <c r="B342" s="821"/>
    </row>
    <row r="343" spans="2:2" ht="15.75" customHeight="1" x14ac:dyDescent="0.25">
      <c r="B343" s="821"/>
    </row>
    <row r="344" spans="2:2" ht="15.75" customHeight="1" x14ac:dyDescent="0.25">
      <c r="B344" s="821"/>
    </row>
    <row r="345" spans="2:2" ht="15.75" customHeight="1" x14ac:dyDescent="0.25">
      <c r="B345" s="821"/>
    </row>
    <row r="346" spans="2:2" ht="15.75" customHeight="1" x14ac:dyDescent="0.25">
      <c r="B346" s="821"/>
    </row>
    <row r="347" spans="2:2" ht="15.75" customHeight="1" x14ac:dyDescent="0.25">
      <c r="B347" s="821"/>
    </row>
    <row r="348" spans="2:2" ht="15.75" customHeight="1" x14ac:dyDescent="0.25">
      <c r="B348" s="821"/>
    </row>
    <row r="349" spans="2:2" ht="15.75" customHeight="1" x14ac:dyDescent="0.25">
      <c r="B349" s="821"/>
    </row>
    <row r="350" spans="2:2" ht="15.75" customHeight="1" x14ac:dyDescent="0.25">
      <c r="B350" s="821"/>
    </row>
    <row r="351" spans="2:2" ht="15.75" customHeight="1" x14ac:dyDescent="0.25">
      <c r="B351" s="821"/>
    </row>
    <row r="352" spans="2:2" ht="15.75" customHeight="1" x14ac:dyDescent="0.25">
      <c r="B352" s="821"/>
    </row>
    <row r="353" spans="2:2" ht="15.75" customHeight="1" x14ac:dyDescent="0.25">
      <c r="B353" s="821"/>
    </row>
    <row r="354" spans="2:2" ht="15.75" customHeight="1" x14ac:dyDescent="0.25">
      <c r="B354" s="821"/>
    </row>
    <row r="355" spans="2:2" ht="15.75" customHeight="1" x14ac:dyDescent="0.25">
      <c r="B355" s="821"/>
    </row>
    <row r="356" spans="2:2" ht="15.75" customHeight="1" x14ac:dyDescent="0.25">
      <c r="B356" s="821"/>
    </row>
    <row r="357" spans="2:2" ht="15.75" customHeight="1" x14ac:dyDescent="0.25">
      <c r="B357" s="821"/>
    </row>
    <row r="358" spans="2:2" ht="15.75" customHeight="1" x14ac:dyDescent="0.25">
      <c r="B358" s="821"/>
    </row>
    <row r="359" spans="2:2" ht="15.75" customHeight="1" x14ac:dyDescent="0.25">
      <c r="B359" s="821"/>
    </row>
    <row r="360" spans="2:2" ht="15.75" customHeight="1" x14ac:dyDescent="0.25">
      <c r="B360" s="821"/>
    </row>
    <row r="361" spans="2:2" ht="15.75" customHeight="1" x14ac:dyDescent="0.25">
      <c r="B361" s="821"/>
    </row>
    <row r="362" spans="2:2" ht="15.75" customHeight="1" x14ac:dyDescent="0.25">
      <c r="B362" s="821"/>
    </row>
    <row r="363" spans="2:2" ht="15.75" customHeight="1" x14ac:dyDescent="0.25">
      <c r="B363" s="821"/>
    </row>
    <row r="364" spans="2:2" ht="15.75" customHeight="1" x14ac:dyDescent="0.25">
      <c r="B364" s="821"/>
    </row>
    <row r="365" spans="2:2" ht="15.75" customHeight="1" x14ac:dyDescent="0.25">
      <c r="B365" s="821"/>
    </row>
    <row r="366" spans="2:2" ht="15.75" customHeight="1" x14ac:dyDescent="0.25">
      <c r="B366" s="821"/>
    </row>
    <row r="367" spans="2:2" ht="15.75" customHeight="1" x14ac:dyDescent="0.25">
      <c r="B367" s="821"/>
    </row>
    <row r="368" spans="2:2" ht="15.75" customHeight="1" x14ac:dyDescent="0.25">
      <c r="B368" s="821"/>
    </row>
    <row r="369" spans="2:2" ht="15.75" customHeight="1" x14ac:dyDescent="0.25">
      <c r="B369" s="821"/>
    </row>
    <row r="370" spans="2:2" ht="15.75" customHeight="1" x14ac:dyDescent="0.25">
      <c r="B370" s="821"/>
    </row>
    <row r="371" spans="2:2" ht="15.75" customHeight="1" x14ac:dyDescent="0.25">
      <c r="B371" s="821"/>
    </row>
    <row r="372" spans="2:2" ht="15.75" customHeight="1" x14ac:dyDescent="0.25">
      <c r="B372" s="821"/>
    </row>
    <row r="373" spans="2:2" ht="15.75" customHeight="1" x14ac:dyDescent="0.25">
      <c r="B373" s="821"/>
    </row>
    <row r="374" spans="2:2" ht="15.75" customHeight="1" x14ac:dyDescent="0.25">
      <c r="B374" s="821"/>
    </row>
    <row r="375" spans="2:2" ht="15.75" customHeight="1" x14ac:dyDescent="0.25">
      <c r="B375" s="821"/>
    </row>
    <row r="376" spans="2:2" ht="15.75" customHeight="1" x14ac:dyDescent="0.25">
      <c r="B376" s="821"/>
    </row>
    <row r="377" spans="2:2" ht="15.75" customHeight="1" x14ac:dyDescent="0.25">
      <c r="B377" s="821"/>
    </row>
    <row r="378" spans="2:2" ht="15.75" customHeight="1" x14ac:dyDescent="0.25">
      <c r="B378" s="821"/>
    </row>
    <row r="379" spans="2:2" ht="15.75" customHeight="1" x14ac:dyDescent="0.25">
      <c r="B379" s="821"/>
    </row>
    <row r="380" spans="2:2" ht="15.75" customHeight="1" x14ac:dyDescent="0.25">
      <c r="B380" s="821"/>
    </row>
    <row r="381" spans="2:2" ht="15.75" customHeight="1" x14ac:dyDescent="0.25">
      <c r="B381" s="821"/>
    </row>
    <row r="382" spans="2:2" ht="15.75" customHeight="1" x14ac:dyDescent="0.25">
      <c r="B382" s="821"/>
    </row>
    <row r="383" spans="2:2" ht="15.75" customHeight="1" x14ac:dyDescent="0.25">
      <c r="B383" s="821"/>
    </row>
    <row r="384" spans="2:2" ht="15.75" customHeight="1" x14ac:dyDescent="0.25">
      <c r="B384" s="821"/>
    </row>
    <row r="385" spans="2:2" ht="15.75" customHeight="1" x14ac:dyDescent="0.25">
      <c r="B385" s="821"/>
    </row>
    <row r="386" spans="2:2" ht="15.75" customHeight="1" x14ac:dyDescent="0.25">
      <c r="B386" s="821"/>
    </row>
    <row r="387" spans="2:2" ht="15.75" customHeight="1" x14ac:dyDescent="0.25">
      <c r="B387" s="821"/>
    </row>
    <row r="388" spans="2:2" ht="15.75" customHeight="1" x14ac:dyDescent="0.25">
      <c r="B388" s="821"/>
    </row>
    <row r="389" spans="2:2" ht="15.75" customHeight="1" x14ac:dyDescent="0.25">
      <c r="B389" s="821"/>
    </row>
    <row r="390" spans="2:2" ht="15.75" customHeight="1" x14ac:dyDescent="0.25">
      <c r="B390" s="821"/>
    </row>
    <row r="391" spans="2:2" ht="15.75" customHeight="1" x14ac:dyDescent="0.25">
      <c r="B391" s="821"/>
    </row>
    <row r="392" spans="2:2" ht="15.75" customHeight="1" x14ac:dyDescent="0.25">
      <c r="B392" s="821"/>
    </row>
    <row r="393" spans="2:2" ht="15.75" customHeight="1" x14ac:dyDescent="0.25">
      <c r="B393" s="821"/>
    </row>
    <row r="394" spans="2:2" ht="15.75" customHeight="1" x14ac:dyDescent="0.25">
      <c r="B394" s="821"/>
    </row>
    <row r="395" spans="2:2" ht="15.75" customHeight="1" x14ac:dyDescent="0.25">
      <c r="B395" s="821"/>
    </row>
    <row r="396" spans="2:2" ht="15.75" customHeight="1" x14ac:dyDescent="0.25">
      <c r="B396" s="821"/>
    </row>
    <row r="397" spans="2:2" ht="15.75" customHeight="1" x14ac:dyDescent="0.25">
      <c r="B397" s="821"/>
    </row>
    <row r="398" spans="2:2" ht="15.75" customHeight="1" x14ac:dyDescent="0.25">
      <c r="B398" s="821"/>
    </row>
    <row r="399" spans="2:2" ht="15.75" customHeight="1" x14ac:dyDescent="0.25">
      <c r="B399" s="821"/>
    </row>
    <row r="400" spans="2:2" ht="15.75" customHeight="1" x14ac:dyDescent="0.25">
      <c r="B400" s="821"/>
    </row>
    <row r="401" spans="2:2" ht="15.75" customHeight="1" x14ac:dyDescent="0.25">
      <c r="B401" s="821"/>
    </row>
    <row r="402" spans="2:2" ht="15.75" customHeight="1" x14ac:dyDescent="0.25">
      <c r="B402" s="821"/>
    </row>
    <row r="403" spans="2:2" ht="15.75" customHeight="1" x14ac:dyDescent="0.25">
      <c r="B403" s="821"/>
    </row>
    <row r="404" spans="2:2" ht="15.75" customHeight="1" x14ac:dyDescent="0.25">
      <c r="B404" s="821"/>
    </row>
    <row r="405" spans="2:2" ht="15.75" customHeight="1" x14ac:dyDescent="0.25">
      <c r="B405" s="821"/>
    </row>
    <row r="406" spans="2:2" ht="15.75" customHeight="1" x14ac:dyDescent="0.25">
      <c r="B406" s="821"/>
    </row>
    <row r="407" spans="2:2" ht="15.75" customHeight="1" x14ac:dyDescent="0.25">
      <c r="B407" s="821"/>
    </row>
    <row r="408" spans="2:2" ht="15.75" customHeight="1" x14ac:dyDescent="0.25">
      <c r="B408" s="821"/>
    </row>
    <row r="409" spans="2:2" ht="15.75" customHeight="1" x14ac:dyDescent="0.2"/>
    <row r="410" spans="2:2" ht="15.75" customHeight="1" x14ac:dyDescent="0.2"/>
    <row r="411" spans="2:2" ht="15.75" customHeight="1" x14ac:dyDescent="0.2"/>
    <row r="412" spans="2:2" ht="15.75" customHeight="1" x14ac:dyDescent="0.2"/>
    <row r="413" spans="2:2" ht="15.75" customHeight="1" x14ac:dyDescent="0.2"/>
    <row r="414" spans="2:2" ht="15.75" customHeight="1" x14ac:dyDescent="0.2"/>
    <row r="415" spans="2:2" ht="15.75" customHeight="1" x14ac:dyDescent="0.2"/>
    <row r="416" spans="2:2"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sheetProtection algorithmName="SHA-512" hashValue="Bq6jpNakQwEgEyiWEcJj+G3F7hap6M++xninmzuQc3gPvemsV1wGfkvQ/4eb+4+x6qMLOkmOwy+DQze5z/iPHQ==" saltValue="LsOHTJMbqU2gGg1wQ4p8Bg==" spinCount="100000" sheet="1" objects="1" scenarios="1"/>
  <autoFilter ref="A3:AJ208"/>
  <mergeCells count="8">
    <mergeCell ref="Q71:U71"/>
    <mergeCell ref="Q58:S58"/>
    <mergeCell ref="AE4:AG4"/>
    <mergeCell ref="AE10:AG10"/>
    <mergeCell ref="Q11:R11"/>
    <mergeCell ref="AE18:AG18"/>
    <mergeCell ref="Q23:S23"/>
    <mergeCell ref="AE24:AG24"/>
  </mergeCells>
  <pageMargins left="7.874015748031496E-2" right="0.23622047244094491" top="0.74803149606299213" bottom="0.74803149606299213" header="0" footer="0"/>
  <pageSetup paperSize="5" scale="38"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000"/>
  <sheetViews>
    <sheetView zoomScale="80" zoomScaleNormal="80" workbookViewId="0">
      <selection activeCell="C7" sqref="C7"/>
    </sheetView>
  </sheetViews>
  <sheetFormatPr baseColWidth="10" defaultColWidth="12.625" defaultRowHeight="15" customHeight="1" x14ac:dyDescent="0.2"/>
  <cols>
    <col min="1" max="3" width="10.625" customWidth="1"/>
    <col min="4" max="4" width="28.125" customWidth="1"/>
    <col min="5" max="5" width="26.75" customWidth="1"/>
    <col min="6" max="6" width="25.75" customWidth="1"/>
    <col min="7" max="7" width="21" customWidth="1"/>
    <col min="8" max="8" width="23.625" customWidth="1"/>
    <col min="9" max="9" width="24.875" customWidth="1"/>
  </cols>
  <sheetData>
    <row r="1" spans="4:9" ht="14.25" customHeight="1" x14ac:dyDescent="0.2"/>
    <row r="2" spans="4:9" ht="14.25" customHeight="1" thickBot="1" x14ac:dyDescent="0.25">
      <c r="G2" s="822"/>
      <c r="H2" s="822"/>
      <c r="I2" s="822"/>
    </row>
    <row r="3" spans="4:9" ht="29.25" customHeight="1" thickBot="1" x14ac:dyDescent="0.35">
      <c r="D3" s="1887" t="s">
        <v>2120</v>
      </c>
      <c r="E3" s="1888"/>
      <c r="F3" s="1889"/>
      <c r="G3" s="1889"/>
      <c r="H3" s="1889"/>
      <c r="I3" s="1890"/>
    </row>
    <row r="4" spans="4:9" ht="14.25" customHeight="1" thickBot="1" x14ac:dyDescent="0.25">
      <c r="D4" s="823" t="s">
        <v>2043</v>
      </c>
      <c r="E4" s="1369" t="s">
        <v>2121</v>
      </c>
      <c r="F4" s="1372" t="s">
        <v>2122</v>
      </c>
      <c r="G4" s="1373" t="s">
        <v>2123</v>
      </c>
      <c r="H4" s="1374" t="s">
        <v>2124</v>
      </c>
      <c r="I4" s="1209" t="s">
        <v>2125</v>
      </c>
    </row>
    <row r="5" spans="4:9" ht="23.25" customHeight="1" thickBot="1" x14ac:dyDescent="0.25">
      <c r="D5" s="824" t="s">
        <v>2126</v>
      </c>
      <c r="E5" s="759"/>
      <c r="F5" s="1370" t="s">
        <v>2127</v>
      </c>
      <c r="G5" s="769" t="s">
        <v>2128</v>
      </c>
      <c r="H5" s="1371" t="s">
        <v>2129</v>
      </c>
      <c r="I5" s="769" t="s">
        <v>2056</v>
      </c>
    </row>
    <row r="6" spans="4:9" ht="29.25" customHeight="1" thickBot="1" x14ac:dyDescent="0.25">
      <c r="D6" s="825" t="s">
        <v>2049</v>
      </c>
      <c r="E6" s="763"/>
      <c r="F6" s="826" t="s">
        <v>2130</v>
      </c>
      <c r="G6" s="773" t="s">
        <v>2131</v>
      </c>
      <c r="H6" s="1368" t="s">
        <v>2132</v>
      </c>
      <c r="I6" s="773" t="s">
        <v>2058</v>
      </c>
    </row>
    <row r="7" spans="4:9" ht="27.75" customHeight="1" x14ac:dyDescent="0.2">
      <c r="D7" s="827" t="s">
        <v>2052</v>
      </c>
      <c r="E7" s="767"/>
      <c r="F7" s="826" t="s">
        <v>2133</v>
      </c>
      <c r="G7" s="773" t="s">
        <v>2134</v>
      </c>
      <c r="H7" s="1368" t="s">
        <v>2135</v>
      </c>
      <c r="I7" s="773" t="s">
        <v>2060</v>
      </c>
    </row>
    <row r="8" spans="4:9" ht="14.25" customHeight="1" thickBot="1" x14ac:dyDescent="0.25"/>
    <row r="9" spans="4:9" ht="24" customHeight="1" thickBot="1" x14ac:dyDescent="0.35">
      <c r="D9" s="1891" t="s">
        <v>2170</v>
      </c>
      <c r="E9" s="1889"/>
      <c r="F9" s="1889"/>
      <c r="G9" s="1889"/>
      <c r="H9" s="1889"/>
      <c r="I9" s="1892"/>
    </row>
    <row r="10" spans="4:9" ht="19.5" customHeight="1" thickBot="1" x14ac:dyDescent="0.25">
      <c r="D10" s="1210" t="s">
        <v>2043</v>
      </c>
      <c r="E10" s="1214" t="s">
        <v>2121</v>
      </c>
      <c r="F10" s="1209" t="s">
        <v>2171</v>
      </c>
      <c r="G10" s="1208" t="s">
        <v>2122</v>
      </c>
      <c r="H10" s="1647" t="s">
        <v>2123</v>
      </c>
      <c r="I10" s="1802" t="s">
        <v>2125</v>
      </c>
    </row>
    <row r="11" spans="4:9" ht="27" customHeight="1" thickBot="1" x14ac:dyDescent="0.25">
      <c r="D11" s="824" t="s">
        <v>2126</v>
      </c>
      <c r="E11" s="1215"/>
      <c r="F11" s="1212" t="s">
        <v>2174</v>
      </c>
      <c r="G11" s="1207" t="s">
        <v>2177</v>
      </c>
      <c r="H11" s="1648" t="s">
        <v>2180</v>
      </c>
      <c r="I11" s="773" t="s">
        <v>2183</v>
      </c>
    </row>
    <row r="12" spans="4:9" ht="26.25" customHeight="1" thickBot="1" x14ac:dyDescent="0.25">
      <c r="D12" s="1211" t="s">
        <v>2049</v>
      </c>
      <c r="E12" s="1216"/>
      <c r="F12" s="1213" t="s">
        <v>2175</v>
      </c>
      <c r="G12" s="1149" t="s">
        <v>2178</v>
      </c>
      <c r="H12" s="1649" t="s">
        <v>2181</v>
      </c>
      <c r="I12" s="773" t="s">
        <v>2184</v>
      </c>
    </row>
    <row r="13" spans="4:9" ht="18.75" customHeight="1" thickBot="1" x14ac:dyDescent="0.25">
      <c r="D13" s="824" t="s">
        <v>2052</v>
      </c>
      <c r="E13" s="1217"/>
      <c r="F13" s="1148" t="s">
        <v>2176</v>
      </c>
      <c r="G13" s="1149" t="s">
        <v>2179</v>
      </c>
      <c r="H13" s="1650" t="s">
        <v>2182</v>
      </c>
      <c r="I13" s="773" t="s">
        <v>2185</v>
      </c>
    </row>
    <row r="14" spans="4:9" ht="14.25" customHeight="1" thickBot="1" x14ac:dyDescent="0.25"/>
    <row r="15" spans="4:9" ht="30.75" customHeight="1" thickBot="1" x14ac:dyDescent="0.35">
      <c r="D15" s="1887" t="s">
        <v>2285</v>
      </c>
      <c r="E15" s="1889"/>
      <c r="F15" s="1889"/>
      <c r="G15" s="1889"/>
      <c r="H15" s="1889"/>
      <c r="I15" s="1892"/>
    </row>
    <row r="16" spans="4:9" ht="19.5" customHeight="1" thickBot="1" x14ac:dyDescent="0.25">
      <c r="D16" s="1210" t="s">
        <v>2043</v>
      </c>
      <c r="E16" s="1214" t="s">
        <v>2121</v>
      </c>
      <c r="F16" s="1209" t="s">
        <v>2171</v>
      </c>
      <c r="G16" s="1208" t="s">
        <v>2122</v>
      </c>
      <c r="H16" s="1647" t="s">
        <v>2123</v>
      </c>
      <c r="I16" s="1648" t="s">
        <v>2125</v>
      </c>
    </row>
    <row r="17" spans="2:9" ht="21" customHeight="1" thickBot="1" x14ac:dyDescent="0.25">
      <c r="D17" s="824" t="s">
        <v>2126</v>
      </c>
      <c r="E17" s="1215"/>
      <c r="F17" s="1800" t="s">
        <v>2321</v>
      </c>
      <c r="G17" s="1801" t="s">
        <v>2324</v>
      </c>
      <c r="H17" s="1801" t="s">
        <v>2327</v>
      </c>
      <c r="I17" s="1801" t="s">
        <v>2330</v>
      </c>
    </row>
    <row r="18" spans="2:9" ht="21.75" customHeight="1" thickBot="1" x14ac:dyDescent="0.25">
      <c r="D18" s="1211" t="s">
        <v>2049</v>
      </c>
      <c r="E18" s="1216"/>
      <c r="F18" s="1799" t="s">
        <v>2320</v>
      </c>
      <c r="G18" s="773" t="s">
        <v>2323</v>
      </c>
      <c r="H18" s="773" t="s">
        <v>2326</v>
      </c>
      <c r="I18" s="773" t="s">
        <v>2329</v>
      </c>
    </row>
    <row r="19" spans="2:9" ht="25.5" customHeight="1" thickBot="1" x14ac:dyDescent="0.25">
      <c r="D19" s="824" t="s">
        <v>2052</v>
      </c>
      <c r="E19" s="1217"/>
      <c r="F19" s="769" t="s">
        <v>2319</v>
      </c>
      <c r="G19" s="769" t="s">
        <v>2322</v>
      </c>
      <c r="H19" s="769" t="s">
        <v>2325</v>
      </c>
      <c r="I19" s="769" t="s">
        <v>2328</v>
      </c>
    </row>
    <row r="20" spans="2:9" ht="14.25" customHeight="1" x14ac:dyDescent="0.2"/>
    <row r="21" spans="2:9" ht="14.25" customHeight="1" x14ac:dyDescent="0.2"/>
    <row r="22" spans="2:9" ht="14.25" customHeight="1" x14ac:dyDescent="0.2">
      <c r="B22" s="1796">
        <v>0.73899999999999999</v>
      </c>
    </row>
    <row r="23" spans="2:9" ht="14.25" customHeight="1" x14ac:dyDescent="0.2">
      <c r="B23" s="1796">
        <f>100%-B22</f>
        <v>0.26100000000000001</v>
      </c>
      <c r="F23" s="1205"/>
    </row>
    <row r="24" spans="2:9" ht="14.25" customHeight="1" x14ac:dyDescent="0.2">
      <c r="B24" s="1797">
        <f>+B23/4</f>
        <v>6.5250000000000002E-2</v>
      </c>
    </row>
    <row r="25" spans="2:9" ht="14.25" customHeight="1" x14ac:dyDescent="0.2"/>
    <row r="26" spans="2:9" ht="14.25" customHeight="1" x14ac:dyDescent="0.2">
      <c r="B26" s="1798">
        <f>+B22+B24</f>
        <v>0.80425000000000002</v>
      </c>
      <c r="C26" s="1646">
        <f>+B26*0.6</f>
        <v>0.48254999999999998</v>
      </c>
      <c r="F26" s="1487"/>
    </row>
    <row r="27" spans="2:9" ht="14.25" customHeight="1" x14ac:dyDescent="0.2">
      <c r="C27" s="1646">
        <f>+B26*0.9</f>
        <v>0.72382500000000005</v>
      </c>
    </row>
    <row r="28" spans="2:9" ht="14.25" customHeight="1" x14ac:dyDescent="0.2"/>
    <row r="29" spans="2:9" ht="14.25" customHeight="1" x14ac:dyDescent="0.2">
      <c r="B29" s="1798">
        <f>+B26+B24</f>
        <v>0.86950000000000005</v>
      </c>
      <c r="C29" s="1646">
        <f>+B29*0.6</f>
        <v>0.52170000000000005</v>
      </c>
    </row>
    <row r="30" spans="2:9" ht="14.25" customHeight="1" x14ac:dyDescent="0.2">
      <c r="C30" s="1205">
        <f>+B29*0.9</f>
        <v>0.78255000000000008</v>
      </c>
    </row>
    <row r="31" spans="2:9" ht="14.25" customHeight="1" x14ac:dyDescent="0.2"/>
    <row r="32" spans="2:9" ht="14.25" customHeight="1" x14ac:dyDescent="0.2">
      <c r="B32" s="1798">
        <f>+B29+B24</f>
        <v>0.93475000000000008</v>
      </c>
      <c r="C32" s="1205">
        <f>+B32*0.6</f>
        <v>0.56085000000000007</v>
      </c>
    </row>
    <row r="33" spans="2:3" ht="14.25" customHeight="1" x14ac:dyDescent="0.2">
      <c r="C33" s="1205">
        <f>+B32*0.9</f>
        <v>0.84127500000000011</v>
      </c>
    </row>
    <row r="34" spans="2:3" ht="14.25" customHeight="1" x14ac:dyDescent="0.2"/>
    <row r="35" spans="2:3" ht="14.25" customHeight="1" x14ac:dyDescent="0.2">
      <c r="B35" s="1798">
        <f>+B32+B24</f>
        <v>1</v>
      </c>
    </row>
    <row r="36" spans="2:3" ht="14.25" customHeight="1" x14ac:dyDescent="0.2"/>
    <row r="37" spans="2:3" ht="14.25" customHeight="1" x14ac:dyDescent="0.2"/>
    <row r="38" spans="2:3" ht="14.25" customHeight="1" x14ac:dyDescent="0.2"/>
    <row r="39" spans="2:3" ht="14.25" customHeight="1" x14ac:dyDescent="0.2"/>
    <row r="40" spans="2:3" ht="14.25" customHeight="1" x14ac:dyDescent="0.2"/>
    <row r="41" spans="2:3" ht="14.25" customHeight="1" x14ac:dyDescent="0.2"/>
    <row r="42" spans="2:3" ht="14.25" customHeight="1" x14ac:dyDescent="0.2"/>
    <row r="43" spans="2:3" ht="14.25" customHeight="1" x14ac:dyDescent="0.2"/>
    <row r="44" spans="2:3" ht="14.25" customHeight="1" x14ac:dyDescent="0.2"/>
    <row r="45" spans="2:3" ht="14.25" customHeight="1" x14ac:dyDescent="0.2"/>
    <row r="46" spans="2:3" ht="14.25" customHeight="1" x14ac:dyDescent="0.2"/>
    <row r="47" spans="2:3" ht="14.25" customHeight="1" x14ac:dyDescent="0.2"/>
    <row r="48" spans="2:3"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sheetProtection algorithmName="SHA-512" hashValue="o46M3ey0H+grh3G+LobEZyuEiqBeja8v5kVb+y496YyjG1CKozLBPiyDr4CbsyscuKJ8XIRg6ZpYsIVGtKQcBw==" saltValue="GTayNbPK774vS4cHKk7Yjw==" spinCount="100000" sheet="1" objects="1" scenarios="1"/>
  <mergeCells count="3">
    <mergeCell ref="D3:I3"/>
    <mergeCell ref="D9:I9"/>
    <mergeCell ref="D15:I15"/>
  </mergeCells>
  <pageMargins left="0.7" right="0.7" top="0.75" bottom="0.75"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Gráficos</vt:lpstr>
      </vt:variant>
      <vt:variant>
        <vt:i4>1</vt:i4>
      </vt:variant>
    </vt:vector>
  </HeadingPairs>
  <TitlesOfParts>
    <vt:vector size="16" baseType="lpstr">
      <vt:lpstr>MATRIZ DE SEGUIMIENTO</vt:lpstr>
      <vt:lpstr>PONDERADORES</vt:lpstr>
      <vt:lpstr>PILAR RESILIENTE</vt:lpstr>
      <vt:lpstr>INCLUYENTE</vt:lpstr>
      <vt:lpstr>CONTINGENTE</vt:lpstr>
      <vt:lpstr>TRANSPARENTE</vt:lpstr>
      <vt:lpstr>TRANSVERSAL</vt:lpstr>
      <vt:lpstr>PLAN DE DESARROLLO </vt:lpstr>
      <vt:lpstr>EVALUACION DE EFICIENCIA CUADRO</vt:lpstr>
      <vt:lpstr>P. RESILIENTE</vt:lpstr>
      <vt:lpstr>P. INCLUYENTE</vt:lpstr>
      <vt:lpstr>P. CONTIGENTE</vt:lpstr>
      <vt:lpstr>P. TRANSPARENTE</vt:lpstr>
      <vt:lpstr>P. TRANSVERSAL</vt:lpstr>
      <vt:lpstr>Hoja1</vt:lpstr>
      <vt:lpstr>Gráfico1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Maria Mernarda Perez Carmona</cp:lastModifiedBy>
  <cp:lastPrinted>2023-01-28T01:05:52Z</cp:lastPrinted>
  <dcterms:created xsi:type="dcterms:W3CDTF">2020-09-01T19:39:40Z</dcterms:created>
  <dcterms:modified xsi:type="dcterms:W3CDTF">2023-01-31T15:58:20Z</dcterms:modified>
</cp:coreProperties>
</file>