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bperez\Desktop\SEGUIMIENTOS PLANES DE ACCION CORTE 30 DE SEPTIEMBRE ACTUALIZADOS\"/>
    </mc:Choice>
  </mc:AlternateContent>
  <bookViews>
    <workbookView xWindow="0" yWindow="0" windowWidth="16815" windowHeight="7755"/>
  </bookViews>
  <sheets>
    <sheet name="PLAN DE ACCIÓN 2022" sheetId="1" r:id="rId1"/>
  </sheets>
  <definedNames>
    <definedName name="_Hlk49970378" localSheetId="0">'PLAN DE ACCIÓN 2022'!$AC$13</definedName>
    <definedName name="_xlnm.Print_Area" localSheetId="0">'PLAN DE ACCIÓN 2022'!$A$1:$AY$22</definedName>
    <definedName name="_xlnm.Print_Titles" localSheetId="0">'PLAN DE ACCIÓN 2022'!$1:$3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T23" i="1" l="1"/>
  <c r="AO22" i="1"/>
  <c r="AV23" i="1" s="1"/>
  <c r="AU21" i="1"/>
  <c r="AP21" i="1"/>
  <c r="AI21" i="1"/>
  <c r="AH21" i="1"/>
  <c r="T21" i="1"/>
  <c r="AV20" i="1"/>
  <c r="AI20" i="1"/>
  <c r="AH20" i="1"/>
  <c r="T20" i="1"/>
  <c r="AV19" i="1"/>
  <c r="AI19" i="1"/>
  <c r="AH19" i="1"/>
  <c r="T19" i="1"/>
  <c r="AI16" i="1"/>
  <c r="AV15" i="1"/>
  <c r="AV17" i="1" s="1"/>
  <c r="AI15" i="1"/>
  <c r="AH15" i="1"/>
  <c r="AH16" i="1" s="1"/>
  <c r="T15" i="1"/>
  <c r="AP13" i="1"/>
  <c r="AI13" i="1"/>
  <c r="AH13" i="1"/>
  <c r="Q13" i="1"/>
  <c r="T13" i="1" s="1"/>
  <c r="AE13" i="1" s="1"/>
  <c r="AF13" i="1" s="1"/>
  <c r="AF14" i="1" s="1"/>
  <c r="AV12" i="1"/>
  <c r="AV11" i="1"/>
  <c r="AK11" i="1"/>
  <c r="AH11" i="1"/>
  <c r="AF11" i="1"/>
  <c r="T11" i="1"/>
  <c r="N11" i="1"/>
  <c r="AK10" i="1"/>
  <c r="AH10" i="1"/>
  <c r="AE10" i="1"/>
  <c r="AF10" i="1" s="1"/>
  <c r="AV9" i="1"/>
  <c r="AK9" i="1"/>
  <c r="AI9" i="1"/>
  <c r="AH9" i="1"/>
  <c r="AE9" i="1"/>
  <c r="AF9" i="1" s="1"/>
  <c r="AF12" i="1" s="1"/>
  <c r="R9" i="1"/>
  <c r="Q9" i="1"/>
  <c r="P9" i="1"/>
  <c r="T9" i="1" s="1"/>
  <c r="N9" i="1"/>
  <c r="M9" i="1"/>
  <c r="AF7" i="1"/>
  <c r="AV6" i="1"/>
  <c r="AH6" i="1"/>
  <c r="AF6" i="1"/>
  <c r="T6" i="1"/>
  <c r="W6" i="1" s="1"/>
  <c r="N6" i="1"/>
  <c r="AF5" i="1"/>
  <c r="AV4" i="1"/>
  <c r="AV8" i="1" s="1"/>
  <c r="AI4" i="1"/>
  <c r="AH4" i="1"/>
  <c r="R4" i="1"/>
  <c r="T4" i="1" s="1"/>
  <c r="N4" i="1"/>
  <c r="M4" i="1"/>
  <c r="F4" i="1"/>
  <c r="AD4" i="1" l="1"/>
  <c r="U9" i="1"/>
  <c r="U11" i="1"/>
  <c r="W11" i="1"/>
  <c r="X11" i="1" s="1"/>
  <c r="AP22" i="1"/>
  <c r="AV13" i="1"/>
  <c r="AV14" i="1" s="1"/>
  <c r="AE15" i="1"/>
  <c r="AE16" i="1" s="1"/>
  <c r="AF16" i="1" s="1"/>
  <c r="AF17" i="1" s="1"/>
  <c r="W15" i="1"/>
  <c r="X15" i="1" s="1"/>
  <c r="U15" i="1"/>
  <c r="U17" i="1" s="1"/>
  <c r="AE19" i="1"/>
  <c r="AF19" i="1" s="1"/>
  <c r="U19" i="1"/>
  <c r="AE20" i="1"/>
  <c r="AF20" i="1" s="1"/>
  <c r="W20" i="1"/>
  <c r="X20" i="1" s="1"/>
  <c r="W21" i="1"/>
  <c r="X21" i="1" s="1"/>
  <c r="U21" i="1"/>
  <c r="AV22" i="1"/>
  <c r="Y15" i="1"/>
  <c r="X17" i="1"/>
  <c r="Y18" i="1"/>
  <c r="AK6" i="1"/>
  <c r="AK4" i="1"/>
  <c r="AK7" i="1"/>
  <c r="AK5" i="1"/>
  <c r="F6" i="1"/>
  <c r="X6" i="1"/>
  <c r="W4" i="1"/>
  <c r="U4" i="1"/>
  <c r="U12" i="1"/>
  <c r="V9" i="1"/>
  <c r="W9" i="1"/>
  <c r="W13" i="1"/>
  <c r="V15" i="1"/>
  <c r="W19" i="1"/>
  <c r="X19" i="1" s="1"/>
  <c r="X22" i="1" s="1"/>
  <c r="U20" i="1"/>
  <c r="AE21" i="1"/>
  <c r="AF21" i="1" s="1"/>
  <c r="AF22" i="1" s="1"/>
  <c r="AE4" i="1"/>
  <c r="AF4" i="1" s="1"/>
  <c r="AF8" i="1" s="1"/>
  <c r="AF23" i="1" s="1"/>
  <c r="U6" i="1"/>
  <c r="U13" i="1"/>
  <c r="AV21" i="1"/>
  <c r="U22" i="1" l="1"/>
  <c r="V18" i="1"/>
  <c r="X4" i="1"/>
  <c r="AJ4" i="1"/>
  <c r="U8" i="1"/>
  <c r="V4" i="1"/>
  <c r="AJ9" i="1"/>
  <c r="F9" i="1"/>
  <c r="X9" i="1"/>
  <c r="V13" i="1"/>
  <c r="V23" i="1" s="1"/>
  <c r="U14" i="1"/>
  <c r="AJ13" i="1"/>
  <c r="F13" i="1"/>
  <c r="X13" i="1"/>
  <c r="U23" i="1" l="1"/>
  <c r="X8" i="1"/>
  <c r="Y4" i="1"/>
  <c r="Y9" i="1"/>
  <c r="X12" i="1"/>
  <c r="X14" i="1"/>
  <c r="Y13" i="1"/>
  <c r="X23" i="1" l="1"/>
  <c r="Y22" i="1"/>
</calcChain>
</file>

<file path=xl/comments1.xml><?xml version="1.0" encoding="utf-8"?>
<comments xmlns="http://schemas.openxmlformats.org/spreadsheetml/2006/main">
  <authors>
    <author>gaona.solano.javier@gmail.com</author>
  </authors>
  <commentList>
    <comment ref="M4" authorId="0" shapeId="0">
      <text>
        <r>
          <rPr>
            <b/>
            <sz val="12"/>
            <color rgb="FF000000"/>
            <rFont val="Tahoma"/>
            <family val="2"/>
          </rPr>
          <t xml:space="preserve">SUBSIDIOS 2021:
</t>
        </r>
        <r>
          <rPr>
            <b/>
            <sz val="12"/>
            <color rgb="FF000000"/>
            <rFont val="Tahoma"/>
            <family val="2"/>
          </rPr>
          <t xml:space="preserve">
</t>
        </r>
        <r>
          <rPr>
            <b/>
            <sz val="12"/>
            <color rgb="FF000000"/>
            <rFont val="Tahoma"/>
            <family val="2"/>
          </rPr>
          <t xml:space="preserve">    1 CLP 1 Y 2
</t>
        </r>
        <r>
          <rPr>
            <b/>
            <sz val="12"/>
            <color rgb="FF000000"/>
            <rFont val="Tahoma"/>
            <family val="2"/>
          </rPr>
          <t>149 CLP 3,4,5</t>
        </r>
      </text>
    </comment>
    <comment ref="N4" authorId="0" shapeId="0">
      <text>
        <r>
          <rPr>
            <b/>
            <sz val="12"/>
            <color rgb="FF000000"/>
            <rFont val="Tahoma"/>
            <family val="2"/>
          </rPr>
          <t xml:space="preserve">SUBSIDIOS 2022:
</t>
        </r>
        <r>
          <rPr>
            <b/>
            <sz val="12"/>
            <color rgb="FF000000"/>
            <rFont val="Tahoma"/>
            <family val="2"/>
          </rPr>
          <t xml:space="preserve">
</t>
        </r>
        <r>
          <rPr>
            <b/>
            <sz val="12"/>
            <color rgb="FF000000"/>
            <rFont val="Tahoma"/>
            <family val="2"/>
          </rPr>
          <t xml:space="preserve">  48 CLP 1 y 2
</t>
        </r>
        <r>
          <rPr>
            <b/>
            <sz val="12"/>
            <color rgb="FF000000"/>
            <rFont val="Tahoma"/>
            <family val="2"/>
          </rPr>
          <t xml:space="preserve">  10 Presupeusto 2022
</t>
        </r>
        <r>
          <rPr>
            <b/>
            <sz val="12"/>
            <color rgb="FF000000"/>
            <rFont val="Tahoma"/>
            <family val="2"/>
          </rPr>
          <t xml:space="preserve">660 Convenio CVV-FVV
</t>
        </r>
        <r>
          <rPr>
            <b/>
            <sz val="12"/>
            <color rgb="FF000000"/>
            <rFont val="Tahoma"/>
            <family val="2"/>
          </rPr>
          <t xml:space="preserve">  45 Bahía San Carlos 2021</t>
        </r>
      </text>
    </comment>
    <comment ref="N6" authorId="0" shapeId="0">
      <text>
        <r>
          <rPr>
            <b/>
            <sz val="12"/>
            <color rgb="FF000000"/>
            <rFont val="Tahoma"/>
            <family val="2"/>
          </rPr>
          <t xml:space="preserve">VIVIENDAS INICIADAS 2022:
</t>
        </r>
        <r>
          <rPr>
            <b/>
            <sz val="12"/>
            <color rgb="FF000000"/>
            <rFont val="Tahoma"/>
            <family val="2"/>
          </rPr>
          <t xml:space="preserve">
</t>
        </r>
        <r>
          <rPr>
            <b/>
            <sz val="12"/>
            <color rgb="FF000000"/>
            <rFont val="Tahoma"/>
            <family val="2"/>
          </rPr>
          <t xml:space="preserve">  10 Presupuesto 2022
</t>
        </r>
        <r>
          <rPr>
            <b/>
            <sz val="12"/>
            <color rgb="FF000000"/>
            <rFont val="Tahoma"/>
            <family val="2"/>
          </rPr>
          <t xml:space="preserve">660 Convenio CVV-FVV
</t>
        </r>
        <r>
          <rPr>
            <b/>
            <sz val="12"/>
            <color rgb="FF000000"/>
            <rFont val="Tahoma"/>
            <family val="2"/>
          </rPr>
          <t xml:space="preserve">126 Bahía San carlos Torre 2
</t>
        </r>
        <r>
          <rPr>
            <b/>
            <sz val="12"/>
            <color rgb="FF000000"/>
            <rFont val="Tahoma"/>
            <family val="2"/>
          </rPr>
          <t xml:space="preserve">    7 Compraventa San Francisco</t>
        </r>
      </text>
    </comment>
    <comment ref="M9" authorId="0" shapeId="0">
      <text>
        <r>
          <rPr>
            <b/>
            <sz val="12"/>
            <color rgb="FF000000"/>
            <rFont val="Tahoma"/>
            <family val="2"/>
          </rPr>
          <t xml:space="preserve">MEJORAMIENTO URBANO 2021:
</t>
        </r>
        <r>
          <rPr>
            <b/>
            <sz val="12"/>
            <color rgb="FF000000"/>
            <rFont val="Tahoma"/>
            <family val="2"/>
          </rPr>
          <t xml:space="preserve">
</t>
        </r>
        <r>
          <rPr>
            <b/>
            <sz val="12"/>
            <color rgb="FF000000"/>
            <rFont val="Tahoma"/>
            <family val="2"/>
          </rPr>
          <t xml:space="preserve">228 PROGRAMA CDVD
</t>
        </r>
        <r>
          <rPr>
            <b/>
            <sz val="12"/>
            <color rgb="FF000000"/>
            <rFont val="Tahoma"/>
            <family val="2"/>
          </rPr>
          <t>296 RECURSOS PROPIOS</t>
        </r>
        <r>
          <rPr>
            <sz val="12"/>
            <color rgb="FF000000"/>
            <rFont val="Tahoma"/>
            <family val="2"/>
          </rPr>
          <t xml:space="preserve">
</t>
        </r>
      </text>
    </comment>
    <comment ref="N9" authorId="0" shapeId="0">
      <text>
        <r>
          <rPr>
            <b/>
            <sz val="12"/>
            <color rgb="FF000000"/>
            <rFont val="Tahoma"/>
            <family val="2"/>
          </rPr>
          <t xml:space="preserve">MEJORAMIENTO URBANO 2022:
</t>
        </r>
        <r>
          <rPr>
            <b/>
            <sz val="12"/>
            <color rgb="FF000000"/>
            <rFont val="Tahoma"/>
            <family val="2"/>
          </rPr>
          <t xml:space="preserve">
</t>
        </r>
        <r>
          <rPr>
            <b/>
            <sz val="12"/>
            <color rgb="FF000000"/>
            <rFont val="Tahoma"/>
            <family val="2"/>
          </rPr>
          <t xml:space="preserve">   989 CONVOCATORIA </t>
        </r>
        <r>
          <rPr>
            <b/>
            <sz val="12"/>
            <color rgb="FF000000"/>
            <rFont val="Calibri"/>
            <family val="2"/>
          </rPr>
          <t xml:space="preserve">2019-O-23-CARTAGENA </t>
        </r>
        <r>
          <rPr>
            <b/>
            <sz val="12"/>
            <color rgb="FF000000"/>
            <rFont val="Tahoma"/>
            <family val="2"/>
          </rPr>
          <t xml:space="preserve">
</t>
        </r>
        <r>
          <rPr>
            <b/>
            <sz val="12"/>
            <color rgb="FF000000"/>
            <rFont val="Tahoma"/>
            <family val="2"/>
          </rPr>
          <t>1.300 3RA CONVOCATOIRA CDVD</t>
        </r>
      </text>
    </comment>
    <comment ref="M11" authorId="0" shapeId="0">
      <text>
        <r>
          <rPr>
            <b/>
            <sz val="12"/>
            <color rgb="FF000000"/>
            <rFont val="Tahoma"/>
            <family val="2"/>
          </rPr>
          <t xml:space="preserve">MEJORAMIENTO RURAL 2021:
</t>
        </r>
        <r>
          <rPr>
            <b/>
            <sz val="12"/>
            <color rgb="FF000000"/>
            <rFont val="Tahoma"/>
            <family val="2"/>
          </rPr>
          <t xml:space="preserve">
</t>
        </r>
        <r>
          <rPr>
            <b/>
            <sz val="12"/>
            <color rgb="FF000000"/>
            <rFont val="Tahoma"/>
            <family val="2"/>
          </rPr>
          <t>8 FIDUAGRARIA</t>
        </r>
      </text>
    </comment>
    <comment ref="N11" authorId="0" shapeId="0">
      <text>
        <r>
          <rPr>
            <b/>
            <sz val="12"/>
            <color rgb="FF000000"/>
            <rFont val="Tahoma"/>
            <family val="2"/>
          </rPr>
          <t xml:space="preserve">MEJORAMIENTO RURAL 2022:
</t>
        </r>
        <r>
          <rPr>
            <b/>
            <sz val="12"/>
            <color rgb="FF000000"/>
            <rFont val="Tahoma"/>
            <family val="2"/>
          </rPr>
          <t xml:space="preserve">
</t>
        </r>
        <r>
          <rPr>
            <sz val="12"/>
            <color rgb="FF000000"/>
            <rFont val="Tahoma"/>
            <family val="2"/>
          </rPr>
          <t xml:space="preserve">  </t>
        </r>
        <r>
          <rPr>
            <b/>
            <sz val="12"/>
            <color rgb="FF000000"/>
            <rFont val="Tahoma"/>
            <family val="2"/>
          </rPr>
          <t xml:space="preserve">15 FIDUAGRARIA
</t>
        </r>
        <r>
          <rPr>
            <b/>
            <sz val="12"/>
            <color rgb="FF000000"/>
            <rFont val="Tahoma"/>
            <family val="2"/>
          </rPr>
          <t>230 VIVIENDA RURAL MVCT</t>
        </r>
      </text>
    </comment>
    <comment ref="M13" authorId="0" shapeId="0">
      <text>
        <r>
          <rPr>
            <b/>
            <sz val="12"/>
            <color rgb="FF000000"/>
            <rFont val="Tahoma"/>
            <family val="2"/>
          </rPr>
          <t xml:space="preserve">TITULACIÓN 2021:
</t>
        </r>
        <r>
          <rPr>
            <b/>
            <sz val="12"/>
            <color rgb="FF000000"/>
            <rFont val="Tahoma"/>
            <family val="2"/>
          </rPr>
          <t xml:space="preserve">
</t>
        </r>
        <r>
          <rPr>
            <b/>
            <sz val="12"/>
            <color rgb="FF000000"/>
            <rFont val="Tahoma"/>
            <family val="2"/>
          </rPr>
          <t>115 EL POZÓN</t>
        </r>
        <r>
          <rPr>
            <sz val="12"/>
            <color rgb="FF000000"/>
            <rFont val="Tahoma"/>
            <family val="2"/>
          </rPr>
          <t xml:space="preserve">
</t>
        </r>
        <r>
          <rPr>
            <sz val="12"/>
            <color rgb="FF000000"/>
            <rFont val="Tahoma"/>
            <family val="2"/>
          </rPr>
          <t xml:space="preserve">  </t>
        </r>
        <r>
          <rPr>
            <b/>
            <sz val="12"/>
            <color rgb="FF000000"/>
            <rFont val="Tahoma"/>
            <family val="2"/>
          </rPr>
          <t xml:space="preserve">18 LAS AMERICAS
</t>
        </r>
        <r>
          <rPr>
            <b/>
            <sz val="12"/>
            <color rgb="FF000000"/>
            <rFont val="Tahoma"/>
            <family val="2"/>
          </rPr>
          <t xml:space="preserve">  12 NUEVO PARAISO
</t>
        </r>
        <r>
          <rPr>
            <b/>
            <sz val="12"/>
            <color rgb="FF000000"/>
            <rFont val="Tahoma"/>
            <family val="2"/>
          </rPr>
          <t xml:space="preserve">  12 PASACABALLOS 1ro. AGO
</t>
        </r>
        <r>
          <rPr>
            <b/>
            <sz val="12"/>
            <color rgb="FF000000"/>
            <rFont val="Tahoma"/>
            <family val="2"/>
          </rPr>
          <t xml:space="preserve">  24 MANZANA 72</t>
        </r>
      </text>
    </comment>
    <comment ref="N13" authorId="0" shapeId="0">
      <text>
        <r>
          <rPr>
            <b/>
            <sz val="12"/>
            <color rgb="FF000000"/>
            <rFont val="Tahoma"/>
            <family val="2"/>
          </rPr>
          <t xml:space="preserve">TITULACIÓN 2022:
</t>
        </r>
        <r>
          <rPr>
            <b/>
            <sz val="12"/>
            <color rgb="FF000000"/>
            <rFont val="Tahoma"/>
            <family val="2"/>
          </rPr>
          <t xml:space="preserve">
</t>
        </r>
        <r>
          <rPr>
            <b/>
            <sz val="12"/>
            <color rgb="FF000000"/>
            <rFont val="Tahoma"/>
            <family val="2"/>
          </rPr>
          <t xml:space="preserve">  310 EL POZÓN
</t>
        </r>
        <r>
          <rPr>
            <b/>
            <sz val="12"/>
            <color rgb="FF000000"/>
            <rFont val="Tahoma"/>
            <family val="2"/>
          </rPr>
          <t xml:space="preserve">    42 LAS AMERICAS
</t>
        </r>
        <r>
          <rPr>
            <b/>
            <sz val="12"/>
            <color rgb="FF000000"/>
            <rFont val="Tahoma"/>
            <family val="2"/>
          </rPr>
          <t xml:space="preserve">    65 NUEVO PARAISO
</t>
        </r>
        <r>
          <rPr>
            <b/>
            <sz val="12"/>
            <color rgb="FF000000"/>
            <rFont val="Tahoma"/>
            <family val="2"/>
          </rPr>
          <t xml:space="preserve">    21 LA GLORIA I
</t>
        </r>
        <r>
          <rPr>
            <b/>
            <sz val="12"/>
            <color rgb="FF000000"/>
            <rFont val="Tahoma"/>
            <family val="2"/>
          </rPr>
          <t xml:space="preserve">    21 LUIS CARLOS GALÁN
</t>
        </r>
        <r>
          <rPr>
            <b/>
            <sz val="12"/>
            <color rgb="FF000000"/>
            <rFont val="Tahoma"/>
            <family val="2"/>
          </rPr>
          <t xml:space="preserve">    27 SAN PEDRO MARTIR
</t>
        </r>
        <r>
          <rPr>
            <b/>
            <sz val="12"/>
            <color rgb="FF000000"/>
            <rFont val="Tahoma"/>
            <family val="2"/>
          </rPr>
          <t xml:space="preserve">  100 SANTA MARÍA
</t>
        </r>
        <r>
          <rPr>
            <b/>
            <sz val="12"/>
            <color rgb="FF000000"/>
            <rFont val="Tahoma"/>
            <family val="2"/>
          </rPr>
          <t xml:space="preserve">    33 NAZARENO
</t>
        </r>
        <r>
          <rPr>
            <b/>
            <sz val="12"/>
            <color rgb="FF000000"/>
            <rFont val="Tahoma"/>
            <family val="2"/>
          </rPr>
          <t xml:space="preserve">    25 SIMÓN BOLIVAR
</t>
        </r>
        <r>
          <rPr>
            <b/>
            <sz val="12"/>
            <color rgb="FF000000"/>
            <rFont val="Tahoma"/>
            <family val="2"/>
          </rPr>
          <t xml:space="preserve">    15 LA CAROLINA
</t>
        </r>
        <r>
          <rPr>
            <b/>
            <sz val="12"/>
            <color rgb="FF000000"/>
            <rFont val="Tahoma"/>
            <family val="2"/>
          </rPr>
          <t xml:space="preserve">    16 CIUDADELA 2000
</t>
        </r>
        <r>
          <rPr>
            <b/>
            <sz val="12"/>
            <color rgb="FF000000"/>
            <rFont val="Tahoma"/>
            <family val="2"/>
          </rPr>
          <t xml:space="preserve">    17 LA ESMERALDA
</t>
        </r>
        <r>
          <rPr>
            <b/>
            <sz val="12"/>
            <color rgb="FF000000"/>
            <rFont val="Tahoma"/>
            <family val="2"/>
          </rPr>
          <t xml:space="preserve">  115 MANZANA 72
</t>
        </r>
        <r>
          <rPr>
            <b/>
            <sz val="12"/>
            <color rgb="FF000000"/>
            <rFont val="Tahoma"/>
            <family val="2"/>
          </rPr>
          <t xml:space="preserve">
</t>
        </r>
        <r>
          <rPr>
            <b/>
            <sz val="12"/>
            <color rgb="FF000000"/>
            <rFont val="Tahoma"/>
            <family val="34"/>
          </rPr>
          <t>2512 EL POZÓN - CLP</t>
        </r>
        <r>
          <rPr>
            <sz val="12"/>
            <color rgb="FF000000"/>
            <rFont val="Tahoma"/>
            <family val="34"/>
          </rPr>
          <t xml:space="preserve"> </t>
        </r>
      </text>
    </comment>
  </commentList>
</comments>
</file>

<file path=xl/sharedStrings.xml><?xml version="1.0" encoding="utf-8"?>
<sst xmlns="http://schemas.openxmlformats.org/spreadsheetml/2006/main" count="337" uniqueCount="199">
  <si>
    <t>SEGUIMIENTO PLAN DE ACCIÓN 2022
FONDO DE VIVIENDA DE INTERÉS SOCIAL Y REFORMA URBANA DISTRITAL "CORVIVIENDA"</t>
  </si>
  <si>
    <t>SEGUIMIENTO PLAN DE ACCIÓN 2022
FONDO DE VIVIENDA DE INTERÉS SOCIAL Y REFORMA URBANA DISTRITAL "CORVIVIENDA"
SEPTIEMBRE 2022</t>
  </si>
  <si>
    <r>
      <t xml:space="preserve">FECHA ACTUALIZACIÓN INFORMACIÓN   </t>
    </r>
    <r>
      <rPr>
        <b/>
        <sz val="12"/>
        <color theme="1"/>
        <rFont val="Calibri (Cuerpo)"/>
      </rPr>
      <t>DÍA: 30  MES: SEPTIEMBRE   AÑO: 2022</t>
    </r>
  </si>
  <si>
    <t>PILAR</t>
  </si>
  <si>
    <t>LÍNEA ESTRATÉGICA</t>
  </si>
  <si>
    <t>INDICADOR DE BIENESTAR</t>
  </si>
  <si>
    <t>LÍNEA BASE
2019</t>
  </si>
  <si>
    <t>META DE BIENESTAR 
2020-2023</t>
  </si>
  <si>
    <t>AVANCE META DE BIENESTAR MARZO 2022</t>
  </si>
  <si>
    <t xml:space="preserve">PROGRAMA </t>
  </si>
  <si>
    <t>INDICADOR DE PRODUCTO</t>
  </si>
  <si>
    <t>UNIDAD DE MEDIDA DEL INDICADOR DE PRODUCTO</t>
  </si>
  <si>
    <t>LINEA BASE
2019
SEGÚN PDD</t>
  </si>
  <si>
    <t>DESCRIPCIÓN DE LA META PRODUCTO 2020-2023</t>
  </si>
  <si>
    <t>VALOR ABSOLUTO DE LA META PRODUCTO 
2020-2023</t>
  </si>
  <si>
    <t>META
REZAGADA
A 2021</t>
  </si>
  <si>
    <t>PROGRAMACIÓN META A
2022</t>
  </si>
  <si>
    <t>ACUMULADO META PRODUCTO A 2020-2021</t>
  </si>
  <si>
    <t>REPORTE META PRODUCTO
EJECUTADO DE ENERO 1 A MARZO 31 DE 2022</t>
  </si>
  <si>
    <t>REPORTE META PRODUCTO
EJECUTADO DE ABRIL 1 A 
JUNIO 30 DE 
2022</t>
  </si>
  <si>
    <t>REPORTE META PRODUCTO
EJECUTADO DE JULIO 1 A SEPTIEMBRE 30 DE 2022</t>
  </si>
  <si>
    <t>REPORTE META PRODUCTO
EJECUTADO DE OCTUBRE 1 A DICIEMBRE 31 DE 2022</t>
  </si>
  <si>
    <t>AVANCE META PRODUCTO 
2022</t>
  </si>
  <si>
    <t>% DE AVANCE METAS PRODUCTO-PROGRAMA</t>
  </si>
  <si>
    <t xml:space="preserve">% AVANCE DEL PROGRAMA  2022 </t>
  </si>
  <si>
    <t>AVANCE METAS PRODUCTOS  EN EL CUATRIENIO</t>
  </si>
  <si>
    <t>%  ACUMULADO EN EL CUATRIENIO DEL PROGRAMA</t>
  </si>
  <si>
    <t>% AVANCE DEL PROGRAMA EN EL CUATRIENIO</t>
  </si>
  <si>
    <t>PROYECTO</t>
  </si>
  <si>
    <t>CÓDIGO DE PROYECTO BPIN</t>
  </si>
  <si>
    <t>OBJETIVO DEL PROYECTO</t>
  </si>
  <si>
    <t>ACTIVIDADES DEL PROYECTO</t>
  </si>
  <si>
    <t>VALOR ABSOLUTO DE LA ACTIVIDAD DEL PROYECTO
2022</t>
  </si>
  <si>
    <t>REPORTE ACTIVIDAD DE PROYECTO
EJECUTADO DE ENE 1 A 30 SEP 30 DE 2022</t>
  </si>
  <si>
    <t>% AVANCE PROYECTO</t>
  </si>
  <si>
    <t xml:space="preserve">Fecha de 
Inicio </t>
  </si>
  <si>
    <t>Tiempo de Ejecución
(número de días)</t>
  </si>
  <si>
    <t>Beneficiarios Programados</t>
  </si>
  <si>
    <t>Beneficiarios Cubiertos</t>
  </si>
  <si>
    <t>Porcentaje de Participación de la Actividad en el Proyecto</t>
  </si>
  <si>
    <t xml:space="preserve">DEPENDENCIA RESPONSABLE </t>
  </si>
  <si>
    <t>NOMBRE DEL RESPONSABLE</t>
  </si>
  <si>
    <t>FUENTE DE FINANCIACIÓN</t>
  </si>
  <si>
    <t>APROPIACIÓN DEFINITIVA 
(EN PESOS) SEGÚN CORVIVIENDA</t>
  </si>
  <si>
    <t>APROPIACIÓN DEFINITIVA 
(EN PESOS) SEGÚN PREDIS /PLANEACION</t>
  </si>
  <si>
    <t>FUENTE PRESUPUESTAL</t>
  </si>
  <si>
    <t>RUBRO
PRESUPUESTAL</t>
  </si>
  <si>
    <t>CÓDIGO PRESUPUESTAL</t>
  </si>
  <si>
    <t>REPORTE EJECUCIÓN PRESUPUESTAL SEGÚN CORVIVIENDA</t>
  </si>
  <si>
    <t>REPORTE EJECUCIÓN PRESUPUESTAL SEGUN PLANEACION</t>
  </si>
  <si>
    <t xml:space="preserve"> EJECUCION PRESUPUESTAL DEL PROGRAMA </t>
  </si>
  <si>
    <t>REQUIERE CONTRATACIÓN</t>
  </si>
  <si>
    <t>TIPO DE CONTRATACIÓN</t>
  </si>
  <si>
    <t>FECHA DE INICIO CONTRATACIÓN</t>
  </si>
  <si>
    <t>OBSERVACIONES</t>
  </si>
  <si>
    <t xml:space="preserve">RESILIENTE </t>
  </si>
  <si>
    <t xml:space="preserve">VIVIENDA PARA TODOS </t>
  </si>
  <si>
    <t xml:space="preserve">DÉFICIT CUANTITATIVO DE VIVIENDA DISMINUIDO  EN EL DISTRITO DE CARTAGENA </t>
  </si>
  <si>
    <t>36.794
HOGARES
SIN
VIVIENDA</t>
  </si>
  <si>
    <t>DISMINUCIÓN DE 13,6% DEL DÉFICIT CUANTITATIVO DE VIVIENDA CON SUBSIDIOS ADJUDICADOS
(5.000)</t>
  </si>
  <si>
    <t>JUNTOS POR UNA VIVIENDA DIGNA</t>
  </si>
  <si>
    <t>NÚMERO DE SUBSIDIOS DE VIVIENDA NUEVA ADJUDICADOS</t>
  </si>
  <si>
    <t>SUBSIDIOS FAMILIARES DE VIVIENDA ASIGNADOS</t>
  </si>
  <si>
    <t xml:space="preserve">ADJUDICACIÓN DE SUBSIDIOS DISTRITALES DE VIVIENDA PARA LA POBLACIÓN DE LOS ESTRATOS 1, 2 Y 3 </t>
  </si>
  <si>
    <t>APLICACIÓN A SUBSIDIOS E INICIACIÓN DE VIVIENDAS PARA LA POBLACIÓN BENEFICIADA DEL PROGRAMA JUNTOS POR UNA VIVIENDA DIGNA DE LA CIUDAD DE CARTAGENA DE INDIAS</t>
  </si>
  <si>
    <t>BPIN - 2020130010152</t>
  </si>
  <si>
    <t xml:space="preserve">
REDUCIR EL DÉFICIT HABITACIONAL CUANTITATIVO DE LA POBLACIÓN VULNERABLE OBJETIVO DEL DISTRITO TURÍSTICO Y CULTURAL DE CARTAGENA DE INDIAS.
</t>
  </si>
  <si>
    <t>ASIGNAR SFV COMPLEMENTARIOS CLP 1 (49) - CLP 3,4,5 (149) - BAHÍA SAN CARLOS (171) - INVERSION 2022 (421) - CONVENIO FVV-CVV (660)</t>
  </si>
  <si>
    <t>ENERO 
2022</t>
  </si>
  <si>
    <t xml:space="preserve">DIRECCIÓN  TÉCNICA </t>
  </si>
  <si>
    <t>ARQUITECTA ELVIA CABALLERO</t>
  </si>
  <si>
    <t>INVERSIÓN</t>
  </si>
  <si>
    <t>1.2.2.0.00-39-ICDE-CORVIVIENDA 15% IPU</t>
  </si>
  <si>
    <t>APLICACIÓN A SUBSIDIOS FAMILIARES DE VIVIENDA PARA LA POBLACIÓN BENEFICIADA DEL PROGRAMA JUNTOS POR UNA VIVIENDA DIGNA DE LA CIUDAD DE CARTAGENA DE INDIAS</t>
  </si>
  <si>
    <t>2.3.4001.1400.2020130010152</t>
  </si>
  <si>
    <t>SI</t>
  </si>
  <si>
    <t>CONTRATACIÓN DIRECTA</t>
  </si>
  <si>
    <t>ENERO
2022</t>
  </si>
  <si>
    <t>VERIFICAR INICIO DE OBRAS UNIDADES HABITACIONALES  CON SUBSIDIOS ASIGNADOS VIGENCIA  2022</t>
  </si>
  <si>
    <t>SEPTIEMBRE
2022</t>
  </si>
  <si>
    <t>DISMINUCIÓN DE 10,9% DEL DÉFICIT CUANTITATIVO DE VIVIENDA CON VIVIENDAS INICIADAS
(4.000)</t>
  </si>
  <si>
    <t xml:space="preserve">NÚMERO DE VIVIENDAS INICIADAS </t>
  </si>
  <si>
    <t xml:space="preserve">VIVIENDAS INICIADAS </t>
  </si>
  <si>
    <t>VIVIENDAS INICIADAS PARA POBREZA EXTREMA. CLASE TRABAJADORA, VÍCTIMAS DEL CONFLICTO ARMANDO, REINCORPORADOS Y AFECTADOS POR OLA INVERNAL, FALLAS GEOLÓGICAS Y OTROS DESASTRES</t>
  </si>
  <si>
    <t>TERMINACIÓN  Y ENTREGA UNIDADES HABITACIONALES EN EL MARCO DEL PROYECTO CLP  3, 4, 5 Y REUBICACIÓN SAN FRANCISCO</t>
  </si>
  <si>
    <t>28 MARZO
2022</t>
  </si>
  <si>
    <t>1.2.2.0.00-001-ICLD</t>
  </si>
  <si>
    <t>PAGO FACTURAS</t>
  </si>
  <si>
    <t>VERIFICAR INICIO DE OBRAS UNIDADES HABITACIONALES EN EL MARCO DEL PROYECTO BAHÍA SAN CARLOS T2</t>
  </si>
  <si>
    <t>AVANCE DEL PROGRAMA JUNTOS POR UNA VIVIENDA DIGNA</t>
  </si>
  <si>
    <t>AVANCE PROYECTOS DEL PROGRAMA JUNTOS POR UNA VIVIENDA DIGNA</t>
  </si>
  <si>
    <t>EJECUCION PPTAL PROGRAMA JUNTOS POR UNA VIVIENDA DIGNA</t>
  </si>
  <si>
    <t xml:space="preserve">DÉFICIT CUALITATIVO DE VIVIENDA DISMINUIDO  EN EL DISTRITO DE CARTAGENA </t>
  </si>
  <si>
    <t>19.258
VIVIENDAS</t>
  </si>
  <si>
    <t>DISMINUCIÓN DE 23,4% DEL DÉFICIT CUALITATIVO DE VIVIENDA
(4.500)</t>
  </si>
  <si>
    <t xml:space="preserve">MEJORO MI CASA  COMPROMISO DE TODOS </t>
  </si>
  <si>
    <t xml:space="preserve">NÚMERO DE VIVIENDAS MEJORADAS SECTOR URBANO </t>
  </si>
  <si>
    <t>VIVIENDAS
MEJORADAS</t>
  </si>
  <si>
    <t>VIVIENDAS MEJORADAS EN ZONA URBANA DEL DISTRITO DE CARTAGENA</t>
  </si>
  <si>
    <t>MEJORAMIENTO DE LAS CONDICIONES DE HABITABILIDAD PARA LA POBLACIÓN BENEFICIADA DEL SECTOR URBANO Y RURAL DEL PROGRAMA MEJOR MI CASA COMPROMISO DE TODOS DEL DISTRITO DE CARTAGENA DE INDIAS</t>
  </si>
  <si>
    <t>BPIN - 2020130010153</t>
  </si>
  <si>
    <t>REDUCIR EL DÉFICIT HABITACIONAL CUALITATIVO DE LOS HOGARES CON NECESIDADES BÁSICAS INSATISFECHAS DE HABITABILIDAD DEL DISTRITO TURÍSTICO Y CULTURAL DE CARTAGENA DE INDIAS.</t>
  </si>
  <si>
    <t xml:space="preserve"> REALIZAR  MEJORAS DE VIVIENDA EN EL MARCO DEL PROGRAMA "CASA DIGNA, VIDA DIGNA"</t>
  </si>
  <si>
    <t>MEJORAMIENTO DE LAS CONDICIONES DE HABITABILIDAD PARA LA POBLACIÓN BENEFICIADA DEL SECTOR URBANO Y RURAL DEL PROGRAMA MEJORO MI CADA COMPROMISO DE TODOS DEL DISTRITO DE CARTAGENA DE INDIAS</t>
  </si>
  <si>
    <t>2.3.4001.1400.2020130010153</t>
  </si>
  <si>
    <t>CONTRATACIÓN DIRECTA
ADICIONAL CONCURSO DE MÉRITOS</t>
  </si>
  <si>
    <t>REALIZAR  MEJORAS DE VIVIENDA EN EL  BARRIO EL POZÓN CON RECURSOS PROPIOS</t>
  </si>
  <si>
    <t>22 MARZO
2022</t>
  </si>
  <si>
    <t>NÚMERO DE VIVIENDAS MEJORADAS SECTOR RURAL</t>
  </si>
  <si>
    <t>VIVIENDAS MEJORADAS</t>
  </si>
  <si>
    <t>VIVIENDAS MEJORADAS EN ZONA RURAL E INSULAR DEL DISTRITO DE CARTAGENA</t>
  </si>
  <si>
    <t xml:space="preserve"> REALIZAR  MEJORAS DE VIVIENDA EN EL SECTOR RURAL CORREGIMIENTOS DE LA JURISDICCIÓN</t>
  </si>
  <si>
    <t>MAYO
2022</t>
  </si>
  <si>
    <t xml:space="preserve">AVANCE DEL PROGRAMA MEJORO MI CASA  COMPROMISO DE TODOS </t>
  </si>
  <si>
    <t xml:space="preserve">AVANCE PROYECTO DEL PROGRAMA MEJORO MI CASA  COMPROMISO DE TODOS </t>
  </si>
  <si>
    <t xml:space="preserve">EJECUCION PPTAL PROGRAMA  MEJORO MI CASA  COMPROMISO DE TODOS </t>
  </si>
  <si>
    <t xml:space="preserve">DÉFICIT  DE LEGALIZACIÓN Y TITULACIÓN DE PREDIOS  DISMINUIDO EN EL DISTRITO DE CARTAGENA </t>
  </si>
  <si>
    <t>14.770
VIVIENDAS</t>
  </si>
  <si>
    <t>DISMINUCIÓN DE 30,5% DEL DÉFICIT DE LEGALIZACIÓN Y TITULACIÓN DE PREDIOS
(4.500)</t>
  </si>
  <si>
    <t>¡MI CASA A LO LEGAL!</t>
  </si>
  <si>
    <t>NUMERO DE PREDIOS LEGALIZADOS Y/O TITULADOS</t>
  </si>
  <si>
    <t>PREDIOS LEGALIZADOS Y/O TITULADOS</t>
  </si>
  <si>
    <t xml:space="preserve">PREDIOS LEGALIZADOS Y/O TITULADOS EN EL DISTRITO DE CARTAGENA </t>
  </si>
  <si>
    <t>TITULACIÓN Y/O LEGALIZACIÓN DE PREDIOS PARA LA POBLACIÓN BENEFICIADA DEL PROGRAMA MI CASA A LO LEGAL DE LA CIUDAD DE CARTAGENA DE INDIAS</t>
  </si>
  <si>
    <t>BPIN - 2020130010154</t>
  </si>
  <si>
    <t>REDUCIR EL DÉFICIT DE LEGALIZACIÓN Y TITULACIÓN DE PREDIOS EN SITUACIÓN DE ILEGALIDAD EN EL DISTRITO TURÍSTICO Y CULTURAL DE CARTAGENA DE INDIAS.</t>
  </si>
  <si>
    <t xml:space="preserve"> TRAMITAR Y OTORGAR TÍTULOS DE PROPIEDAD</t>
  </si>
  <si>
    <t>FEBRERO
2022</t>
  </si>
  <si>
    <t xml:space="preserve">OFICINA ASESORA JURÍDICA </t>
  </si>
  <si>
    <t>ABOGADA 
ISABEL DÍAZ</t>
  </si>
  <si>
    <t>TITULACION Y/O LEGALIZACIÓN DE PREDIOS PARA LA POBLACIÓN BENEFICIADA DEL PROGRAMA MI CASA A LO LEGAL DE LA CIUDAD DE CARTAGENA DE INDIAS</t>
  </si>
  <si>
    <t>2.3.4001.1400.2020130010154</t>
  </si>
  <si>
    <t>CONTRATACIÓN DIRECTA
PAGO FACTURAS</t>
  </si>
  <si>
    <t>AVANCE DEL PROGRAMA ¡MI CASA A LO LEGAL!</t>
  </si>
  <si>
    <t>AVANCE DEL PROYECTO DEL PROGRAMA ¡MI CASA A LO LEGAL!</t>
  </si>
  <si>
    <t>EJECUCION PPTAL PROGRAMA  ¡MI CASA A LO LEGAL!</t>
  </si>
  <si>
    <t>ND</t>
  </si>
  <si>
    <t>NA</t>
  </si>
  <si>
    <t>UN LUGAR APTO PARA MI HOGAR</t>
  </si>
  <si>
    <t>NÚMERO DE INSTRUMENTOS Y/O DIAGNÓSTICOS QUE IDENTIFIQUEN ÁREAS DISPONIBLES PARA LA CONSTRUCCIÓN DE VIVIENDAS VIS Y/O VIP</t>
  </si>
  <si>
    <t>DOCUMENTO TÉCNICO, INSTRUMENTO Y/O DIAGNÓSTICO</t>
  </si>
  <si>
    <t>DOCUMENTOS TÉCNICOS, INSTRUMENTOS Y/O DIAGNÓSTICOS DESTINADOS A IDENTIFICAR SUELO DISPONIBLE PARA LA CONSTRUCCIÓN DE VIVIENDAS VIS Y/O VIP EN EL DISTRITO DE CARTAGENA DE INDIAS</t>
  </si>
  <si>
    <t>ELABORACIÓN DE DOCUMENTO TÉCNICO, INSTRUMENTO Y/O DIAGNÓSTICO Y ADQUISICIÓN DE TIERRAS POR ENAJENACIÓN, EXPROPIACIÓN O EXTINCIÓN DE DOMINIO APTAS PARA LA CONSTRUCCIÓN DE VIVIENDAS DE INTERÉS SOCIAL EN LA CIUDAD DE CARTAGENA DE INDIAS</t>
  </si>
  <si>
    <t>BPIN - 2020130010167</t>
  </si>
  <si>
    <t xml:space="preserve">AUMENTAR EN CORVIVIENDA EL NÚMERO DE HECTÁREAS DE TIERRAS IDENTIFICADAS COMO APTAS PARA LA CONSTRUCCIÓN DE VIVIENDAS DE INTERÉS SOCIAL. </t>
  </si>
  <si>
    <t>ELABORAR DOCUMENTO DE LINEAMIENTOS TÉCNICOS</t>
  </si>
  <si>
    <t>ELABORACIÓN DE DTS Y ADQUISICIÓN DE TIERRAS POR ENAJENACIÓN, EXPROPIACION, EXTINCIÓN DE DOMINIO Y/O COMPRAVENTA PARA LA CONSTRUCCIÓN DE  VIVIENDA VIS/VIP DEL PROGRAMA UN LUGAR APTO PARA MI HOGAR DE LA CIUDAD DE CARTAGENA DE INDIAS</t>
  </si>
  <si>
    <t>2.3.4001.1400.2021130010167</t>
  </si>
  <si>
    <t xml:space="preserve">NÚMERO DE HECTÁREAS DE TIERRAS APTAS PARA LA CONSTRUCCIÓŃN DE VIVIENDA NUEVA </t>
  </si>
  <si>
    <t>HECTÁREAS</t>
  </si>
  <si>
    <t xml:space="preserve">ADQUISICIÓŃN DE HECTÁREAS IDENTIFICADAS PARA LA CONSTRUCCIÓŃN DE VIVIENDAS VIS Y/O VIP EN EL DISTRITO DE CARTAGENA DE INDIAS </t>
  </si>
  <si>
    <t>NP</t>
  </si>
  <si>
    <t>CONTRATACIÓN DIRECTA
ADICIONAL CONCURSO DE MÉRITOS ABIERTO</t>
  </si>
  <si>
    <t>AVANCE PROGRAMA UN LUGAR APTO PARA MI HOGAR</t>
  </si>
  <si>
    <t>AVANCE DEL PROYECTO DEL PROGRAMA UN LUGAR APTO PARA MI HOGAR</t>
  </si>
  <si>
    <t>EJECUCION PPTAL PROGRAMA  UN LUGAR APTO PARA MI HOGAR</t>
  </si>
  <si>
    <t>MI CASA,
MI ENTORNO,
MI HÁBITAT</t>
  </si>
  <si>
    <t xml:space="preserve">NÚMERO DE DOCUMENTOS, ESTUDIOS O INFORMES REALIZADOS PARA LA MEDICIÓN INTEGRAL DE LAS NECESIDADES HABITACIONALES (MINH) </t>
  </si>
  <si>
    <t>DOCUMENTO GENERAL E INFORMES DE SEGUIMIENTO</t>
  </si>
  <si>
    <t>DOCUMENTO GENERAL E INFORMES DE SEGUIMIENTO PARA LA MEDICIÓN DE LAS NECESIDADES HABITACIONALES (MINH)</t>
  </si>
  <si>
    <t>ELABORACIÓN DE ESTUDIOS DIAGNÓSTICOS PARA LA MEDICIÓN INTEGRAL DE LAS NECESIDADES HABITACIONALES DE LA POBLACIÓN MENOS FAVORECIDA PROGRAMA MI CASA, MI ENTORNO, MI HÁBITAT DEL DISTRITO DE CARTAGENA DE INDIAS</t>
  </si>
  <si>
    <t>BPIN - 2020130010156</t>
  </si>
  <si>
    <t>REALIZAR MEDICIÓN INTEGRAL DE LAS NECESIDADES HABITACIONALES –MINH- Y PLAN MAESTRO DE VIVIENDA DE CARTAGENA, COMO RESULTADO DE UN PROCESO DE INVESTIGACIÓN SOCIOECONÓMICA, JURÍDICA Y FÍSICO ESPACIAL.</t>
  </si>
  <si>
    <t>OFICINA ASESORA DE PLANEACIÓN</t>
  </si>
  <si>
    <t>ADMINISTRADOR CARLOS FERNÁNDEZ</t>
  </si>
  <si>
    <t>NO</t>
  </si>
  <si>
    <t xml:space="preserve">NÚMERO DE ESTUDIOS Y SEGUIMIENTOS PARA LA CONFORMACIÓN DE LA LÍNEA ESTRATÉGICA DE ESTUDIOS DE VIVIENDA VIS </t>
  </si>
  <si>
    <t>INFORME DE ESTUDIO Y SEGUIMIENTO</t>
  </si>
  <si>
    <t>ESTUDIOS Y SEGUIMIENTO PARA LA CONFORMACIÓN DE LA LÍNEA ESTRATÉGICA DE ESTUDIOS DE VIVIENDA VIS QUE SE ARTICULARÁ EN EL OBSERVATORIO DISTRITAL</t>
  </si>
  <si>
    <t>ELABORACIÓN DE ESTUDIOS SECTORIALES Y SEGUIMIENTO A LA LÍNEA ESTRATÉGICA DE VIVIENDA A TRAVÉS DE UN OBSERVATORIO DE VIVIENDA DE INTERÉS SOCIAL DEL PROGRAMA MI CASA, MI ENTORNO, MI HÁBITAT DE LA CIUDAD DE CARTAGENA DE INDIAS</t>
  </si>
  <si>
    <t>BPIN - 2020130010306</t>
  </si>
  <si>
    <t>CONSTRUIR INFORMACIÓN DE VALOR PARA LA CREACIÓN Y SEGUIMIENTO DE POLÍTICAS PÚBLICAS DEL SECTOR VIVIENDA EN EL DISTRITO TURÍSTICO Y CULTURAL DE CARTAGENA DE INDIAS</t>
  </si>
  <si>
    <t>REALIZAR INFORME DE ESTUDIO Y SEGUIMIENTO DE INVESTIGACIÓN DEL SECTOR VIVIENDA DEL DISTRITO DE CARTAGENA DE INDIAS</t>
  </si>
  <si>
    <t>2.3.4002.1400.2020130010306</t>
  </si>
  <si>
    <t xml:space="preserve">FORMULACIÓN Y/O PARTICIPACIÓN EN INSTRUMENTOS DE PLANEACIÓN Y/O GESTIÓN URBANÍSTICA QUE DESARROLLEN EL POT </t>
  </si>
  <si>
    <t>INSTRUMENTO DE PLANEACIÓN Y/O GESTIÓN URBANÍSTICA</t>
  </si>
  <si>
    <t>FORMULACIÓN Y/O PARTICIPACIÓN EN INSTRUMENTOS DE PLANEACIÓN Y/O GESTIÓN URBANÍSTICA QUE DESARROLLE EL POT (PLAN PARCIAL)</t>
  </si>
  <si>
    <t>ELABORACIÓN DE ESTUDIOS PARA LA FORMULACIÓN Y/O PARTICIPACIÓN EN PLANES PARCIALES DEL PROGRAMA MI CASA, MI ENTORNO, MI HÁBITAT DE LA CIUDAD DE CARTAGENA DE INDIAS</t>
  </si>
  <si>
    <t>BPIN - 2020130010307</t>
  </si>
  <si>
    <t>FORMULAR PLANES PARCIALES PARA VIVIENDA DE INTERÉS SOCIAL QUE CONTRIBUYAN A DISMINUIR EL DÉFICIT HABITACIONAL CUANTITATIVO DEL DISTRITO TURÍSTICO Y CULTURAL DE CARTAGENA DE INDIAS</t>
  </si>
  <si>
    <t>FORMULAR Y/O PARTICIPAR EN INSTRUMENTOS DE PLANEACIÓN Y/O GESTIÓN URBANÍSTICA QUE DESARROLLEN PARA EL NUEVO POT</t>
  </si>
  <si>
    <t>2.3.4002.1400.2020130010307</t>
  </si>
  <si>
    <t xml:space="preserve">NÚMERO DE DOCUMENTOS TÉCNICOS DE SOPORTE DTS ELABORADOS PARA LA LEGALIZACIÓN URBANÍSTICA A REALIZARSE </t>
  </si>
  <si>
    <t>DOCUMENTO TÉCNICO DE SOPORTE</t>
  </si>
  <si>
    <t>ELABORACIÓN DE DOCUMENTOS TÉCNICOS DE SOPORTE DTS PARA LA LEGALIZACIÓN URBANÍSTICA A REALIZARSE</t>
  </si>
  <si>
    <t>ELABORACIÓN DE ESTUDIOS Y TRÁMITES DE LEGALIZACIÓN URBANÍSTICA DE BARRIOS DEL PROGRAMA MI CASA, MI ENTORNO, MI HÁBITAT, EN LA CIUDAD DE CARTAGENA DE INDIAS</t>
  </si>
  <si>
    <t>BPIN - 2020130010308</t>
  </si>
  <si>
    <t>AUMENTAR LA DISPONIBILIDAD DE BARRIOS CON PROCESOS DE LEGALIZACIÓN URBANÍSTICA PARA QUE PUEDAN ACCEDER A LA OFERTA DE PROYECTOS DE MEJORAMIENTO DE VIVIENDA Y TITULACIÓN DE PREDIOS EN EL DISTRITO TURÍSTICO Y CULTURAL DE CARTAGENA DE INDIAS</t>
  </si>
  <si>
    <t xml:space="preserve">ELABORAR  DOCUMENTOS TÉCNICOS DE SOPORTE  PARA LEGALIZACIÓN URBANÍSTICA DE BARRIOS QUE CUMPLAN CON LOS CRITERIOS DE PROCEDENCIA  </t>
  </si>
  <si>
    <t>2.3.4002.1400.2020130010308</t>
  </si>
  <si>
    <t>CONCURSO DE MÉRITOS ABIERTO</t>
  </si>
  <si>
    <t>AVANCE DEL PROGRAMA MI CASA, MI ENTORNO MI HABITAT</t>
  </si>
  <si>
    <t>AVANCE DE PROYECTOS  DEL PROGRAMA MI CASA, MI ENTORNO MI HABITAT</t>
  </si>
  <si>
    <t>PRESUPUESTO DE INVERSIÓN SEPT  2022</t>
  </si>
  <si>
    <t>EJECUCION PPTAL PROGRAMA  MI CASA, MI ENTORNO MI HABITAT</t>
  </si>
  <si>
    <r>
      <t xml:space="preserve">FUENTE:   </t>
    </r>
    <r>
      <rPr>
        <b/>
        <sz val="10"/>
        <color theme="1"/>
        <rFont val="Calibri (Cuerpo)"/>
      </rPr>
      <t>OFICINA ASESORA DE PLANEACIÓN</t>
    </r>
    <r>
      <rPr>
        <b/>
        <sz val="10"/>
        <color theme="1"/>
        <rFont val="Calibri"/>
        <family val="2"/>
        <scheme val="minor"/>
      </rPr>
      <t xml:space="preserve"> CORVIVIENDA
Secretaria de Planeacion</t>
    </r>
  </si>
  <si>
    <t>AVANCE PLAN DE DESARROLLO CORVIVIENDA A SEPT 30 DE 2022</t>
  </si>
  <si>
    <t>% AVANCE CUATRIENIO</t>
  </si>
  <si>
    <t>AVANCE PLAN DE ACCION SEPT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</si>
</sst>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2" formatCode="_-&quot;$&quot;* #,##0_-;\-&quot;$&quot;* #,##0_-;_-&quot;$&quot;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_-;\-* #,##0_-;_-* &quot;-&quot;??_-;_-@_-"/>
    <numFmt numFmtId="165" formatCode="_-&quot;$&quot;* #,##0.00_-;\-&quot;$&quot;* #,##0.00_-;_-&quot;$&quot;* &quot;-&quot;_-;_-@_-"/>
    <numFmt numFmtId="166" formatCode="0.0%"/>
    <numFmt numFmtId="167" formatCode="_-&quot;$&quot;* #,##0_-;\-&quot;$&quot;* #,##0_-;_-&quot;$&quot;* &quot;-&quot;??_-;_-@_-"/>
    <numFmt numFmtId="168" formatCode="#,##0.0"/>
  </numFmts>
  <fonts count="3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rgb="FFC00000"/>
      <name val="Calibri"/>
      <family val="2"/>
      <scheme val="minor"/>
    </font>
    <font>
      <b/>
      <sz val="12"/>
      <color theme="1"/>
      <name val="Calibri (Cuerpo)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color theme="1"/>
      <name val="Arial"/>
      <family val="2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name val="Calibri"/>
      <family val="2"/>
      <scheme val="minor"/>
    </font>
    <font>
      <sz val="14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6"/>
      <color rgb="FFFF000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20"/>
      <color rgb="FFFF0000"/>
      <name val="Calibri"/>
      <family val="2"/>
      <scheme val="minor"/>
    </font>
    <font>
      <sz val="14"/>
      <color rgb="FFFF0000"/>
      <name val="Calibri"/>
      <family val="2"/>
      <scheme val="minor"/>
    </font>
    <font>
      <sz val="16"/>
      <name val="Calibri"/>
      <family val="2"/>
      <scheme val="minor"/>
    </font>
    <font>
      <sz val="20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rgb="FFC00000"/>
      <name val="Calibri"/>
      <family val="2"/>
      <scheme val="minor"/>
    </font>
    <font>
      <b/>
      <sz val="10"/>
      <color theme="1"/>
      <name val="Calibri (Cuerpo)"/>
    </font>
    <font>
      <b/>
      <sz val="10"/>
      <color theme="1"/>
      <name val="Calibri"/>
      <family val="2"/>
      <scheme val="minor"/>
    </font>
    <font>
      <b/>
      <sz val="15"/>
      <color rgb="FFFF0000"/>
      <name val="Calibri"/>
      <family val="2"/>
      <scheme val="minor"/>
    </font>
    <font>
      <b/>
      <sz val="12"/>
      <color rgb="FF000000"/>
      <name val="Tahoma"/>
      <family val="2"/>
    </font>
    <font>
      <sz val="12"/>
      <color rgb="FF000000"/>
      <name val="Tahoma"/>
      <family val="2"/>
    </font>
    <font>
      <b/>
      <sz val="12"/>
      <color rgb="FF000000"/>
      <name val="Calibri"/>
      <family val="2"/>
    </font>
    <font>
      <b/>
      <sz val="12"/>
      <color rgb="FF000000"/>
      <name val="Tahoma"/>
      <family val="34"/>
    </font>
    <font>
      <sz val="12"/>
      <color rgb="FF000000"/>
      <name val="Tahoma"/>
      <family val="3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6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theme="1"/>
      </right>
      <top style="medium">
        <color theme="1"/>
      </top>
      <bottom style="thin">
        <color theme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theme="1"/>
      </right>
      <top style="thin">
        <color theme="1"/>
      </top>
      <bottom style="thin">
        <color theme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theme="1"/>
      </right>
      <top style="thin">
        <color theme="1"/>
      </top>
      <bottom style="medium">
        <color theme="1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theme="1"/>
      </right>
      <top/>
      <bottom/>
      <diagonal/>
    </border>
    <border>
      <left/>
      <right style="medium">
        <color theme="1"/>
      </right>
      <top/>
      <bottom style="thin">
        <color theme="1"/>
      </bottom>
      <diagonal/>
    </border>
    <border>
      <left/>
      <right style="medium">
        <color theme="1"/>
      </right>
      <top style="thin">
        <color theme="1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theme="1"/>
      </right>
      <top style="medium">
        <color theme="1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theme="1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79">
    <xf numFmtId="0" fontId="0" fillId="0" borderId="0" xfId="0"/>
    <xf numFmtId="0" fontId="3" fillId="0" borderId="0" xfId="0" applyFont="1" applyBorder="1" applyAlignment="1">
      <alignment vertical="center" wrapText="1"/>
    </xf>
    <xf numFmtId="0" fontId="0" fillId="0" borderId="0" xfId="0" applyFont="1"/>
    <xf numFmtId="0" fontId="5" fillId="0" borderId="0" xfId="0" applyFont="1" applyBorder="1" applyAlignment="1">
      <alignment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3" fontId="8" fillId="0" borderId="3" xfId="0" applyNumberFormat="1" applyFont="1" applyFill="1" applyBorder="1" applyAlignment="1">
      <alignment horizontal="center" vertical="center" wrapText="1"/>
    </xf>
    <xf numFmtId="3" fontId="7" fillId="0" borderId="3" xfId="0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10" fillId="0" borderId="0" xfId="0" applyFont="1" applyFill="1"/>
    <xf numFmtId="0" fontId="11" fillId="0" borderId="0" xfId="0" applyFont="1" applyFill="1"/>
    <xf numFmtId="0" fontId="13" fillId="0" borderId="9" xfId="0" applyFont="1" applyFill="1" applyBorder="1" applyAlignment="1">
      <alignment horizontal="center" vertical="center" wrapText="1"/>
    </xf>
    <xf numFmtId="3" fontId="14" fillId="0" borderId="9" xfId="0" applyNumberFormat="1" applyFont="1" applyBorder="1" applyAlignment="1">
      <alignment horizontal="center" vertical="center" wrapText="1"/>
    </xf>
    <xf numFmtId="9" fontId="14" fillId="0" borderId="9" xfId="3" applyFont="1" applyBorder="1" applyAlignment="1">
      <alignment horizontal="center" vertical="center" wrapText="1"/>
    </xf>
    <xf numFmtId="17" fontId="14" fillId="0" borderId="9" xfId="0" applyNumberFormat="1" applyFont="1" applyBorder="1" applyAlignment="1">
      <alignment horizontal="center" vertical="center" wrapText="1"/>
    </xf>
    <xf numFmtId="10" fontId="12" fillId="0" borderId="9" xfId="3" applyNumberFormat="1" applyFont="1" applyBorder="1" applyAlignment="1">
      <alignment horizontal="center" vertical="center"/>
    </xf>
    <xf numFmtId="0" fontId="15" fillId="0" borderId="0" xfId="0" applyFont="1"/>
    <xf numFmtId="0" fontId="13" fillId="0" borderId="11" xfId="0" applyFont="1" applyFill="1" applyBorder="1" applyAlignment="1">
      <alignment horizontal="center" vertical="center" wrapText="1"/>
    </xf>
    <xf numFmtId="3" fontId="14" fillId="0" borderId="11" xfId="0" applyNumberFormat="1" applyFont="1" applyBorder="1" applyAlignment="1">
      <alignment horizontal="center" vertical="center" wrapText="1"/>
    </xf>
    <xf numFmtId="17" fontId="14" fillId="0" borderId="11" xfId="0" applyNumberFormat="1" applyFont="1" applyBorder="1" applyAlignment="1">
      <alignment horizontal="center" vertical="center" wrapText="1"/>
    </xf>
    <xf numFmtId="10" fontId="12" fillId="0" borderId="11" xfId="3" applyNumberFormat="1" applyFont="1" applyBorder="1" applyAlignment="1">
      <alignment horizontal="center" vertical="center"/>
    </xf>
    <xf numFmtId="0" fontId="15" fillId="2" borderId="0" xfId="0" applyFont="1" applyFill="1"/>
    <xf numFmtId="10" fontId="14" fillId="0" borderId="9" xfId="3" applyNumberFormat="1" applyFont="1" applyBorder="1" applyAlignment="1">
      <alignment horizontal="center" vertical="center" wrapText="1"/>
    </xf>
    <xf numFmtId="0" fontId="13" fillId="0" borderId="10" xfId="0" applyFont="1" applyFill="1" applyBorder="1" applyAlignment="1">
      <alignment horizontal="center" vertical="center" wrapText="1"/>
    </xf>
    <xf numFmtId="3" fontId="14" fillId="0" borderId="10" xfId="0" applyNumberFormat="1" applyFont="1" applyBorder="1" applyAlignment="1">
      <alignment horizontal="center" vertical="center" wrapText="1"/>
    </xf>
    <xf numFmtId="17" fontId="14" fillId="0" borderId="10" xfId="0" applyNumberFormat="1" applyFont="1" applyBorder="1" applyAlignment="1">
      <alignment horizontal="center" vertical="center" wrapText="1"/>
    </xf>
    <xf numFmtId="10" fontId="12" fillId="2" borderId="10" xfId="3" applyNumberFormat="1" applyFont="1" applyFill="1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3" fontId="13" fillId="0" borderId="16" xfId="0" applyNumberFormat="1" applyFont="1" applyBorder="1" applyAlignment="1">
      <alignment horizontal="center" vertical="center" wrapText="1"/>
    </xf>
    <xf numFmtId="164" fontId="13" fillId="0" borderId="16" xfId="1" applyNumberFormat="1" applyFont="1" applyBorder="1" applyAlignment="1">
      <alignment horizontal="center" vertical="center" wrapText="1"/>
    </xf>
    <xf numFmtId="10" fontId="4" fillId="0" borderId="16" xfId="3" applyNumberFormat="1" applyFont="1" applyFill="1" applyBorder="1" applyAlignment="1">
      <alignment horizontal="center" vertical="center" wrapText="1"/>
    </xf>
    <xf numFmtId="10" fontId="17" fillId="0" borderId="15" xfId="0" applyNumberFormat="1" applyFont="1" applyFill="1" applyBorder="1" applyAlignment="1">
      <alignment horizontal="center" vertical="center" wrapText="1"/>
    </xf>
    <xf numFmtId="10" fontId="4" fillId="3" borderId="16" xfId="0" applyNumberFormat="1" applyFont="1" applyFill="1" applyBorder="1" applyAlignment="1">
      <alignment horizontal="center" vertical="center" wrapText="1"/>
    </xf>
    <xf numFmtId="3" fontId="4" fillId="2" borderId="16" xfId="0" applyNumberFormat="1" applyFont="1" applyFill="1" applyBorder="1" applyAlignment="1">
      <alignment horizontal="center" vertical="center" wrapText="1"/>
    </xf>
    <xf numFmtId="10" fontId="17" fillId="0" borderId="11" xfId="0" applyNumberFormat="1" applyFont="1" applyFill="1" applyBorder="1" applyAlignment="1">
      <alignment horizontal="center" vertical="center" wrapText="1"/>
    </xf>
    <xf numFmtId="10" fontId="4" fillId="3" borderId="28" xfId="0" applyNumberFormat="1" applyFont="1" applyFill="1" applyBorder="1" applyAlignment="1">
      <alignment horizontal="center" vertical="center" wrapText="1"/>
    </xf>
    <xf numFmtId="0" fontId="10" fillId="0" borderId="29" xfId="0" applyFont="1" applyBorder="1" applyAlignment="1">
      <alignment horizontal="center" vertical="center" wrapText="1"/>
    </xf>
    <xf numFmtId="9" fontId="18" fillId="0" borderId="33" xfId="0" applyNumberFormat="1" applyFont="1" applyFill="1" applyBorder="1" applyAlignment="1">
      <alignment horizontal="center" vertical="center" wrapText="1"/>
    </xf>
    <xf numFmtId="17" fontId="14" fillId="0" borderId="16" xfId="0" applyNumberFormat="1" applyFont="1" applyBorder="1" applyAlignment="1">
      <alignment horizontal="center" vertical="center" wrapText="1"/>
    </xf>
    <xf numFmtId="3" fontId="14" fillId="0" borderId="16" xfId="0" applyNumberFormat="1" applyFont="1" applyBorder="1" applyAlignment="1">
      <alignment horizontal="center" vertical="center" wrapText="1"/>
    </xf>
    <xf numFmtId="10" fontId="12" fillId="2" borderId="16" xfId="3" applyNumberFormat="1" applyFont="1" applyFill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/>
    </xf>
    <xf numFmtId="165" fontId="12" fillId="0" borderId="16" xfId="0" applyNumberFormat="1" applyFont="1" applyBorder="1" applyAlignment="1">
      <alignment horizontal="center" vertical="center"/>
    </xf>
    <xf numFmtId="42" fontId="12" fillId="0" borderId="16" xfId="2" applyNumberFormat="1" applyFont="1" applyFill="1" applyBorder="1" applyAlignment="1">
      <alignment horizontal="center" vertical="center" wrapText="1"/>
    </xf>
    <xf numFmtId="0" fontId="12" fillId="0" borderId="16" xfId="0" applyFont="1" applyFill="1" applyBorder="1" applyAlignment="1">
      <alignment horizontal="center" vertical="center" wrapText="1"/>
    </xf>
    <xf numFmtId="10" fontId="18" fillId="0" borderId="16" xfId="3" applyNumberFormat="1" applyFont="1" applyBorder="1" applyAlignment="1">
      <alignment horizontal="center" vertical="center"/>
    </xf>
    <xf numFmtId="14" fontId="14" fillId="0" borderId="34" xfId="0" applyNumberFormat="1" applyFont="1" applyFill="1" applyBorder="1" applyAlignment="1">
      <alignment horizontal="center" vertical="center" wrapText="1"/>
    </xf>
    <xf numFmtId="0" fontId="10" fillId="0" borderId="35" xfId="0" applyFont="1" applyBorder="1" applyAlignment="1">
      <alignment horizontal="left" vertical="center" wrapText="1"/>
    </xf>
    <xf numFmtId="3" fontId="14" fillId="0" borderId="9" xfId="0" applyNumberFormat="1" applyFont="1" applyFill="1" applyBorder="1" applyAlignment="1">
      <alignment horizontal="center" vertical="center" wrapText="1"/>
    </xf>
    <xf numFmtId="9" fontId="14" fillId="0" borderId="9" xfId="3" applyFont="1" applyFill="1" applyBorder="1" applyAlignment="1">
      <alignment horizontal="center" vertical="center" wrapText="1"/>
    </xf>
    <xf numFmtId="3" fontId="14" fillId="0" borderId="11" xfId="0" applyNumberFormat="1" applyFont="1" applyFill="1" applyBorder="1" applyAlignment="1">
      <alignment horizontal="center" vertical="center" wrapText="1"/>
    </xf>
    <xf numFmtId="10" fontId="14" fillId="0" borderId="11" xfId="0" applyNumberFormat="1" applyFont="1" applyBorder="1" applyAlignment="1">
      <alignment horizontal="center" vertical="center" wrapText="1"/>
    </xf>
    <xf numFmtId="164" fontId="10" fillId="0" borderId="10" xfId="1" applyNumberFormat="1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3" fontId="4" fillId="0" borderId="10" xfId="0" applyNumberFormat="1" applyFont="1" applyFill="1" applyBorder="1" applyAlignment="1">
      <alignment horizontal="center" vertical="center" wrapText="1"/>
    </xf>
    <xf numFmtId="3" fontId="4" fillId="0" borderId="10" xfId="0" applyNumberFormat="1" applyFont="1" applyBorder="1" applyAlignment="1">
      <alignment horizontal="center" vertical="center" wrapText="1"/>
    </xf>
    <xf numFmtId="10" fontId="4" fillId="0" borderId="10" xfId="0" applyNumberFormat="1" applyFont="1" applyFill="1" applyBorder="1" applyAlignment="1">
      <alignment horizontal="center" vertical="center" wrapText="1"/>
    </xf>
    <xf numFmtId="3" fontId="14" fillId="0" borderId="10" xfId="0" applyNumberFormat="1" applyFont="1" applyFill="1" applyBorder="1" applyAlignment="1">
      <alignment horizontal="center" vertical="center" wrapText="1"/>
    </xf>
    <xf numFmtId="165" fontId="12" fillId="0" borderId="11" xfId="0" applyNumberFormat="1" applyFont="1" applyBorder="1" applyAlignment="1">
      <alignment vertical="center"/>
    </xf>
    <xf numFmtId="44" fontId="0" fillId="0" borderId="11" xfId="2" applyFont="1" applyBorder="1" applyAlignment="1">
      <alignment horizontal="left" vertical="center" wrapText="1"/>
    </xf>
    <xf numFmtId="42" fontId="12" fillId="0" borderId="11" xfId="2" applyNumberFormat="1" applyFont="1" applyFill="1" applyBorder="1" applyAlignment="1">
      <alignment horizontal="center" vertical="center" wrapText="1"/>
    </xf>
    <xf numFmtId="9" fontId="12" fillId="0" borderId="11" xfId="3" applyFont="1" applyBorder="1" applyAlignment="1">
      <alignment horizontal="center" vertical="center"/>
    </xf>
    <xf numFmtId="10" fontId="18" fillId="0" borderId="11" xfId="0" applyNumberFormat="1" applyFont="1" applyFill="1" applyBorder="1" applyAlignment="1">
      <alignment horizontal="center" vertical="center" wrapText="1"/>
    </xf>
    <xf numFmtId="10" fontId="4" fillId="3" borderId="11" xfId="0" applyNumberFormat="1" applyFont="1" applyFill="1" applyBorder="1" applyAlignment="1">
      <alignment horizontal="center" vertical="center" wrapText="1"/>
    </xf>
    <xf numFmtId="3" fontId="4" fillId="0" borderId="11" xfId="0" applyNumberFormat="1" applyFont="1" applyFill="1" applyBorder="1" applyAlignment="1">
      <alignment horizontal="center" vertical="center" wrapText="1"/>
    </xf>
    <xf numFmtId="10" fontId="4" fillId="3" borderId="33" xfId="0" applyNumberFormat="1" applyFont="1" applyFill="1" applyBorder="1" applyAlignment="1">
      <alignment horizontal="center" vertical="center" wrapText="1"/>
    </xf>
    <xf numFmtId="9" fontId="20" fillId="0" borderId="16" xfId="3" applyFont="1" applyFill="1" applyBorder="1" applyAlignment="1">
      <alignment horizontal="center" vertical="center" wrapText="1"/>
    </xf>
    <xf numFmtId="3" fontId="14" fillId="0" borderId="16" xfId="0" applyNumberFormat="1" applyFont="1" applyFill="1" applyBorder="1" applyAlignment="1">
      <alignment horizontal="center" vertical="center" wrapText="1"/>
    </xf>
    <xf numFmtId="10" fontId="14" fillId="0" borderId="16" xfId="0" applyNumberFormat="1" applyFont="1" applyBorder="1" applyAlignment="1">
      <alignment horizontal="center" vertical="center" wrapText="1"/>
    </xf>
    <xf numFmtId="165" fontId="12" fillId="0" borderId="16" xfId="0" applyNumberFormat="1" applyFont="1" applyBorder="1" applyAlignment="1">
      <alignment vertical="center"/>
    </xf>
    <xf numFmtId="166" fontId="19" fillId="0" borderId="16" xfId="3" applyNumberFormat="1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3" fontId="13" fillId="0" borderId="3" xfId="0" applyNumberFormat="1" applyFont="1" applyBorder="1" applyAlignment="1">
      <alignment horizontal="center" vertical="center" wrapText="1"/>
    </xf>
    <xf numFmtId="164" fontId="13" fillId="0" borderId="3" xfId="1" applyNumberFormat="1" applyFont="1" applyBorder="1" applyAlignment="1">
      <alignment horizontal="center" vertical="center" wrapText="1"/>
    </xf>
    <xf numFmtId="10" fontId="4" fillId="0" borderId="40" xfId="3" applyNumberFormat="1" applyFont="1" applyFill="1" applyBorder="1" applyAlignment="1">
      <alignment horizontal="center" vertical="center" wrapText="1"/>
    </xf>
    <xf numFmtId="164" fontId="10" fillId="0" borderId="3" xfId="1" applyNumberFormat="1" applyFont="1" applyBorder="1" applyAlignment="1">
      <alignment horizontal="center" vertical="center" wrapText="1"/>
    </xf>
    <xf numFmtId="3" fontId="4" fillId="0" borderId="3" xfId="0" applyNumberFormat="1" applyFont="1" applyFill="1" applyBorder="1" applyAlignment="1">
      <alignment horizontal="center" vertical="center" wrapText="1"/>
    </xf>
    <xf numFmtId="10" fontId="4" fillId="0" borderId="11" xfId="0" applyNumberFormat="1" applyFont="1" applyFill="1" applyBorder="1" applyAlignment="1">
      <alignment horizontal="center" vertical="center" wrapText="1"/>
    </xf>
    <xf numFmtId="10" fontId="4" fillId="3" borderId="3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textRotation="90" wrapText="1"/>
    </xf>
    <xf numFmtId="0" fontId="13" fillId="0" borderId="3" xfId="0" applyFont="1" applyFill="1" applyBorder="1" applyAlignment="1">
      <alignment horizontal="center" vertical="center" wrapText="1"/>
    </xf>
    <xf numFmtId="3" fontId="14" fillId="0" borderId="3" xfId="0" applyNumberFormat="1" applyFont="1" applyFill="1" applyBorder="1" applyAlignment="1">
      <alignment horizontal="center" vertical="center" wrapText="1"/>
    </xf>
    <xf numFmtId="9" fontId="14" fillId="0" borderId="3" xfId="3" applyFont="1" applyFill="1" applyBorder="1" applyAlignment="1">
      <alignment horizontal="center" vertical="center" wrapText="1"/>
    </xf>
    <xf numFmtId="17" fontId="14" fillId="0" borderId="3" xfId="0" applyNumberFormat="1" applyFont="1" applyBorder="1" applyAlignment="1">
      <alignment horizontal="center" vertical="center" wrapText="1"/>
    </xf>
    <xf numFmtId="9" fontId="14" fillId="0" borderId="3" xfId="3" applyNumberFormat="1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/>
    </xf>
    <xf numFmtId="165" fontId="12" fillId="0" borderId="3" xfId="0" applyNumberFormat="1" applyFont="1" applyBorder="1" applyAlignment="1">
      <alignment horizontal="center" vertical="center"/>
    </xf>
    <xf numFmtId="44" fontId="4" fillId="0" borderId="11" xfId="2" applyFont="1" applyBorder="1" applyAlignment="1">
      <alignment horizontal="left" vertical="center" wrapText="1"/>
    </xf>
    <xf numFmtId="42" fontId="12" fillId="0" borderId="3" xfId="2" applyNumberFormat="1" applyFont="1" applyFill="1" applyBorder="1" applyAlignment="1">
      <alignment horizontal="center" vertical="center" wrapText="1"/>
    </xf>
    <xf numFmtId="167" fontId="12" fillId="0" borderId="3" xfId="2" applyNumberFormat="1" applyFont="1" applyFill="1" applyBorder="1" applyAlignment="1">
      <alignment horizontal="center" vertical="center" wrapText="1"/>
    </xf>
    <xf numFmtId="9" fontId="12" fillId="0" borderId="3" xfId="3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 wrapText="1"/>
    </xf>
    <xf numFmtId="0" fontId="13" fillId="0" borderId="13" xfId="0" applyFont="1" applyFill="1" applyBorder="1" applyAlignment="1">
      <alignment horizontal="left" vertical="center" wrapText="1"/>
    </xf>
    <xf numFmtId="10" fontId="4" fillId="0" borderId="3" xfId="3" applyNumberFormat="1" applyFont="1" applyFill="1" applyBorder="1" applyAlignment="1">
      <alignment horizontal="center" vertical="center" wrapText="1"/>
    </xf>
    <xf numFmtId="10" fontId="18" fillId="0" borderId="16" xfId="0" applyNumberFormat="1" applyFont="1" applyFill="1" applyBorder="1" applyAlignment="1">
      <alignment horizontal="center" vertical="center" wrapText="1"/>
    </xf>
    <xf numFmtId="3" fontId="4" fillId="0" borderId="16" xfId="0" applyNumberFormat="1" applyFont="1" applyFill="1" applyBorder="1" applyAlignment="1">
      <alignment horizontal="center" vertical="center" wrapText="1"/>
    </xf>
    <xf numFmtId="9" fontId="20" fillId="0" borderId="3" xfId="3" applyFont="1" applyFill="1" applyBorder="1" applyAlignment="1">
      <alignment horizontal="center" vertical="center" wrapText="1"/>
    </xf>
    <xf numFmtId="9" fontId="18" fillId="0" borderId="3" xfId="3" applyFont="1" applyBorder="1" applyAlignment="1">
      <alignment horizontal="center" vertical="center"/>
    </xf>
    <xf numFmtId="0" fontId="13" fillId="0" borderId="42" xfId="0" applyFont="1" applyFill="1" applyBorder="1" applyAlignment="1">
      <alignment horizontal="left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164" fontId="14" fillId="0" borderId="9" xfId="1" applyNumberFormat="1" applyFont="1" applyBorder="1" applyAlignment="1">
      <alignment horizontal="center" vertical="center" wrapText="1"/>
    </xf>
    <xf numFmtId="10" fontId="12" fillId="0" borderId="9" xfId="3" applyNumberFormat="1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164" fontId="10" fillId="0" borderId="9" xfId="1" applyNumberFormat="1" applyFont="1" applyBorder="1" applyAlignment="1">
      <alignment horizontal="center" vertical="center" wrapText="1"/>
    </xf>
    <xf numFmtId="164" fontId="12" fillId="0" borderId="9" xfId="1" applyNumberFormat="1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3" fontId="4" fillId="0" borderId="9" xfId="0" applyNumberFormat="1" applyFont="1" applyFill="1" applyBorder="1" applyAlignment="1">
      <alignment horizontal="center" vertical="center" wrapText="1"/>
    </xf>
    <xf numFmtId="4" fontId="4" fillId="0" borderId="9" xfId="0" applyNumberFormat="1" applyFont="1" applyFill="1" applyBorder="1" applyAlignment="1">
      <alignment horizontal="center" vertical="center" wrapText="1"/>
    </xf>
    <xf numFmtId="10" fontId="4" fillId="0" borderId="9" xfId="0" applyNumberFormat="1" applyFont="1" applyFill="1" applyBorder="1" applyAlignment="1">
      <alignment horizontal="center" vertical="center" wrapText="1"/>
    </xf>
    <xf numFmtId="10" fontId="4" fillId="3" borderId="9" xfId="0" applyNumberFormat="1" applyFont="1" applyFill="1" applyBorder="1" applyAlignment="1">
      <alignment horizontal="center" vertical="center" wrapText="1"/>
    </xf>
    <xf numFmtId="10" fontId="4" fillId="3" borderId="43" xfId="0" applyNumberFormat="1" applyFont="1" applyFill="1" applyBorder="1" applyAlignment="1">
      <alignment horizontal="center" vertical="center" wrapText="1"/>
    </xf>
    <xf numFmtId="4" fontId="14" fillId="0" borderId="9" xfId="0" applyNumberFormat="1" applyFont="1" applyFill="1" applyBorder="1" applyAlignment="1">
      <alignment horizontal="center" vertical="center" wrapText="1"/>
    </xf>
    <xf numFmtId="9" fontId="14" fillId="0" borderId="9" xfId="0" applyNumberFormat="1" applyFont="1" applyFill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/>
    </xf>
    <xf numFmtId="165" fontId="12" fillId="0" borderId="9" xfId="0" applyNumberFormat="1" applyFont="1" applyBorder="1" applyAlignment="1">
      <alignment horizontal="center" vertical="center"/>
    </xf>
    <xf numFmtId="44" fontId="22" fillId="0" borderId="11" xfId="2" applyFont="1" applyBorder="1" applyAlignment="1">
      <alignment horizontal="left" vertical="center" wrapText="1"/>
    </xf>
    <xf numFmtId="42" fontId="12" fillId="0" borderId="9" xfId="2" applyNumberFormat="1" applyFont="1" applyFill="1" applyBorder="1" applyAlignment="1">
      <alignment horizontal="center" vertical="center" wrapText="1"/>
    </xf>
    <xf numFmtId="167" fontId="10" fillId="0" borderId="9" xfId="2" applyNumberFormat="1" applyFont="1" applyFill="1" applyBorder="1" applyAlignment="1">
      <alignment horizontal="center" vertical="center" wrapText="1"/>
    </xf>
    <xf numFmtId="9" fontId="12" fillId="0" borderId="9" xfId="3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 wrapText="1"/>
    </xf>
    <xf numFmtId="0" fontId="12" fillId="0" borderId="45" xfId="0" applyFont="1" applyBorder="1" applyAlignment="1">
      <alignment horizontal="center" vertical="center" wrapText="1"/>
    </xf>
    <xf numFmtId="0" fontId="12" fillId="0" borderId="20" xfId="0" applyFont="1" applyBorder="1" applyAlignment="1">
      <alignment horizontal="center" vertical="center" wrapText="1"/>
    </xf>
    <xf numFmtId="3" fontId="14" fillId="0" borderId="20" xfId="0" applyNumberFormat="1" applyFont="1" applyBorder="1" applyAlignment="1">
      <alignment horizontal="center" vertical="center" wrapText="1"/>
    </xf>
    <xf numFmtId="164" fontId="14" fillId="0" borderId="20" xfId="1" applyNumberFormat="1" applyFont="1" applyBorder="1" applyAlignment="1">
      <alignment horizontal="center" vertical="center" wrapText="1"/>
    </xf>
    <xf numFmtId="10" fontId="12" fillId="0" borderId="20" xfId="3" applyNumberFormat="1" applyFont="1" applyFill="1" applyBorder="1" applyAlignment="1">
      <alignment horizontal="center" vertical="center" wrapText="1"/>
    </xf>
    <xf numFmtId="164" fontId="12" fillId="0" borderId="10" xfId="1" applyNumberFormat="1" applyFont="1" applyBorder="1" applyAlignment="1">
      <alignment horizontal="center" vertical="center" wrapText="1"/>
    </xf>
    <xf numFmtId="3" fontId="10" fillId="0" borderId="10" xfId="0" applyNumberFormat="1" applyFont="1" applyFill="1" applyBorder="1" applyAlignment="1">
      <alignment horizontal="center" vertical="center" wrapText="1"/>
    </xf>
    <xf numFmtId="10" fontId="4" fillId="0" borderId="21" xfId="0" applyNumberFormat="1" applyFont="1" applyFill="1" applyBorder="1" applyAlignment="1">
      <alignment horizontal="center" vertical="center" wrapText="1"/>
    </xf>
    <xf numFmtId="10" fontId="4" fillId="3" borderId="20" xfId="0" applyNumberFormat="1" applyFont="1" applyFill="1" applyBorder="1" applyAlignment="1">
      <alignment vertical="center" wrapText="1"/>
    </xf>
    <xf numFmtId="3" fontId="4" fillId="0" borderId="20" xfId="0" applyNumberFormat="1" applyFont="1" applyFill="1" applyBorder="1" applyAlignment="1">
      <alignment horizontal="center" vertical="center" wrapText="1"/>
    </xf>
    <xf numFmtId="10" fontId="4" fillId="2" borderId="20" xfId="0" applyNumberFormat="1" applyFont="1" applyFill="1" applyBorder="1" applyAlignment="1">
      <alignment horizontal="center" vertical="center" wrapText="1"/>
    </xf>
    <xf numFmtId="10" fontId="4" fillId="3" borderId="38" xfId="0" applyNumberFormat="1" applyFont="1" applyFill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13" fillId="0" borderId="20" xfId="0" applyFont="1" applyFill="1" applyBorder="1" applyAlignment="1">
      <alignment horizontal="center" vertical="center" wrapText="1"/>
    </xf>
    <xf numFmtId="3" fontId="14" fillId="0" borderId="20" xfId="0" applyNumberFormat="1" applyFont="1" applyFill="1" applyBorder="1" applyAlignment="1">
      <alignment horizontal="center" vertical="center" wrapText="1"/>
    </xf>
    <xf numFmtId="4" fontId="14" fillId="0" borderId="20" xfId="0" applyNumberFormat="1" applyFont="1" applyFill="1" applyBorder="1" applyAlignment="1">
      <alignment horizontal="center" vertical="center" wrapText="1"/>
    </xf>
    <xf numFmtId="9" fontId="14" fillId="0" borderId="20" xfId="3" applyFont="1" applyFill="1" applyBorder="1" applyAlignment="1">
      <alignment horizontal="center" vertical="center" wrapText="1"/>
    </xf>
    <xf numFmtId="17" fontId="14" fillId="0" borderId="20" xfId="0" applyNumberFormat="1" applyFont="1" applyBorder="1" applyAlignment="1">
      <alignment horizontal="center" vertical="center" wrapText="1"/>
    </xf>
    <xf numFmtId="9" fontId="14" fillId="0" borderId="20" xfId="0" applyNumberFormat="1" applyFont="1" applyFill="1" applyBorder="1" applyAlignment="1">
      <alignment horizontal="center" vertical="center" wrapText="1"/>
    </xf>
    <xf numFmtId="0" fontId="12" fillId="0" borderId="20" xfId="0" applyFont="1" applyBorder="1" applyAlignment="1">
      <alignment horizontal="center" vertical="center"/>
    </xf>
    <xf numFmtId="165" fontId="12" fillId="0" borderId="20" xfId="0" applyNumberFormat="1" applyFont="1" applyBorder="1" applyAlignment="1">
      <alignment horizontal="center" vertical="center"/>
    </xf>
    <xf numFmtId="42" fontId="12" fillId="0" borderId="20" xfId="2" applyNumberFormat="1" applyFont="1" applyFill="1" applyBorder="1" applyAlignment="1">
      <alignment horizontal="center" vertical="center" wrapText="1"/>
    </xf>
    <xf numFmtId="167" fontId="10" fillId="0" borderId="20" xfId="2" applyNumberFormat="1" applyFont="1" applyFill="1" applyBorder="1" applyAlignment="1">
      <alignment horizontal="center" vertical="center" wrapText="1"/>
    </xf>
    <xf numFmtId="0" fontId="12" fillId="0" borderId="48" xfId="0" applyFont="1" applyBorder="1" applyAlignment="1">
      <alignment horizontal="center" vertical="center" wrapText="1"/>
    </xf>
    <xf numFmtId="164" fontId="14" fillId="0" borderId="16" xfId="1" applyNumberFormat="1" applyFont="1" applyBorder="1" applyAlignment="1">
      <alignment horizontal="center" vertical="center" wrapText="1"/>
    </xf>
    <xf numFmtId="10" fontId="12" fillId="0" borderId="16" xfId="3" applyNumberFormat="1" applyFont="1" applyFill="1" applyBorder="1" applyAlignment="1">
      <alignment horizontal="center" vertical="center" wrapText="1"/>
    </xf>
    <xf numFmtId="10" fontId="4" fillId="0" borderId="11" xfId="0" applyNumberFormat="1" applyFont="1" applyFill="1" applyBorder="1" applyAlignment="1">
      <alignment vertical="center" wrapText="1"/>
    </xf>
    <xf numFmtId="9" fontId="24" fillId="0" borderId="11" xfId="3" applyFont="1" applyFill="1" applyBorder="1" applyAlignment="1">
      <alignment horizontal="center" vertical="center" wrapText="1"/>
    </xf>
    <xf numFmtId="9" fontId="14" fillId="0" borderId="16" xfId="0" applyNumberFormat="1" applyFont="1" applyFill="1" applyBorder="1" applyAlignment="1">
      <alignment horizontal="center" vertical="center" wrapText="1"/>
    </xf>
    <xf numFmtId="167" fontId="10" fillId="0" borderId="16" xfId="2" applyNumberFormat="1" applyFont="1" applyFill="1" applyBorder="1" applyAlignment="1">
      <alignment horizontal="center" vertical="center" wrapText="1"/>
    </xf>
    <xf numFmtId="9" fontId="19" fillId="0" borderId="16" xfId="3" applyFont="1" applyBorder="1" applyAlignment="1">
      <alignment horizontal="center" vertical="center"/>
    </xf>
    <xf numFmtId="0" fontId="12" fillId="0" borderId="34" xfId="0" applyFont="1" applyBorder="1" applyAlignment="1">
      <alignment horizontal="center" vertical="center" wrapText="1"/>
    </xf>
    <xf numFmtId="0" fontId="10" fillId="0" borderId="35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10" fontId="12" fillId="0" borderId="11" xfId="3" applyNumberFormat="1" applyFont="1" applyFill="1" applyBorder="1" applyAlignment="1">
      <alignment horizontal="center" vertical="center" wrapText="1"/>
    </xf>
    <xf numFmtId="164" fontId="10" fillId="0" borderId="51" xfId="1" applyNumberFormat="1" applyFont="1" applyBorder="1" applyAlignment="1">
      <alignment horizontal="center" vertical="center" wrapText="1"/>
    </xf>
    <xf numFmtId="164" fontId="10" fillId="0" borderId="15" xfId="1" applyNumberFormat="1" applyFont="1" applyBorder="1" applyAlignment="1">
      <alignment horizontal="center" vertical="center" wrapText="1"/>
    </xf>
    <xf numFmtId="164" fontId="12" fillId="0" borderId="15" xfId="1" applyNumberFormat="1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3" fontId="4" fillId="0" borderId="15" xfId="0" applyNumberFormat="1" applyFont="1" applyFill="1" applyBorder="1" applyAlignment="1">
      <alignment horizontal="center" vertical="center" wrapText="1"/>
    </xf>
    <xf numFmtId="3" fontId="25" fillId="0" borderId="15" xfId="0" applyNumberFormat="1" applyFont="1" applyFill="1" applyBorder="1" applyAlignment="1">
      <alignment horizontal="center" vertical="center" wrapText="1"/>
    </xf>
    <xf numFmtId="10" fontId="25" fillId="0" borderId="15" xfId="0" applyNumberFormat="1" applyFont="1" applyFill="1" applyBorder="1" applyAlignment="1">
      <alignment horizontal="center" vertical="center" wrapText="1"/>
    </xf>
    <xf numFmtId="10" fontId="4" fillId="2" borderId="15" xfId="0" applyNumberFormat="1" applyFont="1" applyFill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textRotation="90" wrapText="1"/>
    </xf>
    <xf numFmtId="0" fontId="25" fillId="0" borderId="15" xfId="0" applyFont="1" applyFill="1" applyBorder="1" applyAlignment="1">
      <alignment horizontal="center" vertical="center" wrapText="1"/>
    </xf>
    <xf numFmtId="17" fontId="25" fillId="0" borderId="15" xfId="0" applyNumberFormat="1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/>
    </xf>
    <xf numFmtId="167" fontId="12" fillId="0" borderId="11" xfId="2" applyNumberFormat="1" applyFont="1" applyFill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textRotation="90" wrapText="1"/>
    </xf>
    <xf numFmtId="10" fontId="25" fillId="0" borderId="11" xfId="0" applyNumberFormat="1" applyFont="1" applyFill="1" applyBorder="1" applyAlignment="1">
      <alignment horizontal="center" vertical="center" wrapText="1"/>
    </xf>
    <xf numFmtId="0" fontId="10" fillId="0" borderId="11" xfId="0" applyFont="1" applyBorder="1" applyAlignment="1">
      <alignment horizontal="left" vertical="center" wrapText="1"/>
    </xf>
    <xf numFmtId="4" fontId="4" fillId="0" borderId="15" xfId="0" applyNumberFormat="1" applyFont="1" applyFill="1" applyBorder="1" applyAlignment="1">
      <alignment horizontal="center" vertical="center" wrapText="1"/>
    </xf>
    <xf numFmtId="4" fontId="25" fillId="0" borderId="15" xfId="0" applyNumberFormat="1" applyFont="1" applyFill="1" applyBorder="1" applyAlignment="1">
      <alignment horizontal="center" vertical="center" wrapText="1"/>
    </xf>
    <xf numFmtId="0" fontId="13" fillId="0" borderId="15" xfId="0" applyFont="1" applyFill="1" applyBorder="1" applyAlignment="1">
      <alignment horizontal="center" vertical="center" wrapText="1"/>
    </xf>
    <xf numFmtId="3" fontId="14" fillId="0" borderId="15" xfId="0" applyNumberFormat="1" applyFont="1" applyFill="1" applyBorder="1" applyAlignment="1">
      <alignment horizontal="center" vertical="center" wrapText="1"/>
    </xf>
    <xf numFmtId="4" fontId="14" fillId="0" borderId="15" xfId="0" applyNumberFormat="1" applyFont="1" applyFill="1" applyBorder="1" applyAlignment="1">
      <alignment horizontal="center" vertical="center" wrapText="1"/>
    </xf>
    <xf numFmtId="9" fontId="14" fillId="0" borderId="15" xfId="3" applyFont="1" applyFill="1" applyBorder="1" applyAlignment="1">
      <alignment horizontal="center" vertical="center" wrapText="1"/>
    </xf>
    <xf numFmtId="17" fontId="14" fillId="0" borderId="15" xfId="0" applyNumberFormat="1" applyFont="1" applyBorder="1" applyAlignment="1">
      <alignment horizontal="center" vertical="center" wrapText="1"/>
    </xf>
    <xf numFmtId="9" fontId="14" fillId="0" borderId="15" xfId="0" applyNumberFormat="1" applyFont="1" applyFill="1" applyBorder="1" applyAlignment="1">
      <alignment horizontal="center" vertical="center" wrapText="1"/>
    </xf>
    <xf numFmtId="165" fontId="12" fillId="0" borderId="15" xfId="0" applyNumberFormat="1" applyFont="1" applyBorder="1" applyAlignment="1">
      <alignment horizontal="center" vertical="center"/>
    </xf>
    <xf numFmtId="42" fontId="12" fillId="0" borderId="15" xfId="2" applyNumberFormat="1" applyFont="1" applyFill="1" applyBorder="1" applyAlignment="1">
      <alignment horizontal="center" vertical="center" wrapText="1"/>
    </xf>
    <xf numFmtId="0" fontId="0" fillId="0" borderId="15" xfId="0" applyFont="1" applyBorder="1" applyAlignment="1">
      <alignment horizontal="center" vertical="center" wrapText="1"/>
    </xf>
    <xf numFmtId="9" fontId="12" fillId="0" borderId="15" xfId="3" applyFont="1" applyBorder="1" applyAlignment="1">
      <alignment horizontal="center" vertical="center"/>
    </xf>
    <xf numFmtId="0" fontId="12" fillId="0" borderId="52" xfId="0" applyFont="1" applyBorder="1" applyAlignment="1">
      <alignment horizontal="center" vertical="center" wrapText="1"/>
    </xf>
    <xf numFmtId="0" fontId="10" fillId="0" borderId="53" xfId="0" applyFont="1" applyBorder="1" applyAlignment="1">
      <alignment horizontal="left" vertical="center" wrapText="1"/>
    </xf>
    <xf numFmtId="10" fontId="14" fillId="0" borderId="11" xfId="3" applyNumberFormat="1" applyFont="1" applyFill="1" applyBorder="1" applyAlignment="1">
      <alignment horizontal="center" vertical="center" wrapText="1"/>
    </xf>
    <xf numFmtId="164" fontId="10" fillId="0" borderId="33" xfId="1" applyNumberFormat="1" applyFont="1" applyBorder="1" applyAlignment="1">
      <alignment horizontal="center" vertical="center" wrapText="1"/>
    </xf>
    <xf numFmtId="164" fontId="10" fillId="0" borderId="16" xfId="1" applyNumberFormat="1" applyFont="1" applyBorder="1" applyAlignment="1">
      <alignment horizontal="center" vertical="center" wrapText="1"/>
    </xf>
    <xf numFmtId="164" fontId="12" fillId="0" borderId="16" xfId="1" applyNumberFormat="1" applyFont="1" applyBorder="1" applyAlignment="1">
      <alignment horizontal="center" vertical="center" wrapText="1"/>
    </xf>
    <xf numFmtId="4" fontId="4" fillId="0" borderId="16" xfId="0" applyNumberFormat="1" applyFont="1" applyFill="1" applyBorder="1" applyAlignment="1">
      <alignment horizontal="center" vertical="center" wrapText="1"/>
    </xf>
    <xf numFmtId="10" fontId="4" fillId="0" borderId="16" xfId="0" applyNumberFormat="1" applyFont="1" applyFill="1" applyBorder="1" applyAlignment="1">
      <alignment horizontal="center" vertical="center" wrapText="1"/>
    </xf>
    <xf numFmtId="10" fontId="4" fillId="2" borderId="16" xfId="0" applyNumberFormat="1" applyFont="1" applyFill="1" applyBorder="1" applyAlignment="1">
      <alignment horizontal="center" vertical="center" wrapText="1"/>
    </xf>
    <xf numFmtId="0" fontId="14" fillId="0" borderId="15" xfId="0" applyFont="1" applyFill="1" applyBorder="1" applyAlignment="1">
      <alignment horizontal="center" vertical="center" wrapText="1"/>
    </xf>
    <xf numFmtId="44" fontId="10" fillId="0" borderId="11" xfId="2" applyFont="1" applyBorder="1" applyAlignment="1">
      <alignment horizontal="left" vertical="center" wrapText="1"/>
    </xf>
    <xf numFmtId="9" fontId="12" fillId="0" borderId="16" xfId="3" applyFont="1" applyBorder="1" applyAlignment="1">
      <alignment horizontal="center" vertical="center"/>
    </xf>
    <xf numFmtId="164" fontId="10" fillId="0" borderId="47" xfId="1" applyNumberFormat="1" applyFont="1" applyBorder="1" applyAlignment="1">
      <alignment horizontal="center" vertical="center" wrapText="1"/>
    </xf>
    <xf numFmtId="164" fontId="10" fillId="0" borderId="20" xfId="1" applyNumberFormat="1" applyFont="1" applyBorder="1" applyAlignment="1">
      <alignment horizontal="center" vertical="center" wrapText="1"/>
    </xf>
    <xf numFmtId="164" fontId="12" fillId="0" borderId="20" xfId="1" applyNumberFormat="1" applyFont="1" applyBorder="1" applyAlignment="1">
      <alignment horizontal="center" vertical="center" wrapText="1"/>
    </xf>
    <xf numFmtId="3" fontId="25" fillId="0" borderId="20" xfId="0" applyNumberFormat="1" applyFont="1" applyFill="1" applyBorder="1" applyAlignment="1">
      <alignment horizontal="center" vertical="center" wrapText="1"/>
    </xf>
    <xf numFmtId="168" fontId="25" fillId="0" borderId="20" xfId="0" applyNumberFormat="1" applyFont="1" applyFill="1" applyBorder="1" applyAlignment="1">
      <alignment horizontal="center" vertical="center" wrapText="1"/>
    </xf>
    <xf numFmtId="4" fontId="25" fillId="0" borderId="20" xfId="0" applyNumberFormat="1" applyFont="1" applyFill="1" applyBorder="1" applyAlignment="1">
      <alignment horizontal="center" vertical="center" wrapText="1"/>
    </xf>
    <xf numFmtId="4" fontId="25" fillId="2" borderId="20" xfId="0" applyNumberFormat="1" applyFont="1" applyFill="1" applyBorder="1" applyAlignment="1">
      <alignment horizontal="center" vertical="center" wrapText="1"/>
    </xf>
    <xf numFmtId="10" fontId="25" fillId="0" borderId="16" xfId="0" applyNumberFormat="1" applyFont="1" applyFill="1" applyBorder="1" applyAlignment="1">
      <alignment horizontal="center" vertical="center" wrapText="1"/>
    </xf>
    <xf numFmtId="4" fontId="25" fillId="0" borderId="16" xfId="0" applyNumberFormat="1" applyFont="1" applyFill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textRotation="90" wrapText="1"/>
    </xf>
    <xf numFmtId="0" fontId="0" fillId="0" borderId="20" xfId="0" applyFont="1" applyBorder="1" applyAlignment="1">
      <alignment horizontal="center" vertical="center" wrapText="1"/>
    </xf>
    <xf numFmtId="0" fontId="10" fillId="0" borderId="36" xfId="0" applyFont="1" applyBorder="1" applyAlignment="1">
      <alignment horizontal="left" vertical="center" wrapText="1"/>
    </xf>
    <xf numFmtId="10" fontId="18" fillId="0" borderId="54" xfId="0" applyNumberFormat="1" applyFont="1" applyFill="1" applyBorder="1" applyAlignment="1">
      <alignment horizontal="center" vertical="center" wrapText="1"/>
    </xf>
    <xf numFmtId="10" fontId="22" fillId="4" borderId="11" xfId="0" applyNumberFormat="1" applyFont="1" applyFill="1" applyBorder="1" applyAlignment="1">
      <alignment horizontal="center" vertical="center"/>
    </xf>
    <xf numFmtId="3" fontId="4" fillId="0" borderId="11" xfId="0" applyNumberFormat="1" applyFont="1" applyBorder="1"/>
    <xf numFmtId="10" fontId="22" fillId="4" borderId="55" xfId="0" applyNumberFormat="1" applyFont="1" applyFill="1" applyBorder="1" applyAlignment="1">
      <alignment horizontal="center" vertical="center"/>
    </xf>
    <xf numFmtId="0" fontId="10" fillId="0" borderId="56" xfId="0" applyFont="1" applyBorder="1"/>
    <xf numFmtId="9" fontId="20" fillId="0" borderId="11" xfId="3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12" fillId="0" borderId="0" xfId="0" applyFont="1"/>
    <xf numFmtId="3" fontId="12" fillId="0" borderId="0" xfId="0" applyNumberFormat="1" applyFont="1"/>
    <xf numFmtId="10" fontId="12" fillId="0" borderId="0" xfId="0" applyNumberFormat="1" applyFont="1"/>
    <xf numFmtId="165" fontId="27" fillId="0" borderId="49" xfId="0" applyNumberFormat="1" applyFont="1" applyFill="1" applyBorder="1" applyAlignment="1">
      <alignment vertical="center"/>
    </xf>
    <xf numFmtId="0" fontId="12" fillId="0" borderId="0" xfId="0" applyFont="1" applyFill="1" applyAlignment="1">
      <alignment wrapText="1"/>
    </xf>
    <xf numFmtId="0" fontId="12" fillId="0" borderId="0" xfId="0" applyFont="1" applyFill="1"/>
    <xf numFmtId="0" fontId="0" fillId="0" borderId="0" xfId="0" applyFont="1" applyFill="1" applyAlignment="1">
      <alignment textRotation="90"/>
    </xf>
    <xf numFmtId="10" fontId="19" fillId="0" borderId="11" xfId="0" applyNumberFormat="1" applyFont="1" applyBorder="1" applyAlignment="1">
      <alignment horizontal="center" vertical="center"/>
    </xf>
    <xf numFmtId="0" fontId="12" fillId="0" borderId="0" xfId="0" applyFont="1" applyAlignment="1"/>
    <xf numFmtId="0" fontId="12" fillId="0" borderId="0" xfId="0" applyFont="1" applyAlignment="1">
      <alignment textRotation="90"/>
    </xf>
    <xf numFmtId="0" fontId="10" fillId="0" borderId="0" xfId="0" applyFont="1" applyAlignment="1">
      <alignment horizontal="left" vertical="center" wrapText="1"/>
    </xf>
    <xf numFmtId="0" fontId="10" fillId="0" borderId="0" xfId="0" applyFont="1"/>
    <xf numFmtId="0" fontId="10" fillId="0" borderId="0" xfId="0" applyFont="1" applyAlignment="1">
      <alignment horizontal="center"/>
    </xf>
    <xf numFmtId="10" fontId="4" fillId="0" borderId="0" xfId="3" applyNumberFormat="1" applyFont="1" applyFill="1" applyAlignment="1">
      <alignment horizontal="center"/>
    </xf>
    <xf numFmtId="3" fontId="4" fillId="0" borderId="0" xfId="0" applyNumberFormat="1" applyFont="1" applyAlignment="1">
      <alignment horizontal="center"/>
    </xf>
    <xf numFmtId="3" fontId="4" fillId="0" borderId="0" xfId="0" applyNumberFormat="1" applyFont="1"/>
    <xf numFmtId="10" fontId="19" fillId="0" borderId="15" xfId="3" applyNumberFormat="1" applyFont="1" applyFill="1" applyBorder="1" applyAlignment="1">
      <alignment horizontal="center" vertical="center"/>
    </xf>
    <xf numFmtId="0" fontId="31" fillId="0" borderId="11" xfId="0" applyFont="1" applyFill="1" applyBorder="1" applyAlignment="1">
      <alignment horizontal="center" vertical="center" wrapText="1"/>
    </xf>
    <xf numFmtId="10" fontId="4" fillId="0" borderId="0" xfId="0" applyNumberFormat="1" applyFont="1"/>
    <xf numFmtId="0" fontId="4" fillId="0" borderId="0" xfId="0" applyFont="1"/>
    <xf numFmtId="0" fontId="10" fillId="0" borderId="0" xfId="0" applyFont="1" applyFill="1" applyAlignment="1">
      <alignment horizontal="center"/>
    </xf>
    <xf numFmtId="10" fontId="18" fillId="0" borderId="11" xfId="3" applyNumberFormat="1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wrapText="1"/>
    </xf>
    <xf numFmtId="0" fontId="0" fillId="0" borderId="0" xfId="0" applyFont="1" applyAlignment="1">
      <alignment textRotation="90"/>
    </xf>
    <xf numFmtId="165" fontId="27" fillId="0" borderId="11" xfId="0" applyNumberFormat="1" applyFont="1" applyFill="1" applyBorder="1" applyAlignment="1">
      <alignment vertical="center"/>
    </xf>
    <xf numFmtId="44" fontId="2" fillId="0" borderId="11" xfId="2" applyFont="1" applyFill="1" applyBorder="1" applyAlignment="1">
      <alignment horizontal="left" vertical="center" wrapText="1"/>
    </xf>
    <xf numFmtId="3" fontId="12" fillId="0" borderId="0" xfId="0" applyNumberFormat="1" applyFont="1" applyAlignment="1">
      <alignment horizontal="center"/>
    </xf>
    <xf numFmtId="0" fontId="28" fillId="0" borderId="26" xfId="0" applyFont="1" applyBorder="1" applyAlignment="1">
      <alignment horizontal="center" vertical="top" wrapText="1"/>
    </xf>
    <xf numFmtId="3" fontId="18" fillId="0" borderId="57" xfId="0" applyNumberFormat="1" applyFont="1" applyBorder="1" applyAlignment="1">
      <alignment horizontal="center" vertical="center"/>
    </xf>
    <xf numFmtId="3" fontId="18" fillId="0" borderId="1" xfId="0" applyNumberFormat="1" applyFont="1" applyBorder="1" applyAlignment="1">
      <alignment horizontal="center" vertical="center"/>
    </xf>
    <xf numFmtId="3" fontId="18" fillId="0" borderId="58" xfId="0" applyNumberFormat="1" applyFont="1" applyBorder="1" applyAlignment="1">
      <alignment horizontal="center" vertical="center"/>
    </xf>
    <xf numFmtId="3" fontId="20" fillId="0" borderId="59" xfId="0" applyNumberFormat="1" applyFont="1" applyFill="1" applyBorder="1" applyAlignment="1">
      <alignment horizontal="center" vertical="center" wrapText="1"/>
    </xf>
    <xf numFmtId="3" fontId="20" fillId="0" borderId="54" xfId="0" applyNumberFormat="1" applyFont="1" applyFill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10" fontId="12" fillId="0" borderId="11" xfId="3" applyNumberFormat="1" applyFont="1" applyFill="1" applyBorder="1" applyAlignment="1">
      <alignment horizontal="center" vertical="center" wrapText="1"/>
    </xf>
    <xf numFmtId="0" fontId="10" fillId="0" borderId="42" xfId="0" applyFont="1" applyBorder="1" applyAlignment="1">
      <alignment horizontal="center" vertical="center" wrapText="1"/>
    </xf>
    <xf numFmtId="0" fontId="10" fillId="0" borderId="49" xfId="0" applyFont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center" vertical="center" wrapText="1"/>
    </xf>
    <xf numFmtId="0" fontId="10" fillId="2" borderId="16" xfId="0" applyFont="1" applyFill="1" applyBorder="1" applyAlignment="1">
      <alignment horizontal="center" vertical="center" wrapText="1"/>
    </xf>
    <xf numFmtId="164" fontId="23" fillId="0" borderId="11" xfId="1" applyNumberFormat="1" applyFont="1" applyBorder="1" applyAlignment="1">
      <alignment horizontal="center" vertical="center" wrapText="1"/>
    </xf>
    <xf numFmtId="0" fontId="19" fillId="0" borderId="31" xfId="0" applyFont="1" applyBorder="1" applyAlignment="1">
      <alignment horizontal="center" vertical="center" wrapText="1"/>
    </xf>
    <xf numFmtId="0" fontId="19" fillId="0" borderId="32" xfId="0" applyFont="1" applyBorder="1" applyAlignment="1">
      <alignment horizontal="center" vertical="center" wrapText="1"/>
    </xf>
    <xf numFmtId="165" fontId="19" fillId="0" borderId="25" xfId="0" applyNumberFormat="1" applyFont="1" applyBorder="1" applyAlignment="1">
      <alignment horizontal="center" vertical="center" wrapText="1"/>
    </xf>
    <xf numFmtId="165" fontId="19" fillId="0" borderId="27" xfId="0" applyNumberFormat="1" applyFont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center" vertical="center" wrapText="1"/>
    </xf>
    <xf numFmtId="10" fontId="25" fillId="3" borderId="16" xfId="0" applyNumberFormat="1" applyFont="1" applyFill="1" applyBorder="1" applyAlignment="1">
      <alignment horizontal="center" vertical="center" wrapText="1"/>
    </xf>
    <xf numFmtId="10" fontId="25" fillId="3" borderId="20" xfId="0" applyNumberFormat="1" applyFont="1" applyFill="1" applyBorder="1" applyAlignment="1">
      <alignment horizontal="center" vertical="center" wrapText="1"/>
    </xf>
    <xf numFmtId="0" fontId="18" fillId="0" borderId="31" xfId="0" applyFont="1" applyBorder="1" applyAlignment="1">
      <alignment horizontal="center" vertical="center"/>
    </xf>
    <xf numFmtId="0" fontId="18" fillId="0" borderId="32" xfId="0" applyFont="1" applyBorder="1" applyAlignment="1">
      <alignment horizontal="center" vertical="center"/>
    </xf>
    <xf numFmtId="0" fontId="26" fillId="0" borderId="39" xfId="0" applyFont="1" applyBorder="1" applyAlignment="1">
      <alignment horizontal="center" vertical="center"/>
    </xf>
    <xf numFmtId="0" fontId="26" fillId="0" borderId="31" xfId="0" applyFont="1" applyBorder="1" applyAlignment="1">
      <alignment horizontal="center" vertical="center"/>
    </xf>
    <xf numFmtId="0" fontId="26" fillId="0" borderId="32" xfId="0" applyFont="1" applyBorder="1" applyAlignment="1">
      <alignment horizontal="center" vertical="center"/>
    </xf>
    <xf numFmtId="0" fontId="18" fillId="0" borderId="39" xfId="0" applyFont="1" applyFill="1" applyBorder="1" applyAlignment="1">
      <alignment horizontal="center" vertical="center" wrapText="1"/>
    </xf>
    <xf numFmtId="0" fontId="18" fillId="0" borderId="3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0" fillId="2" borderId="20" xfId="0" applyFont="1" applyFill="1" applyBorder="1" applyAlignment="1">
      <alignment horizontal="center" vertical="center" wrapText="1"/>
    </xf>
    <xf numFmtId="164" fontId="19" fillId="0" borderId="30" xfId="1" applyNumberFormat="1" applyFont="1" applyBorder="1" applyAlignment="1">
      <alignment horizontal="center" vertical="center" wrapText="1"/>
    </xf>
    <xf numFmtId="164" fontId="19" fillId="0" borderId="31" xfId="1" applyNumberFormat="1" applyFont="1" applyBorder="1" applyAlignment="1">
      <alignment horizontal="center" vertical="center" wrapText="1"/>
    </xf>
    <xf numFmtId="164" fontId="19" fillId="0" borderId="41" xfId="1" applyNumberFormat="1" applyFont="1" applyBorder="1" applyAlignment="1">
      <alignment horizontal="center" vertical="center" wrapText="1"/>
    </xf>
    <xf numFmtId="0" fontId="19" fillId="0" borderId="30" xfId="0" applyFont="1" applyBorder="1" applyAlignment="1">
      <alignment horizontal="center" vertical="center" wrapText="1"/>
    </xf>
    <xf numFmtId="0" fontId="19" fillId="0" borderId="41" xfId="0" applyFont="1" applyBorder="1" applyAlignment="1">
      <alignment horizontal="center" vertical="center" wrapText="1"/>
    </xf>
    <xf numFmtId="0" fontId="21" fillId="0" borderId="44" xfId="0" applyFont="1" applyBorder="1" applyAlignment="1">
      <alignment horizontal="center" vertical="center" wrapText="1"/>
    </xf>
    <xf numFmtId="0" fontId="21" fillId="0" borderId="46" xfId="0" applyFont="1" applyBorder="1" applyAlignment="1">
      <alignment horizontal="center" vertical="center" wrapText="1"/>
    </xf>
    <xf numFmtId="0" fontId="21" fillId="0" borderId="50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textRotation="90" wrapText="1"/>
    </xf>
    <xf numFmtId="0" fontId="4" fillId="0" borderId="47" xfId="0" applyFont="1" applyBorder="1" applyAlignment="1">
      <alignment horizontal="center" vertical="center" textRotation="90" wrapText="1"/>
    </xf>
    <xf numFmtId="0" fontId="12" fillId="0" borderId="9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14" fontId="14" fillId="0" borderId="12" xfId="0" applyNumberFormat="1" applyFont="1" applyFill="1" applyBorder="1" applyAlignment="1">
      <alignment horizontal="center" vertical="center" wrapText="1"/>
    </xf>
    <xf numFmtId="14" fontId="14" fillId="0" borderId="17" xfId="0" applyNumberFormat="1" applyFont="1" applyFill="1" applyBorder="1" applyAlignment="1">
      <alignment horizontal="center" vertical="center" wrapText="1"/>
    </xf>
    <xf numFmtId="14" fontId="14" fillId="0" borderId="22" xfId="0" applyNumberFormat="1" applyFont="1" applyFill="1" applyBorder="1" applyAlignment="1">
      <alignment horizontal="center" vertical="center" wrapText="1"/>
    </xf>
    <xf numFmtId="0" fontId="10" fillId="0" borderId="36" xfId="0" applyFont="1" applyBorder="1" applyAlignment="1">
      <alignment horizontal="left" vertical="center" wrapText="1"/>
    </xf>
    <xf numFmtId="0" fontId="10" fillId="0" borderId="18" xfId="0" applyFont="1" applyBorder="1" applyAlignment="1">
      <alignment horizontal="left" vertical="center" wrapText="1"/>
    </xf>
    <xf numFmtId="0" fontId="10" fillId="0" borderId="37" xfId="0" applyFont="1" applyBorder="1" applyAlignment="1">
      <alignment horizontal="left" vertical="center" wrapText="1"/>
    </xf>
    <xf numFmtId="164" fontId="18" fillId="0" borderId="39" xfId="1" applyNumberFormat="1" applyFont="1" applyBorder="1" applyAlignment="1">
      <alignment horizontal="center" vertical="center" wrapText="1"/>
    </xf>
    <xf numFmtId="164" fontId="18" fillId="0" borderId="31" xfId="1" applyNumberFormat="1" applyFont="1" applyBorder="1" applyAlignment="1">
      <alignment horizontal="center" vertical="center" wrapText="1"/>
    </xf>
    <xf numFmtId="0" fontId="19" fillId="0" borderId="39" xfId="0" applyFont="1" applyBorder="1" applyAlignment="1">
      <alignment horizontal="center" vertical="center" wrapText="1"/>
    </xf>
    <xf numFmtId="165" fontId="12" fillId="0" borderId="3" xfId="0" applyNumberFormat="1" applyFont="1" applyBorder="1" applyAlignment="1">
      <alignment horizontal="center" vertical="center"/>
    </xf>
    <xf numFmtId="165" fontId="12" fillId="0" borderId="15" xfId="0" applyNumberFormat="1" applyFont="1" applyBorder="1" applyAlignment="1">
      <alignment horizontal="center" vertical="center"/>
    </xf>
    <xf numFmtId="44" fontId="12" fillId="0" borderId="3" xfId="2" applyFont="1" applyBorder="1" applyAlignment="1">
      <alignment horizontal="center" vertical="center"/>
    </xf>
    <xf numFmtId="44" fontId="12" fillId="0" borderId="15" xfId="2" applyFont="1" applyBorder="1" applyAlignment="1">
      <alignment horizontal="center" vertical="center"/>
    </xf>
    <xf numFmtId="9" fontId="12" fillId="0" borderId="3" xfId="3" applyFont="1" applyBorder="1" applyAlignment="1">
      <alignment horizontal="center" vertical="center"/>
    </xf>
    <xf numFmtId="9" fontId="12" fillId="0" borderId="15" xfId="3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42" fontId="12" fillId="0" borderId="3" xfId="2" applyNumberFormat="1" applyFont="1" applyFill="1" applyBorder="1" applyAlignment="1">
      <alignment horizontal="center" vertical="center" wrapText="1"/>
    </xf>
    <xf numFmtId="42" fontId="12" fillId="0" borderId="15" xfId="2" applyNumberFormat="1" applyFont="1" applyFill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3" fontId="14" fillId="0" borderId="11" xfId="0" applyNumberFormat="1" applyFont="1" applyBorder="1" applyAlignment="1">
      <alignment horizontal="center" vertical="center" wrapText="1"/>
    </xf>
    <xf numFmtId="3" fontId="4" fillId="0" borderId="9" xfId="0" applyNumberFormat="1" applyFont="1" applyFill="1" applyBorder="1" applyAlignment="1">
      <alignment horizontal="center" vertical="center" wrapText="1"/>
    </xf>
    <xf numFmtId="3" fontId="4" fillId="0" borderId="11" xfId="0" applyNumberFormat="1" applyFont="1" applyFill="1" applyBorder="1" applyAlignment="1">
      <alignment horizontal="center" vertical="center" wrapText="1"/>
    </xf>
    <xf numFmtId="10" fontId="4" fillId="0" borderId="9" xfId="0" applyNumberFormat="1" applyFont="1" applyFill="1" applyBorder="1" applyAlignment="1">
      <alignment horizontal="center" vertical="center" wrapText="1"/>
    </xf>
    <xf numFmtId="10" fontId="4" fillId="0" borderId="11" xfId="0" applyNumberFormat="1" applyFont="1" applyFill="1" applyBorder="1" applyAlignment="1">
      <alignment horizontal="center" vertical="center" wrapText="1"/>
    </xf>
    <xf numFmtId="10" fontId="4" fillId="3" borderId="3" xfId="0" applyNumberFormat="1" applyFont="1" applyFill="1" applyBorder="1" applyAlignment="1">
      <alignment horizontal="center" vertical="center" wrapText="1"/>
    </xf>
    <xf numFmtId="10" fontId="4" fillId="3" borderId="16" xfId="0" applyNumberFormat="1" applyFont="1" applyFill="1" applyBorder="1" applyAlignment="1">
      <alignment horizontal="center" vertical="center" wrapText="1"/>
    </xf>
    <xf numFmtId="0" fontId="10" fillId="2" borderId="38" xfId="0" applyFont="1" applyFill="1" applyBorder="1" applyAlignment="1">
      <alignment horizontal="center" vertical="center" wrapText="1"/>
    </xf>
    <xf numFmtId="164" fontId="10" fillId="0" borderId="9" xfId="1" applyNumberFormat="1" applyFont="1" applyBorder="1" applyAlignment="1">
      <alignment horizontal="center" vertical="center" wrapText="1"/>
    </xf>
    <xf numFmtId="164" fontId="10" fillId="0" borderId="11" xfId="1" applyNumberFormat="1" applyFont="1" applyBorder="1" applyAlignment="1">
      <alignment horizontal="center" vertical="center" wrapText="1"/>
    </xf>
    <xf numFmtId="3" fontId="13" fillId="0" borderId="9" xfId="0" applyNumberFormat="1" applyFont="1" applyBorder="1" applyAlignment="1">
      <alignment horizontal="center" vertical="center" wrapText="1"/>
    </xf>
    <xf numFmtId="3" fontId="13" fillId="0" borderId="11" xfId="0" applyNumberFormat="1" applyFont="1" applyBorder="1" applyAlignment="1">
      <alignment horizontal="center" vertical="center" wrapText="1"/>
    </xf>
    <xf numFmtId="3" fontId="13" fillId="0" borderId="10" xfId="0" applyNumberFormat="1" applyFont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10" fontId="4" fillId="3" borderId="20" xfId="0" applyNumberFormat="1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10" fillId="0" borderId="3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textRotation="90" wrapText="1"/>
    </xf>
    <xf numFmtId="0" fontId="4" fillId="0" borderId="11" xfId="0" applyFont="1" applyBorder="1" applyAlignment="1">
      <alignment horizontal="center" vertical="center" textRotation="90" wrapText="1"/>
    </xf>
    <xf numFmtId="0" fontId="4" fillId="0" borderId="10" xfId="0" applyFont="1" applyBorder="1" applyAlignment="1">
      <alignment horizontal="center" vertical="center" textRotation="90" wrapText="1"/>
    </xf>
    <xf numFmtId="0" fontId="12" fillId="0" borderId="8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2" fillId="0" borderId="19" xfId="0" applyFont="1" applyBorder="1" applyAlignment="1">
      <alignment horizontal="center" vertical="center" wrapText="1"/>
    </xf>
    <xf numFmtId="164" fontId="13" fillId="0" borderId="9" xfId="1" applyNumberFormat="1" applyFont="1" applyBorder="1" applyAlignment="1">
      <alignment horizontal="center" vertical="center" wrapText="1"/>
    </xf>
    <xf numFmtId="164" fontId="13" fillId="0" borderId="11" xfId="1" applyNumberFormat="1" applyFont="1" applyBorder="1" applyAlignment="1">
      <alignment horizontal="center" vertical="center" wrapText="1"/>
    </xf>
    <xf numFmtId="164" fontId="13" fillId="0" borderId="10" xfId="1" applyNumberFormat="1" applyFont="1" applyBorder="1" applyAlignment="1">
      <alignment horizontal="center" vertical="center" wrapText="1"/>
    </xf>
    <xf numFmtId="10" fontId="4" fillId="0" borderId="3" xfId="3" applyNumberFormat="1" applyFont="1" applyFill="1" applyBorder="1" applyAlignment="1">
      <alignment horizontal="center" vertical="center" wrapText="1"/>
    </xf>
    <xf numFmtId="10" fontId="4" fillId="0" borderId="16" xfId="3" applyNumberFormat="1" applyFont="1" applyFill="1" applyBorder="1" applyAlignment="1">
      <alignment horizontal="center" vertical="center" wrapText="1"/>
    </xf>
    <xf numFmtId="10" fontId="4" fillId="0" borderId="20" xfId="3" applyNumberFormat="1" applyFont="1" applyFill="1" applyBorder="1" applyAlignment="1">
      <alignment horizontal="center" vertical="center" wrapText="1"/>
    </xf>
    <xf numFmtId="0" fontId="12" fillId="0" borderId="11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164" fontId="16" fillId="2" borderId="25" xfId="1" applyNumberFormat="1" applyFont="1" applyFill="1" applyBorder="1" applyAlignment="1">
      <alignment horizontal="center" vertical="center" wrapText="1"/>
    </xf>
    <xf numFmtId="164" fontId="16" fillId="2" borderId="26" xfId="1" applyNumberFormat="1" applyFont="1" applyFill="1" applyBorder="1" applyAlignment="1">
      <alignment horizontal="center" vertical="center" wrapText="1"/>
    </xf>
    <xf numFmtId="164" fontId="16" fillId="2" borderId="27" xfId="1" applyNumberFormat="1" applyFont="1" applyFill="1" applyBorder="1" applyAlignment="1">
      <alignment horizontal="center" vertical="center" wrapText="1"/>
    </xf>
    <xf numFmtId="0" fontId="18" fillId="0" borderId="30" xfId="0" applyFont="1" applyBorder="1" applyAlignment="1">
      <alignment horizontal="center" vertical="center" wrapText="1"/>
    </xf>
    <xf numFmtId="0" fontId="18" fillId="0" borderId="31" xfId="0" applyFont="1" applyBorder="1" applyAlignment="1">
      <alignment horizontal="center" vertical="center" wrapText="1"/>
    </xf>
    <xf numFmtId="0" fontId="18" fillId="0" borderId="32" xfId="0" applyFont="1" applyBorder="1" applyAlignment="1">
      <alignment horizontal="center" vertical="center" wrapText="1"/>
    </xf>
    <xf numFmtId="3" fontId="4" fillId="0" borderId="11" xfId="0" applyNumberFormat="1" applyFont="1" applyBorder="1" applyAlignment="1">
      <alignment horizontal="center" vertical="center" wrapText="1"/>
    </xf>
    <xf numFmtId="3" fontId="4" fillId="2" borderId="11" xfId="0" applyNumberFormat="1" applyFont="1" applyFill="1" applyBorder="1" applyAlignment="1">
      <alignment horizontal="center" vertical="center" wrapText="1"/>
    </xf>
    <xf numFmtId="3" fontId="4" fillId="0" borderId="9" xfId="0" applyNumberFormat="1" applyFont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 wrapText="1"/>
    </xf>
    <xf numFmtId="0" fontId="10" fillId="0" borderId="13" xfId="0" applyFont="1" applyBorder="1" applyAlignment="1">
      <alignment horizontal="left" vertical="center" wrapText="1"/>
    </xf>
    <xf numFmtId="0" fontId="10" fillId="0" borderId="23" xfId="0" applyFont="1" applyBorder="1" applyAlignment="1">
      <alignment horizontal="left" vertical="center" wrapText="1"/>
    </xf>
    <xf numFmtId="10" fontId="4" fillId="0" borderId="10" xfId="3" applyNumberFormat="1" applyFont="1" applyFill="1" applyBorder="1" applyAlignment="1">
      <alignment horizontal="center" vertical="center" wrapText="1"/>
    </xf>
    <xf numFmtId="164" fontId="10" fillId="2" borderId="11" xfId="1" applyNumberFormat="1" applyFont="1" applyFill="1" applyBorder="1" applyAlignment="1">
      <alignment horizontal="center" vertical="center" wrapText="1"/>
    </xf>
    <xf numFmtId="165" fontId="12" fillId="0" borderId="9" xfId="0" applyNumberFormat="1" applyFont="1" applyBorder="1" applyAlignment="1">
      <alignment horizontal="center" vertical="center"/>
    </xf>
    <xf numFmtId="165" fontId="12" fillId="0" borderId="11" xfId="0" applyNumberFormat="1" applyFont="1" applyBorder="1" applyAlignment="1">
      <alignment horizontal="center" vertical="center"/>
    </xf>
    <xf numFmtId="9" fontId="12" fillId="0" borderId="9" xfId="3" applyFont="1" applyBorder="1" applyAlignment="1">
      <alignment horizontal="center" vertical="center"/>
    </xf>
    <xf numFmtId="9" fontId="12" fillId="0" borderId="11" xfId="3" applyFont="1" applyBorder="1" applyAlignment="1">
      <alignment horizontal="center" vertical="center"/>
    </xf>
    <xf numFmtId="44" fontId="0" fillId="0" borderId="11" xfId="2" applyFont="1" applyBorder="1" applyAlignment="1">
      <alignment horizontal="center" vertical="center" wrapText="1"/>
    </xf>
    <xf numFmtId="42" fontId="12" fillId="0" borderId="9" xfId="2" applyNumberFormat="1" applyFont="1" applyFill="1" applyBorder="1" applyAlignment="1">
      <alignment horizontal="center" vertical="center" wrapText="1"/>
    </xf>
    <xf numFmtId="42" fontId="12" fillId="0" borderId="11" xfId="2" applyNumberFormat="1" applyFont="1" applyFill="1" applyBorder="1" applyAlignment="1">
      <alignment horizontal="center" vertical="center" wrapText="1"/>
    </xf>
    <xf numFmtId="3" fontId="14" fillId="0" borderId="9" xfId="0" applyNumberFormat="1" applyFont="1" applyBorder="1" applyAlignment="1">
      <alignment horizontal="center" vertical="center" wrapText="1"/>
    </xf>
    <xf numFmtId="3" fontId="14" fillId="0" borderId="10" xfId="0" applyNumberFormat="1" applyFont="1" applyBorder="1" applyAlignment="1">
      <alignment horizontal="center" vertical="center" wrapText="1"/>
    </xf>
    <xf numFmtId="10" fontId="4" fillId="3" borderId="11" xfId="0" applyNumberFormat="1" applyFont="1" applyFill="1" applyBorder="1" applyAlignment="1">
      <alignment horizontal="center" vertical="center" wrapText="1"/>
    </xf>
    <xf numFmtId="10" fontId="4" fillId="0" borderId="15" xfId="0" applyNumberFormat="1" applyFont="1" applyFill="1" applyBorder="1" applyAlignment="1">
      <alignment horizontal="center" vertical="center" wrapText="1"/>
    </xf>
    <xf numFmtId="10" fontId="4" fillId="0" borderId="21" xfId="0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/>
    </xf>
    <xf numFmtId="10" fontId="4" fillId="0" borderId="15" xfId="3" applyNumberFormat="1" applyFont="1" applyFill="1" applyBorder="1" applyAlignment="1">
      <alignment horizontal="center" vertical="center" wrapText="1"/>
    </xf>
  </cellXfs>
  <cellStyles count="4">
    <cellStyle name="Millares" xfId="1" builtinId="3"/>
    <cellStyle name="Moneda" xfId="2" builtinId="4"/>
    <cellStyle name="Normal" xfId="0" builtinId="0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G23"/>
  <sheetViews>
    <sheetView showGridLines="0" tabSelected="1" topLeftCell="Y1" zoomScale="60" zoomScaleNormal="60" workbookViewId="0">
      <pane ySplit="3" topLeftCell="A9" activePane="bottomLeft" state="frozen"/>
      <selection pane="bottomLeft" activeCell="Y9" sqref="Y9:Y11"/>
    </sheetView>
  </sheetViews>
  <sheetFormatPr baseColWidth="10" defaultColWidth="10.85546875" defaultRowHeight="21"/>
  <cols>
    <col min="1" max="1" width="25.28515625" style="225" customWidth="1"/>
    <col min="2" max="2" width="23.42578125" style="225" bestFit="1" customWidth="1"/>
    <col min="3" max="3" width="36.42578125" style="236" bestFit="1" customWidth="1"/>
    <col min="4" max="4" width="18.7109375" style="236" bestFit="1" customWidth="1"/>
    <col min="5" max="5" width="48.42578125" style="237" bestFit="1" customWidth="1"/>
    <col min="6" max="6" width="29.140625" style="238" customWidth="1"/>
    <col min="7" max="7" width="23" style="237" bestFit="1" customWidth="1"/>
    <col min="8" max="8" width="23" style="236" customWidth="1"/>
    <col min="9" max="9" width="22.7109375" style="236" customWidth="1"/>
    <col min="10" max="10" width="27.140625" style="236" customWidth="1"/>
    <col min="11" max="11" width="27.7109375" style="236" customWidth="1"/>
    <col min="12" max="12" width="23.140625" style="239" customWidth="1"/>
    <col min="13" max="13" width="22.7109375" style="240" customWidth="1"/>
    <col min="14" max="14" width="25.42578125" style="240" bestFit="1" customWidth="1"/>
    <col min="15" max="15" width="23" style="240" customWidth="1"/>
    <col min="16" max="16" width="23.28515625" style="240" customWidth="1"/>
    <col min="17" max="17" width="24" style="240" customWidth="1"/>
    <col min="18" max="18" width="20.85546875" style="240" customWidth="1"/>
    <col min="19" max="19" width="4.7109375" style="240" hidden="1" customWidth="1"/>
    <col min="20" max="20" width="23.42578125" style="240" customWidth="1"/>
    <col min="21" max="21" width="24.85546875" style="243" customWidth="1"/>
    <col min="22" max="22" width="14.85546875" style="243" hidden="1" customWidth="1"/>
    <col min="23" max="23" width="25.42578125" style="240" bestFit="1" customWidth="1"/>
    <col min="24" max="24" width="30.42578125" style="243" bestFit="1" customWidth="1"/>
    <col min="25" max="25" width="0.140625" style="243" customWidth="1"/>
    <col min="26" max="26" width="31.7109375" style="236" customWidth="1"/>
    <col min="27" max="27" width="33.42578125" style="244" customWidth="1"/>
    <col min="28" max="28" width="43.140625" style="236" customWidth="1"/>
    <col min="29" max="29" width="36.140625" style="245" customWidth="1"/>
    <col min="30" max="30" width="23.7109375" style="252" customWidth="1"/>
    <col min="31" max="31" width="35.42578125" style="240" bestFit="1" customWidth="1"/>
    <col min="32" max="32" width="35.42578125" style="240" customWidth="1"/>
    <col min="33" max="33" width="25.28515625" style="224" customWidth="1"/>
    <col min="34" max="34" width="19.140625" style="225" customWidth="1"/>
    <col min="35" max="35" width="25.28515625" style="226" customWidth="1"/>
    <col min="36" max="36" width="20.140625" style="226" customWidth="1"/>
    <col min="37" max="37" width="24.7109375" style="227" customWidth="1"/>
    <col min="38" max="38" width="24.42578125" style="225" bestFit="1" customWidth="1"/>
    <col min="39" max="39" width="25.28515625" style="224" customWidth="1"/>
    <col min="40" max="40" width="21.28515625" style="247" bestFit="1" customWidth="1"/>
    <col min="41" max="41" width="37.7109375" style="225" bestFit="1" customWidth="1"/>
    <col min="42" max="42" width="37.7109375" style="225" customWidth="1"/>
    <col min="43" max="43" width="59.140625" style="248" bestFit="1" customWidth="1"/>
    <col min="44" max="44" width="44.7109375" style="225" customWidth="1"/>
    <col min="45" max="45" width="41.28515625" style="249" customWidth="1"/>
    <col min="46" max="46" width="35.28515625" style="225" customWidth="1"/>
    <col min="47" max="47" width="31.140625" style="225" customWidth="1"/>
    <col min="48" max="48" width="55.85546875" style="225" bestFit="1" customWidth="1"/>
    <col min="49" max="49" width="40.42578125" style="233" bestFit="1" customWidth="1"/>
    <col min="50" max="50" width="50.140625" style="233" bestFit="1" customWidth="1"/>
    <col min="51" max="51" width="36.5703125" style="234" customWidth="1"/>
    <col min="52" max="52" width="32.7109375" style="235" customWidth="1"/>
    <col min="53" max="54" width="10.85546875" style="2"/>
    <col min="55" max="55" width="18.7109375" style="2" customWidth="1"/>
    <col min="56" max="16384" width="10.85546875" style="2"/>
  </cols>
  <sheetData>
    <row r="1" spans="1:59" ht="69" customHeight="1">
      <c r="A1" s="375" t="s">
        <v>0</v>
      </c>
      <c r="B1" s="375"/>
      <c r="C1" s="375"/>
      <c r="D1" s="375"/>
      <c r="E1" s="375"/>
      <c r="F1" s="375"/>
      <c r="G1" s="375"/>
      <c r="H1" s="375"/>
      <c r="I1" s="375"/>
      <c r="J1" s="375"/>
      <c r="K1" s="375"/>
      <c r="L1" s="375"/>
      <c r="M1" s="375"/>
      <c r="N1" s="375"/>
      <c r="O1" s="375"/>
      <c r="P1" s="375"/>
      <c r="Q1" s="375"/>
      <c r="R1" s="375"/>
      <c r="S1" s="375"/>
      <c r="T1" s="375"/>
      <c r="U1" s="375"/>
      <c r="V1" s="375"/>
      <c r="W1" s="375"/>
      <c r="X1" s="375"/>
      <c r="Y1" s="375"/>
      <c r="Z1" s="376" t="s">
        <v>1</v>
      </c>
      <c r="AA1" s="376"/>
      <c r="AB1" s="376"/>
      <c r="AC1" s="376"/>
      <c r="AD1" s="376"/>
      <c r="AE1" s="376"/>
      <c r="AF1" s="376"/>
      <c r="AG1" s="376"/>
      <c r="AH1" s="376"/>
      <c r="AI1" s="376"/>
      <c r="AJ1" s="376"/>
      <c r="AK1" s="376"/>
      <c r="AL1" s="376"/>
      <c r="AM1" s="376"/>
      <c r="AN1" s="376"/>
      <c r="AO1" s="376"/>
      <c r="AP1" s="376"/>
      <c r="AQ1" s="376"/>
      <c r="AR1" s="376"/>
      <c r="AS1" s="376"/>
      <c r="AT1" s="376"/>
      <c r="AU1" s="376"/>
      <c r="AV1" s="376"/>
      <c r="AW1" s="376"/>
      <c r="AX1" s="376"/>
      <c r="AY1" s="376"/>
      <c r="AZ1" s="1"/>
    </row>
    <row r="2" spans="1:59" ht="43.5" customHeight="1" thickBot="1">
      <c r="A2" s="377" t="s">
        <v>2</v>
      </c>
      <c r="B2" s="377"/>
      <c r="C2" s="377"/>
      <c r="D2" s="377"/>
      <c r="E2" s="377"/>
      <c r="F2" s="377"/>
      <c r="G2" s="377"/>
      <c r="H2" s="377"/>
      <c r="I2" s="377"/>
      <c r="J2" s="377"/>
      <c r="K2" s="377"/>
      <c r="L2" s="377"/>
      <c r="M2" s="377"/>
      <c r="N2" s="377"/>
      <c r="O2" s="377"/>
      <c r="P2" s="377"/>
      <c r="Q2" s="377"/>
      <c r="R2" s="377"/>
      <c r="S2" s="377"/>
      <c r="T2" s="377"/>
      <c r="U2" s="377"/>
      <c r="V2" s="377"/>
      <c r="W2" s="377"/>
      <c r="X2" s="377"/>
      <c r="Y2" s="377"/>
      <c r="Z2" s="377" t="s">
        <v>2</v>
      </c>
      <c r="AA2" s="377"/>
      <c r="AB2" s="377"/>
      <c r="AC2" s="377"/>
      <c r="AD2" s="377"/>
      <c r="AE2" s="377"/>
      <c r="AF2" s="377"/>
      <c r="AG2" s="377"/>
      <c r="AH2" s="377"/>
      <c r="AI2" s="377"/>
      <c r="AJ2" s="377"/>
      <c r="AK2" s="377"/>
      <c r="AL2" s="377"/>
      <c r="AM2" s="377"/>
      <c r="AN2" s="377"/>
      <c r="AO2" s="377"/>
      <c r="AP2" s="377"/>
      <c r="AQ2" s="377"/>
      <c r="AR2" s="377"/>
      <c r="AS2" s="377"/>
      <c r="AT2" s="377"/>
      <c r="AU2" s="377"/>
      <c r="AV2" s="377"/>
      <c r="AW2" s="377"/>
      <c r="AX2" s="377"/>
      <c r="AY2" s="377"/>
      <c r="AZ2" s="3"/>
    </row>
    <row r="3" spans="1:59" s="14" customFormat="1" ht="88.5" customHeight="1" thickBot="1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5" t="s">
        <v>12</v>
      </c>
      <c r="K3" s="6" t="s">
        <v>13</v>
      </c>
      <c r="L3" s="7" t="s">
        <v>14</v>
      </c>
      <c r="M3" s="7" t="s">
        <v>15</v>
      </c>
      <c r="N3" s="8" t="s">
        <v>16</v>
      </c>
      <c r="O3" s="8" t="s">
        <v>17</v>
      </c>
      <c r="P3" s="9" t="s">
        <v>18</v>
      </c>
      <c r="Q3" s="10" t="s">
        <v>19</v>
      </c>
      <c r="R3" s="10" t="s">
        <v>20</v>
      </c>
      <c r="S3" s="10" t="s">
        <v>21</v>
      </c>
      <c r="T3" s="7" t="s">
        <v>22</v>
      </c>
      <c r="U3" s="7" t="s">
        <v>23</v>
      </c>
      <c r="V3" s="7" t="s">
        <v>24</v>
      </c>
      <c r="W3" s="7" t="s">
        <v>25</v>
      </c>
      <c r="X3" s="7" t="s">
        <v>26</v>
      </c>
      <c r="Y3" s="7" t="s">
        <v>27</v>
      </c>
      <c r="Z3" s="5" t="s">
        <v>28</v>
      </c>
      <c r="AA3" s="5" t="s">
        <v>29</v>
      </c>
      <c r="AB3" s="5" t="s">
        <v>30</v>
      </c>
      <c r="AC3" s="5" t="s">
        <v>31</v>
      </c>
      <c r="AD3" s="8" t="s">
        <v>32</v>
      </c>
      <c r="AE3" s="11" t="s">
        <v>33</v>
      </c>
      <c r="AF3" s="10" t="s">
        <v>34</v>
      </c>
      <c r="AG3" s="5" t="s">
        <v>35</v>
      </c>
      <c r="AH3" s="5" t="s">
        <v>36</v>
      </c>
      <c r="AI3" s="8" t="s">
        <v>37</v>
      </c>
      <c r="AJ3" s="8" t="s">
        <v>38</v>
      </c>
      <c r="AK3" s="8" t="s">
        <v>39</v>
      </c>
      <c r="AL3" s="5" t="s">
        <v>40</v>
      </c>
      <c r="AM3" s="5" t="s">
        <v>41</v>
      </c>
      <c r="AN3" s="5" t="s">
        <v>42</v>
      </c>
      <c r="AO3" s="5" t="s">
        <v>43</v>
      </c>
      <c r="AP3" s="5" t="s">
        <v>44</v>
      </c>
      <c r="AQ3" s="5" t="s">
        <v>45</v>
      </c>
      <c r="AR3" s="5" t="s">
        <v>46</v>
      </c>
      <c r="AS3" s="5" t="s">
        <v>47</v>
      </c>
      <c r="AT3" s="5" t="s">
        <v>48</v>
      </c>
      <c r="AU3" s="5" t="s">
        <v>49</v>
      </c>
      <c r="AV3" s="5" t="s">
        <v>50</v>
      </c>
      <c r="AW3" s="5" t="s">
        <v>51</v>
      </c>
      <c r="AX3" s="5" t="s">
        <v>52</v>
      </c>
      <c r="AY3" s="12" t="s">
        <v>53</v>
      </c>
      <c r="AZ3" s="13" t="s">
        <v>54</v>
      </c>
      <c r="BC3" s="15">
        <v>4488210003035200</v>
      </c>
    </row>
    <row r="4" spans="1:59" s="21" customFormat="1" ht="63.75" thickBot="1">
      <c r="A4" s="338" t="s">
        <v>55</v>
      </c>
      <c r="B4" s="292" t="s">
        <v>56</v>
      </c>
      <c r="C4" s="314" t="s">
        <v>57</v>
      </c>
      <c r="D4" s="327" t="s">
        <v>58</v>
      </c>
      <c r="E4" s="330" t="s">
        <v>59</v>
      </c>
      <c r="F4" s="344">
        <f>O4/36794</f>
        <v>6.5825949883133117E-2</v>
      </c>
      <c r="G4" s="263" t="s">
        <v>60</v>
      </c>
      <c r="H4" s="362" t="s">
        <v>61</v>
      </c>
      <c r="I4" s="362" t="s">
        <v>62</v>
      </c>
      <c r="J4" s="362" t="s">
        <v>58</v>
      </c>
      <c r="K4" s="270" t="s">
        <v>63</v>
      </c>
      <c r="L4" s="356">
        <v>5000</v>
      </c>
      <c r="M4" s="319">
        <f>1+149</f>
        <v>150</v>
      </c>
      <c r="N4" s="355">
        <f>48+10+660+45</f>
        <v>763</v>
      </c>
      <c r="O4" s="319">
        <v>2422</v>
      </c>
      <c r="P4" s="319">
        <v>46</v>
      </c>
      <c r="Q4" s="319">
        <v>103</v>
      </c>
      <c r="R4" s="319">
        <f>1</f>
        <v>1</v>
      </c>
      <c r="S4" s="319">
        <v>0</v>
      </c>
      <c r="T4" s="319">
        <f>P4+Q4+R4</f>
        <v>150</v>
      </c>
      <c r="U4" s="321">
        <f>T4/(M4+N4)</f>
        <v>0.16429353778751368</v>
      </c>
      <c r="V4" s="372">
        <f>AVERAGE(U4:U7)</f>
        <v>8.6505423937343395E-2</v>
      </c>
      <c r="W4" s="319">
        <f>O4+T4</f>
        <v>2572</v>
      </c>
      <c r="X4" s="320">
        <f>W4/L4</f>
        <v>0.51439999999999997</v>
      </c>
      <c r="Y4" s="322">
        <f>AVERAGE(X4:X7)</f>
        <v>0.58782500000000004</v>
      </c>
      <c r="Z4" s="314" t="s">
        <v>64</v>
      </c>
      <c r="AA4" s="335" t="s">
        <v>65</v>
      </c>
      <c r="AB4" s="314" t="s">
        <v>66</v>
      </c>
      <c r="AC4" s="16" t="s">
        <v>67</v>
      </c>
      <c r="AD4" s="17">
        <f>SUM(M4:N4)</f>
        <v>913</v>
      </c>
      <c r="AE4" s="17">
        <f>SUM(P4:R5)</f>
        <v>150</v>
      </c>
      <c r="AF4" s="18">
        <f>+AE4/AD4</f>
        <v>0.16429353778751368</v>
      </c>
      <c r="AG4" s="19" t="s">
        <v>68</v>
      </c>
      <c r="AH4" s="17">
        <f>90+90</f>
        <v>180</v>
      </c>
      <c r="AI4" s="370">
        <f>L4*4</f>
        <v>20000</v>
      </c>
      <c r="AJ4" s="370">
        <f>W4*4</f>
        <v>10288</v>
      </c>
      <c r="AK4" s="20">
        <f>AD4/SUM(AD4:AD7)</f>
        <v>0.25790960451977402</v>
      </c>
      <c r="AL4" s="292" t="s">
        <v>69</v>
      </c>
      <c r="AM4" s="292" t="s">
        <v>70</v>
      </c>
      <c r="AN4" s="309" t="s">
        <v>71</v>
      </c>
      <c r="AO4" s="363">
        <v>559096199</v>
      </c>
      <c r="AP4" s="363">
        <v>3744000000</v>
      </c>
      <c r="AQ4" s="368" t="s">
        <v>72</v>
      </c>
      <c r="AR4" s="358" t="s">
        <v>73</v>
      </c>
      <c r="AS4" s="358" t="s">
        <v>74</v>
      </c>
      <c r="AT4" s="363">
        <v>340654567.5</v>
      </c>
      <c r="AU4" s="363">
        <v>3744000000</v>
      </c>
      <c r="AV4" s="365">
        <f>+AU4/AP4</f>
        <v>1</v>
      </c>
      <c r="AW4" s="292" t="s">
        <v>75</v>
      </c>
      <c r="AX4" s="358" t="s">
        <v>76</v>
      </c>
      <c r="AY4" s="294" t="s">
        <v>77</v>
      </c>
      <c r="AZ4" s="359"/>
    </row>
    <row r="5" spans="1:59" s="26" customFormat="1" ht="99.95" customHeight="1" thickBot="1">
      <c r="A5" s="339"/>
      <c r="B5" s="259"/>
      <c r="C5" s="315"/>
      <c r="D5" s="328"/>
      <c r="E5" s="270"/>
      <c r="F5" s="378"/>
      <c r="G5" s="264"/>
      <c r="H5" s="362"/>
      <c r="I5" s="362"/>
      <c r="J5" s="362"/>
      <c r="K5" s="270"/>
      <c r="L5" s="356"/>
      <c r="M5" s="319"/>
      <c r="N5" s="355"/>
      <c r="O5" s="319"/>
      <c r="P5" s="319"/>
      <c r="Q5" s="319"/>
      <c r="R5" s="319"/>
      <c r="S5" s="319"/>
      <c r="T5" s="319"/>
      <c r="U5" s="321"/>
      <c r="V5" s="372"/>
      <c r="W5" s="319"/>
      <c r="X5" s="321"/>
      <c r="Y5" s="323"/>
      <c r="Z5" s="315"/>
      <c r="AA5" s="336"/>
      <c r="AB5" s="315"/>
      <c r="AC5" s="22" t="s">
        <v>78</v>
      </c>
      <c r="AD5" s="23">
        <v>670</v>
      </c>
      <c r="AE5" s="23">
        <v>0</v>
      </c>
      <c r="AF5" s="18">
        <f t="shared" ref="AF5:AF7" si="0">+AE5/AD5</f>
        <v>0</v>
      </c>
      <c r="AG5" s="24" t="s">
        <v>79</v>
      </c>
      <c r="AH5" s="23">
        <v>0</v>
      </c>
      <c r="AI5" s="317"/>
      <c r="AJ5" s="317"/>
      <c r="AK5" s="25">
        <f>AD5/SUM(AD4:AD7)</f>
        <v>0.18926553672316385</v>
      </c>
      <c r="AL5" s="259"/>
      <c r="AM5" s="259"/>
      <c r="AN5" s="310"/>
      <c r="AO5" s="364"/>
      <c r="AP5" s="364"/>
      <c r="AQ5" s="369"/>
      <c r="AR5" s="347"/>
      <c r="AS5" s="347"/>
      <c r="AT5" s="364"/>
      <c r="AU5" s="364"/>
      <c r="AV5" s="366"/>
      <c r="AW5" s="259"/>
      <c r="AX5" s="347"/>
      <c r="AY5" s="295"/>
      <c r="AZ5" s="298"/>
    </row>
    <row r="6" spans="1:59" s="26" customFormat="1" ht="105" customHeight="1" thickBot="1">
      <c r="A6" s="339"/>
      <c r="B6" s="259"/>
      <c r="C6" s="315"/>
      <c r="D6" s="328"/>
      <c r="E6" s="342" t="s">
        <v>80</v>
      </c>
      <c r="F6" s="361">
        <f>W6/36794</f>
        <v>7.188672066097733E-2</v>
      </c>
      <c r="G6" s="264"/>
      <c r="H6" s="362" t="s">
        <v>81</v>
      </c>
      <c r="I6" s="362" t="s">
        <v>82</v>
      </c>
      <c r="J6" s="362"/>
      <c r="K6" s="270" t="s">
        <v>83</v>
      </c>
      <c r="L6" s="356">
        <v>4000</v>
      </c>
      <c r="M6" s="356">
        <v>0</v>
      </c>
      <c r="N6" s="355">
        <f>10+660+126+7</f>
        <v>803</v>
      </c>
      <c r="O6" s="356">
        <v>2638</v>
      </c>
      <c r="P6" s="356">
        <v>0</v>
      </c>
      <c r="Q6" s="356">
        <v>7</v>
      </c>
      <c r="R6" s="319">
        <v>0</v>
      </c>
      <c r="S6" s="356">
        <v>0</v>
      </c>
      <c r="T6" s="356">
        <f>P6+Q6+R6</f>
        <v>7</v>
      </c>
      <c r="U6" s="321">
        <f>T6/(M6+N6)</f>
        <v>8.717310087173101E-3</v>
      </c>
      <c r="V6" s="372"/>
      <c r="W6" s="356">
        <f>O6+T6</f>
        <v>2645</v>
      </c>
      <c r="X6" s="373">
        <f>W6/L6</f>
        <v>0.66125</v>
      </c>
      <c r="Y6" s="323"/>
      <c r="Z6" s="315"/>
      <c r="AA6" s="336"/>
      <c r="AB6" s="315"/>
      <c r="AC6" s="22" t="s">
        <v>84</v>
      </c>
      <c r="AD6" s="23">
        <v>1831</v>
      </c>
      <c r="AE6" s="23">
        <v>7</v>
      </c>
      <c r="AF6" s="27">
        <f t="shared" si="0"/>
        <v>3.8230475150191155E-3</v>
      </c>
      <c r="AG6" s="24" t="s">
        <v>85</v>
      </c>
      <c r="AH6" s="23">
        <f>4+90</f>
        <v>94</v>
      </c>
      <c r="AI6" s="317"/>
      <c r="AJ6" s="317"/>
      <c r="AK6" s="25">
        <f>AD6/SUM(AD4:AD7)</f>
        <v>0.51723163841807906</v>
      </c>
      <c r="AL6" s="259"/>
      <c r="AM6" s="259"/>
      <c r="AN6" s="310" t="s">
        <v>71</v>
      </c>
      <c r="AO6" s="364">
        <v>13692537</v>
      </c>
      <c r="AP6" s="363">
        <v>3128788736</v>
      </c>
      <c r="AQ6" s="369" t="s">
        <v>86</v>
      </c>
      <c r="AR6" s="347"/>
      <c r="AS6" s="347" t="s">
        <v>74</v>
      </c>
      <c r="AT6" s="364">
        <v>13692537</v>
      </c>
      <c r="AU6" s="367">
        <v>3024088736</v>
      </c>
      <c r="AV6" s="366">
        <f>+AU6/AP6</f>
        <v>0.96653657091151068</v>
      </c>
      <c r="AW6" s="259" t="s">
        <v>75</v>
      </c>
      <c r="AX6" s="347" t="s">
        <v>87</v>
      </c>
      <c r="AY6" s="295" t="s">
        <v>77</v>
      </c>
      <c r="AZ6" s="298"/>
    </row>
    <row r="7" spans="1:59" s="26" customFormat="1" ht="149.25" customHeight="1" thickBot="1">
      <c r="A7" s="340"/>
      <c r="B7" s="293"/>
      <c r="C7" s="316"/>
      <c r="D7" s="329"/>
      <c r="E7" s="343"/>
      <c r="F7" s="346"/>
      <c r="G7" s="264"/>
      <c r="H7" s="362"/>
      <c r="I7" s="362"/>
      <c r="J7" s="362"/>
      <c r="K7" s="270"/>
      <c r="L7" s="356"/>
      <c r="M7" s="356"/>
      <c r="N7" s="355"/>
      <c r="O7" s="356"/>
      <c r="P7" s="356"/>
      <c r="Q7" s="356"/>
      <c r="R7" s="319"/>
      <c r="S7" s="356"/>
      <c r="T7" s="356"/>
      <c r="U7" s="321"/>
      <c r="V7" s="372"/>
      <c r="W7" s="356"/>
      <c r="X7" s="374"/>
      <c r="Y7" s="331"/>
      <c r="Z7" s="316"/>
      <c r="AA7" s="337"/>
      <c r="AB7" s="316"/>
      <c r="AC7" s="28" t="s">
        <v>88</v>
      </c>
      <c r="AD7" s="29">
        <v>126</v>
      </c>
      <c r="AE7" s="29">
        <v>0</v>
      </c>
      <c r="AF7" s="18">
        <f t="shared" si="0"/>
        <v>0</v>
      </c>
      <c r="AG7" s="30" t="s">
        <v>79</v>
      </c>
      <c r="AH7" s="29">
        <v>0</v>
      </c>
      <c r="AI7" s="371"/>
      <c r="AJ7" s="371"/>
      <c r="AK7" s="31">
        <f>AD7/SUM(AD4:AD7)</f>
        <v>3.5593220338983052E-2</v>
      </c>
      <c r="AL7" s="293"/>
      <c r="AM7" s="293"/>
      <c r="AN7" s="310"/>
      <c r="AO7" s="364"/>
      <c r="AP7" s="364"/>
      <c r="AQ7" s="369"/>
      <c r="AR7" s="348"/>
      <c r="AS7" s="347"/>
      <c r="AT7" s="364"/>
      <c r="AU7" s="367"/>
      <c r="AV7" s="366"/>
      <c r="AW7" s="259"/>
      <c r="AX7" s="348"/>
      <c r="AY7" s="296"/>
      <c r="AZ7" s="360"/>
    </row>
    <row r="8" spans="1:59" s="26" customFormat="1" ht="72.75" customHeight="1" thickBot="1">
      <c r="A8" s="32"/>
      <c r="B8" s="33"/>
      <c r="C8" s="34"/>
      <c r="D8" s="35"/>
      <c r="E8" s="36"/>
      <c r="F8" s="37"/>
      <c r="G8" s="281"/>
      <c r="H8" s="349" t="s">
        <v>89</v>
      </c>
      <c r="I8" s="350"/>
      <c r="J8" s="350"/>
      <c r="K8" s="350"/>
      <c r="L8" s="350"/>
      <c r="M8" s="350"/>
      <c r="N8" s="350"/>
      <c r="O8" s="350"/>
      <c r="P8" s="350"/>
      <c r="Q8" s="350"/>
      <c r="R8" s="350"/>
      <c r="S8" s="350"/>
      <c r="T8" s="351"/>
      <c r="U8" s="38">
        <f>AVERAGE(U4:U7)</f>
        <v>8.6505423937343395E-2</v>
      </c>
      <c r="V8" s="39"/>
      <c r="W8" s="40"/>
      <c r="X8" s="41">
        <f>AVERAGE(X4:X7)</f>
        <v>0.58782500000000004</v>
      </c>
      <c r="Y8" s="42"/>
      <c r="Z8" s="43"/>
      <c r="AA8" s="352" t="s">
        <v>90</v>
      </c>
      <c r="AB8" s="353"/>
      <c r="AC8" s="353"/>
      <c r="AD8" s="353"/>
      <c r="AE8" s="354"/>
      <c r="AF8" s="44">
        <f>AVERAGE(AF4:AF7)</f>
        <v>4.2029146325633197E-2</v>
      </c>
      <c r="AG8" s="45"/>
      <c r="AH8" s="46"/>
      <c r="AI8" s="46"/>
      <c r="AJ8" s="46"/>
      <c r="AK8" s="47"/>
      <c r="AL8" s="33"/>
      <c r="AM8" s="33"/>
      <c r="AN8" s="48"/>
      <c r="AO8" s="49"/>
      <c r="AP8" s="49"/>
      <c r="AQ8" s="50"/>
      <c r="AR8" s="51"/>
      <c r="AS8" s="51"/>
      <c r="AT8" s="268" t="s">
        <v>91</v>
      </c>
      <c r="AU8" s="269"/>
      <c r="AV8" s="52">
        <f>AVERAGE(AV4:AV7)</f>
        <v>0.98326828545575529</v>
      </c>
      <c r="AW8" s="33"/>
      <c r="AX8" s="51"/>
      <c r="AY8" s="53"/>
      <c r="AZ8" s="54"/>
    </row>
    <row r="9" spans="1:59" s="21" customFormat="1" ht="99.95" customHeight="1" thickBot="1">
      <c r="A9" s="338" t="s">
        <v>55</v>
      </c>
      <c r="B9" s="292" t="s">
        <v>56</v>
      </c>
      <c r="C9" s="314" t="s">
        <v>92</v>
      </c>
      <c r="D9" s="327" t="s">
        <v>93</v>
      </c>
      <c r="E9" s="341" t="s">
        <v>94</v>
      </c>
      <c r="F9" s="344">
        <f>(W9+W11)/19258</f>
        <v>9.7362135216533391E-2</v>
      </c>
      <c r="G9" s="280" t="s">
        <v>95</v>
      </c>
      <c r="H9" s="325" t="s">
        <v>96</v>
      </c>
      <c r="I9" s="325" t="s">
        <v>97</v>
      </c>
      <c r="J9" s="327" t="s">
        <v>93</v>
      </c>
      <c r="K9" s="330" t="s">
        <v>98</v>
      </c>
      <c r="L9" s="318">
        <v>3500</v>
      </c>
      <c r="M9" s="318">
        <f>228+296</f>
        <v>524</v>
      </c>
      <c r="N9" s="357">
        <f>989+1300</f>
        <v>2289</v>
      </c>
      <c r="O9" s="318">
        <v>472</v>
      </c>
      <c r="P9" s="318">
        <f>100+275</f>
        <v>375</v>
      </c>
      <c r="Q9" s="318">
        <f>196+496</f>
        <v>692</v>
      </c>
      <c r="R9" s="318">
        <f>105+103+87</f>
        <v>295</v>
      </c>
      <c r="S9" s="318">
        <v>0</v>
      </c>
      <c r="T9" s="318">
        <f>P9+Q9+R9</f>
        <v>1362</v>
      </c>
      <c r="U9" s="320">
        <f>T9/(M9+N9)</f>
        <v>0.48418059011731246</v>
      </c>
      <c r="V9" s="322">
        <f>AVERAGE(U9:U11)</f>
        <v>0.24604286422861671</v>
      </c>
      <c r="W9" s="318">
        <f>O9+T9</f>
        <v>1834</v>
      </c>
      <c r="X9" s="320">
        <f>W9/L9</f>
        <v>0.52400000000000002</v>
      </c>
      <c r="Y9" s="322">
        <f>AVERAGE(X9:X11)</f>
        <v>0.28250000000000003</v>
      </c>
      <c r="Z9" s="332" t="s">
        <v>99</v>
      </c>
      <c r="AA9" s="335" t="s">
        <v>100</v>
      </c>
      <c r="AB9" s="314" t="s">
        <v>101</v>
      </c>
      <c r="AC9" s="16" t="s">
        <v>102</v>
      </c>
      <c r="AD9" s="55">
        <v>1217</v>
      </c>
      <c r="AE9" s="55">
        <f>275+496+295</f>
        <v>1066</v>
      </c>
      <c r="AF9" s="56">
        <f>+AE9/AD9</f>
        <v>0.87592440427280194</v>
      </c>
      <c r="AG9" s="24" t="s">
        <v>77</v>
      </c>
      <c r="AH9" s="57">
        <f>90+90</f>
        <v>180</v>
      </c>
      <c r="AI9" s="317">
        <f>(L9+L11)*4</f>
        <v>18000</v>
      </c>
      <c r="AJ9" s="317">
        <f>(W9+W11)*4</f>
        <v>7500</v>
      </c>
      <c r="AK9" s="58">
        <f>AD9/SUM(AD9:AD11)</f>
        <v>0.6891279728199321</v>
      </c>
      <c r="AL9" s="292" t="s">
        <v>69</v>
      </c>
      <c r="AM9" s="292" t="s">
        <v>70</v>
      </c>
      <c r="AN9" s="309" t="s">
        <v>71</v>
      </c>
      <c r="AO9" s="303">
        <v>8537377274.8400002</v>
      </c>
      <c r="AP9" s="305">
        <v>1804466261</v>
      </c>
      <c r="AQ9" s="312" t="s">
        <v>72</v>
      </c>
      <c r="AR9" s="259" t="s">
        <v>103</v>
      </c>
      <c r="AS9" s="259" t="s">
        <v>104</v>
      </c>
      <c r="AT9" s="303">
        <v>379057000</v>
      </c>
      <c r="AU9" s="305">
        <v>1710866261</v>
      </c>
      <c r="AV9" s="307">
        <f>+AU9/AP9</f>
        <v>0.94812870596531484</v>
      </c>
      <c r="AW9" s="292" t="s">
        <v>75</v>
      </c>
      <c r="AX9" s="292" t="s">
        <v>105</v>
      </c>
      <c r="AY9" s="294" t="s">
        <v>77</v>
      </c>
      <c r="AZ9" s="297"/>
    </row>
    <row r="10" spans="1:59" s="26" customFormat="1" ht="99.95" customHeight="1" thickBot="1">
      <c r="A10" s="339"/>
      <c r="B10" s="259"/>
      <c r="C10" s="315"/>
      <c r="D10" s="328"/>
      <c r="E10" s="342"/>
      <c r="F10" s="345"/>
      <c r="G10" s="264"/>
      <c r="H10" s="326"/>
      <c r="I10" s="326"/>
      <c r="J10" s="328"/>
      <c r="K10" s="270"/>
      <c r="L10" s="319"/>
      <c r="M10" s="319"/>
      <c r="N10" s="355"/>
      <c r="O10" s="319"/>
      <c r="P10" s="319"/>
      <c r="Q10" s="319"/>
      <c r="R10" s="319"/>
      <c r="S10" s="319"/>
      <c r="T10" s="319"/>
      <c r="U10" s="321"/>
      <c r="V10" s="323"/>
      <c r="W10" s="319"/>
      <c r="X10" s="321"/>
      <c r="Y10" s="323"/>
      <c r="Z10" s="333"/>
      <c r="AA10" s="336"/>
      <c r="AB10" s="315"/>
      <c r="AC10" s="22" t="s">
        <v>106</v>
      </c>
      <c r="AD10" s="57">
        <v>296</v>
      </c>
      <c r="AE10" s="57">
        <f>100+196</f>
        <v>296</v>
      </c>
      <c r="AF10" s="56">
        <f t="shared" ref="AF10:AF11" si="1">+AE10/AD10</f>
        <v>1</v>
      </c>
      <c r="AG10" s="24" t="s">
        <v>107</v>
      </c>
      <c r="AH10" s="57">
        <f>10+90</f>
        <v>100</v>
      </c>
      <c r="AI10" s="317"/>
      <c r="AJ10" s="317"/>
      <c r="AK10" s="58">
        <f>AD10/SUM(AD9:AD11)</f>
        <v>0.16761041902604756</v>
      </c>
      <c r="AL10" s="259"/>
      <c r="AM10" s="259"/>
      <c r="AN10" s="310"/>
      <c r="AO10" s="304"/>
      <c r="AP10" s="306"/>
      <c r="AQ10" s="313"/>
      <c r="AR10" s="259"/>
      <c r="AS10" s="259"/>
      <c r="AT10" s="304"/>
      <c r="AU10" s="306"/>
      <c r="AV10" s="308"/>
      <c r="AW10" s="259"/>
      <c r="AX10" s="259"/>
      <c r="AY10" s="295"/>
      <c r="AZ10" s="298"/>
    </row>
    <row r="11" spans="1:59" s="21" customFormat="1" ht="99.95" customHeight="1" thickBot="1">
      <c r="A11" s="340"/>
      <c r="B11" s="293"/>
      <c r="C11" s="316"/>
      <c r="D11" s="329"/>
      <c r="E11" s="343"/>
      <c r="F11" s="345"/>
      <c r="G11" s="264"/>
      <c r="H11" s="59" t="s">
        <v>108</v>
      </c>
      <c r="I11" s="59" t="s">
        <v>109</v>
      </c>
      <c r="J11" s="329"/>
      <c r="K11" s="60" t="s">
        <v>110</v>
      </c>
      <c r="L11" s="61">
        <v>1000</v>
      </c>
      <c r="M11" s="61">
        <v>8</v>
      </c>
      <c r="N11" s="62">
        <f>15+230</f>
        <v>245</v>
      </c>
      <c r="O11" s="61">
        <v>39</v>
      </c>
      <c r="P11" s="61">
        <v>0</v>
      </c>
      <c r="Q11" s="61">
        <v>2</v>
      </c>
      <c r="R11" s="61">
        <v>0</v>
      </c>
      <c r="S11" s="61">
        <v>0</v>
      </c>
      <c r="T11" s="61">
        <f>P11+Q11+R11</f>
        <v>2</v>
      </c>
      <c r="U11" s="63">
        <f>T11/(M11+N11)</f>
        <v>7.9051383399209481E-3</v>
      </c>
      <c r="V11" s="323"/>
      <c r="W11" s="61">
        <f>O11+T11</f>
        <v>41</v>
      </c>
      <c r="X11" s="63">
        <f>W11/L11</f>
        <v>4.1000000000000002E-2</v>
      </c>
      <c r="Y11" s="331"/>
      <c r="Z11" s="333"/>
      <c r="AA11" s="337"/>
      <c r="AB11" s="316"/>
      <c r="AC11" s="28" t="s">
        <v>111</v>
      </c>
      <c r="AD11" s="64">
        <v>253</v>
      </c>
      <c r="AE11" s="64">
        <v>2</v>
      </c>
      <c r="AF11" s="56">
        <f t="shared" si="1"/>
        <v>7.9051383399209481E-3</v>
      </c>
      <c r="AG11" s="24" t="s">
        <v>112</v>
      </c>
      <c r="AH11" s="57">
        <f>60</f>
        <v>60</v>
      </c>
      <c r="AI11" s="317"/>
      <c r="AJ11" s="317"/>
      <c r="AK11" s="58">
        <f>AD11/SUM(AD9:AD11)</f>
        <v>0.14326160815402039</v>
      </c>
      <c r="AL11" s="293"/>
      <c r="AM11" s="293"/>
      <c r="AN11" s="311"/>
      <c r="AO11" s="65">
        <v>3730307463</v>
      </c>
      <c r="AP11" s="66">
        <v>3963218476.8400002</v>
      </c>
      <c r="AQ11" s="67" t="s">
        <v>86</v>
      </c>
      <c r="AR11" s="259"/>
      <c r="AS11" s="259"/>
      <c r="AT11" s="65">
        <v>0</v>
      </c>
      <c r="AU11" s="65">
        <v>0</v>
      </c>
      <c r="AV11" s="68">
        <f>+AU11/AP11</f>
        <v>0</v>
      </c>
      <c r="AW11" s="293"/>
      <c r="AX11" s="293"/>
      <c r="AY11" s="296"/>
      <c r="AZ11" s="299"/>
    </row>
    <row r="12" spans="1:59" s="21" customFormat="1" ht="99.95" customHeight="1" thickBot="1">
      <c r="A12" s="32"/>
      <c r="B12" s="33"/>
      <c r="C12" s="34"/>
      <c r="D12" s="35"/>
      <c r="E12" s="36"/>
      <c r="F12" s="346"/>
      <c r="G12" s="324"/>
      <c r="H12" s="300" t="s">
        <v>113</v>
      </c>
      <c r="I12" s="301"/>
      <c r="J12" s="301"/>
      <c r="K12" s="301"/>
      <c r="L12" s="301"/>
      <c r="M12" s="301"/>
      <c r="N12" s="301"/>
      <c r="O12" s="301"/>
      <c r="P12" s="301"/>
      <c r="Q12" s="301"/>
      <c r="R12" s="301"/>
      <c r="S12" s="301"/>
      <c r="T12" s="301"/>
      <c r="U12" s="69">
        <f>AVERAGE(U9:U11)</f>
        <v>0.24604286422861671</v>
      </c>
      <c r="V12" s="70"/>
      <c r="W12" s="71"/>
      <c r="X12" s="69">
        <f>AVERAGE(X9:X11)</f>
        <v>0.28250000000000003</v>
      </c>
      <c r="Y12" s="72"/>
      <c r="Z12" s="334"/>
      <c r="AA12" s="302" t="s">
        <v>114</v>
      </c>
      <c r="AB12" s="266"/>
      <c r="AC12" s="266"/>
      <c r="AD12" s="266"/>
      <c r="AE12" s="267"/>
      <c r="AF12" s="73">
        <f>AVERAGE(AF9:AF11)</f>
        <v>0.62794318087090761</v>
      </c>
      <c r="AG12" s="45"/>
      <c r="AH12" s="74"/>
      <c r="AI12" s="46"/>
      <c r="AJ12" s="46"/>
      <c r="AK12" s="75"/>
      <c r="AL12" s="33"/>
      <c r="AM12" s="33"/>
      <c r="AN12" s="48"/>
      <c r="AO12" s="76"/>
      <c r="AP12" s="76"/>
      <c r="AQ12" s="50"/>
      <c r="AR12" s="33"/>
      <c r="AS12" s="33"/>
      <c r="AT12" s="268" t="s">
        <v>115</v>
      </c>
      <c r="AU12" s="269"/>
      <c r="AV12" s="77">
        <f>+AU9/(AP9+AP11)</f>
        <v>0.29662964235467559</v>
      </c>
      <c r="AW12" s="33"/>
      <c r="AX12" s="33"/>
      <c r="AY12" s="53"/>
      <c r="AZ12" s="54"/>
    </row>
    <row r="13" spans="1:59" s="21" customFormat="1" ht="116.25" thickBot="1">
      <c r="A13" s="78" t="s">
        <v>55</v>
      </c>
      <c r="B13" s="79" t="s">
        <v>56</v>
      </c>
      <c r="C13" s="80" t="s">
        <v>116</v>
      </c>
      <c r="D13" s="81" t="s">
        <v>117</v>
      </c>
      <c r="E13" s="82" t="s">
        <v>118</v>
      </c>
      <c r="F13" s="83">
        <f>(W13)/14770</f>
        <v>8.2735274204468523E-2</v>
      </c>
      <c r="G13" s="280" t="s">
        <v>119</v>
      </c>
      <c r="H13" s="84" t="s">
        <v>120</v>
      </c>
      <c r="I13" s="84" t="s">
        <v>121</v>
      </c>
      <c r="J13" s="81" t="s">
        <v>117</v>
      </c>
      <c r="K13" s="80" t="s">
        <v>122</v>
      </c>
      <c r="L13" s="85">
        <v>4500</v>
      </c>
      <c r="M13" s="85">
        <v>181</v>
      </c>
      <c r="N13" s="85">
        <v>3319</v>
      </c>
      <c r="O13" s="85">
        <v>483</v>
      </c>
      <c r="P13" s="85">
        <v>9</v>
      </c>
      <c r="Q13" s="85">
        <f>109+133+2</f>
        <v>244</v>
      </c>
      <c r="R13" s="85">
        <v>486</v>
      </c>
      <c r="S13" s="85">
        <v>0</v>
      </c>
      <c r="T13" s="85">
        <f>P13+Q13+R13</f>
        <v>739</v>
      </c>
      <c r="U13" s="86">
        <f>T13/(M13+N13)</f>
        <v>0.21114285714285713</v>
      </c>
      <c r="V13" s="70">
        <f>U13</f>
        <v>0.21114285714285713</v>
      </c>
      <c r="W13" s="71">
        <f>O13+T13</f>
        <v>1222</v>
      </c>
      <c r="X13" s="86">
        <f>W13/L13</f>
        <v>0.27155555555555555</v>
      </c>
      <c r="Y13" s="87">
        <f>X13</f>
        <v>0.27155555555555555</v>
      </c>
      <c r="Z13" s="80" t="s">
        <v>123</v>
      </c>
      <c r="AA13" s="88" t="s">
        <v>124</v>
      </c>
      <c r="AB13" s="80" t="s">
        <v>125</v>
      </c>
      <c r="AC13" s="89" t="s">
        <v>126</v>
      </c>
      <c r="AD13" s="90">
        <v>3500</v>
      </c>
      <c r="AE13" s="90">
        <f>T13</f>
        <v>739</v>
      </c>
      <c r="AF13" s="91">
        <f>+AE13/AD13</f>
        <v>0.21114285714285713</v>
      </c>
      <c r="AG13" s="92" t="s">
        <v>127</v>
      </c>
      <c r="AH13" s="90">
        <f>60+90</f>
        <v>150</v>
      </c>
      <c r="AI13" s="90">
        <f>L13*4</f>
        <v>18000</v>
      </c>
      <c r="AJ13" s="90">
        <f>W13*4</f>
        <v>4888</v>
      </c>
      <c r="AK13" s="93">
        <v>1</v>
      </c>
      <c r="AL13" s="79" t="s">
        <v>128</v>
      </c>
      <c r="AM13" s="79" t="s">
        <v>129</v>
      </c>
      <c r="AN13" s="94" t="s">
        <v>71</v>
      </c>
      <c r="AO13" s="95">
        <v>731096089.91999996</v>
      </c>
      <c r="AP13" s="96">
        <f>872345752+58750337</f>
        <v>931096089</v>
      </c>
      <c r="AQ13" s="97" t="s">
        <v>72</v>
      </c>
      <c r="AR13" s="98" t="s">
        <v>130</v>
      </c>
      <c r="AS13" s="79" t="s">
        <v>131</v>
      </c>
      <c r="AT13" s="95">
        <v>679109159</v>
      </c>
      <c r="AU13" s="66">
        <v>562000197</v>
      </c>
      <c r="AV13" s="99">
        <f>+AU13/AP13</f>
        <v>0.60358990187961148</v>
      </c>
      <c r="AW13" s="79" t="s">
        <v>75</v>
      </c>
      <c r="AX13" s="79" t="s">
        <v>132</v>
      </c>
      <c r="AY13" s="100" t="s">
        <v>77</v>
      </c>
      <c r="AZ13" s="101"/>
      <c r="BC13" s="2"/>
      <c r="BG13" s="2"/>
    </row>
    <row r="14" spans="1:59" s="21" customFormat="1" ht="108" customHeight="1" thickBot="1">
      <c r="A14" s="78"/>
      <c r="B14" s="79"/>
      <c r="C14" s="80"/>
      <c r="D14" s="81"/>
      <c r="E14" s="82"/>
      <c r="F14" s="102"/>
      <c r="G14" s="281"/>
      <c r="H14" s="282" t="s">
        <v>133</v>
      </c>
      <c r="I14" s="283"/>
      <c r="J14" s="283"/>
      <c r="K14" s="283"/>
      <c r="L14" s="283"/>
      <c r="M14" s="283"/>
      <c r="N14" s="283"/>
      <c r="O14" s="283"/>
      <c r="P14" s="283"/>
      <c r="Q14" s="283"/>
      <c r="R14" s="283"/>
      <c r="S14" s="283"/>
      <c r="T14" s="284"/>
      <c r="U14" s="103">
        <f>+U13</f>
        <v>0.21114285714285713</v>
      </c>
      <c r="V14" s="39"/>
      <c r="W14" s="104"/>
      <c r="X14" s="103">
        <f>+X13</f>
        <v>0.27155555555555555</v>
      </c>
      <c r="Y14" s="87"/>
      <c r="Z14" s="80"/>
      <c r="AA14" s="285" t="s">
        <v>134</v>
      </c>
      <c r="AB14" s="266"/>
      <c r="AC14" s="266"/>
      <c r="AD14" s="266"/>
      <c r="AE14" s="286"/>
      <c r="AF14" s="105">
        <f>AVERAGE(AF13)</f>
        <v>0.21114285714285713</v>
      </c>
      <c r="AG14" s="92"/>
      <c r="AH14" s="90"/>
      <c r="AI14" s="90"/>
      <c r="AJ14" s="90"/>
      <c r="AK14" s="93"/>
      <c r="AL14" s="79"/>
      <c r="AM14" s="79"/>
      <c r="AN14" s="94"/>
      <c r="AO14" s="95"/>
      <c r="AP14" s="95"/>
      <c r="AQ14" s="97"/>
      <c r="AR14" s="98"/>
      <c r="AS14" s="79"/>
      <c r="AT14" s="268" t="s">
        <v>135</v>
      </c>
      <c r="AU14" s="269"/>
      <c r="AV14" s="106">
        <f>+AV13</f>
        <v>0.60358990187961148</v>
      </c>
      <c r="AW14" s="79"/>
      <c r="AX14" s="79"/>
      <c r="AY14" s="100"/>
      <c r="AZ14" s="107"/>
      <c r="BC14" s="2"/>
      <c r="BG14" s="2"/>
    </row>
    <row r="15" spans="1:59" s="21" customFormat="1" ht="234.95" customHeight="1">
      <c r="A15" s="108" t="s">
        <v>55</v>
      </c>
      <c r="B15" s="109" t="s">
        <v>56</v>
      </c>
      <c r="C15" s="109" t="s">
        <v>136</v>
      </c>
      <c r="D15" s="17" t="s">
        <v>136</v>
      </c>
      <c r="E15" s="110" t="s">
        <v>136</v>
      </c>
      <c r="F15" s="111" t="s">
        <v>137</v>
      </c>
      <c r="G15" s="112" t="s">
        <v>138</v>
      </c>
      <c r="H15" s="113" t="s">
        <v>139</v>
      </c>
      <c r="I15" s="113" t="s">
        <v>140</v>
      </c>
      <c r="J15" s="114" t="s">
        <v>136</v>
      </c>
      <c r="K15" s="115" t="s">
        <v>141</v>
      </c>
      <c r="L15" s="116">
        <v>2</v>
      </c>
      <c r="M15" s="116">
        <v>0</v>
      </c>
      <c r="N15" s="116">
        <v>1</v>
      </c>
      <c r="O15" s="116">
        <v>1</v>
      </c>
      <c r="P15" s="116">
        <v>0</v>
      </c>
      <c r="Q15" s="117">
        <v>0.6</v>
      </c>
      <c r="R15" s="117">
        <v>0.4</v>
      </c>
      <c r="S15" s="116">
        <v>0</v>
      </c>
      <c r="T15" s="117">
        <f>P15+Q15+R15</f>
        <v>1</v>
      </c>
      <c r="U15" s="118">
        <f>T15/(M15+N15)</f>
        <v>1</v>
      </c>
      <c r="V15" s="119">
        <f>AVERAGE(U15:U16)</f>
        <v>1</v>
      </c>
      <c r="W15" s="117">
        <f>O15+T15</f>
        <v>2</v>
      </c>
      <c r="X15" s="118">
        <f>W15/L15</f>
        <v>1</v>
      </c>
      <c r="Y15" s="120">
        <f>AVERAGE(X15)</f>
        <v>1</v>
      </c>
      <c r="Z15" s="287" t="s">
        <v>142</v>
      </c>
      <c r="AA15" s="290" t="s">
        <v>143</v>
      </c>
      <c r="AB15" s="115" t="s">
        <v>144</v>
      </c>
      <c r="AC15" s="16" t="s">
        <v>145</v>
      </c>
      <c r="AD15" s="55">
        <v>1</v>
      </c>
      <c r="AE15" s="121">
        <f>T15</f>
        <v>1</v>
      </c>
      <c r="AF15" s="121"/>
      <c r="AG15" s="19" t="s">
        <v>127</v>
      </c>
      <c r="AH15" s="55">
        <f>60+90</f>
        <v>150</v>
      </c>
      <c r="AI15" s="55">
        <f>2512*4</f>
        <v>10048</v>
      </c>
      <c r="AJ15" s="55">
        <v>0</v>
      </c>
      <c r="AK15" s="122">
        <v>1</v>
      </c>
      <c r="AL15" s="109" t="s">
        <v>69</v>
      </c>
      <c r="AM15" s="109" t="s">
        <v>70</v>
      </c>
      <c r="AN15" s="123" t="s">
        <v>71</v>
      </c>
      <c r="AO15" s="124">
        <v>90861993</v>
      </c>
      <c r="AP15" s="125">
        <v>90861993</v>
      </c>
      <c r="AQ15" s="126" t="s">
        <v>72</v>
      </c>
      <c r="AR15" s="127" t="s">
        <v>146</v>
      </c>
      <c r="AS15" s="109" t="s">
        <v>147</v>
      </c>
      <c r="AT15" s="124">
        <v>68000000</v>
      </c>
      <c r="AU15" s="66">
        <v>61976999</v>
      </c>
      <c r="AV15" s="128">
        <f>+AU15/AP15</f>
        <v>0.68210036951313624</v>
      </c>
      <c r="AW15" s="109" t="s">
        <v>75</v>
      </c>
      <c r="AX15" s="109" t="s">
        <v>76</v>
      </c>
      <c r="AY15" s="129" t="s">
        <v>77</v>
      </c>
      <c r="AZ15" s="261"/>
    </row>
    <row r="16" spans="1:59" s="21" customFormat="1" ht="231" customHeight="1" thickBot="1">
      <c r="A16" s="130" t="s">
        <v>55</v>
      </c>
      <c r="B16" s="131" t="s">
        <v>56</v>
      </c>
      <c r="C16" s="131" t="s">
        <v>136</v>
      </c>
      <c r="D16" s="132" t="s">
        <v>136</v>
      </c>
      <c r="E16" s="133" t="s">
        <v>136</v>
      </c>
      <c r="F16" s="134" t="s">
        <v>137</v>
      </c>
      <c r="G16" s="263" t="s">
        <v>138</v>
      </c>
      <c r="H16" s="59" t="s">
        <v>148</v>
      </c>
      <c r="I16" s="59" t="s">
        <v>149</v>
      </c>
      <c r="J16" s="135" t="s">
        <v>136</v>
      </c>
      <c r="K16" s="136" t="s">
        <v>150</v>
      </c>
      <c r="L16" s="61">
        <v>10</v>
      </c>
      <c r="M16" s="61" t="s">
        <v>151</v>
      </c>
      <c r="N16" s="61" t="s">
        <v>151</v>
      </c>
      <c r="O16" s="61">
        <v>0</v>
      </c>
      <c r="P16" s="61" t="s">
        <v>151</v>
      </c>
      <c r="Q16" s="61" t="s">
        <v>151</v>
      </c>
      <c r="R16" s="61" t="s">
        <v>151</v>
      </c>
      <c r="S16" s="61" t="s">
        <v>151</v>
      </c>
      <c r="T16" s="61" t="s">
        <v>151</v>
      </c>
      <c r="U16" s="137" t="s">
        <v>151</v>
      </c>
      <c r="V16" s="138"/>
      <c r="W16" s="139">
        <v>0</v>
      </c>
      <c r="X16" s="140"/>
      <c r="Y16" s="141"/>
      <c r="Z16" s="288"/>
      <c r="AA16" s="291"/>
      <c r="AB16" s="142" t="s">
        <v>144</v>
      </c>
      <c r="AC16" s="143" t="s">
        <v>145</v>
      </c>
      <c r="AD16" s="144">
        <v>1</v>
      </c>
      <c r="AE16" s="145">
        <f>AE15</f>
        <v>1</v>
      </c>
      <c r="AF16" s="146">
        <f>+AE16/AD16</f>
        <v>1</v>
      </c>
      <c r="AG16" s="147" t="s">
        <v>127</v>
      </c>
      <c r="AH16" s="144">
        <f>AH15</f>
        <v>150</v>
      </c>
      <c r="AI16" s="144">
        <f>2512*4</f>
        <v>10048</v>
      </c>
      <c r="AJ16" s="144">
        <v>0</v>
      </c>
      <c r="AK16" s="148">
        <v>1</v>
      </c>
      <c r="AL16" s="131" t="s">
        <v>69</v>
      </c>
      <c r="AM16" s="131" t="s">
        <v>70</v>
      </c>
      <c r="AN16" s="149" t="s">
        <v>71</v>
      </c>
      <c r="AO16" s="150">
        <v>90861993</v>
      </c>
      <c r="AP16" s="150"/>
      <c r="AQ16" s="151" t="s">
        <v>72</v>
      </c>
      <c r="AR16" s="152" t="s">
        <v>146</v>
      </c>
      <c r="AS16" s="131" t="s">
        <v>147</v>
      </c>
      <c r="AT16" s="150">
        <v>68000000</v>
      </c>
      <c r="AU16" s="150"/>
      <c r="AV16" s="150"/>
      <c r="AW16" s="131" t="s">
        <v>75</v>
      </c>
      <c r="AX16" s="131" t="s">
        <v>152</v>
      </c>
      <c r="AY16" s="153" t="s">
        <v>77</v>
      </c>
      <c r="AZ16" s="262"/>
    </row>
    <row r="17" spans="1:52" s="21" customFormat="1" ht="92.25" customHeight="1" thickBot="1">
      <c r="A17" s="32"/>
      <c r="B17" s="33"/>
      <c r="C17" s="33"/>
      <c r="D17" s="46"/>
      <c r="E17" s="154"/>
      <c r="F17" s="155"/>
      <c r="G17" s="264"/>
      <c r="H17" s="265" t="s">
        <v>153</v>
      </c>
      <c r="I17" s="265"/>
      <c r="J17" s="265"/>
      <c r="K17" s="265"/>
      <c r="L17" s="265"/>
      <c r="M17" s="265"/>
      <c r="N17" s="265"/>
      <c r="O17" s="265"/>
      <c r="P17" s="265"/>
      <c r="Q17" s="265"/>
      <c r="R17" s="265"/>
      <c r="S17" s="265"/>
      <c r="T17" s="265"/>
      <c r="U17" s="69">
        <f>AVERAGE(U15:U16)</f>
        <v>1</v>
      </c>
      <c r="V17" s="156"/>
      <c r="W17" s="71"/>
      <c r="X17" s="41">
        <f>AVERAGE(X15:X16)</f>
        <v>1</v>
      </c>
      <c r="Y17" s="42"/>
      <c r="Z17" s="289"/>
      <c r="AA17" s="266" t="s">
        <v>154</v>
      </c>
      <c r="AB17" s="266"/>
      <c r="AC17" s="266"/>
      <c r="AD17" s="266"/>
      <c r="AE17" s="267"/>
      <c r="AF17" s="157">
        <f>AVERAGE(AF15:AF16)</f>
        <v>1</v>
      </c>
      <c r="AG17" s="45"/>
      <c r="AH17" s="74"/>
      <c r="AI17" s="74"/>
      <c r="AJ17" s="74"/>
      <c r="AK17" s="158"/>
      <c r="AL17" s="33"/>
      <c r="AM17" s="33"/>
      <c r="AN17" s="48"/>
      <c r="AO17" s="49"/>
      <c r="AP17" s="49"/>
      <c r="AQ17" s="50"/>
      <c r="AR17" s="159"/>
      <c r="AS17" s="33"/>
      <c r="AT17" s="268" t="s">
        <v>155</v>
      </c>
      <c r="AU17" s="269"/>
      <c r="AV17" s="160">
        <f>+AV15</f>
        <v>0.68210036951313624</v>
      </c>
      <c r="AW17" s="33"/>
      <c r="AX17" s="33"/>
      <c r="AY17" s="161"/>
      <c r="AZ17" s="162"/>
    </row>
    <row r="18" spans="1:52" s="21" customFormat="1" ht="221.1" customHeight="1">
      <c r="A18" s="163" t="s">
        <v>55</v>
      </c>
      <c r="B18" s="163" t="s">
        <v>56</v>
      </c>
      <c r="C18" s="163" t="s">
        <v>136</v>
      </c>
      <c r="D18" s="163" t="s">
        <v>136</v>
      </c>
      <c r="E18" s="163" t="s">
        <v>136</v>
      </c>
      <c r="F18" s="164" t="s">
        <v>137</v>
      </c>
      <c r="G18" s="270" t="s">
        <v>156</v>
      </c>
      <c r="H18" s="165" t="s">
        <v>157</v>
      </c>
      <c r="I18" s="166" t="s">
        <v>158</v>
      </c>
      <c r="J18" s="167" t="s">
        <v>136</v>
      </c>
      <c r="K18" s="168" t="s">
        <v>159</v>
      </c>
      <c r="L18" s="169">
        <v>4</v>
      </c>
      <c r="M18" s="170" t="s">
        <v>151</v>
      </c>
      <c r="N18" s="170" t="s">
        <v>151</v>
      </c>
      <c r="O18" s="170">
        <v>0</v>
      </c>
      <c r="P18" s="170" t="s">
        <v>151</v>
      </c>
      <c r="Q18" s="170" t="s">
        <v>151</v>
      </c>
      <c r="R18" s="170" t="s">
        <v>151</v>
      </c>
      <c r="S18" s="170" t="s">
        <v>151</v>
      </c>
      <c r="T18" s="170" t="s">
        <v>151</v>
      </c>
      <c r="U18" s="171" t="s">
        <v>151</v>
      </c>
      <c r="V18" s="271">
        <f>AVERAGE(U19:U21)</f>
        <v>0.47853107344632773</v>
      </c>
      <c r="W18" s="170">
        <v>0</v>
      </c>
      <c r="X18" s="172">
        <v>0</v>
      </c>
      <c r="Y18" s="271">
        <f>AVERAGE(X20:X21)</f>
        <v>0.57499999999999996</v>
      </c>
      <c r="Z18" s="168" t="s">
        <v>160</v>
      </c>
      <c r="AA18" s="173" t="s">
        <v>161</v>
      </c>
      <c r="AB18" s="168" t="s">
        <v>162</v>
      </c>
      <c r="AC18" s="174" t="s">
        <v>151</v>
      </c>
      <c r="AD18" s="170" t="s">
        <v>151</v>
      </c>
      <c r="AE18" s="170" t="s">
        <v>151</v>
      </c>
      <c r="AF18" s="170" t="s">
        <v>151</v>
      </c>
      <c r="AG18" s="175" t="s">
        <v>151</v>
      </c>
      <c r="AH18" s="170" t="s">
        <v>151</v>
      </c>
      <c r="AI18" s="170" t="s">
        <v>151</v>
      </c>
      <c r="AJ18" s="170" t="s">
        <v>151</v>
      </c>
      <c r="AK18" s="171" t="s">
        <v>151</v>
      </c>
      <c r="AL18" s="176" t="s">
        <v>163</v>
      </c>
      <c r="AM18" s="176" t="s">
        <v>164</v>
      </c>
      <c r="AN18" s="177"/>
      <c r="AO18" s="171" t="s">
        <v>151</v>
      </c>
      <c r="AP18" s="171"/>
      <c r="AQ18" s="67"/>
      <c r="AR18" s="178"/>
      <c r="AS18" s="179"/>
      <c r="AT18" s="180" t="s">
        <v>151</v>
      </c>
      <c r="AU18" s="180"/>
      <c r="AV18" s="180"/>
      <c r="AW18" s="163" t="s">
        <v>165</v>
      </c>
      <c r="AX18" s="180" t="s">
        <v>137</v>
      </c>
      <c r="AY18" s="179"/>
      <c r="AZ18" s="181"/>
    </row>
    <row r="19" spans="1:52" s="21" customFormat="1" ht="204.95" customHeight="1">
      <c r="A19" s="163" t="s">
        <v>55</v>
      </c>
      <c r="B19" s="163" t="s">
        <v>56</v>
      </c>
      <c r="C19" s="163" t="s">
        <v>136</v>
      </c>
      <c r="D19" s="163" t="s">
        <v>136</v>
      </c>
      <c r="E19" s="163" t="s">
        <v>136</v>
      </c>
      <c r="F19" s="164" t="s">
        <v>137</v>
      </c>
      <c r="G19" s="270"/>
      <c r="H19" s="165" t="s">
        <v>166</v>
      </c>
      <c r="I19" s="166" t="s">
        <v>167</v>
      </c>
      <c r="J19" s="167" t="s">
        <v>136</v>
      </c>
      <c r="K19" s="168" t="s">
        <v>168</v>
      </c>
      <c r="L19" s="169">
        <v>3</v>
      </c>
      <c r="M19" s="170">
        <v>0</v>
      </c>
      <c r="N19" s="170">
        <v>2</v>
      </c>
      <c r="O19" s="170">
        <v>1</v>
      </c>
      <c r="P19" s="170">
        <v>0</v>
      </c>
      <c r="Q19" s="182">
        <v>0.2</v>
      </c>
      <c r="R19" s="183">
        <v>0.4</v>
      </c>
      <c r="S19" s="170">
        <v>0</v>
      </c>
      <c r="T19" s="183">
        <f>P19+Q19+R19</f>
        <v>0.60000000000000009</v>
      </c>
      <c r="U19" s="171">
        <f>T19/N19</f>
        <v>0.30000000000000004</v>
      </c>
      <c r="V19" s="271"/>
      <c r="W19" s="183">
        <f>O19+T19</f>
        <v>1.6</v>
      </c>
      <c r="X19" s="171">
        <f>W19/L19</f>
        <v>0.53333333333333333</v>
      </c>
      <c r="Y19" s="271"/>
      <c r="Z19" s="168" t="s">
        <v>169</v>
      </c>
      <c r="AA19" s="173" t="s">
        <v>170</v>
      </c>
      <c r="AB19" s="168" t="s">
        <v>171</v>
      </c>
      <c r="AC19" s="184" t="s">
        <v>172</v>
      </c>
      <c r="AD19" s="185">
        <v>2</v>
      </c>
      <c r="AE19" s="186">
        <f>T19</f>
        <v>0.60000000000000009</v>
      </c>
      <c r="AF19" s="187">
        <f>+AE19/AD19</f>
        <v>0.30000000000000004</v>
      </c>
      <c r="AG19" s="188" t="s">
        <v>127</v>
      </c>
      <c r="AH19" s="185">
        <f>60+90</f>
        <v>150</v>
      </c>
      <c r="AI19" s="185">
        <f>70822*4</f>
        <v>283288</v>
      </c>
      <c r="AJ19" s="185">
        <v>0</v>
      </c>
      <c r="AK19" s="189">
        <v>1</v>
      </c>
      <c r="AL19" s="176" t="s">
        <v>163</v>
      </c>
      <c r="AM19" s="176" t="s">
        <v>164</v>
      </c>
      <c r="AN19" s="177" t="s">
        <v>71</v>
      </c>
      <c r="AO19" s="190">
        <v>190861993</v>
      </c>
      <c r="AP19" s="66">
        <v>190861993</v>
      </c>
      <c r="AQ19" s="191" t="s">
        <v>72</v>
      </c>
      <c r="AR19" s="192" t="s">
        <v>169</v>
      </c>
      <c r="AS19" s="176" t="s">
        <v>173</v>
      </c>
      <c r="AT19" s="190">
        <v>106800000</v>
      </c>
      <c r="AU19" s="66">
        <v>87393665</v>
      </c>
      <c r="AV19" s="193">
        <f>+AU19/AP19</f>
        <v>0.45788930329361066</v>
      </c>
      <c r="AW19" s="176" t="s">
        <v>75</v>
      </c>
      <c r="AX19" s="176" t="s">
        <v>76</v>
      </c>
      <c r="AY19" s="194" t="s">
        <v>77</v>
      </c>
      <c r="AZ19" s="195"/>
    </row>
    <row r="20" spans="1:52" s="21" customFormat="1" ht="176.1" customHeight="1" thickBot="1">
      <c r="A20" s="163" t="s">
        <v>55</v>
      </c>
      <c r="B20" s="163" t="s">
        <v>56</v>
      </c>
      <c r="C20" s="163" t="s">
        <v>136</v>
      </c>
      <c r="D20" s="163" t="s">
        <v>136</v>
      </c>
      <c r="E20" s="163" t="s">
        <v>136</v>
      </c>
      <c r="F20" s="196" t="s">
        <v>137</v>
      </c>
      <c r="G20" s="270"/>
      <c r="H20" s="197" t="s">
        <v>174</v>
      </c>
      <c r="I20" s="198" t="s">
        <v>175</v>
      </c>
      <c r="J20" s="199" t="s">
        <v>136</v>
      </c>
      <c r="K20" s="34" t="s">
        <v>176</v>
      </c>
      <c r="L20" s="104">
        <v>1</v>
      </c>
      <c r="M20" s="104">
        <v>0</v>
      </c>
      <c r="N20" s="104">
        <v>1</v>
      </c>
      <c r="O20" s="104">
        <v>0</v>
      </c>
      <c r="P20" s="104">
        <v>0</v>
      </c>
      <c r="Q20" s="200">
        <v>0.85</v>
      </c>
      <c r="R20" s="200">
        <v>0.15</v>
      </c>
      <c r="S20" s="104">
        <v>0</v>
      </c>
      <c r="T20" s="200">
        <f>P20+Q20+R20</f>
        <v>1</v>
      </c>
      <c r="U20" s="201">
        <f>T20/N20</f>
        <v>1</v>
      </c>
      <c r="V20" s="271"/>
      <c r="W20" s="200">
        <f>O20+T20</f>
        <v>1</v>
      </c>
      <c r="X20" s="202">
        <f>W20/L20</f>
        <v>1</v>
      </c>
      <c r="Y20" s="271"/>
      <c r="Z20" s="168" t="s">
        <v>177</v>
      </c>
      <c r="AA20" s="173" t="s">
        <v>178</v>
      </c>
      <c r="AB20" s="192" t="s">
        <v>179</v>
      </c>
      <c r="AC20" s="184" t="s">
        <v>180</v>
      </c>
      <c r="AD20" s="185">
        <v>1</v>
      </c>
      <c r="AE20" s="186">
        <f>T20</f>
        <v>1</v>
      </c>
      <c r="AF20" s="187">
        <f>+AE20/AD20</f>
        <v>1</v>
      </c>
      <c r="AG20" s="203" t="s">
        <v>127</v>
      </c>
      <c r="AH20" s="185">
        <f>60+90</f>
        <v>150</v>
      </c>
      <c r="AI20" s="185">
        <f>36794*4</f>
        <v>147176</v>
      </c>
      <c r="AJ20" s="185">
        <v>0</v>
      </c>
      <c r="AK20" s="189">
        <v>1</v>
      </c>
      <c r="AL20" s="176" t="s">
        <v>163</v>
      </c>
      <c r="AM20" s="176" t="s">
        <v>164</v>
      </c>
      <c r="AN20" s="177" t="s">
        <v>71</v>
      </c>
      <c r="AO20" s="190">
        <v>81775793</v>
      </c>
      <c r="AP20" s="204">
        <v>81775793</v>
      </c>
      <c r="AQ20" s="191" t="s">
        <v>72</v>
      </c>
      <c r="AR20" s="168" t="s">
        <v>177</v>
      </c>
      <c r="AS20" s="176" t="s">
        <v>181</v>
      </c>
      <c r="AT20" s="150">
        <v>72000000</v>
      </c>
      <c r="AU20" s="66">
        <v>63000000</v>
      </c>
      <c r="AV20" s="205">
        <f>+AU20/AP20</f>
        <v>0.77039913266264504</v>
      </c>
      <c r="AW20" s="176" t="s">
        <v>75</v>
      </c>
      <c r="AX20" s="176" t="s">
        <v>76</v>
      </c>
      <c r="AY20" s="194" t="s">
        <v>77</v>
      </c>
      <c r="AZ20" s="195"/>
    </row>
    <row r="21" spans="1:52" s="21" customFormat="1" ht="222" customHeight="1" thickBot="1">
      <c r="A21" s="259" t="s">
        <v>55</v>
      </c>
      <c r="B21" s="259" t="s">
        <v>56</v>
      </c>
      <c r="C21" s="259" t="s">
        <v>136</v>
      </c>
      <c r="D21" s="259" t="s">
        <v>136</v>
      </c>
      <c r="E21" s="259" t="s">
        <v>136</v>
      </c>
      <c r="F21" s="260" t="s">
        <v>137</v>
      </c>
      <c r="G21" s="270"/>
      <c r="H21" s="206" t="s">
        <v>182</v>
      </c>
      <c r="I21" s="207" t="s">
        <v>183</v>
      </c>
      <c r="J21" s="208" t="s">
        <v>136</v>
      </c>
      <c r="K21" s="142" t="s">
        <v>184</v>
      </c>
      <c r="L21" s="139">
        <v>6</v>
      </c>
      <c r="M21" s="209">
        <v>0</v>
      </c>
      <c r="N21" s="210">
        <v>5.9</v>
      </c>
      <c r="O21" s="210">
        <v>0.1</v>
      </c>
      <c r="P21" s="209">
        <v>0</v>
      </c>
      <c r="Q21" s="211">
        <v>0.8</v>
      </c>
      <c r="R21" s="209">
        <v>0</v>
      </c>
      <c r="S21" s="209">
        <v>0</v>
      </c>
      <c r="T21" s="212">
        <f>P21+Q21+R21</f>
        <v>0.8</v>
      </c>
      <c r="U21" s="213">
        <f>T21/N21</f>
        <v>0.13559322033898305</v>
      </c>
      <c r="V21" s="271"/>
      <c r="W21" s="214">
        <f>O21+T21</f>
        <v>0.9</v>
      </c>
      <c r="X21" s="213">
        <f>W21/L21</f>
        <v>0.15</v>
      </c>
      <c r="Y21" s="272"/>
      <c r="Z21" s="142" t="s">
        <v>185</v>
      </c>
      <c r="AA21" s="215" t="s">
        <v>186</v>
      </c>
      <c r="AB21" s="216" t="s">
        <v>187</v>
      </c>
      <c r="AC21" s="143" t="s">
        <v>188</v>
      </c>
      <c r="AD21" s="144">
        <v>6</v>
      </c>
      <c r="AE21" s="145">
        <f>T21</f>
        <v>0.8</v>
      </c>
      <c r="AF21" s="146">
        <f>+AE21/AD21</f>
        <v>0.13333333333333333</v>
      </c>
      <c r="AG21" s="147" t="s">
        <v>112</v>
      </c>
      <c r="AH21" s="144">
        <f>60</f>
        <v>60</v>
      </c>
      <c r="AI21" s="144">
        <f>19258*4</f>
        <v>77032</v>
      </c>
      <c r="AJ21" s="144">
        <v>0</v>
      </c>
      <c r="AK21" s="148">
        <v>1</v>
      </c>
      <c r="AL21" s="131" t="s">
        <v>163</v>
      </c>
      <c r="AM21" s="131" t="s">
        <v>164</v>
      </c>
      <c r="AN21" s="149" t="s">
        <v>71</v>
      </c>
      <c r="AO21" s="150">
        <v>1050000000</v>
      </c>
      <c r="AP21" s="66">
        <f>208000000+842000000</f>
        <v>1050000000</v>
      </c>
      <c r="AQ21" s="151" t="s">
        <v>72</v>
      </c>
      <c r="AR21" s="142" t="s">
        <v>185</v>
      </c>
      <c r="AS21" s="131" t="s">
        <v>189</v>
      </c>
      <c r="AT21" s="49">
        <v>0</v>
      </c>
      <c r="AU21" s="66">
        <f>208000000+842000000</f>
        <v>1050000000</v>
      </c>
      <c r="AV21" s="205">
        <f>+AU21/AP21</f>
        <v>1</v>
      </c>
      <c r="AW21" s="131" t="s">
        <v>75</v>
      </c>
      <c r="AX21" s="131" t="s">
        <v>190</v>
      </c>
      <c r="AY21" s="153" t="s">
        <v>112</v>
      </c>
      <c r="AZ21" s="217"/>
    </row>
    <row r="22" spans="1:52" ht="69" customHeight="1" thickBot="1">
      <c r="A22" s="259"/>
      <c r="B22" s="259"/>
      <c r="C22" s="259"/>
      <c r="D22" s="259"/>
      <c r="E22" s="259"/>
      <c r="F22" s="260"/>
      <c r="G22" s="270"/>
      <c r="H22" s="273" t="s">
        <v>191</v>
      </c>
      <c r="I22" s="273"/>
      <c r="J22" s="273"/>
      <c r="K22" s="273"/>
      <c r="L22" s="273"/>
      <c r="M22" s="273"/>
      <c r="N22" s="273"/>
      <c r="O22" s="273"/>
      <c r="P22" s="273"/>
      <c r="Q22" s="273"/>
      <c r="R22" s="273"/>
      <c r="S22" s="273"/>
      <c r="T22" s="274"/>
      <c r="U22" s="218">
        <f>AVERAGE(U19:U21)</f>
        <v>0.47853107344632773</v>
      </c>
      <c r="V22" s="219"/>
      <c r="W22" s="220"/>
      <c r="X22" s="69">
        <f>AVERAGE(X19:X21)</f>
        <v>0.56111111111111101</v>
      </c>
      <c r="Y22" s="221">
        <f>AVERAGE(Y4:Y21)</f>
        <v>0.54337611111111117</v>
      </c>
      <c r="Z22" s="222"/>
      <c r="AA22" s="275" t="s">
        <v>192</v>
      </c>
      <c r="AB22" s="276"/>
      <c r="AC22" s="276"/>
      <c r="AD22" s="276"/>
      <c r="AE22" s="277"/>
      <c r="AF22" s="223">
        <f>AVERAGE(AF18:AF21)</f>
        <v>0.4777777777777778</v>
      </c>
      <c r="AM22" s="278" t="s">
        <v>193</v>
      </c>
      <c r="AN22" s="279"/>
      <c r="AO22" s="228">
        <f>SUM(AO4:AO21)-AO16</f>
        <v>14985069342.76</v>
      </c>
      <c r="AP22" s="228">
        <f>SUM(AP4:AP21)-AP16</f>
        <v>14985069341.84</v>
      </c>
      <c r="AQ22" s="229"/>
      <c r="AR22" s="230"/>
      <c r="AS22" s="231"/>
      <c r="AT22" s="268" t="s">
        <v>194</v>
      </c>
      <c r="AU22" s="269"/>
      <c r="AV22" s="232">
        <f>+(AU19+AU20+AU21)/(AP19+AP20+AP21)</f>
        <v>0.90757551138040748</v>
      </c>
    </row>
    <row r="23" spans="1:52" ht="58.5" customHeight="1" thickBot="1">
      <c r="A23" s="253" t="s">
        <v>195</v>
      </c>
      <c r="B23" s="253"/>
      <c r="P23" s="254" t="s">
        <v>196</v>
      </c>
      <c r="Q23" s="255"/>
      <c r="R23" s="255"/>
      <c r="S23" s="255"/>
      <c r="T23" s="256"/>
      <c r="U23" s="241">
        <f>AVERAGE(U8,U12,U14,U17,U22)</f>
        <v>0.40444444375102895</v>
      </c>
      <c r="V23" s="219">
        <f>AVERAGE(V5:V22)</f>
        <v>0.48392919870445039</v>
      </c>
      <c r="W23" s="242" t="s">
        <v>197</v>
      </c>
      <c r="X23" s="241">
        <f>AVERAGE(X8,X12,X14,X17,X22)</f>
        <v>0.54059833333333329</v>
      </c>
      <c r="AD23" s="257" t="s">
        <v>198</v>
      </c>
      <c r="AE23" s="258"/>
      <c r="AF23" s="246">
        <f>AVERAGE(AF8,AF12,AF14,AF17,AF22)</f>
        <v>0.47177859242343512</v>
      </c>
      <c r="AT23" s="250">
        <f>SUM(AT4:AT21)-AT16</f>
        <v>1659313263.5</v>
      </c>
      <c r="AU23" s="251">
        <v>10303325858</v>
      </c>
      <c r="AV23" s="246">
        <f>+AU23/AO22</f>
        <v>0.68757278477179862</v>
      </c>
    </row>
  </sheetData>
  <mergeCells count="155">
    <mergeCell ref="A1:Y1"/>
    <mergeCell ref="Z1:AY1"/>
    <mergeCell ref="A2:Y2"/>
    <mergeCell ref="Z2:AY2"/>
    <mergeCell ref="A4:A7"/>
    <mergeCell ref="B4:B7"/>
    <mergeCell ref="C4:C7"/>
    <mergeCell ref="D4:D7"/>
    <mergeCell ref="E4:E5"/>
    <mergeCell ref="F4:F5"/>
    <mergeCell ref="M4:M5"/>
    <mergeCell ref="N4:N5"/>
    <mergeCell ref="O4:O5"/>
    <mergeCell ref="P4:P5"/>
    <mergeCell ref="Q4:Q5"/>
    <mergeCell ref="R4:R5"/>
    <mergeCell ref="G4:G8"/>
    <mergeCell ref="H4:H5"/>
    <mergeCell ref="I4:I5"/>
    <mergeCell ref="J4:J7"/>
    <mergeCell ref="K4:K5"/>
    <mergeCell ref="L4:L5"/>
    <mergeCell ref="S4:S5"/>
    <mergeCell ref="T4:T5"/>
    <mergeCell ref="U4:U5"/>
    <mergeCell ref="V4:V7"/>
    <mergeCell ref="W4:W5"/>
    <mergeCell ref="X4:X5"/>
    <mergeCell ref="T6:T7"/>
    <mergeCell ref="U6:U7"/>
    <mergeCell ref="W6:W7"/>
    <mergeCell ref="X6:X7"/>
    <mergeCell ref="AP4:AP5"/>
    <mergeCell ref="AQ4:AQ5"/>
    <mergeCell ref="AN6:AN7"/>
    <mergeCell ref="AO6:AO7"/>
    <mergeCell ref="AP6:AP7"/>
    <mergeCell ref="AQ6:AQ7"/>
    <mergeCell ref="Y4:Y7"/>
    <mergeCell ref="Z4:Z7"/>
    <mergeCell ref="AA4:AA7"/>
    <mergeCell ref="AB4:AB7"/>
    <mergeCell ref="AI4:AI7"/>
    <mergeCell ref="AJ4:AJ7"/>
    <mergeCell ref="AX4:AX5"/>
    <mergeCell ref="AY4:AY5"/>
    <mergeCell ref="AZ4:AZ7"/>
    <mergeCell ref="E6:E7"/>
    <mergeCell ref="F6:F7"/>
    <mergeCell ref="H6:H7"/>
    <mergeCell ref="I6:I7"/>
    <mergeCell ref="K6:K7"/>
    <mergeCell ref="L6:L7"/>
    <mergeCell ref="M6:M7"/>
    <mergeCell ref="AR4:AR7"/>
    <mergeCell ref="AS4:AS5"/>
    <mergeCell ref="AT4:AT5"/>
    <mergeCell ref="AU4:AU5"/>
    <mergeCell ref="AV4:AV5"/>
    <mergeCell ref="AW4:AW5"/>
    <mergeCell ref="AS6:AS7"/>
    <mergeCell ref="AT6:AT7"/>
    <mergeCell ref="AU6:AU7"/>
    <mergeCell ref="AV6:AV7"/>
    <mergeCell ref="AL4:AL7"/>
    <mergeCell ref="AM4:AM7"/>
    <mergeCell ref="AN4:AN5"/>
    <mergeCell ref="AO4:AO5"/>
    <mergeCell ref="A9:A11"/>
    <mergeCell ref="B9:B11"/>
    <mergeCell ref="C9:C11"/>
    <mergeCell ref="D9:D11"/>
    <mergeCell ref="E9:E11"/>
    <mergeCell ref="F9:F12"/>
    <mergeCell ref="AW6:AW7"/>
    <mergeCell ref="AX6:AX7"/>
    <mergeCell ref="AY6:AY7"/>
    <mergeCell ref="H8:T8"/>
    <mergeCell ref="AA8:AE8"/>
    <mergeCell ref="AT8:AU8"/>
    <mergeCell ref="N6:N7"/>
    <mergeCell ref="O6:O7"/>
    <mergeCell ref="P6:P7"/>
    <mergeCell ref="Q6:Q7"/>
    <mergeCell ref="R6:R7"/>
    <mergeCell ref="S6:S7"/>
    <mergeCell ref="M9:M10"/>
    <mergeCell ref="N9:N10"/>
    <mergeCell ref="O9:O10"/>
    <mergeCell ref="P9:P10"/>
    <mergeCell ref="Q9:Q10"/>
    <mergeCell ref="R9:R10"/>
    <mergeCell ref="G9:G12"/>
    <mergeCell ref="H9:H10"/>
    <mergeCell ref="I9:I10"/>
    <mergeCell ref="J9:J11"/>
    <mergeCell ref="K9:K10"/>
    <mergeCell ref="L9:L10"/>
    <mergeCell ref="Y9:Y11"/>
    <mergeCell ref="Z9:Z12"/>
    <mergeCell ref="AA9:AA11"/>
    <mergeCell ref="AB9:AB11"/>
    <mergeCell ref="AI9:AI11"/>
    <mergeCell ref="AJ9:AJ11"/>
    <mergeCell ref="S9:S10"/>
    <mergeCell ref="T9:T10"/>
    <mergeCell ref="U9:U10"/>
    <mergeCell ref="V9:V11"/>
    <mergeCell ref="W9:W10"/>
    <mergeCell ref="X9:X10"/>
    <mergeCell ref="G13:G14"/>
    <mergeCell ref="H14:T14"/>
    <mergeCell ref="AA14:AE14"/>
    <mergeCell ref="AT14:AU14"/>
    <mergeCell ref="Z15:Z17"/>
    <mergeCell ref="AA15:AA16"/>
    <mergeCell ref="AX9:AX11"/>
    <mergeCell ref="AY9:AY11"/>
    <mergeCell ref="AZ9:AZ11"/>
    <mergeCell ref="H12:T12"/>
    <mergeCell ref="AA12:AE12"/>
    <mergeCell ref="AT12:AU12"/>
    <mergeCell ref="AR9:AR11"/>
    <mergeCell ref="AS9:AS11"/>
    <mergeCell ref="AT9:AT10"/>
    <mergeCell ref="AU9:AU10"/>
    <mergeCell ref="AV9:AV10"/>
    <mergeCell ref="AW9:AW11"/>
    <mergeCell ref="AL9:AL11"/>
    <mergeCell ref="AM9:AM11"/>
    <mergeCell ref="AN9:AN11"/>
    <mergeCell ref="AO9:AO10"/>
    <mergeCell ref="AP9:AP10"/>
    <mergeCell ref="AQ9:AQ10"/>
    <mergeCell ref="AZ15:AZ16"/>
    <mergeCell ref="G16:G17"/>
    <mergeCell ref="H17:T17"/>
    <mergeCell ref="AA17:AE17"/>
    <mergeCell ref="AT17:AU17"/>
    <mergeCell ref="G18:G22"/>
    <mergeCell ref="V18:V21"/>
    <mergeCell ref="Y18:Y21"/>
    <mergeCell ref="H22:T22"/>
    <mergeCell ref="AA22:AE22"/>
    <mergeCell ref="AM22:AN22"/>
    <mergeCell ref="AT22:AU22"/>
    <mergeCell ref="A23:B23"/>
    <mergeCell ref="P23:T23"/>
    <mergeCell ref="AD23:AE23"/>
    <mergeCell ref="A21:A22"/>
    <mergeCell ref="B21:B22"/>
    <mergeCell ref="C21:C22"/>
    <mergeCell ref="D21:D22"/>
    <mergeCell ref="E21:E22"/>
    <mergeCell ref="F21:F22"/>
  </mergeCells>
  <printOptions horizontalCentered="1"/>
  <pageMargins left="0" right="0" top="0.5" bottom="0.25" header="0.3" footer="0.3"/>
  <pageSetup paperSize="14" scale="41" pageOrder="overThenDown" orientation="landscape" horizontalDpi="4294967293" verticalDpi="4294967293" r:id="rId1"/>
  <colBreaks count="1" manualBreakCount="1">
    <brk id="25" max="17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PLAN DE ACCIÓN 2022</vt:lpstr>
      <vt:lpstr>'PLAN DE ACCIÓN 2022'!_Hlk49970378</vt:lpstr>
      <vt:lpstr>'PLAN DE ACCIÓN 2022'!Área_de_impresión</vt:lpstr>
      <vt:lpstr>'PLAN DE ACCIÓN 2022'!Títulos_a_imprimir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bernarda perez carmona</dc:creator>
  <cp:lastModifiedBy>Maria Mernarda Perez Carmona</cp:lastModifiedBy>
  <dcterms:created xsi:type="dcterms:W3CDTF">2022-10-13T17:46:43Z</dcterms:created>
  <dcterms:modified xsi:type="dcterms:W3CDTF">2022-10-20T14:38:11Z</dcterms:modified>
</cp:coreProperties>
</file>