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bperez\Desktop\SEGUIMIENTOS PLANES DE ACCION CORTE 30 DE SEPTIEMBRE ACTUALIZADOS\"/>
    </mc:Choice>
  </mc:AlternateContent>
  <bookViews>
    <workbookView xWindow="0" yWindow="0" windowWidth="20490" windowHeight="7755"/>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A12" i="1" l="1"/>
  <c r="AA11" i="1"/>
  <c r="P20" i="1"/>
  <c r="N20" i="1"/>
  <c r="P16" i="1"/>
  <c r="P15" i="1"/>
  <c r="R15" i="1"/>
  <c r="Z15" i="1" s="1"/>
  <c r="AA15" i="1" s="1"/>
  <c r="P14" i="1"/>
  <c r="P12" i="1"/>
  <c r="Q12" i="1" s="1"/>
  <c r="R11" i="1"/>
  <c r="P11" i="1"/>
  <c r="Q11" i="1" s="1"/>
  <c r="P10" i="1"/>
  <c r="Q10" i="1" s="1"/>
  <c r="P9" i="1"/>
  <c r="P5" i="1"/>
  <c r="Q4" i="1"/>
  <c r="R4" i="1"/>
  <c r="P3" i="1"/>
  <c r="Q3" i="1" s="1"/>
  <c r="R3" i="1" l="1"/>
  <c r="R5" i="1"/>
  <c r="Q5" i="1"/>
  <c r="Q8" i="1" s="1"/>
  <c r="AO16" i="1"/>
  <c r="AP22" i="1"/>
  <c r="AO22" i="1"/>
  <c r="AP17" i="1"/>
  <c r="AQ17" i="1" s="1"/>
  <c r="AO17" i="1"/>
  <c r="AP13" i="1"/>
  <c r="AO13" i="1"/>
  <c r="AP8" i="1"/>
  <c r="AO5" i="1"/>
  <c r="AP23" i="1" l="1"/>
  <c r="AQ13" i="1"/>
  <c r="AQ22" i="1"/>
  <c r="R8" i="1"/>
  <c r="AQ5" i="1"/>
  <c r="AO8" i="1"/>
  <c r="AO23" i="1" s="1"/>
  <c r="AQ8" i="1"/>
  <c r="AA6" i="1"/>
  <c r="AA4" i="1"/>
  <c r="AA3" i="1"/>
  <c r="AQ14" i="1" l="1"/>
  <c r="AQ19" i="1"/>
  <c r="AQ18" i="1"/>
  <c r="AQ16" i="1"/>
  <c r="AQ23" i="1"/>
  <c r="AQ11" i="1"/>
  <c r="AQ12" i="1"/>
  <c r="AQ6" i="1"/>
  <c r="AQ4" i="1"/>
  <c r="AQ3" i="1"/>
  <c r="AQ15" i="1" l="1"/>
  <c r="AA19" i="1" l="1"/>
  <c r="AA18" i="1"/>
  <c r="AA16" i="1"/>
  <c r="AA14" i="1"/>
  <c r="AA9" i="1"/>
  <c r="AA8" i="1"/>
  <c r="R21" i="1"/>
  <c r="R20" i="1"/>
  <c r="Q20" i="1"/>
  <c r="Q22" i="1" s="1"/>
  <c r="R19" i="1"/>
  <c r="R16" i="1"/>
  <c r="R17" i="1" s="1"/>
  <c r="Q17" i="1"/>
  <c r="R12" i="1"/>
  <c r="Q7" i="1"/>
  <c r="Q13" i="1" l="1"/>
  <c r="Q23" i="1" s="1"/>
  <c r="R22" i="1"/>
  <c r="AA13" i="1"/>
  <c r="R13" i="1"/>
  <c r="AA17" i="1"/>
  <c r="AA22" i="1"/>
  <c r="R23" i="1" l="1"/>
</calcChain>
</file>

<file path=xl/sharedStrings.xml><?xml version="1.0" encoding="utf-8"?>
<sst xmlns="http://schemas.openxmlformats.org/spreadsheetml/2006/main" count="298" uniqueCount="188">
  <si>
    <t>Observación</t>
  </si>
  <si>
    <t>Fecha de Inicio Contratación</t>
  </si>
  <si>
    <t xml:space="preserve">Tipo de Contratación </t>
  </si>
  <si>
    <t>¿Requiere contratación?</t>
  </si>
  <si>
    <t xml:space="preserve">REPORTE EJECUCIÓN PRESUPUESTAL </t>
  </si>
  <si>
    <t>Código Presupuestal</t>
  </si>
  <si>
    <t>Rubro Presupuestal</t>
  </si>
  <si>
    <t>Fuente Presupuestal</t>
  </si>
  <si>
    <t>Apropiación Definitiva
(en pesos)</t>
  </si>
  <si>
    <t>Fuente de Financiación</t>
  </si>
  <si>
    <t>Nombre del Responsable</t>
  </si>
  <si>
    <t xml:space="preserve">Dependencia Responsable </t>
  </si>
  <si>
    <t>Porcentaje de Participación de la Actividad en el Proyecto</t>
  </si>
  <si>
    <t>Beneficiarios Cubiertos</t>
  </si>
  <si>
    <t>Beneficiarios Programados</t>
  </si>
  <si>
    <t>Tiempo de Ejecución
(número de días)</t>
  </si>
  <si>
    <t xml:space="preserve">Fecha de inicio </t>
  </si>
  <si>
    <t>REPORTE ACTIVIDAD DE PROYECTO
EJECUTADO DE ENERO 1 A MARZO 31 DE2022</t>
  </si>
  <si>
    <t>Valor Absoluto de la Actividad del  Proyecto 2022</t>
  </si>
  <si>
    <t>Actividades de Proyecto</t>
  </si>
  <si>
    <t>Objetivo del Proyecto</t>
  </si>
  <si>
    <t>Código de proyecto BPIM</t>
  </si>
  <si>
    <t>PROYECTO</t>
  </si>
  <si>
    <t>REPORTE META PRODUCTO
EJECUTADO DE ENERO 1 A MARZO 31 DE2022</t>
  </si>
  <si>
    <t>ACUMULADO DE META PRODUCTO 2020- 2021</t>
  </si>
  <si>
    <t>PROGRAMACIÓN META A 2022</t>
  </si>
  <si>
    <t>Valor Absoluto de la Meta Producto 2020-2023</t>
  </si>
  <si>
    <t>Descripción de la Meta Producto 2020-2023</t>
  </si>
  <si>
    <t>Línea Base 2019 
Según PDD</t>
  </si>
  <si>
    <t>Indicador de Producto</t>
  </si>
  <si>
    <t xml:space="preserve">PROGRAMA </t>
  </si>
  <si>
    <t>Meta de Bienestar 2020-2023</t>
  </si>
  <si>
    <t>Línea Base 2019</t>
  </si>
  <si>
    <t>Indicador de Bienestar</t>
  </si>
  <si>
    <t>LINEA ESTRATEGICA</t>
  </si>
  <si>
    <t>PILAR</t>
  </si>
  <si>
    <t xml:space="preserve">INDICAR SI EL RUBRO ESTÁ MARCADO COMO TRAZADOR DE GÉNERO
(SI ó NO) </t>
  </si>
  <si>
    <t>ESPACIO PUBLICO Y MOVILIDAD PARA LA GENTE</t>
  </si>
  <si>
    <t>Cartagena Resiliente</t>
  </si>
  <si>
    <t>M2 de Espacio Público Efectivo por Habitante</t>
  </si>
  <si>
    <t>8.14 m2/h</t>
  </si>
  <si>
    <t>8.39 m2/h</t>
  </si>
  <si>
    <t>Movilidad en Cartagena</t>
  </si>
  <si>
    <t>Sostenibilidad del Espacio Público</t>
  </si>
  <si>
    <t>Recuperación del Espacio Público</t>
  </si>
  <si>
    <t>Generación del Espacio Público</t>
  </si>
  <si>
    <t>Plan Maestro de Movilidad formulado y adaptado</t>
  </si>
  <si>
    <t>Plan de Adaptación de Cruces Viales Elaborados</t>
  </si>
  <si>
    <t>Número de campañas ejecutadas para la transición de los vendedores informales a la formalidad</t>
  </si>
  <si>
    <t>Número de convenios de adopción de parques</t>
  </si>
  <si>
    <t>M2 de espacio público para aprovechamiento económico reglamentado</t>
  </si>
  <si>
    <t>Política pública de espacio público (Ley 1968 de 2019)</t>
  </si>
  <si>
    <t>Número de M2 de revitalización de parques y zonas verdes de la ciudad de Cartagena</t>
  </si>
  <si>
    <t>Número de campañas a la ciudadanía cartagenara y visitantes sobe el uso adecuado y sostenible del espacio público</t>
  </si>
  <si>
    <t>Número de operativos para la defensa y control de los M2 de espacio público</t>
  </si>
  <si>
    <t>Número de puntos a intervenir con Acupuntura Urbana y Urbanismo Táctico implementado en espacio público</t>
  </si>
  <si>
    <t>M2 de espacio público renaturalizado</t>
  </si>
  <si>
    <t>Número de M2 de espacio público recuperado</t>
  </si>
  <si>
    <t>Número de M2 de espacio público destinado al goce y disfrute de las personas con discapacidad</t>
  </si>
  <si>
    <t>Documento sigma titulado "Informe final - V1: Formulación del Plan de Movilidad del Distrito de Cartagena" del 28 de Septiembre de 2011</t>
  </si>
  <si>
    <t>115,5 M2</t>
  </si>
  <si>
    <t>20.000 M2</t>
  </si>
  <si>
    <t>9 Campañas</t>
  </si>
  <si>
    <t>3 Operativos</t>
  </si>
  <si>
    <t>Un(1) documento</t>
  </si>
  <si>
    <t>Ocho(8) campañas</t>
  </si>
  <si>
    <t>Treinta y nueve(39) convenios</t>
  </si>
  <si>
    <t>Tres mil quinientos(3.500) M2</t>
  </si>
  <si>
    <t>Una(1) política pública</t>
  </si>
  <si>
    <t xml:space="preserve">Cien mil(100.000) M2 </t>
  </si>
  <si>
    <t>Nueve(9) campañas</t>
  </si>
  <si>
    <t>Docientos(200) operativos</t>
  </si>
  <si>
    <t>Cuarenta y cinco(45) puntos con acupuntura urbana, catorce(14) puntos con urbanismo táctico</t>
  </si>
  <si>
    <t>Cincuenta mil(50.000) M2</t>
  </si>
  <si>
    <t>Noventa y ocho mil seiscientos cuarenta(98.640) M2</t>
  </si>
  <si>
    <t>plan maestro de movilidad formulado fase 1 y fase 2</t>
  </si>
  <si>
    <t>plan de adaptacion de cruces viales estructurado fase 1 y fase 2</t>
  </si>
  <si>
    <t>cicloinfraestructura ejecutada y terminada</t>
  </si>
  <si>
    <t>Fase 3</t>
  </si>
  <si>
    <t>30.000 M2</t>
  </si>
  <si>
    <t>3 campañas</t>
  </si>
  <si>
    <t>70 operativos</t>
  </si>
  <si>
    <t>18 puntos</t>
  </si>
  <si>
    <t>15.000 M2</t>
  </si>
  <si>
    <t>35.000 M2</t>
  </si>
  <si>
    <t>Medio de Movilidad Alternativa Diseñados</t>
  </si>
  <si>
    <t xml:space="preserve"> medio de movilidad alternativos </t>
  </si>
  <si>
    <t>Diseño de Plan Integral para Mejorar la Movilidad en la ciudad de Cartagena</t>
  </si>
  <si>
    <t>Implementación del Sistema Distrital de Cicloinfraestructura  Cartagena de Indias</t>
  </si>
  <si>
    <t>Conservación Integral del Espacio Público Cartagena</t>
  </si>
  <si>
    <t>Mejoramiento de parques y zonas verdes para la recuperacion  del  Espacio Público   Cartagena de Indias</t>
  </si>
  <si>
    <t>Recuperación del Espacio Público Cartagena</t>
  </si>
  <si>
    <t>Generación del Espacio Público Cartagena</t>
  </si>
  <si>
    <t>Consolidad los mecanismos que generan políticas de movilidad integrales y sostenibles</t>
  </si>
  <si>
    <t>Consolidar la sostenibilidad del espacio público en la ciudad de Cartagena</t>
  </si>
  <si>
    <t xml:space="preserve">Realizar campaña para la formalización de vendedores inscritos en el RUV.              </t>
  </si>
  <si>
    <t xml:space="preserve">Gestionar convenios de adopción de parques. </t>
  </si>
  <si>
    <t>realizar convenios de aprovechamiento economico</t>
  </si>
  <si>
    <t>Ejecutar primera fase de la política pública</t>
  </si>
  <si>
    <t xml:space="preserve">Intervenir el espacio público por medio de la revitalización de M2.                                                  </t>
  </si>
  <si>
    <t>Aumentar el espacio público y las estrategias de recuperación integrales</t>
  </si>
  <si>
    <t xml:space="preserve">Realizar campañas de concientización. </t>
  </si>
  <si>
    <t>Realizar operativos para la defensa y control del espacio público en Cartagena.</t>
  </si>
  <si>
    <t>Aumentar la generación de nuevos espacios públicos en la ciudad de Cartagena</t>
  </si>
  <si>
    <t>Intervenir el espacio público con acciones de acupuntura urbana y urbanismo táctico.</t>
  </si>
  <si>
    <t xml:space="preserve">Ranturalizar M2 de espacio público. </t>
  </si>
  <si>
    <t xml:space="preserve">Recuperar M2 de espacio público. </t>
  </si>
  <si>
    <t>Aumentar M2 de espacio público para el goce y disfrute de las personas con discapacidad.</t>
  </si>
  <si>
    <t>toda la poblacion cartagenera</t>
  </si>
  <si>
    <t>GEPM</t>
  </si>
  <si>
    <t>FERNANDO ABELLO RUBIANO</t>
  </si>
  <si>
    <t>1.2.1.0.00-001 - ICLD</t>
  </si>
  <si>
    <t>DISEÑO DE PLAN INTEGRAL PARA MEJORAR LA MOVILIDAD EN
CARTAGENA DE INDIAS</t>
  </si>
  <si>
    <t>1.2.3.2.05-100 - OTRAS TASAS Y DERECHOS ADMINISTRATIVOS APROVECHAMIENTO ESPACIO PUBLICO</t>
  </si>
  <si>
    <t>IMPLEMENTACIÓN DEL SISTEMA DISTRITAL DE
CICLOINFRAESTRUCTURA CARTAGENA DE INDIAS</t>
  </si>
  <si>
    <t>CONSERVACIÓN INTEGRAL DEL ESPACIO PÚBLICO
CARTAGENA DE INDIAS</t>
  </si>
  <si>
    <t>1.2.3.2.05-080 - OTRAS TASAS Y DERECHOS ADMINISTRATIVOS OCUPACION DE VIAS</t>
  </si>
  <si>
    <t>MEJORAMIENTO DE PARQUES Y ZONAS VERDES PARA LA
RECUPERACION DEL ESPACIO PÚBLICO CARTAGENA DE
INDIAS</t>
  </si>
  <si>
    <r>
      <rPr>
        <b/>
        <sz val="11"/>
        <color theme="1"/>
        <rFont val="Calibri"/>
        <family val="2"/>
        <scheme val="minor"/>
      </rPr>
      <t xml:space="preserve">1.2.1.0.00-001 - ICLD </t>
    </r>
    <r>
      <rPr>
        <sz val="11"/>
        <color theme="1"/>
        <rFont val="Calibri"/>
        <family val="2"/>
        <scheme val="minor"/>
      </rPr>
      <t xml:space="preserve">        1.2.3.2.05-008 - OTRAS TASAS Y DERECHOS ADMINISTRATIVO AMOBLAMIENTO URBANO</t>
    </r>
  </si>
  <si>
    <t xml:space="preserve">1850000000          427.985.904
</t>
  </si>
  <si>
    <t>RECUPERACIÓN DEL ESPACIO PÚBLICO CARTAGENA DE INDIAS</t>
  </si>
  <si>
    <r>
      <rPr>
        <b/>
        <sz val="11"/>
        <color theme="1"/>
        <rFont val="Calibri"/>
        <family val="2"/>
        <scheme val="minor"/>
      </rPr>
      <t>1.2.3.2.05-080 - OTRAS TASAS Y DERECHOS ADMINISTRATIVOS OCUPACION DE VIAS</t>
    </r>
    <r>
      <rPr>
        <sz val="11"/>
        <color theme="1"/>
        <rFont val="Calibri"/>
        <family val="2"/>
        <scheme val="minor"/>
      </rPr>
      <t xml:space="preserve">   1.3.2.3.05-147 - OTROS RENDIMIENTOS FINANCIEROS AMOBLAMIENTO URBANO          </t>
    </r>
  </si>
  <si>
    <t xml:space="preserve">               325868109                                1</t>
  </si>
  <si>
    <t>GENERACIÓN DEL ESPACIO PÚBLICO CARTAGENA DE INDIAS</t>
  </si>
  <si>
    <t>1.2.3.2.05-008 - OTRAS TASAS Y DERECHOS ADMINISTRATIVO AMOBLAMIENTO URBANO</t>
  </si>
  <si>
    <t>02-001-06-00-00-00-197-202</t>
  </si>
  <si>
    <t>02-100-06-00-00-00-197-202</t>
  </si>
  <si>
    <t>02-001-06-00-00-00-179-202</t>
  </si>
  <si>
    <t>02-080-06-00-00-00-244-202</t>
  </si>
  <si>
    <t>02-001-06-00-00-00-244-202</t>
  </si>
  <si>
    <t>02-001-06-00-00-00-308-202</t>
  </si>
  <si>
    <t>02-001-06-00-00-00-353-202   02-008-06-00-00-00-353-202</t>
  </si>
  <si>
    <t>02-080-06-00-00-00-353-202   02-147-06-00-00-00-353-202</t>
  </si>
  <si>
    <t>02-008-06-00-00-00-308-202</t>
  </si>
  <si>
    <t>si</t>
  </si>
  <si>
    <t>Contratación directa, minima cuantia, licitacion</t>
  </si>
  <si>
    <t>enero</t>
  </si>
  <si>
    <t>marzo</t>
  </si>
  <si>
    <t>2.3.2499.0600.2020130010160</t>
  </si>
  <si>
    <t>2.3.2402.0600.2021130010272</t>
  </si>
  <si>
    <t>2.3.3299.0900.2020130010211</t>
  </si>
  <si>
    <t>2.3.4002.1400.2021130010268</t>
  </si>
  <si>
    <t xml:space="preserve">2.3.4599.1000.2021130010267
</t>
  </si>
  <si>
    <t>2.3.4002.1400.2021130010266</t>
  </si>
  <si>
    <t>NO</t>
  </si>
  <si>
    <t xml:space="preserve">se anexa pdf con diseños </t>
  </si>
  <si>
    <t>1 formacion para el futuro 100 %  2 mas vale ser formal 66 % en ejecucucion</t>
  </si>
  <si>
    <t>A la fecha, se encuentran en trámite para la suscripción 8 convenios se anexa pdf</t>
  </si>
  <si>
    <t>se anexa pdf con acta de reunion y decreto de fecha 22 de marzo</t>
  </si>
  <si>
    <t>se anexa  pdf de cronograma y acciones</t>
  </si>
  <si>
    <t>se anexa pdf con evidencias fechadas y numeradas</t>
  </si>
  <si>
    <t xml:space="preserve"> los espacios públicos recuperados en la vigencia del primer trimestre del año 2022suman un total de CINCO MIL QUINIENTOS VEINTINUEVE METROS CUADRADOS (5.529 M2), se deja constancia que la cifra antes descritas no se sumara al porcentaje de ejecución del indicador de recuperación del espacio público hasta tanto queden en firme las resoluciones que formalizan el inventario de zonas de espacio publico recuperadas y las cuales se encuentran en tramite.</t>
  </si>
  <si>
    <t>A la fecha hay 18 puntos de acupuntura en espacio público en proceso de diseños y etapas precontractuales que suman un área de 41.884 m2.</t>
  </si>
  <si>
    <t>0                                                                                                                                    no se anexa informacion</t>
  </si>
  <si>
    <t>REPORTE META PRODUCTO
EJECUTADO DE ABRIL 1 A JUNIO 31 DE2022 porcentaje</t>
  </si>
  <si>
    <t>25 diseños</t>
  </si>
  <si>
    <t>25 diseños de parques que incluye espacio destinado al goce de personas con discapacidad</t>
  </si>
  <si>
    <t>esta meta se cumplio</t>
  </si>
  <si>
    <t>AVANCE DEL PROGRAMA MOVILIDAD EN CARTAGENA</t>
  </si>
  <si>
    <t>AVANCE DEL PROGRAMA SOSTENIBILIDAD DEL ESPACIO PUBLICO</t>
  </si>
  <si>
    <t>AVANCE DEL PROGRAMA RECUPERACION DEL ESPACIO PUBLICO</t>
  </si>
  <si>
    <t>AVANCES DEL PROGRAMA GENERACION DEL ESPACIO PUBLICO</t>
  </si>
  <si>
    <t xml:space="preserve">Diseñar plan maestro de movilidad </t>
  </si>
  <si>
    <t xml:space="preserve">Plan de adaptacion de cruces viales </t>
  </si>
  <si>
    <t>Realizar un medio alternativo de movilidad</t>
  </si>
  <si>
    <t>% AVANCE DEL PROYECTO</t>
  </si>
  <si>
    <t>AVANCE DE PROYECTOS  DEL PROGRAMA MOVILIDAD EN CARTAGENA</t>
  </si>
  <si>
    <t>AVANCE DEL PROYECTO DEL PROGRAMA SOSTENIBILIDAD DEL ESPACIO PUBLICO</t>
  </si>
  <si>
    <t>AVANCE DEL PROYECTO DEL PROGRAMA RECUPERACION DEL ESPACIO PUBLICO</t>
  </si>
  <si>
    <t>AVANCES DEL PROYECTO DEL PROGRAMA GENERACION DEL ESPACIO PUBLICO</t>
  </si>
  <si>
    <t>% AVANCE DE EJECUCION PPTO</t>
  </si>
  <si>
    <t>16 convenios</t>
  </si>
  <si>
    <t>25 %  se realizaron compras y se contrato personal para las intervenciones</t>
  </si>
  <si>
    <t>65,54%   22938 m2   en lo corrido del añoal año</t>
  </si>
  <si>
    <t>REPORTE META PRODUCTO
EJECUTADO DE  1 DE JULIO A 30 DE SEPTIEMBRE 2022 numerico</t>
  </si>
  <si>
    <t>Meta acumulada a Sept 2022</t>
  </si>
  <si>
    <t>REPORTE ACTIVIDAD DE PROYECTO
EJECUTADO DE  A JUNIO 31 DE 2022 DE2022</t>
  </si>
  <si>
    <t>SEGUIMIENTO  PLAN DE ACCIÓN
GEPM SEPT 30
VIGENCIA 2022</t>
  </si>
  <si>
    <t xml:space="preserve">% DE AVANCE META PRODUCTO-PROGRAMA </t>
  </si>
  <si>
    <t xml:space="preserve">% ACUMULADO EN EL CUATRIENIO DEL PROGRAMA </t>
  </si>
  <si>
    <t>AVANCE PLAN DE DESARROLLO GERENCIA DEL ESPACIO PUBLICO  A SEPT 30 DE 2022</t>
  </si>
  <si>
    <t>REPORTE ACTIVIDAD DE PROYECTO
EJECUTADO DE  A JUNIO 31  a septiembre 30 de 2022</t>
  </si>
  <si>
    <t>EJECUCION PRESUPUIESTAL PROGRAMA MOVILIDAD EN CARTAGENA</t>
  </si>
  <si>
    <t>EJECUCION PRESUPUIESTAL PROGRAMA SOSTENIBILIDAD DEL ESPACIO PUBLICO</t>
  </si>
  <si>
    <t>EJECUCION PRESUPUIESTAL PROGRAMA RECUPERACION DEL ESPACIO PUBLICO</t>
  </si>
  <si>
    <t>AVANCE EJECUCION PPTAL A SEPT30 2022</t>
  </si>
  <si>
    <t>EJECUCION PRESUPUIESTAL PROGRAMA GENERACIONDEL ESPACIO PUBLICO</t>
  </si>
  <si>
    <t>Diseñar 1 medios de movilidad alternativa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</si>
</sst>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quot;$&quot;\ * #,##0_-;\-&quot;$&quot;\ * #,##0_-;_-&quot;$&quot;\ * &quot;-&quot;_-;_-@_-"/>
    <numFmt numFmtId="165" formatCode="_(&quot;$&quot;\ * #,##0.00_);_(&quot;$&quot;\ * \(#,##0.00\);_(&quot;$&quot;\ * &quot;-&quot;??_);_(@_)"/>
    <numFmt numFmtId="166" formatCode="0;[Red]0"/>
    <numFmt numFmtId="167" formatCode="_-* #,##0.00\ _€_-;\-* #,##0.00\ _€_-;_-* &quot;-&quot;??\ _€_-;_-@_-"/>
    <numFmt numFmtId="168" formatCode="_(&quot;$&quot;\ * #,##0_);_(&quot;$&quot;\ * \(#,##0\);_(&quot;$&quot;\ * &quot;-&quot;??_);_(@_)"/>
    <numFmt numFmtId="169" formatCode="&quot;$&quot;#,##0.00"/>
    <numFmt numFmtId="170" formatCode="0.0%"/>
  </numFmts>
  <fonts count="36"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b/>
      <sz val="10"/>
      <name val="Arial"/>
      <family val="2"/>
    </font>
    <font>
      <b/>
      <sz val="10"/>
      <color theme="1" tint="4.9989318521683403E-2"/>
      <name val="Arial"/>
      <family val="2"/>
    </font>
    <font>
      <b/>
      <sz val="11"/>
      <color theme="1"/>
      <name val="Calibri"/>
      <family val="2"/>
      <scheme val="minor"/>
    </font>
    <font>
      <sz val="11"/>
      <color theme="1" tint="4.9989318521683403E-2"/>
      <name val="Calibri"/>
      <family val="2"/>
      <scheme val="minor"/>
    </font>
    <font>
      <sz val="12"/>
      <color theme="1"/>
      <name val="Calibri"/>
      <family val="2"/>
      <scheme val="minor"/>
    </font>
    <font>
      <sz val="11"/>
      <color theme="1"/>
      <name val="Cambria"/>
      <family val="1"/>
    </font>
    <font>
      <b/>
      <sz val="11"/>
      <color rgb="FF000000"/>
      <name val="Calibri"/>
      <family val="2"/>
      <scheme val="minor"/>
    </font>
    <font>
      <b/>
      <sz val="14"/>
      <color theme="1"/>
      <name val="Calibri"/>
      <family val="2"/>
      <scheme val="minor"/>
    </font>
    <font>
      <sz val="14"/>
      <color theme="1"/>
      <name val="Calibri"/>
      <family val="2"/>
      <scheme val="minor"/>
    </font>
    <font>
      <b/>
      <sz val="12"/>
      <color theme="1" tint="4.9989318521683403E-2"/>
      <name val="Calibri"/>
      <family val="2"/>
      <scheme val="minor"/>
    </font>
    <font>
      <b/>
      <sz val="14"/>
      <color theme="1" tint="4.9989318521683403E-2"/>
      <name val="Arial"/>
      <family val="2"/>
    </font>
    <font>
      <b/>
      <sz val="16"/>
      <color theme="1"/>
      <name val="Calibri"/>
      <family val="2"/>
      <scheme val="minor"/>
    </font>
    <font>
      <b/>
      <sz val="12"/>
      <color theme="1"/>
      <name val="Arial"/>
      <family val="2"/>
    </font>
    <font>
      <b/>
      <sz val="16"/>
      <color theme="1" tint="4.9989318521683403E-2"/>
      <name val="Arial"/>
      <family val="2"/>
    </font>
    <font>
      <sz val="11"/>
      <color theme="1"/>
      <name val="Arial"/>
      <family val="2"/>
    </font>
    <font>
      <sz val="12"/>
      <color theme="1" tint="4.9989318521683403E-2"/>
      <name val="Calibri"/>
      <family val="2"/>
      <scheme val="minor"/>
    </font>
    <font>
      <sz val="12"/>
      <color rgb="FF000000"/>
      <name val="Arial"/>
      <family val="2"/>
    </font>
    <font>
      <sz val="10"/>
      <color theme="1"/>
      <name val="Verdana"/>
      <family val="2"/>
    </font>
    <font>
      <sz val="12"/>
      <color theme="1"/>
      <name val="Arial"/>
      <family val="2"/>
    </font>
    <font>
      <sz val="10"/>
      <color theme="1"/>
      <name val="Calibri"/>
      <family val="2"/>
      <scheme val="minor"/>
    </font>
    <font>
      <sz val="14"/>
      <color rgb="FF000000"/>
      <name val="Times New Roman"/>
      <family val="1"/>
    </font>
    <font>
      <sz val="11"/>
      <color rgb="FFFF0000"/>
      <name val="Calibri"/>
      <family val="2"/>
      <scheme val="minor"/>
    </font>
    <font>
      <b/>
      <sz val="12"/>
      <color theme="1"/>
      <name val="Calibri"/>
      <family val="2"/>
      <scheme val="minor"/>
    </font>
    <font>
      <b/>
      <sz val="11"/>
      <color rgb="FFFF0000"/>
      <name val="Calibri"/>
      <family val="2"/>
      <scheme val="minor"/>
    </font>
    <font>
      <b/>
      <sz val="12"/>
      <color rgb="FFFF0000"/>
      <name val="Calibri"/>
      <family val="2"/>
      <scheme val="minor"/>
    </font>
    <font>
      <b/>
      <sz val="14"/>
      <color rgb="FFFF0000"/>
      <name val="Calibri"/>
      <family val="2"/>
      <scheme val="minor"/>
    </font>
    <font>
      <b/>
      <sz val="16"/>
      <color rgb="FFFF0000"/>
      <name val="Calibri"/>
      <family val="2"/>
      <scheme val="minor"/>
    </font>
    <font>
      <b/>
      <sz val="18"/>
      <name val="Arial"/>
      <family val="2"/>
    </font>
    <font>
      <sz val="12"/>
      <color rgb="FFFF0000"/>
      <name val="Calibri"/>
      <family val="2"/>
      <scheme val="minor"/>
    </font>
    <font>
      <sz val="16"/>
      <color rgb="FFFF0000"/>
      <name val="Calibri"/>
      <family val="2"/>
      <scheme val="minor"/>
    </font>
    <font>
      <b/>
      <sz val="16"/>
      <color rgb="FFFF0000"/>
      <name val="Arial"/>
      <family val="2"/>
    </font>
    <font>
      <b/>
      <sz val="20"/>
      <color rgb="FFFF0000"/>
      <name val="Calibri"/>
      <family val="2"/>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9" fontId="1" fillId="0" borderId="0" applyFont="0" applyFill="0" applyBorder="0" applyAlignment="0" applyProtection="0"/>
    <xf numFmtId="165" fontId="1" fillId="0" borderId="0" applyFont="0" applyFill="0" applyBorder="0" applyAlignment="0" applyProtection="0"/>
    <xf numFmtId="167" fontId="1" fillId="0" borderId="0" applyFont="0" applyFill="0" applyBorder="0" applyAlignment="0" applyProtection="0"/>
    <xf numFmtId="49" fontId="21" fillId="0" borderId="0" applyFill="0" applyBorder="0" applyProtection="0">
      <alignment horizontal="left" vertical="center"/>
    </xf>
    <xf numFmtId="43" fontId="1" fillId="0" borderId="0" applyFont="0" applyFill="0" applyBorder="0" applyAlignment="0" applyProtection="0"/>
  </cellStyleXfs>
  <cellXfs count="182">
    <xf numFmtId="0" fontId="0" fillId="0" borderId="0" xfId="0"/>
    <xf numFmtId="0" fontId="0" fillId="0" borderId="1" xfId="0" applyBorder="1" applyAlignment="1">
      <alignment vertical="center"/>
    </xf>
    <xf numFmtId="49" fontId="21" fillId="0" borderId="1" xfId="4" applyFill="1" applyBorder="1" applyAlignment="1" applyProtection="1">
      <alignment horizontal="left" vertical="center" wrapText="1"/>
    </xf>
    <xf numFmtId="9" fontId="0" fillId="0" borderId="2" xfId="1" applyFont="1" applyFill="1" applyBorder="1" applyAlignment="1">
      <alignment horizontal="center" vertical="center" wrapText="1"/>
    </xf>
    <xf numFmtId="9" fontId="0" fillId="0" borderId="1" xfId="1" applyFont="1" applyFill="1"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vertical="center" wrapText="1"/>
    </xf>
    <xf numFmtId="9" fontId="8" fillId="0" borderId="1" xfId="0" applyNumberFormat="1" applyFont="1" applyBorder="1" applyAlignment="1">
      <alignment horizontal="center" vertical="center" wrapText="1"/>
    </xf>
    <xf numFmtId="9" fontId="8" fillId="0" borderId="1" xfId="1" applyFont="1" applyFill="1" applyBorder="1" applyAlignment="1">
      <alignment horizontal="center" vertical="center" wrapText="1"/>
    </xf>
    <xf numFmtId="4" fontId="24" fillId="0" borderId="1" xfId="0" applyNumberFormat="1" applyFont="1" applyBorder="1" applyAlignment="1">
      <alignment horizontal="center" vertical="center"/>
    </xf>
    <xf numFmtId="1" fontId="0" fillId="0" borderId="1" xfId="0" applyNumberFormat="1" applyBorder="1" applyAlignment="1">
      <alignment horizontal="center" vertical="center" wrapText="1"/>
    </xf>
    <xf numFmtId="9" fontId="0" fillId="0" borderId="4" xfId="0" applyNumberFormat="1" applyBorder="1" applyAlignment="1">
      <alignment horizontal="center" vertical="center" wrapText="1"/>
    </xf>
    <xf numFmtId="2" fontId="0" fillId="0" borderId="1" xfId="1" applyNumberFormat="1" applyFont="1" applyFill="1" applyBorder="1" applyAlignment="1">
      <alignment horizontal="center" vertical="center" wrapText="1"/>
    </xf>
    <xf numFmtId="9" fontId="24" fillId="0" borderId="1" xfId="1" applyFont="1" applyFill="1" applyBorder="1" applyAlignment="1">
      <alignment horizontal="center" vertical="center"/>
    </xf>
    <xf numFmtId="1" fontId="0" fillId="0" borderId="4" xfId="0" applyNumberFormat="1" applyBorder="1" applyAlignment="1">
      <alignment horizontal="center" vertical="center" wrapText="1"/>
    </xf>
    <xf numFmtId="0" fontId="25" fillId="0" borderId="1" xfId="0" applyFont="1" applyBorder="1" applyAlignment="1">
      <alignment wrapText="1"/>
    </xf>
    <xf numFmtId="169" fontId="0" fillId="0" borderId="1" xfId="0" applyNumberFormat="1" applyBorder="1" applyAlignment="1">
      <alignment horizontal="center" vertical="center"/>
    </xf>
    <xf numFmtId="14" fontId="0" fillId="0" borderId="1" xfId="0" applyNumberFormat="1" applyBorder="1" applyAlignment="1">
      <alignment horizontal="center" vertical="center"/>
    </xf>
    <xf numFmtId="168" fontId="0" fillId="0" borderId="1" xfId="2" applyNumberFormat="1" applyFont="1" applyFill="1" applyBorder="1" applyAlignment="1">
      <alignment horizontal="center" vertical="center" wrapText="1"/>
    </xf>
    <xf numFmtId="0" fontId="0" fillId="0" borderId="1" xfId="0" applyBorder="1" applyAlignment="1">
      <alignment vertical="center" wrapText="1"/>
    </xf>
    <xf numFmtId="168" fontId="0" fillId="0" borderId="1" xfId="2" applyNumberFormat="1" applyFont="1" applyFill="1" applyBorder="1" applyAlignment="1">
      <alignment horizontal="left" vertical="center" wrapText="1"/>
    </xf>
    <xf numFmtId="168" fontId="0" fillId="0" borderId="2" xfId="2" applyNumberFormat="1" applyFont="1" applyFill="1" applyBorder="1" applyAlignment="1">
      <alignment horizontal="left" vertical="center" wrapText="1"/>
    </xf>
    <xf numFmtId="168" fontId="0" fillId="0" borderId="1" xfId="2" applyNumberFormat="1" applyFont="1" applyFill="1" applyBorder="1" applyAlignment="1">
      <alignment vertical="center"/>
    </xf>
    <xf numFmtId="0" fontId="2" fillId="0" borderId="0" xfId="0" applyFont="1"/>
    <xf numFmtId="0" fontId="12" fillId="0" borderId="1" xfId="0" applyFont="1" applyBorder="1" applyAlignment="1">
      <alignment horizontal="center" vertical="center"/>
    </xf>
    <xf numFmtId="0" fontId="7" fillId="0" borderId="1" xfId="0" applyFont="1" applyBorder="1" applyAlignment="1">
      <alignment horizontal="center" vertical="center" wrapText="1"/>
    </xf>
    <xf numFmtId="9" fontId="6" fillId="0" borderId="1" xfId="0" applyNumberFormat="1" applyFont="1" applyBorder="1" applyAlignment="1">
      <alignment horizontal="center" vertical="center"/>
    </xf>
    <xf numFmtId="1" fontId="0" fillId="0" borderId="1" xfId="3" applyNumberFormat="1" applyFont="1" applyFill="1" applyBorder="1" applyAlignment="1">
      <alignment horizontal="center" vertical="center" wrapText="1"/>
    </xf>
    <xf numFmtId="168" fontId="0" fillId="0" borderId="1" xfId="2" applyNumberFormat="1" applyFont="1" applyFill="1" applyBorder="1" applyAlignment="1">
      <alignment horizontal="center" vertical="center"/>
    </xf>
    <xf numFmtId="0" fontId="6" fillId="0" borderId="1" xfId="0" applyFont="1" applyBorder="1" applyAlignment="1">
      <alignment horizontal="center" vertical="center"/>
    </xf>
    <xf numFmtId="14" fontId="0" fillId="0" borderId="4" xfId="0" applyNumberFormat="1" applyBorder="1" applyAlignment="1">
      <alignment horizontal="center" vertical="center"/>
    </xf>
    <xf numFmtId="168" fontId="0" fillId="0" borderId="4" xfId="2" applyNumberFormat="1" applyFont="1" applyFill="1" applyBorder="1" applyAlignment="1">
      <alignment horizontal="center" vertical="center"/>
    </xf>
    <xf numFmtId="49" fontId="21" fillId="0" borderId="4" xfId="4" applyFill="1" applyBorder="1" applyAlignment="1" applyProtection="1">
      <alignment horizontal="center" vertical="center" wrapText="1"/>
    </xf>
    <xf numFmtId="0" fontId="8" fillId="0" borderId="1" xfId="0" applyFont="1" applyBorder="1" applyAlignment="1">
      <alignment horizontal="center" vertical="center"/>
    </xf>
    <xf numFmtId="1" fontId="0" fillId="0" borderId="1" xfId="0" applyNumberFormat="1" applyBorder="1" applyAlignment="1">
      <alignment vertical="center" wrapText="1"/>
    </xf>
    <xf numFmtId="168" fontId="0" fillId="0" borderId="1" xfId="2" applyNumberFormat="1" applyFont="1" applyFill="1" applyBorder="1" applyAlignment="1">
      <alignment horizontal="center"/>
    </xf>
    <xf numFmtId="0" fontId="0" fillId="0" borderId="1" xfId="0" applyBorder="1" applyAlignment="1">
      <alignment horizontal="center" wrapText="1"/>
    </xf>
    <xf numFmtId="0" fontId="22" fillId="0" borderId="1" xfId="0" applyFont="1" applyBorder="1" applyAlignment="1">
      <alignment horizontal="center" wrapText="1"/>
    </xf>
    <xf numFmtId="3" fontId="8" fillId="0" borderId="1" xfId="0" applyNumberFormat="1" applyFont="1" applyBorder="1" applyAlignment="1">
      <alignment horizontal="center" vertical="center"/>
    </xf>
    <xf numFmtId="4" fontId="0" fillId="0" borderId="1" xfId="0" applyNumberFormat="1" applyBorder="1" applyAlignment="1">
      <alignment horizontal="center" vertical="center" wrapText="1"/>
    </xf>
    <xf numFmtId="9" fontId="9" fillId="0" borderId="1" xfId="0" applyNumberFormat="1" applyFont="1" applyBorder="1" applyAlignment="1">
      <alignment horizontal="center" vertical="center" wrapText="1"/>
    </xf>
    <xf numFmtId="168" fontId="0" fillId="0" borderId="0" xfId="2" applyNumberFormat="1" applyFont="1" applyFill="1" applyBorder="1" applyAlignment="1">
      <alignment vertical="center"/>
    </xf>
    <xf numFmtId="3" fontId="10"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1" fontId="16"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168" fontId="20" fillId="0" borderId="0" xfId="2" applyNumberFormat="1" applyFont="1" applyFill="1" applyAlignment="1">
      <alignment horizontal="center" vertical="center" readingOrder="1"/>
    </xf>
    <xf numFmtId="165" fontId="0" fillId="0" borderId="1" xfId="2" applyFont="1" applyFill="1" applyBorder="1" applyAlignment="1">
      <alignment horizontal="center" vertical="center"/>
    </xf>
    <xf numFmtId="0" fontId="11" fillId="0" borderId="1" xfId="0" applyFont="1" applyBorder="1" applyAlignment="1">
      <alignment horizontal="center" vertical="center" wrapText="1"/>
    </xf>
    <xf numFmtId="0" fontId="8" fillId="0" borderId="1" xfId="0" applyFont="1" applyBorder="1" applyAlignment="1">
      <alignment horizontal="center" vertical="center" wrapText="1"/>
    </xf>
    <xf numFmtId="168" fontId="0" fillId="0" borderId="2" xfId="2" applyNumberFormat="1" applyFont="1" applyFill="1" applyBorder="1" applyAlignment="1">
      <alignment vertical="center" wrapText="1"/>
    </xf>
    <xf numFmtId="168" fontId="0" fillId="0" borderId="2" xfId="2" applyNumberFormat="1" applyFont="1" applyFill="1" applyBorder="1" applyAlignment="1">
      <alignment vertical="center"/>
    </xf>
    <xf numFmtId="9" fontId="0" fillId="0" borderId="3" xfId="1" applyFont="1" applyFill="1" applyBorder="1" applyAlignment="1">
      <alignment horizontal="center" vertical="center" wrapText="1"/>
    </xf>
    <xf numFmtId="0" fontId="0" fillId="0" borderId="1" xfId="0" applyBorder="1"/>
    <xf numFmtId="0" fontId="23" fillId="0" borderId="1" xfId="0" applyFont="1" applyBorder="1" applyAlignment="1">
      <alignment horizontal="center" vertical="center" wrapText="1"/>
    </xf>
    <xf numFmtId="4" fontId="0" fillId="0" borderId="1" xfId="0" applyNumberFormat="1" applyBorder="1" applyAlignment="1">
      <alignment horizontal="center" vertical="center"/>
    </xf>
    <xf numFmtId="0" fontId="0" fillId="0" borderId="0" xfId="0" applyAlignment="1">
      <alignment horizontal="center" vertical="center"/>
    </xf>
    <xf numFmtId="169" fontId="0" fillId="0" borderId="0" xfId="0" applyNumberFormat="1"/>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6"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5" fillId="0" borderId="5" xfId="0" applyFont="1" applyBorder="1" applyAlignment="1">
      <alignment horizontal="center" vertical="center" wrapText="1"/>
    </xf>
    <xf numFmtId="1" fontId="3" fillId="0" borderId="9"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166" fontId="3" fillId="0" borderId="4"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9" fontId="4" fillId="0" borderId="4" xfId="1" applyFont="1" applyFill="1" applyBorder="1" applyAlignment="1">
      <alignment horizontal="center" vertical="center" wrapText="1"/>
    </xf>
    <xf numFmtId="164" fontId="3" fillId="0" borderId="4"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0" fillId="0" borderId="1" xfId="1" applyNumberFormat="1" applyFont="1" applyFill="1" applyBorder="1" applyAlignment="1">
      <alignment horizontal="center" vertical="center" wrapText="1"/>
    </xf>
    <xf numFmtId="2" fontId="0" fillId="0" borderId="1" xfId="0" applyNumberFormat="1" applyBorder="1" applyAlignment="1">
      <alignment horizontal="center" vertical="center" wrapText="1"/>
    </xf>
    <xf numFmtId="170" fontId="28" fillId="0" borderId="1" xfId="0" applyNumberFormat="1" applyFont="1" applyBorder="1" applyAlignment="1">
      <alignment horizontal="center" vertical="center"/>
    </xf>
    <xf numFmtId="170" fontId="27" fillId="0" borderId="2" xfId="0" applyNumberFormat="1" applyFont="1" applyBorder="1" applyAlignment="1">
      <alignment horizontal="center" vertical="center" wrapText="1"/>
    </xf>
    <xf numFmtId="170" fontId="28" fillId="0" borderId="3" xfId="1" applyNumberFormat="1" applyFont="1" applyFill="1" applyBorder="1" applyAlignment="1">
      <alignment horizontal="center" vertical="center" wrapText="1"/>
    </xf>
    <xf numFmtId="170" fontId="28" fillId="0" borderId="4" xfId="0" applyNumberFormat="1" applyFont="1" applyBorder="1" applyAlignment="1">
      <alignment horizontal="center" vertical="center" wrapText="1"/>
    </xf>
    <xf numFmtId="170" fontId="29" fillId="0" borderId="1" xfId="0" applyNumberFormat="1" applyFont="1" applyBorder="1" applyAlignment="1">
      <alignment horizontal="center" vertical="center"/>
    </xf>
    <xf numFmtId="1" fontId="17" fillId="0" borderId="8" xfId="0" applyNumberFormat="1" applyFont="1" applyBorder="1" applyAlignment="1">
      <alignment horizontal="center" vertical="center" wrapText="1"/>
    </xf>
    <xf numFmtId="9" fontId="0" fillId="0" borderId="1" xfId="0" applyNumberFormat="1" applyBorder="1" applyAlignment="1">
      <alignment horizontal="center" vertical="center" wrapText="1"/>
    </xf>
    <xf numFmtId="9" fontId="0" fillId="0" borderId="1" xfId="1" applyFont="1" applyFill="1" applyBorder="1" applyAlignment="1">
      <alignment horizontal="center" vertical="center" wrapText="1"/>
    </xf>
    <xf numFmtId="9" fontId="28" fillId="0" borderId="4" xfId="1" applyFont="1" applyFill="1" applyBorder="1" applyAlignment="1">
      <alignment horizontal="center" vertical="center" wrapText="1"/>
    </xf>
    <xf numFmtId="165" fontId="0" fillId="0" borderId="3" xfId="2" applyFont="1" applyFill="1" applyBorder="1" applyAlignment="1">
      <alignment horizontal="center" vertical="center"/>
    </xf>
    <xf numFmtId="165" fontId="0" fillId="0" borderId="1" xfId="2" applyFont="1" applyFill="1" applyBorder="1" applyAlignment="1">
      <alignment horizontal="left" vertical="center"/>
    </xf>
    <xf numFmtId="9" fontId="33" fillId="0" borderId="3" xfId="1" applyFont="1" applyFill="1" applyBorder="1" applyAlignment="1">
      <alignment horizontal="center" vertical="center"/>
    </xf>
    <xf numFmtId="9" fontId="32" fillId="0" borderId="1" xfId="0" applyNumberFormat="1" applyFont="1" applyBorder="1" applyAlignment="1">
      <alignment horizontal="center" vertical="center" wrapText="1"/>
    </xf>
    <xf numFmtId="0" fontId="29" fillId="0" borderId="5" xfId="0" applyFont="1" applyBorder="1" applyAlignment="1">
      <alignment horizontal="center" vertical="center" wrapText="1"/>
    </xf>
    <xf numFmtId="1" fontId="17" fillId="0" borderId="5" xfId="0" applyNumberFormat="1" applyFont="1" applyBorder="1" applyAlignment="1">
      <alignment horizontal="center" vertical="center" wrapText="1"/>
    </xf>
    <xf numFmtId="9" fontId="27" fillId="0" borderId="1" xfId="0" applyNumberFormat="1" applyFont="1" applyBorder="1" applyAlignment="1">
      <alignment horizontal="center" vertical="center" wrapText="1"/>
    </xf>
    <xf numFmtId="1" fontId="27" fillId="0" borderId="3" xfId="0" applyNumberFormat="1" applyFont="1" applyBorder="1" applyAlignment="1">
      <alignment horizontal="center" vertical="center" wrapText="1"/>
    </xf>
    <xf numFmtId="9" fontId="25" fillId="0" borderId="1" xfId="1" applyFont="1" applyFill="1" applyBorder="1" applyAlignment="1">
      <alignment horizontal="center" vertical="center"/>
    </xf>
    <xf numFmtId="9" fontId="28" fillId="0" borderId="3" xfId="1" applyFont="1" applyFill="1" applyBorder="1" applyAlignment="1">
      <alignment horizontal="center" vertical="center"/>
    </xf>
    <xf numFmtId="1" fontId="27" fillId="0" borderId="2" xfId="0" applyNumberFormat="1" applyFont="1" applyBorder="1" applyAlignment="1">
      <alignment horizontal="center" vertical="center" wrapText="1"/>
    </xf>
    <xf numFmtId="0" fontId="27" fillId="0" borderId="15" xfId="0" applyFont="1" applyBorder="1" applyAlignment="1">
      <alignment vertical="center" wrapText="1"/>
    </xf>
    <xf numFmtId="169" fontId="30" fillId="0" borderId="16" xfId="0" applyNumberFormat="1" applyFont="1" applyBorder="1" applyAlignment="1">
      <alignment horizontal="center" vertical="center"/>
    </xf>
    <xf numFmtId="10" fontId="30" fillId="0" borderId="17" xfId="1" applyNumberFormat="1" applyFont="1" applyFill="1" applyBorder="1" applyAlignment="1">
      <alignment horizontal="center" vertical="center"/>
    </xf>
    <xf numFmtId="9" fontId="35" fillId="0" borderId="2" xfId="1" applyFont="1" applyFill="1" applyBorder="1" applyAlignment="1">
      <alignment horizontal="center" vertical="center"/>
    </xf>
    <xf numFmtId="170" fontId="0" fillId="0" borderId="1" xfId="1" applyNumberFormat="1" applyFont="1" applyFill="1" applyBorder="1" applyAlignment="1">
      <alignment horizontal="center" vertical="center" wrapText="1"/>
    </xf>
    <xf numFmtId="170" fontId="24" fillId="0" borderId="1" xfId="1" applyNumberFormat="1" applyFont="1" applyFill="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6" fillId="0" borderId="2"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27" fillId="0" borderId="1" xfId="0" applyFont="1" applyBorder="1" applyAlignment="1">
      <alignment horizontal="center" vertical="center"/>
    </xf>
    <xf numFmtId="1" fontId="0" fillId="0" borderId="1" xfId="0" applyNumberFormat="1" applyBorder="1" applyAlignment="1">
      <alignment horizontal="center" vertical="center"/>
    </xf>
    <xf numFmtId="43" fontId="6" fillId="0" borderId="4" xfId="5" applyFont="1" applyFill="1" applyBorder="1" applyAlignment="1">
      <alignment horizontal="center" vertical="center" wrapText="1"/>
    </xf>
    <xf numFmtId="43" fontId="0" fillId="0" borderId="1" xfId="5" applyFont="1" applyFill="1" applyBorder="1" applyAlignment="1">
      <alignment horizontal="center" vertical="center" wrapText="1"/>
    </xf>
    <xf numFmtId="43" fontId="0" fillId="0" borderId="1" xfId="0" applyNumberFormat="1" applyBorder="1" applyAlignment="1">
      <alignment horizontal="center" vertical="center" wrapText="1"/>
    </xf>
    <xf numFmtId="170" fontId="8" fillId="0" borderId="1" xfId="1" applyNumberFormat="1" applyFont="1" applyFill="1" applyBorder="1" applyAlignment="1">
      <alignment horizontal="center" vertical="center" wrapText="1"/>
    </xf>
    <xf numFmtId="10" fontId="8" fillId="0" borderId="1" xfId="1" applyNumberFormat="1" applyFont="1" applyFill="1" applyBorder="1" applyAlignment="1">
      <alignment horizontal="center" vertical="center" wrapText="1"/>
    </xf>
    <xf numFmtId="10" fontId="0" fillId="0" borderId="1" xfId="1" applyNumberFormat="1" applyFont="1" applyFill="1" applyBorder="1" applyAlignment="1">
      <alignment horizontal="center" vertical="center" wrapText="1"/>
    </xf>
    <xf numFmtId="170" fontId="0" fillId="0" borderId="1" xfId="0" applyNumberFormat="1" applyBorder="1" applyAlignment="1">
      <alignment horizontal="center" vertical="center" wrapText="1"/>
    </xf>
    <xf numFmtId="170" fontId="27" fillId="0" borderId="1" xfId="0" applyNumberFormat="1" applyFont="1" applyBorder="1" applyAlignment="1">
      <alignment horizontal="center" vertical="center"/>
    </xf>
    <xf numFmtId="9" fontId="0" fillId="0" borderId="1" xfId="1" applyFont="1" applyBorder="1" applyAlignment="1">
      <alignment horizontal="center" vertical="center"/>
    </xf>
    <xf numFmtId="9" fontId="0" fillId="0" borderId="1" xfId="1" applyFont="1" applyBorder="1" applyAlignment="1">
      <alignment horizontal="center" vertical="center" wrapText="1"/>
    </xf>
    <xf numFmtId="10" fontId="0" fillId="0" borderId="1" xfId="0" applyNumberFormat="1" applyBorder="1" applyAlignment="1">
      <alignment horizontal="center" vertical="center" wrapText="1"/>
    </xf>
    <xf numFmtId="0" fontId="27" fillId="0" borderId="1" xfId="0" applyFont="1" applyBorder="1" applyAlignment="1">
      <alignment horizontal="center" vertical="center"/>
    </xf>
    <xf numFmtId="168" fontId="0" fillId="0" borderId="2" xfId="2" applyNumberFormat="1" applyFont="1" applyFill="1" applyBorder="1" applyAlignment="1">
      <alignment horizontal="center" vertical="center"/>
    </xf>
    <xf numFmtId="168" fontId="0" fillId="0" borderId="4" xfId="2" applyNumberFormat="1" applyFont="1" applyFill="1" applyBorder="1" applyAlignment="1">
      <alignment horizontal="center" vertical="center"/>
    </xf>
    <xf numFmtId="165" fontId="0" fillId="0" borderId="2" xfId="2" applyFont="1" applyFill="1" applyBorder="1" applyAlignment="1">
      <alignment horizontal="center" vertical="center"/>
    </xf>
    <xf numFmtId="165" fontId="0" fillId="0" borderId="4" xfId="2" applyFont="1" applyFill="1" applyBorder="1" applyAlignment="1">
      <alignment horizontal="center" vertical="center"/>
    </xf>
    <xf numFmtId="166" fontId="18" fillId="0" borderId="2" xfId="0" applyNumberFormat="1" applyFont="1" applyBorder="1" applyAlignment="1">
      <alignment horizontal="center" vertical="center" wrapText="1"/>
    </xf>
    <xf numFmtId="166" fontId="18" fillId="0" borderId="4" xfId="0" applyNumberFormat="1" applyFont="1" applyBorder="1" applyAlignment="1">
      <alignment horizontal="center" vertical="center" wrapText="1"/>
    </xf>
    <xf numFmtId="14" fontId="0" fillId="0" borderId="2" xfId="0" applyNumberFormat="1" applyBorder="1" applyAlignment="1">
      <alignment horizontal="center" vertical="center"/>
    </xf>
    <xf numFmtId="14"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 fontId="0" fillId="0" borderId="1" xfId="0" applyNumberFormat="1" applyBorder="1" applyAlignment="1">
      <alignment horizontal="center" vertical="center"/>
    </xf>
    <xf numFmtId="9" fontId="0" fillId="0" borderId="1" xfId="0" applyNumberForma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9" fontId="0" fillId="0" borderId="2" xfId="0" applyNumberFormat="1" applyBorder="1" applyAlignment="1">
      <alignment horizontal="center" vertical="center" wrapText="1"/>
    </xf>
    <xf numFmtId="0" fontId="0" fillId="0" borderId="4" xfId="0" applyBorder="1" applyAlignment="1">
      <alignment horizontal="center" vertical="center" wrapText="1"/>
    </xf>
    <xf numFmtId="1" fontId="34" fillId="0" borderId="6" xfId="0" applyNumberFormat="1" applyFont="1" applyBorder="1" applyAlignment="1">
      <alignment horizontal="center" vertical="center" wrapText="1"/>
    </xf>
    <xf numFmtId="1" fontId="34" fillId="0" borderId="7" xfId="0" applyNumberFormat="1" applyFont="1" applyBorder="1" applyAlignment="1">
      <alignment horizontal="center" vertical="center" wrapText="1"/>
    </xf>
    <xf numFmtId="1" fontId="34" fillId="0" borderId="8" xfId="0" applyNumberFormat="1" applyFont="1" applyBorder="1" applyAlignment="1">
      <alignment horizontal="center" vertical="center" wrapText="1"/>
    </xf>
    <xf numFmtId="1" fontId="34" fillId="0" borderId="9" xfId="0" applyNumberFormat="1" applyFont="1" applyBorder="1" applyAlignment="1">
      <alignment horizontal="center" vertical="center" wrapText="1"/>
    </xf>
    <xf numFmtId="1" fontId="34" fillId="0" borderId="10" xfId="0" applyNumberFormat="1" applyFont="1" applyBorder="1" applyAlignment="1">
      <alignment horizontal="center" vertical="center" wrapText="1"/>
    </xf>
    <xf numFmtId="1" fontId="34" fillId="0" borderId="5" xfId="0" applyNumberFormat="1" applyFont="1" applyBorder="1" applyAlignment="1">
      <alignment horizontal="center" vertical="center" wrapText="1"/>
    </xf>
    <xf numFmtId="0" fontId="6" fillId="0" borderId="1" xfId="0" applyFont="1" applyBorder="1" applyAlignment="1">
      <alignment horizontal="center" vertical="center" wrapText="1"/>
    </xf>
    <xf numFmtId="166" fontId="18" fillId="0" borderId="1" xfId="0" applyNumberFormat="1" applyFont="1" applyBorder="1" applyAlignment="1">
      <alignment horizontal="center" vertical="center" wrapText="1"/>
    </xf>
    <xf numFmtId="9" fontId="0" fillId="0" borderId="2" xfId="1" applyFont="1" applyFill="1" applyBorder="1" applyAlignment="1">
      <alignment horizontal="center" vertical="center" wrapText="1"/>
    </xf>
    <xf numFmtId="9" fontId="0" fillId="0" borderId="4" xfId="1" applyFont="1" applyFill="1" applyBorder="1" applyAlignment="1">
      <alignment horizontal="center" vertical="center" wrapText="1"/>
    </xf>
    <xf numFmtId="1" fontId="0" fillId="0" borderId="2" xfId="0" applyNumberFormat="1" applyBorder="1" applyAlignment="1">
      <alignment horizontal="center" vertical="center"/>
    </xf>
    <xf numFmtId="1" fontId="0" fillId="0" borderId="3" xfId="0" applyNumberFormat="1" applyBorder="1" applyAlignment="1">
      <alignment horizontal="center" vertical="center"/>
    </xf>
    <xf numFmtId="1" fontId="0" fillId="0" borderId="4" xfId="0" applyNumberFormat="1" applyBorder="1" applyAlignment="1">
      <alignment horizontal="center" vertical="center"/>
    </xf>
    <xf numFmtId="166" fontId="18" fillId="0" borderId="3" xfId="0" applyNumberFormat="1" applyFont="1" applyBorder="1" applyAlignment="1">
      <alignment horizontal="center" vertical="center" wrapText="1"/>
    </xf>
    <xf numFmtId="1" fontId="14" fillId="0" borderId="1" xfId="0" applyNumberFormat="1" applyFont="1" applyBorder="1" applyAlignment="1">
      <alignment horizontal="center" vertical="center" wrapText="1"/>
    </xf>
    <xf numFmtId="1" fontId="17" fillId="0" borderId="1" xfId="0" applyNumberFormat="1" applyFont="1" applyBorder="1" applyAlignment="1">
      <alignment horizontal="center" vertical="center" wrapText="1"/>
    </xf>
    <xf numFmtId="1" fontId="15" fillId="0" borderId="1" xfId="0" applyNumberFormat="1"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9" fontId="0" fillId="0" borderId="1" xfId="1" applyFont="1"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28" fillId="0" borderId="1" xfId="0" applyFont="1" applyBorder="1" applyAlignment="1">
      <alignment horizontal="center" vertical="center" wrapText="1"/>
    </xf>
    <xf numFmtId="49" fontId="21" fillId="0" borderId="2" xfId="4" applyFill="1" applyBorder="1" applyAlignment="1" applyProtection="1">
      <alignment horizontal="center" vertical="center" wrapText="1"/>
    </xf>
    <xf numFmtId="49" fontId="21" fillId="0" borderId="4" xfId="4" applyFill="1" applyBorder="1" applyAlignment="1" applyProtection="1">
      <alignment horizontal="center" vertical="center" wrapText="1"/>
    </xf>
    <xf numFmtId="9" fontId="0" fillId="0" borderId="2" xfId="1" applyFont="1" applyFill="1" applyBorder="1" applyAlignment="1">
      <alignment horizontal="center" vertical="center"/>
    </xf>
    <xf numFmtId="9" fontId="0" fillId="0" borderId="4" xfId="1" applyFont="1" applyFill="1" applyBorder="1" applyAlignment="1">
      <alignment horizontal="center" vertical="center"/>
    </xf>
    <xf numFmtId="0" fontId="0" fillId="0" borderId="3" xfId="0" applyBorder="1" applyAlignment="1">
      <alignment horizontal="center" vertical="center" wrapText="1"/>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31" fillId="0" borderId="1" xfId="0" applyFont="1" applyBorder="1" applyAlignment="1">
      <alignment horizontal="center" vertical="center" wrapText="1"/>
    </xf>
  </cellXfs>
  <cellStyles count="6">
    <cellStyle name="BodyStyle" xfId="4"/>
    <cellStyle name="Millares" xfId="5" builtinId="3"/>
    <cellStyle name="Millares 5" xfId="3"/>
    <cellStyle name="Moneda" xfId="2" builtinId="4"/>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7"/>
  <sheetViews>
    <sheetView tabSelected="1" topLeftCell="F2" zoomScale="80" zoomScaleNormal="80" workbookViewId="0">
      <pane xSplit="1650" ySplit="1455" topLeftCell="AK2" activePane="bottomRight"/>
      <selection activeCell="F2" sqref="A1:XFD1048576"/>
      <selection pane="topRight" activeCell="AK2" sqref="AK2"/>
      <selection pane="bottomLeft" activeCell="G5" sqref="A5:XFD5"/>
      <selection pane="bottomRight" activeCell="AO8" sqref="AO8"/>
    </sheetView>
  </sheetViews>
  <sheetFormatPr baseColWidth="10" defaultRowHeight="15" x14ac:dyDescent="0.25"/>
  <cols>
    <col min="1" max="1" width="18.28515625" customWidth="1"/>
    <col min="2" max="2" width="18.28515625" bestFit="1" customWidth="1"/>
    <col min="3" max="3" width="19" customWidth="1"/>
    <col min="4" max="4" width="20" customWidth="1"/>
    <col min="5" max="5" width="24" customWidth="1"/>
    <col min="6" max="6" width="15.5703125" customWidth="1"/>
    <col min="7" max="7" width="22.5703125" customWidth="1"/>
    <col min="8" max="8" width="17.7109375" customWidth="1"/>
    <col min="9" max="9" width="23.140625" customWidth="1"/>
    <col min="10" max="10" width="21.28515625" customWidth="1"/>
    <col min="11" max="11" width="20.5703125" customWidth="1"/>
    <col min="12" max="12" width="18.5703125" customWidth="1"/>
    <col min="13" max="13" width="19.28515625" customWidth="1"/>
    <col min="14" max="14" width="23.140625" customWidth="1"/>
    <col min="15" max="15" width="22.85546875" customWidth="1"/>
    <col min="16" max="16" width="16.5703125" customWidth="1"/>
    <col min="17" max="17" width="22.140625" customWidth="1"/>
    <col min="18" max="18" width="28.42578125" customWidth="1"/>
    <col min="19" max="19" width="24.28515625" customWidth="1"/>
    <col min="20" max="20" width="28.42578125" customWidth="1"/>
    <col min="21" max="21" width="18.85546875" customWidth="1"/>
    <col min="22" max="22" width="25.85546875" customWidth="1"/>
    <col min="23" max="23" width="18.85546875" customWidth="1"/>
    <col min="24" max="27" width="33.85546875" customWidth="1"/>
    <col min="28" max="28" width="17.140625" customWidth="1"/>
    <col min="29" max="29" width="21" customWidth="1"/>
    <col min="30" max="30" width="20" customWidth="1"/>
    <col min="31" max="31" width="25.5703125" customWidth="1"/>
    <col min="32" max="32" width="17" customWidth="1"/>
    <col min="33" max="33" width="26.5703125" customWidth="1"/>
    <col min="34" max="34" width="31.42578125" customWidth="1"/>
    <col min="35" max="35" width="44.28515625" customWidth="1"/>
    <col min="36" max="36" width="46" customWidth="1"/>
    <col min="37" max="37" width="41.5703125" customWidth="1"/>
    <col min="38" max="38" width="42.140625" customWidth="1"/>
    <col min="39" max="39" width="35" style="56" customWidth="1"/>
    <col min="40" max="43" width="42.28515625" customWidth="1"/>
    <col min="44" max="44" width="34" customWidth="1"/>
    <col min="45" max="45" width="21" customWidth="1"/>
    <col min="46" max="46" width="26" customWidth="1"/>
    <col min="47" max="47" width="66" customWidth="1"/>
  </cols>
  <sheetData>
    <row r="1" spans="1:47" s="23" customFormat="1" ht="18.75" hidden="1" customHeight="1" x14ac:dyDescent="0.2">
      <c r="A1" s="181" t="s">
        <v>177</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c r="AF1" s="181"/>
      <c r="AG1" s="181"/>
      <c r="AH1" s="181"/>
      <c r="AI1" s="181"/>
      <c r="AJ1" s="181"/>
      <c r="AK1" s="181"/>
      <c r="AL1" s="181"/>
      <c r="AM1" s="181"/>
      <c r="AN1" s="181"/>
      <c r="AO1" s="181"/>
      <c r="AP1" s="181"/>
      <c r="AQ1" s="181"/>
      <c r="AR1" s="181"/>
      <c r="AS1" s="181"/>
      <c r="AT1" s="181"/>
      <c r="AU1" s="181"/>
    </row>
    <row r="2" spans="1:47" s="23" customFormat="1" ht="81" customHeight="1" x14ac:dyDescent="0.2">
      <c r="A2" s="58" t="s">
        <v>35</v>
      </c>
      <c r="B2" s="59" t="s">
        <v>34</v>
      </c>
      <c r="C2" s="59" t="s">
        <v>33</v>
      </c>
      <c r="D2" s="59" t="s">
        <v>32</v>
      </c>
      <c r="E2" s="59" t="s">
        <v>31</v>
      </c>
      <c r="F2" s="59" t="s">
        <v>30</v>
      </c>
      <c r="G2" s="59" t="s">
        <v>29</v>
      </c>
      <c r="H2" s="59" t="s">
        <v>28</v>
      </c>
      <c r="I2" s="59" t="s">
        <v>27</v>
      </c>
      <c r="J2" s="59" t="s">
        <v>26</v>
      </c>
      <c r="K2" s="59" t="s">
        <v>25</v>
      </c>
      <c r="L2" s="59" t="s">
        <v>24</v>
      </c>
      <c r="M2" s="60" t="s">
        <v>23</v>
      </c>
      <c r="N2" s="60" t="s">
        <v>154</v>
      </c>
      <c r="O2" s="60" t="s">
        <v>174</v>
      </c>
      <c r="P2" s="61" t="s">
        <v>175</v>
      </c>
      <c r="Q2" s="62" t="s">
        <v>178</v>
      </c>
      <c r="R2" s="62" t="s">
        <v>179</v>
      </c>
      <c r="S2" s="63" t="s">
        <v>22</v>
      </c>
      <c r="T2" s="64" t="s">
        <v>21</v>
      </c>
      <c r="U2" s="65" t="s">
        <v>20</v>
      </c>
      <c r="V2" s="66" t="s">
        <v>19</v>
      </c>
      <c r="W2" s="67" t="s">
        <v>18</v>
      </c>
      <c r="X2" s="60" t="s">
        <v>17</v>
      </c>
      <c r="Y2" s="60" t="s">
        <v>176</v>
      </c>
      <c r="Z2" s="60" t="s">
        <v>181</v>
      </c>
      <c r="AA2" s="60" t="s">
        <v>165</v>
      </c>
      <c r="AB2" s="68" t="s">
        <v>16</v>
      </c>
      <c r="AC2" s="69" t="s">
        <v>15</v>
      </c>
      <c r="AD2" s="69" t="s">
        <v>14</v>
      </c>
      <c r="AE2" s="69" t="s">
        <v>13</v>
      </c>
      <c r="AF2" s="70" t="s">
        <v>12</v>
      </c>
      <c r="AG2" s="59" t="s">
        <v>11</v>
      </c>
      <c r="AH2" s="59" t="s">
        <v>10</v>
      </c>
      <c r="AI2" s="59" t="s">
        <v>9</v>
      </c>
      <c r="AJ2" s="71" t="s">
        <v>8</v>
      </c>
      <c r="AK2" s="71" t="s">
        <v>7</v>
      </c>
      <c r="AL2" s="59" t="s">
        <v>6</v>
      </c>
      <c r="AM2" s="59" t="s">
        <v>36</v>
      </c>
      <c r="AN2" s="71" t="s">
        <v>5</v>
      </c>
      <c r="AO2" s="71" t="s">
        <v>8</v>
      </c>
      <c r="AP2" s="59" t="s">
        <v>4</v>
      </c>
      <c r="AQ2" s="59" t="s">
        <v>170</v>
      </c>
      <c r="AR2" s="59" t="s">
        <v>3</v>
      </c>
      <c r="AS2" s="59" t="s">
        <v>2</v>
      </c>
      <c r="AT2" s="59" t="s">
        <v>1</v>
      </c>
      <c r="AU2" s="72" t="s">
        <v>0</v>
      </c>
    </row>
    <row r="3" spans="1:47" ht="72" customHeight="1" x14ac:dyDescent="0.25">
      <c r="A3" s="149" t="s">
        <v>38</v>
      </c>
      <c r="B3" s="134" t="s">
        <v>37</v>
      </c>
      <c r="C3" s="149" t="s">
        <v>39</v>
      </c>
      <c r="D3" s="149" t="s">
        <v>40</v>
      </c>
      <c r="E3" s="135" t="s">
        <v>41</v>
      </c>
      <c r="F3" s="132" t="s">
        <v>42</v>
      </c>
      <c r="G3" s="101" t="s">
        <v>46</v>
      </c>
      <c r="H3" s="101" t="s">
        <v>59</v>
      </c>
      <c r="I3" s="101" t="s">
        <v>64</v>
      </c>
      <c r="J3" s="24">
        <v>1</v>
      </c>
      <c r="K3" s="25" t="s">
        <v>75</v>
      </c>
      <c r="L3" s="26">
        <v>0.25</v>
      </c>
      <c r="M3" s="82">
        <v>0.11</v>
      </c>
      <c r="N3" s="82">
        <v>0.25</v>
      </c>
      <c r="O3" s="82">
        <v>0.06</v>
      </c>
      <c r="P3" s="82">
        <f>+M3+N3+O3</f>
        <v>0.42</v>
      </c>
      <c r="Q3" s="82">
        <f>+P3</f>
        <v>0.42</v>
      </c>
      <c r="R3" s="82">
        <f>+Q3</f>
        <v>0.42</v>
      </c>
      <c r="S3" s="149" t="s">
        <v>87</v>
      </c>
      <c r="T3" s="157">
        <v>2020130010160</v>
      </c>
      <c r="U3" s="126" t="s">
        <v>93</v>
      </c>
      <c r="V3" s="27" t="s">
        <v>162</v>
      </c>
      <c r="W3" s="4">
        <v>0.5</v>
      </c>
      <c r="X3" s="82">
        <v>0.11</v>
      </c>
      <c r="Y3" s="12"/>
      <c r="Z3" s="82">
        <v>0.31</v>
      </c>
      <c r="AA3" s="82">
        <f>SUM(X3:Z3)</f>
        <v>0.42</v>
      </c>
      <c r="AB3" s="17">
        <v>44586</v>
      </c>
      <c r="AC3" s="102">
        <v>335</v>
      </c>
      <c r="AD3" s="6" t="s">
        <v>108</v>
      </c>
      <c r="AE3" s="6" t="s">
        <v>108</v>
      </c>
      <c r="AF3" s="4">
        <v>0.5</v>
      </c>
      <c r="AG3" s="135" t="s">
        <v>109</v>
      </c>
      <c r="AH3" s="134" t="s">
        <v>110</v>
      </c>
      <c r="AI3" s="6" t="s">
        <v>111</v>
      </c>
      <c r="AJ3" s="28">
        <v>415400587</v>
      </c>
      <c r="AK3" s="6" t="s">
        <v>112</v>
      </c>
      <c r="AL3" s="1" t="s">
        <v>125</v>
      </c>
      <c r="AM3" s="130" t="s">
        <v>144</v>
      </c>
      <c r="AN3" s="153" t="s">
        <v>138</v>
      </c>
      <c r="AO3" s="85">
        <v>115400587</v>
      </c>
      <c r="AP3" s="85">
        <v>79000000</v>
      </c>
      <c r="AQ3" s="4">
        <f>+AP3/AO3</f>
        <v>0.68457190776681232</v>
      </c>
      <c r="AR3" s="102" t="s">
        <v>134</v>
      </c>
      <c r="AS3" s="2" t="s">
        <v>135</v>
      </c>
      <c r="AT3" s="102" t="s">
        <v>136</v>
      </c>
      <c r="AU3" s="102" t="s">
        <v>145</v>
      </c>
    </row>
    <row r="4" spans="1:47" ht="72" customHeight="1" x14ac:dyDescent="0.25">
      <c r="A4" s="149"/>
      <c r="B4" s="134"/>
      <c r="C4" s="149"/>
      <c r="D4" s="149"/>
      <c r="E4" s="135"/>
      <c r="F4" s="174"/>
      <c r="G4" s="101" t="s">
        <v>47</v>
      </c>
      <c r="H4" s="29">
        <v>0</v>
      </c>
      <c r="I4" s="101" t="s">
        <v>64</v>
      </c>
      <c r="J4" s="24">
        <v>1</v>
      </c>
      <c r="K4" s="25" t="s">
        <v>76</v>
      </c>
      <c r="L4" s="26">
        <v>0.35</v>
      </c>
      <c r="M4" s="3">
        <v>0.16</v>
      </c>
      <c r="N4" s="3">
        <v>0.16</v>
      </c>
      <c r="O4" s="82">
        <v>0.04</v>
      </c>
      <c r="P4" s="82">
        <v>0.42</v>
      </c>
      <c r="Q4" s="82">
        <f>+M4+N4+O4</f>
        <v>0.36</v>
      </c>
      <c r="R4" s="82">
        <f>+L4+(Q4*0.25)</f>
        <v>0.43999999999999995</v>
      </c>
      <c r="S4" s="149"/>
      <c r="T4" s="157"/>
      <c r="U4" s="156"/>
      <c r="V4" s="27" t="s">
        <v>163</v>
      </c>
      <c r="W4" s="4">
        <v>0.25</v>
      </c>
      <c r="X4" s="3">
        <v>0.16</v>
      </c>
      <c r="Y4" s="3"/>
      <c r="Z4" s="82">
        <v>0.31</v>
      </c>
      <c r="AA4" s="82">
        <f t="shared" ref="AA4" si="0">SUM(X4:Z4)</f>
        <v>0.47</v>
      </c>
      <c r="AB4" s="17">
        <v>44586</v>
      </c>
      <c r="AC4" s="102">
        <v>335</v>
      </c>
      <c r="AD4" s="6" t="s">
        <v>108</v>
      </c>
      <c r="AE4" s="6" t="s">
        <v>108</v>
      </c>
      <c r="AF4" s="4">
        <v>0.25</v>
      </c>
      <c r="AG4" s="135"/>
      <c r="AH4" s="134"/>
      <c r="AI4" s="6" t="s">
        <v>113</v>
      </c>
      <c r="AJ4" s="28">
        <v>83493950</v>
      </c>
      <c r="AK4" s="6" t="s">
        <v>112</v>
      </c>
      <c r="AL4" s="1" t="s">
        <v>126</v>
      </c>
      <c r="AM4" s="133"/>
      <c r="AN4" s="154"/>
      <c r="AO4" s="85">
        <v>83493950</v>
      </c>
      <c r="AP4" s="16"/>
      <c r="AQ4" s="4">
        <f>+AP4/AO4</f>
        <v>0</v>
      </c>
      <c r="AR4" s="102" t="s">
        <v>134</v>
      </c>
      <c r="AS4" s="2" t="s">
        <v>135</v>
      </c>
      <c r="AT4" s="102" t="s">
        <v>136</v>
      </c>
      <c r="AU4" s="102" t="s">
        <v>145</v>
      </c>
    </row>
    <row r="5" spans="1:47" ht="70.5" customHeight="1" x14ac:dyDescent="0.25">
      <c r="A5" s="149"/>
      <c r="B5" s="134"/>
      <c r="C5" s="149"/>
      <c r="D5" s="149"/>
      <c r="E5" s="135"/>
      <c r="F5" s="174"/>
      <c r="G5" s="105" t="s">
        <v>85</v>
      </c>
      <c r="H5" s="29">
        <v>0</v>
      </c>
      <c r="I5" s="101" t="s">
        <v>86</v>
      </c>
      <c r="J5" s="24">
        <v>1</v>
      </c>
      <c r="K5" s="25" t="s">
        <v>187</v>
      </c>
      <c r="L5" s="110">
        <v>1</v>
      </c>
      <c r="M5" s="5">
        <v>0.05</v>
      </c>
      <c r="N5" s="4">
        <v>0.33</v>
      </c>
      <c r="O5" s="5">
        <v>0.1</v>
      </c>
      <c r="P5" s="82">
        <f>+M5+N5+O5</f>
        <v>0.48</v>
      </c>
      <c r="Q5" s="5">
        <f>+P5</f>
        <v>0.48</v>
      </c>
      <c r="R5" s="5">
        <f>+(L5+(P5*0.25))/2</f>
        <v>0.56000000000000005</v>
      </c>
      <c r="S5" s="149"/>
      <c r="T5" s="157"/>
      <c r="U5" s="127"/>
      <c r="V5" s="27" t="s">
        <v>164</v>
      </c>
      <c r="W5" s="4">
        <v>0.25</v>
      </c>
      <c r="X5" s="118">
        <v>0.05</v>
      </c>
      <c r="Y5" s="102"/>
      <c r="Z5" s="118">
        <v>0.35</v>
      </c>
      <c r="AA5" s="82">
        <v>0.4</v>
      </c>
      <c r="AB5" s="17">
        <v>44586</v>
      </c>
      <c r="AC5" s="102">
        <v>335</v>
      </c>
      <c r="AD5" s="6" t="s">
        <v>108</v>
      </c>
      <c r="AE5" s="6" t="s">
        <v>108</v>
      </c>
      <c r="AF5" s="4">
        <v>0.25</v>
      </c>
      <c r="AG5" s="135"/>
      <c r="AH5" s="134"/>
      <c r="AI5" s="102"/>
      <c r="AJ5" s="28"/>
      <c r="AK5" s="102"/>
      <c r="AL5" s="1"/>
      <c r="AM5" s="131"/>
      <c r="AN5" s="155"/>
      <c r="AO5" s="85">
        <f>36574407.55+17626955</f>
        <v>54201362.549999997</v>
      </c>
      <c r="AP5" s="109"/>
      <c r="AQ5" s="4">
        <f>+AP5/AO5</f>
        <v>0</v>
      </c>
      <c r="AR5" s="102" t="s">
        <v>134</v>
      </c>
      <c r="AS5" s="2" t="s">
        <v>135</v>
      </c>
      <c r="AT5" s="102" t="s">
        <v>136</v>
      </c>
      <c r="AU5" s="102" t="s">
        <v>145</v>
      </c>
    </row>
    <row r="6" spans="1:47" ht="15" customHeight="1" x14ac:dyDescent="0.25">
      <c r="A6" s="149"/>
      <c r="B6" s="134"/>
      <c r="C6" s="149"/>
      <c r="D6" s="149"/>
      <c r="E6" s="135"/>
      <c r="F6" s="174"/>
      <c r="G6" s="149" t="s">
        <v>85</v>
      </c>
      <c r="H6" s="134">
        <v>0</v>
      </c>
      <c r="I6" s="149" t="s">
        <v>86</v>
      </c>
      <c r="J6" s="134">
        <v>1</v>
      </c>
      <c r="K6" s="134" t="s">
        <v>77</v>
      </c>
      <c r="L6" s="134"/>
      <c r="M6" s="132"/>
      <c r="N6" s="166"/>
      <c r="O6" s="134"/>
      <c r="P6" s="151"/>
      <c r="Q6" s="137"/>
      <c r="R6" s="141"/>
      <c r="S6" s="149" t="s">
        <v>88</v>
      </c>
      <c r="T6" s="159">
        <v>2021130010272</v>
      </c>
      <c r="U6" s="134" t="s">
        <v>88</v>
      </c>
      <c r="V6" s="134" t="s">
        <v>88</v>
      </c>
      <c r="W6" s="166">
        <v>1</v>
      </c>
      <c r="X6" s="132">
        <v>0</v>
      </c>
      <c r="Y6" s="132">
        <v>0</v>
      </c>
      <c r="Z6" s="151">
        <v>0.42</v>
      </c>
      <c r="AA6" s="151">
        <f>SUM(X7:Z7)</f>
        <v>0</v>
      </c>
      <c r="AB6" s="128">
        <v>44586</v>
      </c>
      <c r="AC6" s="130">
        <v>335</v>
      </c>
      <c r="AD6" s="132" t="s">
        <v>108</v>
      </c>
      <c r="AE6" s="132" t="s">
        <v>108</v>
      </c>
      <c r="AF6" s="166">
        <v>0</v>
      </c>
      <c r="AG6" s="135" t="s">
        <v>109</v>
      </c>
      <c r="AH6" s="134" t="s">
        <v>110</v>
      </c>
      <c r="AI6" s="132" t="s">
        <v>111</v>
      </c>
      <c r="AJ6" s="122">
        <v>4905727078</v>
      </c>
      <c r="AK6" s="132" t="s">
        <v>114</v>
      </c>
      <c r="AL6" s="130" t="s">
        <v>127</v>
      </c>
      <c r="AM6" s="134" t="s">
        <v>144</v>
      </c>
      <c r="AN6" s="153" t="s">
        <v>139</v>
      </c>
      <c r="AO6" s="122">
        <v>645727078</v>
      </c>
      <c r="AP6" s="124">
        <v>0</v>
      </c>
      <c r="AQ6" s="172">
        <f>+AP6/AO6</f>
        <v>0</v>
      </c>
      <c r="AR6" s="130" t="s">
        <v>134</v>
      </c>
      <c r="AS6" s="170" t="s">
        <v>135</v>
      </c>
      <c r="AT6" s="130" t="s">
        <v>137</v>
      </c>
      <c r="AU6" s="134" t="s">
        <v>153</v>
      </c>
    </row>
    <row r="7" spans="1:47" ht="44.25" customHeight="1" x14ac:dyDescent="0.25">
      <c r="A7" s="149"/>
      <c r="B7" s="134"/>
      <c r="C7" s="149"/>
      <c r="D7" s="149"/>
      <c r="E7" s="135"/>
      <c r="F7" s="174"/>
      <c r="G7" s="149"/>
      <c r="H7" s="134"/>
      <c r="I7" s="149"/>
      <c r="J7" s="134"/>
      <c r="K7" s="134"/>
      <c r="L7" s="134"/>
      <c r="M7" s="142"/>
      <c r="N7" s="166"/>
      <c r="O7" s="134"/>
      <c r="P7" s="152"/>
      <c r="Q7" s="134">
        <f>+N6</f>
        <v>0</v>
      </c>
      <c r="R7" s="142"/>
      <c r="S7" s="149"/>
      <c r="T7" s="159"/>
      <c r="U7" s="134"/>
      <c r="V7" s="134"/>
      <c r="W7" s="166"/>
      <c r="X7" s="142"/>
      <c r="Y7" s="142"/>
      <c r="Z7" s="152"/>
      <c r="AA7" s="152"/>
      <c r="AB7" s="129"/>
      <c r="AC7" s="131"/>
      <c r="AD7" s="142"/>
      <c r="AE7" s="142"/>
      <c r="AF7" s="166"/>
      <c r="AG7" s="135"/>
      <c r="AH7" s="134"/>
      <c r="AI7" s="142"/>
      <c r="AJ7" s="123"/>
      <c r="AK7" s="142"/>
      <c r="AL7" s="131"/>
      <c r="AM7" s="134"/>
      <c r="AN7" s="155"/>
      <c r="AO7" s="123"/>
      <c r="AP7" s="125"/>
      <c r="AQ7" s="173"/>
      <c r="AR7" s="131"/>
      <c r="AS7" s="171"/>
      <c r="AT7" s="131"/>
      <c r="AU7" s="134"/>
    </row>
    <row r="8" spans="1:47" ht="63.75" customHeight="1" x14ac:dyDescent="0.25">
      <c r="A8" s="149"/>
      <c r="B8" s="134"/>
      <c r="C8" s="149"/>
      <c r="D8" s="149"/>
      <c r="E8" s="135"/>
      <c r="F8" s="142"/>
      <c r="G8" s="138" t="s">
        <v>158</v>
      </c>
      <c r="H8" s="139"/>
      <c r="I8" s="139"/>
      <c r="J8" s="139"/>
      <c r="K8" s="139"/>
      <c r="L8" s="139"/>
      <c r="M8" s="139"/>
      <c r="N8" s="139"/>
      <c r="O8" s="139"/>
      <c r="P8" s="140"/>
      <c r="Q8" s="76">
        <f>+(Q3+Q4+Q5)/3</f>
        <v>0.42</v>
      </c>
      <c r="R8" s="76">
        <f>+(R3+R4+R5)/3</f>
        <v>0.47333333333333333</v>
      </c>
      <c r="S8" s="160" t="s">
        <v>166</v>
      </c>
      <c r="T8" s="161"/>
      <c r="U8" s="161"/>
      <c r="V8" s="161"/>
      <c r="W8" s="161"/>
      <c r="X8" s="161"/>
      <c r="Y8" s="162"/>
      <c r="Z8" s="88"/>
      <c r="AA8" s="83">
        <f>AVERAGE(AA3:AA6)</f>
        <v>0.32250000000000001</v>
      </c>
      <c r="AB8" s="30"/>
      <c r="AC8" s="107"/>
      <c r="AD8" s="104"/>
      <c r="AE8" s="104"/>
      <c r="AF8" s="82"/>
      <c r="AG8" s="102"/>
      <c r="AH8" s="6"/>
      <c r="AI8" s="104"/>
      <c r="AJ8" s="31"/>
      <c r="AK8" s="104"/>
      <c r="AL8" s="107"/>
      <c r="AM8" s="103"/>
      <c r="AN8" s="91" t="s">
        <v>182</v>
      </c>
      <c r="AO8" s="84">
        <f>SUM(AO3:AO7)</f>
        <v>898822977.54999995</v>
      </c>
      <c r="AP8" s="84">
        <f>SUM(AP3:AP7)</f>
        <v>79000000</v>
      </c>
      <c r="AQ8" s="86">
        <f>+AP8/AO8</f>
        <v>8.78927241216476E-2</v>
      </c>
      <c r="AR8" s="107"/>
      <c r="AS8" s="32"/>
      <c r="AT8" s="107"/>
      <c r="AU8" s="6"/>
    </row>
    <row r="9" spans="1:47" ht="60" customHeight="1" x14ac:dyDescent="0.25">
      <c r="A9" s="149"/>
      <c r="B9" s="134"/>
      <c r="C9" s="149"/>
      <c r="D9" s="149"/>
      <c r="E9" s="135"/>
      <c r="F9" s="132" t="s">
        <v>43</v>
      </c>
      <c r="G9" s="101" t="s">
        <v>48</v>
      </c>
      <c r="H9" s="29">
        <v>0</v>
      </c>
      <c r="I9" s="101" t="s">
        <v>65</v>
      </c>
      <c r="J9" s="24">
        <v>8</v>
      </c>
      <c r="K9" s="33">
        <v>3</v>
      </c>
      <c r="L9" s="29">
        <v>4</v>
      </c>
      <c r="M9" s="10">
        <v>2</v>
      </c>
      <c r="N9" s="10">
        <v>1</v>
      </c>
      <c r="O9" s="10">
        <v>1</v>
      </c>
      <c r="P9" s="10">
        <f>+M9+N9+O9</f>
        <v>4</v>
      </c>
      <c r="Q9" s="82">
        <v>1</v>
      </c>
      <c r="R9" s="99">
        <v>1</v>
      </c>
      <c r="S9" s="163" t="s">
        <v>89</v>
      </c>
      <c r="T9" s="157">
        <v>2020130010211</v>
      </c>
      <c r="U9" s="150" t="s">
        <v>94</v>
      </c>
      <c r="V9" s="34" t="s">
        <v>95</v>
      </c>
      <c r="W9" s="4">
        <v>0.25</v>
      </c>
      <c r="X9" s="81">
        <v>0.38</v>
      </c>
      <c r="Y9" s="81">
        <v>1</v>
      </c>
      <c r="Z9" s="81">
        <v>1</v>
      </c>
      <c r="AA9" s="81">
        <f>+Y9</f>
        <v>1</v>
      </c>
      <c r="AB9" s="17">
        <v>44586</v>
      </c>
      <c r="AC9" s="102">
        <v>335</v>
      </c>
      <c r="AD9" s="6" t="s">
        <v>108</v>
      </c>
      <c r="AE9" s="6" t="s">
        <v>108</v>
      </c>
      <c r="AF9" s="4">
        <v>0.25</v>
      </c>
      <c r="AG9" s="135" t="s">
        <v>109</v>
      </c>
      <c r="AH9" s="134" t="s">
        <v>110</v>
      </c>
      <c r="AI9" s="102"/>
      <c r="AJ9" s="35"/>
      <c r="AK9" s="102"/>
      <c r="AL9" s="1"/>
      <c r="AM9" s="135" t="s">
        <v>144</v>
      </c>
      <c r="AN9" s="136" t="s">
        <v>140</v>
      </c>
      <c r="AO9" s="109"/>
      <c r="AP9" s="109"/>
      <c r="AQ9" s="109"/>
      <c r="AR9" s="102" t="s">
        <v>134</v>
      </c>
      <c r="AS9" s="2" t="s">
        <v>135</v>
      </c>
      <c r="AT9" s="102" t="s">
        <v>136</v>
      </c>
      <c r="AU9" s="36" t="s">
        <v>146</v>
      </c>
    </row>
    <row r="10" spans="1:47" ht="65.25" customHeight="1" x14ac:dyDescent="0.25">
      <c r="A10" s="149"/>
      <c r="B10" s="134"/>
      <c r="C10" s="149"/>
      <c r="D10" s="149"/>
      <c r="E10" s="135"/>
      <c r="F10" s="174"/>
      <c r="G10" s="101" t="s">
        <v>49</v>
      </c>
      <c r="H10" s="29">
        <v>41</v>
      </c>
      <c r="I10" s="101" t="s">
        <v>66</v>
      </c>
      <c r="J10" s="24">
        <v>39</v>
      </c>
      <c r="K10" s="33">
        <v>19</v>
      </c>
      <c r="L10" s="101">
        <v>25</v>
      </c>
      <c r="M10" s="111">
        <v>0</v>
      </c>
      <c r="N10" s="111">
        <v>0</v>
      </c>
      <c r="O10" s="6">
        <v>16</v>
      </c>
      <c r="P10" s="6">
        <f>+O10</f>
        <v>16</v>
      </c>
      <c r="Q10" s="82">
        <f>+P10/K10</f>
        <v>0.84210526315789469</v>
      </c>
      <c r="R10" s="82">
        <v>1</v>
      </c>
      <c r="S10" s="165"/>
      <c r="T10" s="157"/>
      <c r="U10" s="150"/>
      <c r="V10" s="10" t="s">
        <v>96</v>
      </c>
      <c r="W10" s="4">
        <v>0.25</v>
      </c>
      <c r="X10" s="81">
        <v>0</v>
      </c>
      <c r="Y10" s="81">
        <v>0</v>
      </c>
      <c r="Z10" s="81" t="s">
        <v>171</v>
      </c>
      <c r="AA10" s="119">
        <v>0.84210526315789469</v>
      </c>
      <c r="AB10" s="17">
        <v>44586</v>
      </c>
      <c r="AC10" s="102">
        <v>335</v>
      </c>
      <c r="AD10" s="6" t="s">
        <v>108</v>
      </c>
      <c r="AE10" s="6" t="s">
        <v>108</v>
      </c>
      <c r="AF10" s="4">
        <v>0.25</v>
      </c>
      <c r="AG10" s="135"/>
      <c r="AH10" s="134"/>
      <c r="AI10" s="102"/>
      <c r="AJ10" s="35"/>
      <c r="AK10" s="102"/>
      <c r="AL10" s="1"/>
      <c r="AM10" s="135"/>
      <c r="AN10" s="136"/>
      <c r="AO10" s="109"/>
      <c r="AP10" s="109"/>
      <c r="AQ10" s="109"/>
      <c r="AR10" s="102" t="s">
        <v>134</v>
      </c>
      <c r="AS10" s="2" t="s">
        <v>135</v>
      </c>
      <c r="AT10" s="102" t="s">
        <v>136</v>
      </c>
      <c r="AU10" s="37" t="s">
        <v>147</v>
      </c>
    </row>
    <row r="11" spans="1:47" ht="64.5" customHeight="1" x14ac:dyDescent="0.25">
      <c r="A11" s="149"/>
      <c r="B11" s="134"/>
      <c r="C11" s="149"/>
      <c r="D11" s="149"/>
      <c r="E11" s="135"/>
      <c r="F11" s="174"/>
      <c r="G11" s="101" t="s">
        <v>50</v>
      </c>
      <c r="H11" s="29" t="s">
        <v>60</v>
      </c>
      <c r="I11" s="101" t="s">
        <v>67</v>
      </c>
      <c r="J11" s="24">
        <v>3500</v>
      </c>
      <c r="K11" s="38">
        <v>1750</v>
      </c>
      <c r="L11" s="39">
        <v>697.5</v>
      </c>
      <c r="M11" s="81"/>
      <c r="N11" s="111">
        <v>437.5</v>
      </c>
      <c r="O11" s="6">
        <v>0</v>
      </c>
      <c r="P11" s="112">
        <f>+N11</f>
        <v>437.5</v>
      </c>
      <c r="Q11" s="81">
        <f>+P11/K11</f>
        <v>0.25</v>
      </c>
      <c r="R11" s="82">
        <f>+(L11+N11)/J11</f>
        <v>0.32428571428571429</v>
      </c>
      <c r="S11" s="165"/>
      <c r="T11" s="157"/>
      <c r="U11" s="150"/>
      <c r="V11" s="10" t="s">
        <v>97</v>
      </c>
      <c r="W11" s="4">
        <v>0.25</v>
      </c>
      <c r="X11" s="81">
        <v>0</v>
      </c>
      <c r="Y11" s="81">
        <v>0.25</v>
      </c>
      <c r="Z11" s="81">
        <v>0.3</v>
      </c>
      <c r="AA11" s="81">
        <f>+Z11</f>
        <v>0.3</v>
      </c>
      <c r="AB11" s="17">
        <v>44586</v>
      </c>
      <c r="AC11" s="102">
        <v>335</v>
      </c>
      <c r="AD11" s="6" t="s">
        <v>108</v>
      </c>
      <c r="AE11" s="6" t="s">
        <v>108</v>
      </c>
      <c r="AF11" s="4">
        <v>0.25</v>
      </c>
      <c r="AG11" s="135"/>
      <c r="AH11" s="134"/>
      <c r="AI11" s="6" t="s">
        <v>111</v>
      </c>
      <c r="AJ11" s="22">
        <v>69663233</v>
      </c>
      <c r="AK11" s="6" t="s">
        <v>115</v>
      </c>
      <c r="AL11" s="1" t="s">
        <v>128</v>
      </c>
      <c r="AM11" s="135"/>
      <c r="AN11" s="136"/>
      <c r="AO11" s="22">
        <v>69663233</v>
      </c>
      <c r="AP11" s="22">
        <v>0</v>
      </c>
      <c r="AQ11" s="4">
        <f t="shared" ref="AQ11:AQ19" si="1">+AP11/AO11</f>
        <v>0</v>
      </c>
      <c r="AR11" s="102" t="s">
        <v>134</v>
      </c>
      <c r="AS11" s="2" t="s">
        <v>135</v>
      </c>
      <c r="AT11" s="102" t="s">
        <v>136</v>
      </c>
      <c r="AU11" s="36" t="s">
        <v>148</v>
      </c>
    </row>
    <row r="12" spans="1:47" ht="104.25" customHeight="1" x14ac:dyDescent="0.25">
      <c r="A12" s="149"/>
      <c r="B12" s="134"/>
      <c r="C12" s="149"/>
      <c r="D12" s="149"/>
      <c r="E12" s="135"/>
      <c r="F12" s="174"/>
      <c r="G12" s="101" t="s">
        <v>51</v>
      </c>
      <c r="H12" s="29">
        <v>0</v>
      </c>
      <c r="I12" s="101" t="s">
        <v>68</v>
      </c>
      <c r="J12" s="24">
        <v>1</v>
      </c>
      <c r="K12" s="33" t="s">
        <v>78</v>
      </c>
      <c r="L12" s="40">
        <v>0.22</v>
      </c>
      <c r="M12" s="7">
        <v>0.1</v>
      </c>
      <c r="N12" s="8">
        <v>0.18</v>
      </c>
      <c r="O12" s="8">
        <v>7.0000000000000007E-2</v>
      </c>
      <c r="P12" s="8">
        <f>+M12+N12+O12</f>
        <v>0.35000000000000003</v>
      </c>
      <c r="Q12" s="113">
        <f>+P12*0.25</f>
        <v>8.7500000000000008E-2</v>
      </c>
      <c r="R12" s="114">
        <f>+L12+Q12</f>
        <v>0.3075</v>
      </c>
      <c r="S12" s="165"/>
      <c r="T12" s="157"/>
      <c r="U12" s="150"/>
      <c r="V12" s="10" t="s">
        <v>98</v>
      </c>
      <c r="W12" s="4">
        <v>0.25</v>
      </c>
      <c r="X12" s="7">
        <v>0.1</v>
      </c>
      <c r="Y12" s="7">
        <v>0.18</v>
      </c>
      <c r="Z12" s="7">
        <v>0.25</v>
      </c>
      <c r="AA12" s="7">
        <f>+Z12</f>
        <v>0.25</v>
      </c>
      <c r="AB12" s="17">
        <v>44586</v>
      </c>
      <c r="AC12" s="102">
        <v>335</v>
      </c>
      <c r="AD12" s="6" t="s">
        <v>108</v>
      </c>
      <c r="AE12" s="6" t="s">
        <v>108</v>
      </c>
      <c r="AF12" s="4">
        <v>0.25</v>
      </c>
      <c r="AG12" s="135"/>
      <c r="AH12" s="134"/>
      <c r="AI12" s="6" t="s">
        <v>116</v>
      </c>
      <c r="AJ12" s="22">
        <v>400000000</v>
      </c>
      <c r="AK12" s="6" t="s">
        <v>115</v>
      </c>
      <c r="AL12" s="1" t="s">
        <v>129</v>
      </c>
      <c r="AM12" s="135"/>
      <c r="AN12" s="136"/>
      <c r="AO12" s="22">
        <v>400000000</v>
      </c>
      <c r="AP12" s="22">
        <v>307850000</v>
      </c>
      <c r="AQ12" s="4">
        <f t="shared" si="1"/>
        <v>0.769625</v>
      </c>
      <c r="AR12" s="102" t="s">
        <v>134</v>
      </c>
      <c r="AS12" s="2" t="s">
        <v>135</v>
      </c>
      <c r="AT12" s="102" t="s">
        <v>136</v>
      </c>
      <c r="AU12" s="36" t="s">
        <v>149</v>
      </c>
    </row>
    <row r="13" spans="1:47" ht="104.25" customHeight="1" x14ac:dyDescent="0.25">
      <c r="A13" s="149"/>
      <c r="B13" s="134"/>
      <c r="C13" s="149"/>
      <c r="D13" s="149"/>
      <c r="E13" s="135"/>
      <c r="F13" s="142"/>
      <c r="G13" s="175" t="s">
        <v>159</v>
      </c>
      <c r="H13" s="176"/>
      <c r="I13" s="176"/>
      <c r="J13" s="176"/>
      <c r="K13" s="176"/>
      <c r="L13" s="176"/>
      <c r="M13" s="176"/>
      <c r="N13" s="176"/>
      <c r="O13" s="176"/>
      <c r="P13" s="177"/>
      <c r="Q13" s="77">
        <f>AVERAGE(Q9:Q12)</f>
        <v>0.54490131578947365</v>
      </c>
      <c r="R13" s="77">
        <f>AVERAGE(R9:R12)</f>
        <v>0.6579464285714286</v>
      </c>
      <c r="S13" s="146" t="s">
        <v>167</v>
      </c>
      <c r="T13" s="147"/>
      <c r="U13" s="147"/>
      <c r="V13" s="147"/>
      <c r="W13" s="147"/>
      <c r="X13" s="147"/>
      <c r="Y13" s="148"/>
      <c r="Z13" s="89"/>
      <c r="AA13" s="87">
        <f>AVERAGE(AA9:AA12)</f>
        <v>0.59802631578947363</v>
      </c>
      <c r="AB13" s="17"/>
      <c r="AC13" s="102"/>
      <c r="AD13" s="6"/>
      <c r="AE13" s="6"/>
      <c r="AF13" s="4"/>
      <c r="AG13" s="102"/>
      <c r="AH13" s="6"/>
      <c r="AI13" s="6"/>
      <c r="AJ13" s="41"/>
      <c r="AK13" s="6"/>
      <c r="AL13" s="1"/>
      <c r="AM13" s="107"/>
      <c r="AN13" s="91" t="s">
        <v>183</v>
      </c>
      <c r="AO13" s="84">
        <f>SUM(AO9:AO12)</f>
        <v>469663233</v>
      </c>
      <c r="AP13" s="84">
        <f>SUM(AP9:AP12)</f>
        <v>307850000</v>
      </c>
      <c r="AQ13" s="93">
        <f t="shared" si="1"/>
        <v>0.65546966074732105</v>
      </c>
      <c r="AR13" s="102"/>
      <c r="AS13" s="2"/>
      <c r="AT13" s="102"/>
      <c r="AU13" s="36"/>
    </row>
    <row r="14" spans="1:47" ht="94.5" customHeight="1" x14ac:dyDescent="0.25">
      <c r="A14" s="149"/>
      <c r="B14" s="134"/>
      <c r="C14" s="149"/>
      <c r="D14" s="149"/>
      <c r="E14" s="135"/>
      <c r="F14" s="132" t="s">
        <v>44</v>
      </c>
      <c r="G14" s="101" t="s">
        <v>52</v>
      </c>
      <c r="H14" s="29" t="s">
        <v>61</v>
      </c>
      <c r="I14" s="101" t="s">
        <v>69</v>
      </c>
      <c r="J14" s="24">
        <v>100000</v>
      </c>
      <c r="K14" s="33" t="s">
        <v>79</v>
      </c>
      <c r="L14" s="42">
        <v>38166</v>
      </c>
      <c r="M14" s="73">
        <v>14383.3</v>
      </c>
      <c r="N14" s="111">
        <v>18626</v>
      </c>
      <c r="O14" s="9">
        <v>35352.870000000003</v>
      </c>
      <c r="P14" s="9">
        <f>+M14+N14+O14</f>
        <v>68362.170000000013</v>
      </c>
      <c r="Q14" s="13">
        <v>1</v>
      </c>
      <c r="R14" s="100">
        <v>1</v>
      </c>
      <c r="S14" s="43" t="s">
        <v>90</v>
      </c>
      <c r="T14" s="44">
        <v>2021130010268</v>
      </c>
      <c r="U14" s="45" t="s">
        <v>90</v>
      </c>
      <c r="V14" s="10" t="s">
        <v>99</v>
      </c>
      <c r="W14" s="4">
        <v>1</v>
      </c>
      <c r="X14" s="82">
        <v>0.48</v>
      </c>
      <c r="Y14" s="82">
        <v>1</v>
      </c>
      <c r="Z14" s="82">
        <v>1</v>
      </c>
      <c r="AA14" s="82">
        <f>+Y14</f>
        <v>1</v>
      </c>
      <c r="AB14" s="17">
        <v>44586</v>
      </c>
      <c r="AC14" s="102">
        <v>335</v>
      </c>
      <c r="AD14" s="6" t="s">
        <v>108</v>
      </c>
      <c r="AE14" s="6" t="s">
        <v>108</v>
      </c>
      <c r="AF14" s="4">
        <v>1</v>
      </c>
      <c r="AG14" s="102" t="s">
        <v>109</v>
      </c>
      <c r="AH14" s="6" t="s">
        <v>110</v>
      </c>
      <c r="AI14" s="6" t="s">
        <v>111</v>
      </c>
      <c r="AJ14" s="46">
        <v>150000000</v>
      </c>
      <c r="AK14" s="6" t="s">
        <v>117</v>
      </c>
      <c r="AL14" s="6" t="s">
        <v>130</v>
      </c>
      <c r="AM14" s="102" t="s">
        <v>144</v>
      </c>
      <c r="AN14" s="109" t="s">
        <v>141</v>
      </c>
      <c r="AO14" s="47">
        <v>150000000</v>
      </c>
      <c r="AP14" s="85">
        <v>110000000</v>
      </c>
      <c r="AQ14" s="4">
        <f t="shared" si="1"/>
        <v>0.73333333333333328</v>
      </c>
      <c r="AR14" s="102" t="s">
        <v>134</v>
      </c>
      <c r="AS14" s="2" t="s">
        <v>135</v>
      </c>
      <c r="AT14" s="102" t="s">
        <v>136</v>
      </c>
      <c r="AU14" s="6" t="s">
        <v>149</v>
      </c>
    </row>
    <row r="15" spans="1:47" ht="96" customHeight="1" x14ac:dyDescent="0.25">
      <c r="A15" s="149"/>
      <c r="B15" s="134"/>
      <c r="C15" s="149"/>
      <c r="D15" s="149"/>
      <c r="E15" s="135"/>
      <c r="F15" s="174"/>
      <c r="G15" s="101" t="s">
        <v>53</v>
      </c>
      <c r="H15" s="29" t="s">
        <v>62</v>
      </c>
      <c r="I15" s="101" t="s">
        <v>70</v>
      </c>
      <c r="J15" s="24">
        <v>9</v>
      </c>
      <c r="K15" s="33" t="s">
        <v>80</v>
      </c>
      <c r="L15" s="101">
        <v>4</v>
      </c>
      <c r="M15" s="74">
        <v>1</v>
      </c>
      <c r="N15" s="111">
        <v>1</v>
      </c>
      <c r="O15" s="10">
        <v>2</v>
      </c>
      <c r="P15" s="9">
        <f>+(M15+O15+N15)</f>
        <v>4</v>
      </c>
      <c r="Q15" s="82">
        <v>1</v>
      </c>
      <c r="R15" s="100">
        <f>+(L15+P15)/J15</f>
        <v>0.88888888888888884</v>
      </c>
      <c r="S15" s="163" t="s">
        <v>91</v>
      </c>
      <c r="T15" s="158">
        <v>2021130010267</v>
      </c>
      <c r="U15" s="126" t="s">
        <v>100</v>
      </c>
      <c r="V15" s="10" t="s">
        <v>101</v>
      </c>
      <c r="W15" s="4">
        <v>0.5</v>
      </c>
      <c r="X15" s="81">
        <v>0.17</v>
      </c>
      <c r="Y15" s="81">
        <v>0.66666666666666663</v>
      </c>
      <c r="Z15" s="81">
        <f>+R15</f>
        <v>0.88888888888888884</v>
      </c>
      <c r="AA15" s="81">
        <f>+Z15</f>
        <v>0.88888888888888884</v>
      </c>
      <c r="AB15" s="17">
        <v>44586</v>
      </c>
      <c r="AC15" s="102">
        <v>335</v>
      </c>
      <c r="AD15" s="6" t="s">
        <v>108</v>
      </c>
      <c r="AE15" s="6" t="s">
        <v>108</v>
      </c>
      <c r="AF15" s="4">
        <v>0.5</v>
      </c>
      <c r="AG15" s="135" t="s">
        <v>109</v>
      </c>
      <c r="AH15" s="134" t="s">
        <v>110</v>
      </c>
      <c r="AI15" s="6" t="s">
        <v>118</v>
      </c>
      <c r="AJ15" s="18" t="s">
        <v>119</v>
      </c>
      <c r="AK15" s="6" t="s">
        <v>120</v>
      </c>
      <c r="AL15" s="19" t="s">
        <v>131</v>
      </c>
      <c r="AM15" s="130" t="s">
        <v>144</v>
      </c>
      <c r="AN15" s="132" t="s">
        <v>142</v>
      </c>
      <c r="AO15" s="85">
        <v>1430000000</v>
      </c>
      <c r="AP15" s="85">
        <v>1267150000</v>
      </c>
      <c r="AQ15" s="82">
        <f t="shared" si="1"/>
        <v>0.88611888111888115</v>
      </c>
      <c r="AR15" s="102" t="s">
        <v>134</v>
      </c>
      <c r="AS15" s="2" t="s">
        <v>135</v>
      </c>
      <c r="AT15" s="102" t="s">
        <v>136</v>
      </c>
      <c r="AU15" s="6" t="s">
        <v>150</v>
      </c>
    </row>
    <row r="16" spans="1:47" ht="105" customHeight="1" x14ac:dyDescent="0.25">
      <c r="A16" s="149"/>
      <c r="B16" s="134"/>
      <c r="C16" s="149"/>
      <c r="D16" s="149"/>
      <c r="E16" s="135"/>
      <c r="F16" s="174"/>
      <c r="G16" s="101" t="s">
        <v>54</v>
      </c>
      <c r="H16" s="29" t="s">
        <v>63</v>
      </c>
      <c r="I16" s="101" t="s">
        <v>71</v>
      </c>
      <c r="J16" s="24">
        <v>200</v>
      </c>
      <c r="K16" s="33" t="s">
        <v>81</v>
      </c>
      <c r="L16" s="48">
        <v>160</v>
      </c>
      <c r="M16" s="111">
        <v>117</v>
      </c>
      <c r="N16" s="111">
        <v>205</v>
      </c>
      <c r="O16" s="111">
        <v>60</v>
      </c>
      <c r="P16" s="14">
        <f>205+M16+O16</f>
        <v>382</v>
      </c>
      <c r="Q16" s="11">
        <v>1</v>
      </c>
      <c r="R16" s="11">
        <f>+Q16</f>
        <v>1</v>
      </c>
      <c r="S16" s="164"/>
      <c r="T16" s="158"/>
      <c r="U16" s="127"/>
      <c r="V16" s="10" t="s">
        <v>102</v>
      </c>
      <c r="W16" s="4">
        <v>0.5</v>
      </c>
      <c r="X16" s="81">
        <v>1</v>
      </c>
      <c r="Y16" s="81">
        <v>1</v>
      </c>
      <c r="Z16" s="81">
        <v>1</v>
      </c>
      <c r="AA16" s="81">
        <f>+Y16</f>
        <v>1</v>
      </c>
      <c r="AB16" s="17">
        <v>44586</v>
      </c>
      <c r="AC16" s="102">
        <v>335</v>
      </c>
      <c r="AD16" s="6" t="s">
        <v>108</v>
      </c>
      <c r="AE16" s="6" t="s">
        <v>108</v>
      </c>
      <c r="AF16" s="4">
        <v>0.5</v>
      </c>
      <c r="AG16" s="135"/>
      <c r="AH16" s="134"/>
      <c r="AI16" s="6" t="s">
        <v>121</v>
      </c>
      <c r="AJ16" s="20" t="s">
        <v>122</v>
      </c>
      <c r="AK16" s="6" t="s">
        <v>120</v>
      </c>
      <c r="AL16" s="6" t="s">
        <v>132</v>
      </c>
      <c r="AM16" s="131"/>
      <c r="AN16" s="131"/>
      <c r="AO16" s="20">
        <f>325868109+427985904+573534245+9174285+265459697+5497637</f>
        <v>1607519877</v>
      </c>
      <c r="AP16" s="85">
        <v>299300000</v>
      </c>
      <c r="AQ16" s="4">
        <f t="shared" si="1"/>
        <v>0.18618743337629037</v>
      </c>
      <c r="AR16" s="102" t="s">
        <v>134</v>
      </c>
      <c r="AS16" s="2" t="s">
        <v>135</v>
      </c>
      <c r="AT16" s="102" t="s">
        <v>136</v>
      </c>
      <c r="AU16" s="6" t="s">
        <v>150</v>
      </c>
    </row>
    <row r="17" spans="1:47" ht="54.75" customHeight="1" x14ac:dyDescent="0.25">
      <c r="A17" s="149"/>
      <c r="B17" s="134"/>
      <c r="C17" s="149"/>
      <c r="D17" s="149"/>
      <c r="E17" s="135"/>
      <c r="F17" s="142"/>
      <c r="G17" s="178" t="s">
        <v>160</v>
      </c>
      <c r="H17" s="179"/>
      <c r="I17" s="179"/>
      <c r="J17" s="179"/>
      <c r="K17" s="179"/>
      <c r="L17" s="179"/>
      <c r="M17" s="179"/>
      <c r="N17" s="179"/>
      <c r="O17" s="179"/>
      <c r="P17" s="180"/>
      <c r="Q17" s="78">
        <f>AVERAGE(Q14:Q16)</f>
        <v>1</v>
      </c>
      <c r="R17" s="78">
        <f>AVERAGE(R14:R16)</f>
        <v>0.96296296296296291</v>
      </c>
      <c r="S17" s="143" t="s">
        <v>168</v>
      </c>
      <c r="T17" s="144"/>
      <c r="U17" s="144"/>
      <c r="V17" s="144"/>
      <c r="W17" s="144"/>
      <c r="X17" s="144"/>
      <c r="Y17" s="145"/>
      <c r="Z17" s="80"/>
      <c r="AA17" s="90">
        <f>AVERAGE(AA15:AA16)</f>
        <v>0.94444444444444442</v>
      </c>
      <c r="AB17" s="17"/>
      <c r="AC17" s="102"/>
      <c r="AD17" s="6"/>
      <c r="AE17" s="6"/>
      <c r="AF17" s="4"/>
      <c r="AG17" s="102"/>
      <c r="AH17" s="6"/>
      <c r="AI17" s="6"/>
      <c r="AJ17" s="21"/>
      <c r="AK17" s="6"/>
      <c r="AL17" s="6"/>
      <c r="AM17" s="106"/>
      <c r="AN17" s="91" t="s">
        <v>184</v>
      </c>
      <c r="AO17" s="85">
        <f>SUM(AO14:AO16)</f>
        <v>3187519877</v>
      </c>
      <c r="AP17" s="85">
        <f>SUM(AP14:AP16)</f>
        <v>1676450000</v>
      </c>
      <c r="AQ17" s="92">
        <f t="shared" si="1"/>
        <v>0.52594181830728703</v>
      </c>
      <c r="AR17" s="102"/>
      <c r="AS17" s="2"/>
      <c r="AT17" s="102"/>
      <c r="AU17" s="6"/>
    </row>
    <row r="18" spans="1:47" ht="75" customHeight="1" x14ac:dyDescent="0.25">
      <c r="A18" s="149"/>
      <c r="B18" s="134"/>
      <c r="C18" s="149"/>
      <c r="D18" s="149"/>
      <c r="E18" s="135"/>
      <c r="F18" s="167" t="s">
        <v>45</v>
      </c>
      <c r="G18" s="101" t="s">
        <v>55</v>
      </c>
      <c r="H18" s="29">
        <v>0</v>
      </c>
      <c r="I18" s="101" t="s">
        <v>72</v>
      </c>
      <c r="J18" s="24">
        <v>59</v>
      </c>
      <c r="K18" s="49" t="s">
        <v>82</v>
      </c>
      <c r="L18" s="101">
        <v>8</v>
      </c>
      <c r="M18" s="81">
        <v>0</v>
      </c>
      <c r="N18" s="82">
        <v>0</v>
      </c>
      <c r="O18" s="81" t="s">
        <v>155</v>
      </c>
      <c r="P18" s="81">
        <v>0</v>
      </c>
      <c r="Q18" s="81">
        <v>0</v>
      </c>
      <c r="R18" s="82">
        <v>0.13559322033898305</v>
      </c>
      <c r="S18" s="149" t="s">
        <v>92</v>
      </c>
      <c r="T18" s="158">
        <v>2021130010266</v>
      </c>
      <c r="U18" s="150" t="s">
        <v>103</v>
      </c>
      <c r="V18" s="49" t="s">
        <v>104</v>
      </c>
      <c r="W18" s="4">
        <v>0.25</v>
      </c>
      <c r="X18" s="81">
        <v>0</v>
      </c>
      <c r="Y18" s="81">
        <v>0</v>
      </c>
      <c r="Z18" s="81" t="s">
        <v>172</v>
      </c>
      <c r="AA18" s="81">
        <f>+Y18</f>
        <v>0</v>
      </c>
      <c r="AB18" s="17">
        <v>44586</v>
      </c>
      <c r="AC18" s="102">
        <v>335</v>
      </c>
      <c r="AD18" s="6" t="s">
        <v>108</v>
      </c>
      <c r="AE18" s="6" t="s">
        <v>108</v>
      </c>
      <c r="AF18" s="4">
        <v>0.25</v>
      </c>
      <c r="AG18" s="135" t="s">
        <v>109</v>
      </c>
      <c r="AH18" s="134" t="s">
        <v>110</v>
      </c>
      <c r="AI18" s="6" t="s">
        <v>111</v>
      </c>
      <c r="AJ18" s="50">
        <v>40000000</v>
      </c>
      <c r="AK18" s="6" t="s">
        <v>123</v>
      </c>
      <c r="AL18" s="1" t="s">
        <v>130</v>
      </c>
      <c r="AM18" s="130" t="s">
        <v>144</v>
      </c>
      <c r="AN18" s="134" t="s">
        <v>143</v>
      </c>
      <c r="AO18" s="85">
        <v>760000000</v>
      </c>
      <c r="AP18" s="85">
        <v>136863117.00999999</v>
      </c>
      <c r="AQ18" s="3">
        <f t="shared" si="1"/>
        <v>0.18008304869736841</v>
      </c>
      <c r="AR18" s="102" t="s">
        <v>134</v>
      </c>
      <c r="AS18" s="2" t="s">
        <v>135</v>
      </c>
      <c r="AT18" s="102" t="s">
        <v>136</v>
      </c>
      <c r="AU18" s="102" t="s">
        <v>145</v>
      </c>
    </row>
    <row r="19" spans="1:47" ht="57" customHeight="1" x14ac:dyDescent="0.25">
      <c r="A19" s="149"/>
      <c r="B19" s="134"/>
      <c r="C19" s="149"/>
      <c r="D19" s="149"/>
      <c r="E19" s="135"/>
      <c r="F19" s="168"/>
      <c r="G19" s="101" t="s">
        <v>56</v>
      </c>
      <c r="H19" s="29">
        <v>0</v>
      </c>
      <c r="I19" s="101" t="s">
        <v>73</v>
      </c>
      <c r="J19" s="24">
        <v>50000</v>
      </c>
      <c r="K19" s="49" t="s">
        <v>83</v>
      </c>
      <c r="L19" s="29">
        <v>62778</v>
      </c>
      <c r="M19" s="74">
        <v>9727</v>
      </c>
      <c r="N19" s="82">
        <v>1</v>
      </c>
      <c r="O19" s="74">
        <v>5273</v>
      </c>
      <c r="P19" s="81" t="s">
        <v>157</v>
      </c>
      <c r="Q19" s="81">
        <v>1</v>
      </c>
      <c r="R19" s="81">
        <f>+Q19</f>
        <v>1</v>
      </c>
      <c r="S19" s="149"/>
      <c r="T19" s="158"/>
      <c r="U19" s="150"/>
      <c r="V19" s="49" t="s">
        <v>105</v>
      </c>
      <c r="W19" s="4">
        <v>0.25</v>
      </c>
      <c r="X19" s="81">
        <v>0.65</v>
      </c>
      <c r="Y19" s="81">
        <v>1</v>
      </c>
      <c r="Z19" s="81">
        <v>1</v>
      </c>
      <c r="AA19" s="81">
        <f>+Y19</f>
        <v>1</v>
      </c>
      <c r="AB19" s="17">
        <v>44586</v>
      </c>
      <c r="AC19" s="102">
        <v>335</v>
      </c>
      <c r="AD19" s="6" t="s">
        <v>108</v>
      </c>
      <c r="AE19" s="6" t="s">
        <v>108</v>
      </c>
      <c r="AF19" s="4">
        <v>0.25</v>
      </c>
      <c r="AG19" s="135"/>
      <c r="AH19" s="134"/>
      <c r="AI19" s="6" t="s">
        <v>124</v>
      </c>
      <c r="AJ19" s="22">
        <v>285465995</v>
      </c>
      <c r="AK19" s="6" t="s">
        <v>123</v>
      </c>
      <c r="AL19" s="1" t="s">
        <v>133</v>
      </c>
      <c r="AM19" s="133"/>
      <c r="AN19" s="134"/>
      <c r="AO19" s="51">
        <v>285465995</v>
      </c>
      <c r="AP19" s="85">
        <v>114500000</v>
      </c>
      <c r="AQ19" s="52">
        <f t="shared" si="1"/>
        <v>0.40109856166931546</v>
      </c>
      <c r="AR19" s="102" t="s">
        <v>134</v>
      </c>
      <c r="AS19" s="2" t="s">
        <v>135</v>
      </c>
      <c r="AT19" s="102" t="s">
        <v>136</v>
      </c>
      <c r="AU19" s="102" t="s">
        <v>145</v>
      </c>
    </row>
    <row r="20" spans="1:47" ht="120.75" customHeight="1" x14ac:dyDescent="0.25">
      <c r="A20" s="149"/>
      <c r="B20" s="134"/>
      <c r="C20" s="149"/>
      <c r="D20" s="149"/>
      <c r="E20" s="135"/>
      <c r="F20" s="168"/>
      <c r="G20" s="101" t="s">
        <v>57</v>
      </c>
      <c r="H20" s="29">
        <v>0</v>
      </c>
      <c r="I20" s="101" t="s">
        <v>69</v>
      </c>
      <c r="J20" s="24">
        <v>100000</v>
      </c>
      <c r="K20" s="49" t="s">
        <v>84</v>
      </c>
      <c r="L20" s="29">
        <v>17616.599999999999</v>
      </c>
      <c r="M20" s="111">
        <v>0</v>
      </c>
      <c r="N20" s="111">
        <f>56%*35000</f>
        <v>19600.000000000004</v>
      </c>
      <c r="O20" s="6">
        <v>3275</v>
      </c>
      <c r="P20" s="6">
        <f>19708+O20</f>
        <v>22983</v>
      </c>
      <c r="Q20" s="115">
        <f>+P20/35000</f>
        <v>0.65665714285714283</v>
      </c>
      <c r="R20" s="115">
        <f>+(L20+P20)/100000</f>
        <v>0.40599599999999997</v>
      </c>
      <c r="S20" s="149"/>
      <c r="T20" s="158"/>
      <c r="U20" s="150"/>
      <c r="V20" s="49" t="s">
        <v>106</v>
      </c>
      <c r="W20" s="4">
        <v>0.25</v>
      </c>
      <c r="X20" s="81">
        <v>0</v>
      </c>
      <c r="Y20" s="81">
        <v>0.5630857142857143</v>
      </c>
      <c r="Z20" s="81" t="s">
        <v>173</v>
      </c>
      <c r="AA20" s="120">
        <v>0.65539999999999998</v>
      </c>
      <c r="AB20" s="17">
        <v>44586</v>
      </c>
      <c r="AC20" s="102">
        <v>335</v>
      </c>
      <c r="AD20" s="6" t="s">
        <v>108</v>
      </c>
      <c r="AE20" s="6" t="s">
        <v>108</v>
      </c>
      <c r="AF20" s="4">
        <v>0.25</v>
      </c>
      <c r="AG20" s="135"/>
      <c r="AH20" s="134"/>
      <c r="AI20" s="53"/>
      <c r="AJ20" s="53"/>
      <c r="AK20" s="53"/>
      <c r="AL20" s="53"/>
      <c r="AM20" s="133"/>
      <c r="AN20" s="134"/>
      <c r="AO20" s="6"/>
      <c r="AP20" s="6"/>
      <c r="AQ20" s="6"/>
      <c r="AR20" s="102" t="s">
        <v>134</v>
      </c>
      <c r="AS20" s="2" t="s">
        <v>135</v>
      </c>
      <c r="AT20" s="102" t="s">
        <v>136</v>
      </c>
      <c r="AU20" s="54" t="s">
        <v>151</v>
      </c>
    </row>
    <row r="21" spans="1:47" ht="124.5" customHeight="1" thickBot="1" x14ac:dyDescent="0.3">
      <c r="A21" s="149"/>
      <c r="B21" s="134"/>
      <c r="C21" s="149"/>
      <c r="D21" s="149"/>
      <c r="E21" s="135"/>
      <c r="F21" s="168"/>
      <c r="G21" s="101" t="s">
        <v>58</v>
      </c>
      <c r="H21" s="29">
        <v>0</v>
      </c>
      <c r="I21" s="101" t="s">
        <v>74</v>
      </c>
      <c r="J21" s="24">
        <v>98640</v>
      </c>
      <c r="K21" s="49" t="s">
        <v>79</v>
      </c>
      <c r="L21" s="55">
        <v>17349.900000000001</v>
      </c>
      <c r="M21" s="81">
        <v>0</v>
      </c>
      <c r="N21" s="82">
        <v>0</v>
      </c>
      <c r="O21" s="81" t="s">
        <v>156</v>
      </c>
      <c r="P21" s="81">
        <v>0</v>
      </c>
      <c r="Q21" s="81">
        <v>0</v>
      </c>
      <c r="R21" s="116">
        <f>+L21/J21</f>
        <v>0.17589111922141121</v>
      </c>
      <c r="S21" s="149"/>
      <c r="T21" s="158"/>
      <c r="U21" s="150"/>
      <c r="V21" s="49" t="s">
        <v>107</v>
      </c>
      <c r="W21" s="4">
        <v>0.25</v>
      </c>
      <c r="X21" s="81">
        <v>0</v>
      </c>
      <c r="Y21" s="81">
        <v>0</v>
      </c>
      <c r="Z21" s="81" t="s">
        <v>172</v>
      </c>
      <c r="AA21" s="81">
        <v>0.25</v>
      </c>
      <c r="AB21" s="17">
        <v>44586</v>
      </c>
      <c r="AC21" s="102">
        <v>335</v>
      </c>
      <c r="AD21" s="6" t="s">
        <v>108</v>
      </c>
      <c r="AE21" s="6" t="s">
        <v>108</v>
      </c>
      <c r="AF21" s="4">
        <v>0.25</v>
      </c>
      <c r="AG21" s="135"/>
      <c r="AH21" s="134"/>
      <c r="AI21" s="53"/>
      <c r="AJ21" s="53"/>
      <c r="AK21" s="53"/>
      <c r="AL21" s="53"/>
      <c r="AM21" s="131"/>
      <c r="AN21" s="134"/>
      <c r="AO21" s="6"/>
      <c r="AP21" s="6"/>
      <c r="AQ21" s="6"/>
      <c r="AR21" s="102" t="s">
        <v>134</v>
      </c>
      <c r="AS21" s="2" t="s">
        <v>135</v>
      </c>
      <c r="AT21" s="102" t="s">
        <v>136</v>
      </c>
      <c r="AU21" s="6" t="s">
        <v>152</v>
      </c>
    </row>
    <row r="22" spans="1:47" ht="66" customHeight="1" thickBot="1" x14ac:dyDescent="0.3">
      <c r="F22" s="168"/>
      <c r="G22" s="169" t="s">
        <v>161</v>
      </c>
      <c r="H22" s="169"/>
      <c r="I22" s="169"/>
      <c r="J22" s="169"/>
      <c r="K22" s="169"/>
      <c r="L22" s="169"/>
      <c r="M22" s="169"/>
      <c r="N22" s="169"/>
      <c r="O22" s="169"/>
      <c r="P22" s="169"/>
      <c r="Q22" s="79">
        <f>AVERAGE(Q18:Q21)</f>
        <v>0.41416428571428571</v>
      </c>
      <c r="R22" s="79">
        <f>AVERAGE(R18:R21)</f>
        <v>0.42937008489009859</v>
      </c>
      <c r="S22" s="121" t="s">
        <v>169</v>
      </c>
      <c r="T22" s="121"/>
      <c r="U22" s="121"/>
      <c r="V22" s="121"/>
      <c r="W22" s="121"/>
      <c r="X22" s="121"/>
      <c r="Y22" s="121"/>
      <c r="Z22" s="108"/>
      <c r="AA22" s="117">
        <f>AVERAGE(AA18:AA21)</f>
        <v>0.47635</v>
      </c>
      <c r="AN22" s="94" t="s">
        <v>186</v>
      </c>
      <c r="AO22" s="96">
        <f>SUM(AO18:AO21)</f>
        <v>1045465995</v>
      </c>
      <c r="AP22" s="96">
        <f>SUM(AP18:AP21)</f>
        <v>251363117.00999999</v>
      </c>
      <c r="AQ22" s="98">
        <f>+AP22/AO22</f>
        <v>0.24043165269091318</v>
      </c>
    </row>
    <row r="23" spans="1:47" ht="92.25" customHeight="1" thickBot="1" x14ac:dyDescent="0.3">
      <c r="P23" s="15" t="s">
        <v>180</v>
      </c>
      <c r="Q23" s="75">
        <f>AVERAGE(Q8,Q13,Q17,Q22)</f>
        <v>0.59476640037593986</v>
      </c>
      <c r="R23" s="75">
        <f>AVERAGE(R8,R13,R17,R22)</f>
        <v>0.63090320243945586</v>
      </c>
      <c r="AN23" s="95" t="s">
        <v>185</v>
      </c>
      <c r="AO23" s="96">
        <f>+AO8+AO13+AO17+AO22</f>
        <v>5601472082.5500002</v>
      </c>
      <c r="AP23" s="96">
        <f>+AP8+AP13+AP17+AP22</f>
        <v>2314663117.0100002</v>
      </c>
      <c r="AQ23" s="97">
        <f>+AP23/AO23</f>
        <v>0.41322407447512954</v>
      </c>
    </row>
    <row r="24" spans="1:47" x14ac:dyDescent="0.25">
      <c r="AO24" s="57"/>
    </row>
    <row r="27" spans="1:47" x14ac:dyDescent="0.25">
      <c r="AO27" s="57"/>
    </row>
  </sheetData>
  <mergeCells count="87">
    <mergeCell ref="A1:AU1"/>
    <mergeCell ref="T18:T21"/>
    <mergeCell ref="U18:U21"/>
    <mergeCell ref="S18:S21"/>
    <mergeCell ref="A3:A21"/>
    <mergeCell ref="J6:J7"/>
    <mergeCell ref="K6:K7"/>
    <mergeCell ref="L6:L7"/>
    <mergeCell ref="G6:G7"/>
    <mergeCell ref="H6:H7"/>
    <mergeCell ref="I6:I7"/>
    <mergeCell ref="E3:E21"/>
    <mergeCell ref="D3:D21"/>
    <mergeCell ref="C3:C21"/>
    <mergeCell ref="B3:B21"/>
    <mergeCell ref="M6:M7"/>
    <mergeCell ref="F3:F8"/>
    <mergeCell ref="F9:F13"/>
    <mergeCell ref="G13:P13"/>
    <mergeCell ref="F14:F17"/>
    <mergeCell ref="G17:P17"/>
    <mergeCell ref="N6:N7"/>
    <mergeCell ref="O6:O7"/>
    <mergeCell ref="P6:P7"/>
    <mergeCell ref="F18:F22"/>
    <mergeCell ref="G22:P22"/>
    <mergeCell ref="AT6:AT7"/>
    <mergeCell ref="AU6:AU7"/>
    <mergeCell ref="AJ6:AJ7"/>
    <mergeCell ref="AK6:AK7"/>
    <mergeCell ref="AL6:AL7"/>
    <mergeCell ref="AM6:AM7"/>
    <mergeCell ref="AN6:AN7"/>
    <mergeCell ref="AS6:AS7"/>
    <mergeCell ref="AQ6:AQ7"/>
    <mergeCell ref="AR6:AR7"/>
    <mergeCell ref="AE6:AE7"/>
    <mergeCell ref="AF6:AF7"/>
    <mergeCell ref="AG6:AG7"/>
    <mergeCell ref="AH6:AH7"/>
    <mergeCell ref="U3:U5"/>
    <mergeCell ref="T3:T5"/>
    <mergeCell ref="T9:T12"/>
    <mergeCell ref="T15:T16"/>
    <mergeCell ref="T6:T7"/>
    <mergeCell ref="U6:U7"/>
    <mergeCell ref="S8:Y8"/>
    <mergeCell ref="S3:S5"/>
    <mergeCell ref="S15:S16"/>
    <mergeCell ref="S9:S12"/>
    <mergeCell ref="W6:W7"/>
    <mergeCell ref="X6:X7"/>
    <mergeCell ref="AI6:AI7"/>
    <mergeCell ref="AA6:AA7"/>
    <mergeCell ref="AM3:AM5"/>
    <mergeCell ref="AN3:AN5"/>
    <mergeCell ref="AG3:AG5"/>
    <mergeCell ref="AH3:AH5"/>
    <mergeCell ref="AG9:AG12"/>
    <mergeCell ref="AH9:AH12"/>
    <mergeCell ref="S6:S7"/>
    <mergeCell ref="V6:V7"/>
    <mergeCell ref="AD6:AD7"/>
    <mergeCell ref="U9:U12"/>
    <mergeCell ref="Z6:Z7"/>
    <mergeCell ref="Q6:Q7"/>
    <mergeCell ref="G8:P8"/>
    <mergeCell ref="R6:R7"/>
    <mergeCell ref="Y6:Y7"/>
    <mergeCell ref="S17:Y17"/>
    <mergeCell ref="S13:Y13"/>
    <mergeCell ref="S22:Y22"/>
    <mergeCell ref="AO6:AO7"/>
    <mergeCell ref="AP6:AP7"/>
    <mergeCell ref="U15:U16"/>
    <mergeCell ref="AB6:AB7"/>
    <mergeCell ref="AC6:AC7"/>
    <mergeCell ref="AM15:AM16"/>
    <mergeCell ref="AN15:AN16"/>
    <mergeCell ref="AM18:AM21"/>
    <mergeCell ref="AN18:AN21"/>
    <mergeCell ref="AG15:AG16"/>
    <mergeCell ref="AH15:AH16"/>
    <mergeCell ref="AG18:AG21"/>
    <mergeCell ref="AH18:AH21"/>
    <mergeCell ref="AM9:AM12"/>
    <mergeCell ref="AN9:AN12"/>
  </mergeCells>
  <pageMargins left="0.70866141732283472" right="0.70866141732283472" top="0.74803149606299213" bottom="0.74803149606299213" header="0.31496062992125984" footer="0.31496062992125984"/>
  <pageSetup paperSize="5" scale="3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Marlene Andrade</dc:creator>
  <cp:lastModifiedBy>Maria Mernarda Perez Carmona</cp:lastModifiedBy>
  <cp:lastPrinted>2022-04-06T20:03:33Z</cp:lastPrinted>
  <dcterms:created xsi:type="dcterms:W3CDTF">2022-03-28T18:41:11Z</dcterms:created>
  <dcterms:modified xsi:type="dcterms:W3CDTF">2022-10-20T14:39:23Z</dcterms:modified>
</cp:coreProperties>
</file>