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luzma\OneDrive\Documentos\SEGUIMIENTOS PLANES DE ACCIÓN A DICIEMBRE 31 DE 2021\"/>
    </mc:Choice>
  </mc:AlternateContent>
  <xr:revisionPtr revIDLastSave="0" documentId="8_{83D97D9D-6969-42F4-8F67-6F893DCA37D0}" xr6:coauthVersionLast="47" xr6:coauthVersionMax="47" xr10:uidLastSave="{00000000-0000-0000-0000-000000000000}"/>
  <bookViews>
    <workbookView xWindow="-110" yWindow="-110" windowWidth="19420" windowHeight="10420" xr2:uid="{00000000-000D-0000-FFFF-FFFF00000000}"/>
  </bookViews>
  <sheets>
    <sheet name="Plan Des y de Acción 31-12-2021" sheetId="1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71" i="11" l="1"/>
  <c r="S171" i="11" s="1"/>
  <c r="S69" i="11"/>
  <c r="R40" i="11"/>
  <c r="T40" i="11"/>
  <c r="S28" i="11"/>
  <c r="AS202" i="11" l="1"/>
  <c r="AS205" i="11" s="1"/>
  <c r="AS199" i="11"/>
  <c r="AS192" i="11"/>
  <c r="AS187" i="11"/>
  <c r="AS181" i="11"/>
  <c r="AS176" i="11"/>
  <c r="AS169" i="11"/>
  <c r="AS161" i="11"/>
  <c r="AS151" i="11"/>
  <c r="AS147" i="11"/>
  <c r="AS137" i="11"/>
  <c r="AS130" i="11"/>
  <c r="AS122" i="11"/>
  <c r="AS104" i="11"/>
  <c r="AS101" i="11"/>
  <c r="AS96" i="11"/>
  <c r="AS84" i="11"/>
  <c r="AS79" i="11"/>
  <c r="AS72" i="11"/>
  <c r="AS68" i="11"/>
  <c r="AS65" i="11"/>
  <c r="AS56" i="11"/>
  <c r="AS47" i="11"/>
  <c r="AS34" i="11"/>
  <c r="AS25" i="11"/>
  <c r="AS18" i="11"/>
  <c r="AS3" i="11"/>
  <c r="AD179" i="11" l="1"/>
  <c r="AD174" i="11"/>
  <c r="AD167" i="11"/>
  <c r="AD159" i="11"/>
  <c r="AD144" i="11"/>
  <c r="AD145" i="11" s="1"/>
  <c r="AD129" i="11"/>
  <c r="AD119" i="11"/>
  <c r="AD118" i="11"/>
  <c r="AD120" i="11" s="1"/>
  <c r="AD83" i="11"/>
  <c r="AD59" i="11"/>
  <c r="AD64" i="11" s="1"/>
  <c r="AD60" i="11"/>
  <c r="AD61" i="11"/>
  <c r="AD62" i="11"/>
  <c r="AD51" i="11"/>
  <c r="AD52" i="11"/>
  <c r="AD53" i="11"/>
  <c r="AD54" i="11"/>
  <c r="AD49" i="11"/>
  <c r="AD55" i="11" s="1"/>
  <c r="AD43" i="11"/>
  <c r="AD39" i="11"/>
  <c r="AD40" i="11"/>
  <c r="AD41" i="11"/>
  <c r="AD42" i="11"/>
  <c r="AD38" i="11"/>
  <c r="AD37" i="11"/>
  <c r="AD36" i="11"/>
  <c r="AD45" i="11" s="1"/>
  <c r="AD26" i="11"/>
  <c r="AD32" i="11" s="1"/>
  <c r="AD27" i="11"/>
  <c r="AD30" i="11"/>
  <c r="AD23" i="11"/>
  <c r="AD20" i="11"/>
  <c r="AD21" i="11"/>
  <c r="AD22" i="11"/>
  <c r="AD19" i="11"/>
  <c r="AD18" i="11"/>
  <c r="AD24" i="11" s="1"/>
  <c r="AD7" i="11"/>
  <c r="AD8" i="11"/>
  <c r="AD11" i="11"/>
  <c r="AD14" i="11"/>
  <c r="AD17" i="11" s="1"/>
  <c r="AD15" i="11"/>
  <c r="AD16" i="11"/>
  <c r="AD3" i="11"/>
  <c r="R193" i="11"/>
  <c r="R194" i="11" s="1"/>
  <c r="Q192" i="11"/>
  <c r="S192" i="11" s="1"/>
  <c r="T192" i="11" s="1"/>
  <c r="T193" i="11" s="1"/>
  <c r="T194" i="11" s="1"/>
  <c r="R191" i="11"/>
  <c r="R190" i="11"/>
  <c r="S187" i="11"/>
  <c r="T187" i="11" s="1"/>
  <c r="T190" i="11" s="1"/>
  <c r="T191" i="11" s="1"/>
  <c r="Q187" i="11"/>
  <c r="R186" i="11"/>
  <c r="R185" i="11"/>
  <c r="S184" i="11"/>
  <c r="T184" i="11" s="1"/>
  <c r="Q184" i="11"/>
  <c r="Q181" i="11"/>
  <c r="S181" i="11" s="1"/>
  <c r="T181" i="11" s="1"/>
  <c r="R179" i="11"/>
  <c r="R180" i="11" s="1"/>
  <c r="Q176" i="11"/>
  <c r="S176" i="11" s="1"/>
  <c r="T176" i="11" s="1"/>
  <c r="T179" i="11" s="1"/>
  <c r="T180" i="11" s="1"/>
  <c r="R174" i="11"/>
  <c r="R175" i="11" s="1"/>
  <c r="Q173" i="11"/>
  <c r="S173" i="11" s="1"/>
  <c r="Q172" i="11"/>
  <c r="S172" i="11" s="1"/>
  <c r="Q170" i="11"/>
  <c r="S170" i="11" s="1"/>
  <c r="T169" i="11"/>
  <c r="T174" i="11" s="1"/>
  <c r="T175" i="11" s="1"/>
  <c r="Q169" i="11"/>
  <c r="AC199" i="11" l="1"/>
  <c r="T185" i="11"/>
  <c r="T186" i="11" s="1"/>
  <c r="R167" i="11"/>
  <c r="R168" i="11" s="1"/>
  <c r="Q164" i="11"/>
  <c r="S164" i="11" s="1"/>
  <c r="Q161" i="11"/>
  <c r="S161" i="11" s="1"/>
  <c r="T161" i="11" s="1"/>
  <c r="T167" i="11" s="1"/>
  <c r="T168" i="11" s="1"/>
  <c r="T150" i="11"/>
  <c r="R150" i="11"/>
  <c r="Q153" i="11"/>
  <c r="R153" i="11" s="1"/>
  <c r="R159" i="11" s="1"/>
  <c r="R160" i="11" s="1"/>
  <c r="T145" i="11"/>
  <c r="S144" i="11"/>
  <c r="R144" i="11"/>
  <c r="Q143" i="11"/>
  <c r="S143" i="11" s="1"/>
  <c r="Q135" i="11"/>
  <c r="S135" i="11" s="1"/>
  <c r="T135" i="11" s="1"/>
  <c r="Q130" i="11"/>
  <c r="S130" i="11" s="1"/>
  <c r="T130" i="11" s="1"/>
  <c r="T128" i="11"/>
  <c r="Q128" i="11"/>
  <c r="Q122" i="11"/>
  <c r="S122" i="11" s="1"/>
  <c r="T122" i="11" s="1"/>
  <c r="T129" i="11" s="1"/>
  <c r="R120" i="11"/>
  <c r="R121" i="11" s="1"/>
  <c r="Q117" i="11"/>
  <c r="S117" i="11" s="1"/>
  <c r="T117" i="11" s="1"/>
  <c r="Q104" i="11"/>
  <c r="S104" i="11" s="1"/>
  <c r="T104" i="11" s="1"/>
  <c r="Q101" i="11"/>
  <c r="R101" i="11" s="1"/>
  <c r="R102" i="11" s="1"/>
  <c r="Q97" i="11"/>
  <c r="S97" i="11" s="1"/>
  <c r="Q98" i="11"/>
  <c r="S98" i="11" s="1"/>
  <c r="Q99" i="11"/>
  <c r="S99" i="11" s="1"/>
  <c r="T99" i="11" s="1"/>
  <c r="Q96" i="11"/>
  <c r="S96" i="11" s="1"/>
  <c r="T96" i="11" s="1"/>
  <c r="Q91" i="11"/>
  <c r="S91" i="11" s="1"/>
  <c r="T91" i="11" s="1"/>
  <c r="Q92" i="11"/>
  <c r="S92" i="11" s="1"/>
  <c r="T92" i="11" s="1"/>
  <c r="Q90" i="11"/>
  <c r="S90" i="11" s="1"/>
  <c r="T90" i="11" s="1"/>
  <c r="S86" i="11"/>
  <c r="T86" i="11" s="1"/>
  <c r="Q85" i="11"/>
  <c r="R85" i="11" s="1"/>
  <c r="R89" i="11" s="1"/>
  <c r="Q84" i="11"/>
  <c r="S84" i="11" s="1"/>
  <c r="T84" i="11" s="1"/>
  <c r="T79" i="11"/>
  <c r="T82" i="11"/>
  <c r="Q81" i="11"/>
  <c r="S81" i="11" s="1"/>
  <c r="T81" i="11" s="1"/>
  <c r="Q82" i="11"/>
  <c r="S82" i="11" s="1"/>
  <c r="Q79" i="11"/>
  <c r="R79" i="11" s="1"/>
  <c r="Q80" i="11"/>
  <c r="R80" i="11" s="1"/>
  <c r="Q78" i="11"/>
  <c r="R78" i="11" s="1"/>
  <c r="R77" i="11"/>
  <c r="Q72" i="11"/>
  <c r="S72" i="11" s="1"/>
  <c r="T72" i="11" s="1"/>
  <c r="T77" i="11" s="1"/>
  <c r="T69" i="11"/>
  <c r="Q69" i="11"/>
  <c r="Q68" i="11"/>
  <c r="S68" i="11" s="1"/>
  <c r="T68" i="11" s="1"/>
  <c r="T67" i="11"/>
  <c r="R67" i="11"/>
  <c r="R64" i="11"/>
  <c r="Q59" i="11"/>
  <c r="S59" i="11" s="1"/>
  <c r="R55" i="11"/>
  <c r="S50" i="11"/>
  <c r="Q48" i="11"/>
  <c r="Q44" i="11"/>
  <c r="S44" i="11" s="1"/>
  <c r="T44" i="11" s="1"/>
  <c r="Q42" i="11"/>
  <c r="R42" i="11" s="1"/>
  <c r="Q41" i="11"/>
  <c r="Q39" i="11"/>
  <c r="S39" i="11" s="1"/>
  <c r="T39" i="11" s="1"/>
  <c r="Q38" i="11"/>
  <c r="Q36" i="11"/>
  <c r="R36" i="11" s="1"/>
  <c r="Q37" i="11"/>
  <c r="S37" i="11" s="1"/>
  <c r="T37" i="11" s="1"/>
  <c r="Q35" i="11"/>
  <c r="S35" i="11" s="1"/>
  <c r="T35" i="11" s="1"/>
  <c r="Q34" i="11"/>
  <c r="S34" i="11" s="1"/>
  <c r="T34" i="11" s="1"/>
  <c r="Q30" i="11"/>
  <c r="S30" i="11" s="1"/>
  <c r="T30" i="11" s="1"/>
  <c r="T28" i="11"/>
  <c r="Q28" i="11"/>
  <c r="R28" i="11" s="1"/>
  <c r="Q25" i="11"/>
  <c r="S25" i="11" s="1"/>
  <c r="T25" i="11" s="1"/>
  <c r="Q22" i="11"/>
  <c r="Q14" i="11"/>
  <c r="R14" i="11" s="1"/>
  <c r="Q11" i="11"/>
  <c r="R11" i="11" s="1"/>
  <c r="Q9" i="11"/>
  <c r="Q6" i="11"/>
  <c r="S6" i="11" s="1"/>
  <c r="T6" i="11" s="1"/>
  <c r="Q4" i="11"/>
  <c r="R4" i="11" s="1"/>
  <c r="R41" i="11" l="1"/>
  <c r="S41" i="11"/>
  <c r="S22" i="11"/>
  <c r="T22" i="11" s="1"/>
  <c r="R122" i="11"/>
  <c r="R129" i="11" s="1"/>
  <c r="T136" i="11"/>
  <c r="R143" i="11"/>
  <c r="R145" i="11" s="1"/>
  <c r="R146" i="11" s="1"/>
  <c r="T9" i="11"/>
  <c r="S9" i="11"/>
  <c r="S38" i="11"/>
  <c r="T38" i="11" s="1"/>
  <c r="R130" i="11"/>
  <c r="R136" i="11" s="1"/>
  <c r="S153" i="11"/>
  <c r="T153" i="11" s="1"/>
  <c r="T159" i="11" s="1"/>
  <c r="T160" i="11" s="1"/>
  <c r="T146" i="11"/>
  <c r="T120" i="11"/>
  <c r="T121" i="11" s="1"/>
  <c r="R6" i="11"/>
  <c r="T100" i="11"/>
  <c r="S80" i="11"/>
  <c r="T80" i="11" s="1"/>
  <c r="T94" i="11"/>
  <c r="R96" i="11"/>
  <c r="S101" i="11"/>
  <c r="T101" i="11" s="1"/>
  <c r="T102" i="11" s="1"/>
  <c r="R38" i="11"/>
  <c r="T70" i="11"/>
  <c r="R68" i="11"/>
  <c r="R70" i="11" s="1"/>
  <c r="R71" i="11" s="1"/>
  <c r="S78" i="11"/>
  <c r="T78" i="11" s="1"/>
  <c r="R99" i="11"/>
  <c r="R100" i="11" s="1"/>
  <c r="R103" i="11" s="1"/>
  <c r="R92" i="11"/>
  <c r="R94" i="11" s="1"/>
  <c r="T32" i="11"/>
  <c r="R37" i="11"/>
  <c r="T41" i="11"/>
  <c r="S42" i="11"/>
  <c r="T42" i="11" s="1"/>
  <c r="R81" i="11"/>
  <c r="R83" i="11" s="1"/>
  <c r="W95" i="11" s="1"/>
  <c r="S85" i="11"/>
  <c r="T85" i="11" s="1"/>
  <c r="T89" i="11" s="1"/>
  <c r="R25" i="11"/>
  <c r="R30" i="11"/>
  <c r="R39" i="11"/>
  <c r="R17" i="11"/>
  <c r="S4" i="11"/>
  <c r="T4" i="11" s="1"/>
  <c r="S11" i="11"/>
  <c r="T11" i="11" s="1"/>
  <c r="S14" i="11"/>
  <c r="T14" i="11" s="1"/>
  <c r="T83" i="11" l="1"/>
  <c r="T45" i="11"/>
  <c r="T46" i="11" s="1"/>
  <c r="T95" i="11"/>
  <c r="Y95" i="11"/>
  <c r="R45" i="11"/>
  <c r="R95" i="11"/>
  <c r="T103" i="11"/>
  <c r="R32" i="11"/>
  <c r="T17" i="11"/>
  <c r="R46" i="11" l="1"/>
  <c r="F84" i="11"/>
  <c r="F44" i="11"/>
  <c r="AC9" i="11" l="1"/>
  <c r="AL130" i="11" l="1"/>
  <c r="AI187" i="11" l="1"/>
  <c r="AN161" i="11"/>
  <c r="AN151" i="11"/>
  <c r="AN147" i="11"/>
  <c r="AN137" i="11"/>
  <c r="AN130" i="11"/>
  <c r="AN122" i="11"/>
  <c r="AN117" i="11"/>
  <c r="AN105" i="11"/>
  <c r="AN104" i="11"/>
  <c r="Z104" i="11"/>
  <c r="AN101" i="11"/>
  <c r="AN96" i="11"/>
  <c r="AN90" i="11"/>
  <c r="AN84" i="11"/>
  <c r="Y79" i="11"/>
  <c r="AN78" i="11"/>
  <c r="AN72" i="11"/>
  <c r="AN68" i="11"/>
  <c r="AN65" i="11"/>
  <c r="N63" i="11"/>
  <c r="Q63" i="11" s="1"/>
  <c r="S63" i="11" s="1"/>
  <c r="T63" i="11" s="1"/>
  <c r="N57" i="11"/>
  <c r="Q57" i="11" s="1"/>
  <c r="S57" i="11" s="1"/>
  <c r="T57" i="11" s="1"/>
  <c r="AN56" i="11"/>
  <c r="N56" i="11"/>
  <c r="Q56" i="11" s="1"/>
  <c r="S56" i="11" s="1"/>
  <c r="T56" i="11" s="1"/>
  <c r="T64" i="11" s="1"/>
  <c r="AN47" i="11"/>
  <c r="N47" i="11"/>
  <c r="Q47" i="11" s="1"/>
  <c r="S47" i="11" s="1"/>
  <c r="T47" i="11" s="1"/>
  <c r="AN34" i="11"/>
  <c r="AN25" i="11"/>
  <c r="N20" i="11"/>
  <c r="Q20" i="11" s="1"/>
  <c r="AN18" i="11"/>
  <c r="N18" i="11"/>
  <c r="Q18" i="11" s="1"/>
  <c r="AN3" i="11"/>
  <c r="T55" i="11" l="1"/>
  <c r="T71" i="11" s="1"/>
  <c r="S18" i="11"/>
  <c r="T18" i="11" s="1"/>
  <c r="R18" i="11"/>
  <c r="S20" i="11"/>
  <c r="T20" i="11" s="1"/>
  <c r="R20" i="11"/>
  <c r="R24" i="11" l="1"/>
  <c r="T24" i="11"/>
  <c r="R33" i="11" l="1"/>
  <c r="R199" i="11"/>
  <c r="T33" i="11"/>
  <c r="T20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vanemoher@outlook.es</author>
  </authors>
  <commentList>
    <comment ref="E41" authorId="0" shapeId="0" xr:uid="{00000000-0006-0000-0000-000001000000}">
      <text>
        <r>
          <rPr>
            <b/>
            <sz val="9"/>
            <color indexed="81"/>
            <rFont val="Tahoma"/>
            <family val="2"/>
          </rPr>
          <t>vanemoher@outlook.es:</t>
        </r>
        <r>
          <rPr>
            <sz val="9"/>
            <color indexed="81"/>
            <rFont val="Tahoma"/>
            <family val="2"/>
          </rPr>
          <t xml:space="preserve">
242</t>
        </r>
      </text>
    </comment>
    <comment ref="J144" authorId="0" shapeId="0" xr:uid="{00000000-0006-0000-0000-000002000000}">
      <text>
        <r>
          <rPr>
            <b/>
            <sz val="9"/>
            <color indexed="81"/>
            <rFont val="Tahoma"/>
            <family val="2"/>
          </rPr>
          <t>vanemoher@outlook.es:</t>
        </r>
        <r>
          <rPr>
            <sz val="9"/>
            <color indexed="81"/>
            <rFont val="Tahoma"/>
            <family val="2"/>
          </rPr>
          <t xml:space="preserve">
debería estar en mesas de trabajo (Fase 2)
</t>
        </r>
      </text>
    </comment>
  </commentList>
</comments>
</file>

<file path=xl/sharedStrings.xml><?xml version="1.0" encoding="utf-8"?>
<sst xmlns="http://schemas.openxmlformats.org/spreadsheetml/2006/main" count="1435" uniqueCount="1115">
  <si>
    <t>PILAR</t>
  </si>
  <si>
    <t>LINEA ESTRATEGICA</t>
  </si>
  <si>
    <t>Indicador de Bienestar</t>
  </si>
  <si>
    <t>Línea Base 2019</t>
  </si>
  <si>
    <t>Meta de Bienestar 2020-2023</t>
  </si>
  <si>
    <t xml:space="preserve">PROGRAMA </t>
  </si>
  <si>
    <t>Indicador de Producto</t>
  </si>
  <si>
    <t>Descripción de la Meta Producto 2020-2023</t>
  </si>
  <si>
    <t>Valor Absoluto de la Meta Producto 2020-2023</t>
  </si>
  <si>
    <t>PROYECTO</t>
  </si>
  <si>
    <t>Código de proyecto BPIM</t>
  </si>
  <si>
    <t>Objetivo del proyecto</t>
  </si>
  <si>
    <t>ACTIVIDADES DE PROYECTO</t>
  </si>
  <si>
    <t xml:space="preserve">Fecha de Terminación </t>
  </si>
  <si>
    <t xml:space="preserve">DEPENDENCIA RESPONSABLE </t>
  </si>
  <si>
    <t>NOMBRE DEL RESPONSABLE</t>
  </si>
  <si>
    <t>Fuente de Financiación</t>
  </si>
  <si>
    <t>Rubro Presupuestal</t>
  </si>
  <si>
    <t>Código Presupuestal</t>
  </si>
  <si>
    <t>Apropiación Definitiva
(en pesos)</t>
  </si>
  <si>
    <t>CARTAGENA RESILIENTE</t>
  </si>
  <si>
    <t xml:space="preserve"> “SALVEMOS JUNTOS NUESTRO PATRIMONIO NATURAL” </t>
  </si>
  <si>
    <t>Inversión territorial en el Sector                                                                          (miles de pesos)</t>
  </si>
  <si>
    <t>34.000.000                              (incremento mayor al 8%)</t>
  </si>
  <si>
    <t>Programa Bienestar y Protección animal</t>
  </si>
  <si>
    <t>Número de animales callejeros esterilizados.</t>
  </si>
  <si>
    <t>Política Pública   de Protección y bienestar animal formulada.</t>
  </si>
  <si>
    <t xml:space="preserve">Formular y presentar  una (1) Política Pública de Protección y bienestar animal. </t>
  </si>
  <si>
    <t xml:space="preserve">Inumero de  alberges transitorios implementados  con atenciòn integral. </t>
  </si>
  <si>
    <t>ND</t>
  </si>
  <si>
    <t xml:space="preserve">Implementar 2 alberges transitorios con atenciòn integral. </t>
  </si>
  <si>
    <t>Grupo especial para la lucha contra  el  maltrato animal.</t>
  </si>
  <si>
    <t>Establecer 1 grupo especial para la lucha de maltrato animal.</t>
  </si>
  <si>
    <t>Regulaciòn territorial  con base en la nueva normatividad nacional para los caninos potencialmente peligrosos.</t>
  </si>
  <si>
    <t>Presentar ante el concejo Distrital un (1) proyecto de acuerdo que permita actualizar la regulaciòn territorial  con base en la nueva normatividad nacional para los caninos potencialmente peligrosos.</t>
  </si>
  <si>
    <t>FORMULACION POLITICA PUBLICA DE BIENESTAR Y PROTECCION ANIMAL SALVEMOS JUNTOS A CARTAGENA LIBRE Y RESILIENTE 20202- 2023</t>
  </si>
  <si>
    <t>Brindar bienestar y mejorar la calidad de vida de los animales domésticos de compañía en condición de calle en el distrito de Cartagena en el periodo 2020-2023.</t>
  </si>
  <si>
    <t>Estructuracion lineamientos y estatutos para la organización del grupo GELMA.</t>
  </si>
  <si>
    <t>Propuesta de  proyecto de acuerdo par actualizar la regulación de  CANINOS POTENCIALMENTE PELIGROSOS.</t>
  </si>
  <si>
    <t xml:space="preserve">UMATA-ALCALDIAS LOCALES
</t>
  </si>
  <si>
    <t>Unidad de defensa animal y la Directora</t>
  </si>
  <si>
    <t>INGRESOS CORRIENTES DE LIBRE DESTINACIÓN (ICLD)</t>
  </si>
  <si>
    <t>POLITICA PUBLICA DE BIENESTAR Y PROTECCION ANIMAL SALVEMOS JUNTOS A CARTAGENA- POR UNA CARTAGENA LIBRE Y RESILIENTE 20202- 2023 CARTAGENA DE INDIAS.</t>
  </si>
  <si>
    <t>02-001-06-20-01-01-08-01</t>
  </si>
  <si>
    <t>UMATA</t>
  </si>
  <si>
    <t>DIRECTORA DE LA UMATA</t>
  </si>
  <si>
    <t>Directora y Alvaro Ramirez (prof. Especializado)</t>
  </si>
  <si>
    <t xml:space="preserve">CARTAGENA CONTINGENTE </t>
  </si>
  <si>
    <t xml:space="preserve"> LÍNEA ESTRATÉGICA: DESARROLLO ECONÓMICO Y EMPLEABILIDAD</t>
  </si>
  <si>
    <t>No. De Plataforma de inclusión productiva Distrital en funcionamiento</t>
  </si>
  <si>
    <t>0       Secretaría de Participación y Secretaría de Hacienda</t>
  </si>
  <si>
    <t xml:space="preserve">Diseñar e Implementar 1 Plataforma de inclusión productiva Distrital </t>
  </si>
  <si>
    <t xml:space="preserve">Programa: Centros para el emprendimiento y la gestión de la empleabilidad en Cartagena de Indias </t>
  </si>
  <si>
    <t>No. De Rutas de atención para la inclusión productiva diseñada (Empresarismo y Empleabilidad).</t>
  </si>
  <si>
    <t>0
Secretaría de Participación</t>
  </si>
  <si>
    <t>Diseñar 1 Ruta de atención para la inclusión productiva (Empresarismo y Empleabilidad).</t>
  </si>
  <si>
    <t xml:space="preserve">N° de personas atendidas en empresarismo y empleabilidad (grupos poblacionales diferenciales) </t>
  </si>
  <si>
    <t>1.820 Secretaría de Participación</t>
  </si>
  <si>
    <t>Atender a 15.000 personas en empresarismo y empleabilidad (grupos poblacionales diferenciales).</t>
  </si>
  <si>
    <t>N° de unidades productivas financiadas, implementadas y formalizadas.</t>
  </si>
  <si>
    <t>522 Secretaría de Participación</t>
  </si>
  <si>
    <t>Formalizar e implementar y financiar 5.000 unidades productivas.</t>
  </si>
  <si>
    <t>N° de personas vinculadas laboralmente.</t>
  </si>
  <si>
    <t>Vincular 2.500 personas laboralmente.</t>
  </si>
  <si>
    <t>N° de personas con formación en competencias específicas, técnicos o tecnólogos, acorde a los diagnósticos laborales.</t>
  </si>
  <si>
    <t>Formar a 1.500 personas con en competencias específicas, técnicos o tecnólogos, acorde a los diagnósticos laborales.</t>
  </si>
  <si>
    <t>Programa: Mujeres con Autonomía Económica</t>
  </si>
  <si>
    <t>Número de mujeres participando en procesos de emprendimientos y encadenamientos productivos incorporando el enfoque diferencial.</t>
  </si>
  <si>
    <t>710
Fuente: Plan de Acción 2016-2019 Grupo asuntos para la mujer 2019</t>
  </si>
  <si>
    <t>1.010 mujeres participando en procesos de emprendimientos y encadenamientos productivos incorporando el enfoque diferencial.</t>
  </si>
  <si>
    <t>Número de mujeres formadas en Artes y Oficios y con asistencia técnica</t>
  </si>
  <si>
    <t>340
Fuente: Plan de Acción 2016-2019 Grupo asuntos para la mujer 2019</t>
  </si>
  <si>
    <t>600 mujeres formadas en Artes y Oficios y con asistencia técnica.</t>
  </si>
  <si>
    <t>Número de mujeres participando en procesos de empleabilidad víctimas de violencia de pareja</t>
  </si>
  <si>
    <t>15
Fuente: Plan de Acción 2016-2019 Grupo asuntos para la mujer 2019</t>
  </si>
  <si>
    <t>100 mujeres participando en procesos de empleabilidad víctimas de violencia de pareja</t>
  </si>
  <si>
    <t>Porcentaje de jóvenes en condición de desempleo.</t>
  </si>
  <si>
    <t>17,5%
Fuente: DANE (Estadísticas por tema Mercado Laboral de la juventud, trimestre Octubre, Noviembre y Diciembre de 2018)</t>
  </si>
  <si>
    <t xml:space="preserve">Disminuir a 16 el porcentaje de jóvenes en condición de desempleo </t>
  </si>
  <si>
    <t>Programa: "Empleo Inclusivo Para Los Jóvenes”</t>
  </si>
  <si>
    <t>Jóvenes ubicados laboralmente por intermediación laboral</t>
  </si>
  <si>
    <t>1769
Fuente: SPDS, 31 de diciembre de 2019</t>
  </si>
  <si>
    <t>800 jóvenes ubicados laboralmente</t>
  </si>
  <si>
    <t>Iniciativas productivas creadas adaptadas a las condiciones de crisis sanitarias, sociales y ambientales que se presenten.</t>
  </si>
  <si>
    <t>94
Fuente: SPDS, 31 de diciembre de 2019</t>
  </si>
  <si>
    <t>500  Iniciativas productivas creadas adaptadas a las condiciones de crisis sanitarias, sociales y ambientales que se presenten.</t>
  </si>
  <si>
    <t>Jóvenes formados en emprendimiento</t>
  </si>
  <si>
    <t>838
Fuente: SPDS, 31 de diciembre de 2019</t>
  </si>
  <si>
    <t>2.200  jóvenes formados en emprendimiento.</t>
  </si>
  <si>
    <t>0                                                     Secretaría de Participación y Secretaría de Hacienda</t>
  </si>
  <si>
    <t>Programa: Cartagena emprendedora para pequeños productores rurales</t>
  </si>
  <si>
    <t xml:space="preserve">No. De Emprendimientos rurales, agropecuarios, pesqueros o piscícolas acompañados desde lo social, productivo fomentados o fortalecidos y articulados con el mercado local. </t>
  </si>
  <si>
    <t xml:space="preserve">Fortalecer, acompañar y articular con el mercado local 8 emprendimientos rurales, agropecuarios, pesqueros o piscícolas </t>
  </si>
  <si>
    <t>LÍNEA ESTRATÉGICA: COMPETITIVIDAD E INNOVACIÓN</t>
  </si>
  <si>
    <t>No de puesto en Índice de competitividad entre ciudades. Posición de Colombia</t>
  </si>
  <si>
    <t>Puesto12. Fuente: Consejo privado de competitividad 2019</t>
  </si>
  <si>
    <t>Posicionar en 10º puesto Cartagena dentro del índice de competitividad entre ciudades</t>
  </si>
  <si>
    <t>Programa: Cartagena fomenta la ciencia, tecnología e innovación agropecuaria: juntos por la extensión agropecuaria a pequeños productores.</t>
  </si>
  <si>
    <t>Productores atendidos con servicio de extensión agropecuaria</t>
  </si>
  <si>
    <t>2200
Fuente: Umata 2019</t>
  </si>
  <si>
    <t>Atender 2.500 productores con servicio de extensión agropecuaria,</t>
  </si>
  <si>
    <t>Mujeres productoras atendidas con servicio de extensión agropecuaria</t>
  </si>
  <si>
    <t>500 Mujeres productoras atendidas con servicio de extensión agropecuaria</t>
  </si>
  <si>
    <t>CARTAGENA TRANSPARENTE</t>
  </si>
  <si>
    <t xml:space="preserve">LÍNEA ESTRATÉGICA: PARTICIPACIÓN Y DESCENTRALIZACIÓN </t>
  </si>
  <si>
    <t>% Organizaciones Comunales  administrativamente competente</t>
  </si>
  <si>
    <t>Organizaciones Comunales Activas y en Funcionamiento
Fuente: Secretaría de Participación y Desarrollo Social
2019</t>
  </si>
  <si>
    <t>100% Organizaciones Comunales capacitadas, controladas, inspeccionadas y vigiladas</t>
  </si>
  <si>
    <t>Programa: Participando salvamos a Cartagena</t>
  </si>
  <si>
    <t>Numero de  Organizaciones Comunales  administrativamente competente</t>
  </si>
  <si>
    <t>427 Organizaciones Comunales Activas y en Funcionamiento
Fuente: Secretaría de Participación y Desarrollo Social-2019</t>
  </si>
  <si>
    <t>427 Organizaciones Comunales capacitadas, controladas, inspeccionadas y vigiladas</t>
  </si>
  <si>
    <t>70% Organizaciones Comunales con Dignatarios capacitados</t>
  </si>
  <si>
    <t>299 Organizaciones Comunales con Dignatarios capacitados</t>
  </si>
  <si>
    <t xml:space="preserve">40% Organizaciones Comunales intervenidas con emprendimiento comunal, proyectos productivos y sociales </t>
  </si>
  <si>
    <t xml:space="preserve">171 Organizaciones Comunales intervenidas con emprendimiento comunal, proyectos productivos y sociales </t>
  </si>
  <si>
    <t xml:space="preserve">100% Planes de gestión social comunal  formulados e implementados </t>
  </si>
  <si>
    <t>427 Planes de gestión social comunal formulados e implementados</t>
  </si>
  <si>
    <t>8% de  Dignatarios y líderes  comunales amenazados</t>
  </si>
  <si>
    <t>100% Dignatarios y líderes comunales con garantías para el ejercicio de sus derechos</t>
  </si>
  <si>
    <t>36 Dignatarios y líderes  comunales amenazados
Fuente: Secretaría de Participación y Desarrollo Social-2019</t>
  </si>
  <si>
    <t>36 Dignatarios y líderes comunales con garantías para el ejercicio de sus derechos</t>
  </si>
  <si>
    <t xml:space="preserve">Política Pública Comunal del Distrito de Cartagena construida e implementada </t>
  </si>
  <si>
    <t>0
Fuente: Secretaría de Participación y Desarrollo Social-2019</t>
  </si>
  <si>
    <t>% Ciudadanos que participan en los procesos de construcción de lo público y ciudadanía activa</t>
  </si>
  <si>
    <t xml:space="preserve">10% Ciudadanos que participan en los procesos de construcción de lo público y ciudadanía activa. </t>
  </si>
  <si>
    <t>Número de  Ciudadanos que participan en los procesos de construcción de lo público y ciudadanía activa.</t>
  </si>
  <si>
    <t>820.588 Ciudadanos mayores de 14 años que participan en los procesos de construcción de lo público y ciudadanía activa. Fuente: Secretaría de Participación y Desarrollo Social-2019</t>
  </si>
  <si>
    <t xml:space="preserve">82.059 Ciudadanos que participan en los procesos de construcción de lo público y ciudadanía activa. </t>
  </si>
  <si>
    <t>EJE TRANSVERSAL: CARTAGENA CON ATENCION Y GARANTIA DE DERECHOS A POBLACION DIFERENCIAL.</t>
  </si>
  <si>
    <t>LINEA ESTRATEGICA PARA LA EQUIDAD E INCLUSIÓN DE LOS NEGROS, AFROS, PALENQUEROS E INDIGENA.</t>
  </si>
  <si>
    <t>Porcentaje de la población Afro, Negra, raizal, palenquera e Indígena que habita el Distrito de Cartagena con  reconocimiento de sus derechos, diversidad étnica y cultural como un principio fundamental del Estado Social y Democrático de Derecho.</t>
  </si>
  <si>
    <t>Lograr que el 100% de la población Afro, Negra, raizal, palenquera e Indígena que habita el Distrito de Cartagena se le sean    reconocidos sus derechos de  la diversidad étnica y cultural como un principio fundamental del Estado Social y Democrático de Derecho.</t>
  </si>
  <si>
    <t>Fortalecimiento e Inclusión Productiva para Población Negra, Afrocolombiana, Raizal y Palenquera en el Distrito de Cartagena.</t>
  </si>
  <si>
    <t>Dotación de materiales a organizaciones pesqueras pertenecientes a grupos étnicos</t>
  </si>
  <si>
    <t>15 organizaciones de pescadores pertenecientes a grupos étnicos dotadas de materiales.</t>
  </si>
  <si>
    <t>Programa: Empoderamiento del Liderazgo de las Mujeres, Niñez, Jóvenes, Familia y Generación Indígena</t>
  </si>
  <si>
    <t>Mujeres indígenas fortalecidas en la producción propia</t>
  </si>
  <si>
    <t>48 mujeres indígenas fortalecidas en la producción propia</t>
  </si>
  <si>
    <t>LINEA ESTRATEGICA MUJERES CARTAGENERAS POR SUS DERECHOS.</t>
  </si>
  <si>
    <t xml:space="preserve">Porcentaje de mujeres participando en procesos productivos, políticos, sociales y participativos sobre el total de la población de género femenino del Distrito de Cartagena de Indias. </t>
  </si>
  <si>
    <t>100%  mujeres participando en procesos productivos, políticos, sociales y participativos sobre el total de la población de género femenino del Distrito de Cartagena de Indias.</t>
  </si>
  <si>
    <t>Programa: Las Mujeres Decidimos Sobre el Ejercicio del Poder</t>
  </si>
  <si>
    <t>Número de mujeres formadas en liderazgo femenino. social, comunitario y político con enfoque diferencial y pertinencia cultural,</t>
  </si>
  <si>
    <t>400
Fuente: Plan de acción 2016-2019 Grupo Asuntos para la Mujer. 2019.</t>
  </si>
  <si>
    <t>1000 mujeres formadas en liderazgo femenino, social, comunitario y político con enfoque diferencial y pertinencia cultural</t>
  </si>
  <si>
    <t xml:space="preserve">Organizaciones sociales de mujeres con enfoque diferencial fortalecidas en acciones para el reconocimiento y apoyo de las diferentes formas organizativas. </t>
  </si>
  <si>
    <t>10 Organizaciones sociales de mujeres con enfoque diferencial fortalecidas en acciones para el reconocimiento y apoyo.</t>
  </si>
  <si>
    <t>Programa: Una Vida Libre de Violencias para las Mujeres</t>
  </si>
  <si>
    <t>Número de personas que participan en acciones para prevenir y eliminar la violencia contra la mujer</t>
  </si>
  <si>
    <t>2500
Fuente: Plan de acción 2016-2019 Grupo Asuntos para la Mujer. 2019.</t>
  </si>
  <si>
    <t>4.900 personas que participan en acciones para prevenir y eliminar la violencia contra la mujer.</t>
  </si>
  <si>
    <t>Número de Acciones de prevención de las diferentes formas de violencia basada en género y contra la discriminación y xenofobia hacia niñas y mujeres provenientes de Venezuela.</t>
  </si>
  <si>
    <t>165
Fuente: Plan de acción 2016-2019 Grupo Asuntos para la Mujer. 2019.</t>
  </si>
  <si>
    <t>175 Acciones de prevención de las diferentes formas de violencia basados en género y contra la discriminación y xenofobia hacia niñas y mujeres provenientes de Venezuela.</t>
  </si>
  <si>
    <t>Número de mujeres víctimas de violencia de pareja, violencia sexual y trata de personas atendidas.</t>
  </si>
  <si>
    <t>413
Fuente: Plan de acción 2016-2019 Grupo Asuntos para la Mujer. 2019.</t>
  </si>
  <si>
    <t>700  mujeres víctimas de violencia de pareja, violencia sexual y trata de personas atendidas.</t>
  </si>
  <si>
    <t>Programa: Mujer, Constructoras De Paz</t>
  </si>
  <si>
    <t>Formulación del Plan de Acción Estratégico (A/49/587) para el cumplimiento de la Resolución 1325 del 31 de octubre del año 2000.</t>
  </si>
  <si>
    <t>Formular 1 Plan de Acción Estratégico (A/49/587) para el cumplimiento de la Resolución 1325 del 31 de octubre del año 2000.</t>
  </si>
  <si>
    <t>Programa: Cartagena Libre de una Cultura Machista</t>
  </si>
  <si>
    <t>Instituciones Educativas del Distrito desarrollando la estrategia Escuelas Libres de Sexismo</t>
  </si>
  <si>
    <t>45
Fuente: Plan de acción 2016-2019 Grupo Asuntos para la Mujer. 2019</t>
  </si>
  <si>
    <t>55  Instituciones Educativas del Distrito desarrollando la estrategia Escuelas Libres de Sexismo.</t>
  </si>
  <si>
    <t>Número de campañas desarrolladas para el cuidado, y transformación de los estereotipos</t>
  </si>
  <si>
    <t>Desarrollar 4 campañas para el cuidado, y transformación de los estereotipos.</t>
  </si>
  <si>
    <t>LINEA ESTRATEGICA: INCLUSION Y OPORTUNIDAD PARA NIÑOS, NIÑAS Y ADOLESCENTES Y FAMILIAS.</t>
  </si>
  <si>
    <t>Porcentaje de Padres, madres y/o cuidadores que participan en acciones formativas que promuevan el desarrollo de entornos protectores de niños y niñas de 0 a 5 años del total del Distrito.</t>
  </si>
  <si>
    <t>10%
Fuente: Secretaría de Participación y Desarrollo Social – Oficina de Niñez, Infancia y Adolescencia. 2019.</t>
  </si>
  <si>
    <t>Aumentar el Porcentaje de Padres, madres y/o cuidadores que participan en acciones formativas que promuevan el desarrollo de entornos protectores de niños y niñas de 0 a 5 años del total del Distrito al 12%.</t>
  </si>
  <si>
    <t>Programa: Comprometidos con la Salvación de Nuestra Primera Infancia</t>
  </si>
  <si>
    <t xml:space="preserve">Número de padres, madres de niños y niñas de 0 a 5 años del total del Distrito y cuidadores formados y participando en acciones que promuevan el desarrollo de entornos protectores </t>
  </si>
  <si>
    <t>12.187
Fuente: Secretaría de Participación y Desarrollo Social – Oficina de Niñez, Infancia y Adolescencia. 2019.</t>
  </si>
  <si>
    <t>14.000 padres, madres de niños y niñas de 0 a 5 años del total del Distrito y cuidadores formados y participando en acciones que promuevan el desarrollo de entornos protectores.</t>
  </si>
  <si>
    <t>Número de campañas de comunicación implementadas que promuevan la garantía de los derechos de la primera infancia.</t>
  </si>
  <si>
    <t>Una (1) campaña de comunicación implementada que promueve la garantía de los derechos de la primera infancia.</t>
  </si>
  <si>
    <t xml:space="preserve">Porcentaje de cupos para la atención oportuna, inmediata y de calidad a niñas, niños y adolescentes con derechos amenazados, Inobservados y/o vulnerados a través de Hogar de paso. </t>
  </si>
  <si>
    <t>1,30%
Fuente: Secretaría de Participación y Desarrollo Social – Oficina de Niñez, Infancia y Adolescencia. 2019.</t>
  </si>
  <si>
    <t>Aumentar el porcentaje de cupos para niñas, niños y adolescentes con derechos amenazados, Inobservados y/o vulnerados atendidos de forma transitoria e inmediata a través de Hogar de Paso al 1,5%.</t>
  </si>
  <si>
    <t>Programa Protección de la Infancia y la Adolescencia para la Prevención y atención de Violencias.</t>
  </si>
  <si>
    <t xml:space="preserve">Numero cupos habilitados para la atención transitoria e inmediata a través de Hogar de Paso para niñas, niños y adolescentes con derechos amenazados, Inobservados y/o vulnerados. </t>
  </si>
  <si>
    <t>700 cupos habilitados para la atención de niñas, niños y adolescentes con derechos amenazados, Inobservados y/o vulnerados atendidos de forma transitoria e inmediata a través de Hogar de Paso.</t>
  </si>
  <si>
    <t>Número de niños, niños y adolescentes en situación de alto riesgo social vinculados a acciones de prevención que favorecen el desarrollo de factores autoprotectores y mitigan la discriminación y la violencia de género.</t>
  </si>
  <si>
    <t>23.000 niños, niñas y adolescentes en situación de alto riesgo social vinculados a acciones de prevención que favorecen el desarrollo de factores autoprotectores y mitigan la discriminación y la violencia de género.</t>
  </si>
  <si>
    <t xml:space="preserve">Número de rutas de atención a niños, niñas y adolescentes en Trabajo Infantil, atención a Niños, niñas y adolescentes víctimas de violencia sexual, atención a niños, niñas y adolescentes en mendicidad, atención a niños, niñas y adolescentes con alta permanencia en calle o en situación de calle, reformuladas. </t>
  </si>
  <si>
    <t>Mantener las cuatro (4) rutas de atención a niños, niñas y adolescentes en Trabajo Infantil, atención a Niños, niñas y adolescentes víctimas de violencia sexual, atención a niños, niñas y adolescentes en mendicidad, atención a niños, niñas y adolescentes con alta permanencia en calle o en situación de calle, reformuladas.</t>
  </si>
  <si>
    <t>Número de acciones afirmativas de promoción de la denuncia de situaciones de riesgo social como el trabajo infantil, la violencia sexual, el maltrato infantil desarrolladas.</t>
  </si>
  <si>
    <t>Mantener las cuatro (4) acciones afirmativas de promoción de la denuncia de situaciones de riesgo social como el trabajo infantil, la violencia sexual, el maltrato infantil desarrolladas.</t>
  </si>
  <si>
    <t>Porcentaje de niños, niñas y adolescentes que disfrutan del ejercicio del derecho al juego, desde las ludotecas o de actividades lúdicas extramurales o virtuales y/o ejercen el derecho de la participación en los espacios dispuestos en el territorio</t>
  </si>
  <si>
    <t>15%
Fuente: Secretaría de Participación y Desarrollo Social – Oficina de Niñez, Infancia y Adolescencia. 2019</t>
  </si>
  <si>
    <t>Mantener el porcentaje del 15% de niños, niñas y adolescentes que disfrutan del ejercicio del derecho al juego, desde las ludotecas o de actividades lúdicas extramurales o virtuales y/o ejercen el derecho de la participación en los espacios dispuestos en el territorio</t>
  </si>
  <si>
    <t>Programa los Niños, las Niñas y Adolescentes de Cartagena Participan y Disfrutan sus Derechos.</t>
  </si>
  <si>
    <t>Número de niños, niñas y adolescentes que participan y disfrutan de actividades lúdicas extramurales y del ejercicio del derecho al juego al interior de las ludotecas distritales.</t>
  </si>
  <si>
    <t>47.000 niños, niñas y adolescentes participan y disfrutan de actividades lúdicas extramurales y del ejercicio del derecho al juego al interior de las ludotecas distritales.</t>
  </si>
  <si>
    <t>Número de niños, niñas y adolescentes que participan de los consejos de infancia y adolescencia u otros escenarios de participación.</t>
  </si>
  <si>
    <t>EJE TRANSVERSAL CARTAGENA CON ATENCION Y GARANTIA DE DERECHOS A POBLACION DIFERENCIAL.</t>
  </si>
  <si>
    <t>Porcentaje de Familias que participan en acciones de prevención de riesgos sociales que afectan a los niños, niñas y adolescentes para el fortalecimiento de vínculos afectivos y entornos protectores y la mitigación de la discriminación y la violencia de género.</t>
  </si>
  <si>
    <t>2%  Fuente: Secretaría de Participación y Desarrollo Social – Oficina de Niñez, Infancia y Adolescencia. 2019.</t>
  </si>
  <si>
    <t>Mantener el porcentaje de (2,0%) Familias (adultos) que participan en acciones de prevención de riesgos sociales que afectan a los niños, niñas y adolescentes para el fortalecimiento de vínculos afectivos y entornos protectores y la mitigación de la discriminación y la violencia de genero.</t>
  </si>
  <si>
    <t>Programa Fortalecimiento Familiar.</t>
  </si>
  <si>
    <t>Número de Familias que participan en acciones de prevención de riesgos sociales que afectan a los niños, niñas y adolescentes.</t>
  </si>
  <si>
    <t>2624
Fuente: Secretaría de Participación y Desarrollo Social- Oficina de niñez, infancia y adolescencia 2019</t>
  </si>
  <si>
    <t>2.812 familias que participan en acciones de prevención de riesgos sociales que afectan a los niños, niñas y adolescentes.</t>
  </si>
  <si>
    <t>Número de jornadas lúdicas intra y extramurales dirigidas al fortalecimiento de las familias con participación de adultos mayores.</t>
  </si>
  <si>
    <t>15
Fuente: Secretaría de Participación y Desarrollo Social- Oficina de niñez, infancia y adolescencia 2019</t>
  </si>
  <si>
    <t>20 jornadas lúdicas intra y extramurales dirigidas al fortalecimiento de las familias con participación de adultos mayores realizadas en el cuatrienio.</t>
  </si>
  <si>
    <t>Número de familias de niños, niñas y adolescentes con discapacidad atendida y orientada para atención integral.</t>
  </si>
  <si>
    <t>0
Fuente: Secretaría de Participación y Desarrollo Social- Oficina de niñez, infancia y adolescencia 2019</t>
  </si>
  <si>
    <t>200 familias de niños, niñas y adolescentes con discapacidad atendida y orientada para atención integral.</t>
  </si>
  <si>
    <t>Servicio de acompañamiento, social y asesoría legal a familias para la gestión de la atención a sus problemáticas funcionando.</t>
  </si>
  <si>
    <t>Creación de Un (1) servicio de asesoría legal a familias para la gestión de la atención a sus problemáticas funcionando.</t>
  </si>
  <si>
    <t>LINEA ESTRATEGICA JOVENES SALVANDO A CARTAGENA</t>
  </si>
  <si>
    <t>Porcentaje de Jóvenes que participan en instancias de participación ciudadana</t>
  </si>
  <si>
    <t>4.5% (30.587) 
Fuente: SPDS, 31 de Diciembre de 2019.</t>
  </si>
  <si>
    <t>Aumentar al 8% la participación de  jóvenes en los diferentes espacios de representación juvenil, programas y proyectos que lo benefician.</t>
  </si>
  <si>
    <t>Programa: Jóvenes Participando y Salvando a Cartagena</t>
  </si>
  <si>
    <t>Jóvenes que participan de los espacios de representación ciudadana y grupos juveniles.</t>
  </si>
  <si>
    <t>3277
Fuente: SPDS, 31 de Diciembre de 2019.</t>
  </si>
  <si>
    <t>9.000 Jóvenes que participan de los espacios de representación ciudadana y grupos juveniles.</t>
  </si>
  <si>
    <t>Jóvenes participando de actividades de formación sociopolítica.</t>
  </si>
  <si>
    <t xml:space="preserve">6254
Fuente: SPDS, 31 de Diciembre de 2019.
</t>
  </si>
  <si>
    <t>10.000 jóvenes participan de actividades de formación sociopolítica.</t>
  </si>
  <si>
    <t>Jóvenes que participan en espacios de representación juvenil y ciudadana y procesos formativos de prevención de riesgos sociales.</t>
  </si>
  <si>
    <t>5700
Fuente: SPDS, 31 de Diciembre de 2019.</t>
  </si>
  <si>
    <t xml:space="preserve">10.000 los jóvenes que participan en espacios de participación juvenil (Concejo de Juventud, Plataforma, Asamblea) y ciudadana </t>
  </si>
  <si>
    <t>Jóvenes participando en espacios culturales, deportivos y de acciones de cultura de paz.</t>
  </si>
  <si>
    <t>14729
Fuente: SPDS, 31 de Diciembre de 2019.</t>
  </si>
  <si>
    <t xml:space="preserve">20.000 los jóvenes que participan en espacios culturales, deportivos y acciones de cultura de paz. </t>
  </si>
  <si>
    <t>Programa: Política Pública De Juventud</t>
  </si>
  <si>
    <t>Documento de Política Pública formulado y aprobado.</t>
  </si>
  <si>
    <t xml:space="preserve">Formular e implementar 1 política pública de Juventud </t>
  </si>
  <si>
    <t>LINEA ESTRATEGICA EN CARTAGENA SALVAMOS NUESTROS ADULTOS MAYORES.</t>
  </si>
  <si>
    <t>Porcentaje de  personas mayores atendidas en CDV y GO y familiares y/o cuidadores formados en derechos, autocuidado y hábitos de vida saludable atendidos o beneficiados por programas de Adulto Mayor del Distrito sobre el total de la población mayor a 65 años.</t>
  </si>
  <si>
    <t xml:space="preserve">32%
Fuente: Secretaría de Participación y Desarrollo Social </t>
  </si>
  <si>
    <t>Aumentar  a un 38% las  personas mayores atendidas en CDV y GO, familiares y/o cuidadores formados en derechos, autocuidado y hábitos de vida saludable beneficiados por programas de Adulto Mayor del Distrito sobre el total de la población mayor a 65 años.</t>
  </si>
  <si>
    <t>Programa: Atención Integral Para Mantener a Salvo a los Adultos Mayores</t>
  </si>
  <si>
    <t>No. De personas mayores atendidas en Centros de Vida y Grupos Organizados</t>
  </si>
  <si>
    <t>8.400 personas mayores atendidas en Centros de Vida y Grupos Organizados
Fuente: Secretaría de Participación y Desarrollo Social</t>
  </si>
  <si>
    <t>9.000 personas mayores atendidas en Centros de Vida y Grupos Organizados</t>
  </si>
  <si>
    <t>No. de CDV adecuados</t>
  </si>
  <si>
    <t>30
Fuente: Secretaría de Participación y Desarrollo Social</t>
  </si>
  <si>
    <t xml:space="preserve">Adecuar 15 nuevos CDV del Distrito. (fortalecer la infraestructura de los CDV) </t>
  </si>
  <si>
    <t>No. De CDV reconstruidos</t>
  </si>
  <si>
    <t>Reconstruir 5 CDV del Distrito. (reparación de CDV en estado crítico)</t>
  </si>
  <si>
    <t>No. De familiares y/o cuidadores formados en derechos, autocuidado y hábitos de vida saludable.</t>
  </si>
  <si>
    <t>6.272 familiares y/o cuidadores formados en derechos, autocuidado y hábitos de vida saludable.
Fuente: Secretaría de Participación y Desarrollo Social</t>
  </si>
  <si>
    <t>10.000 familiares y/o cuidadores nuevas formados en derechos, autocuidado y hábitos de vida saludable.</t>
  </si>
  <si>
    <t>LÍNEA ESTRATÉGICA: TODOS POR LA PROTECCIÓN SOCIAL DE LAS PERSONAS CON DISCAPACIDAD: “RECONOCIDAS, EMPODERADAS Y RESPETADAS”.</t>
  </si>
  <si>
    <t>Tasa de cobertura en protección social a las personas con Discapacidad.</t>
  </si>
  <si>
    <t xml:space="preserve"> 25%
Fuente de Datos: Ministerio de Salud y protección social, cubo de Datos RCLPD, corte 21 de junio 2018.</t>
  </si>
  <si>
    <t>Garantizar al 35% de las Personas con Discapacidad el ejercicio efectivo de los derechos (cobertura en protección social a las personas con Discapacidad.)</t>
  </si>
  <si>
    <t>Programa: Gestión Social Integral y Articuladora por la Protección de las Personas Con Discapacidad y/o su Familia o Cuidador.</t>
  </si>
  <si>
    <t>No. De personas con Discapacidad con atención intersectorial en Asistencia y Acompañamiento integral, sus familias y/o sus cuidadores en el trascurrir del ciclo vital humano</t>
  </si>
  <si>
    <t>4.320.
Fuente de Datos: Secretaria de Planeación, Plan de acción, corte 31de diciembre 2019</t>
  </si>
  <si>
    <t>7.120 PcD registradas en el RCLPD en atención intersectorial en el desarrollo y protección social integral.</t>
  </si>
  <si>
    <t>Programa: Pacto o Alianza Por La Inclusión Social y Productiva de las Personas Con Discapacidad.</t>
  </si>
  <si>
    <t>Numero pactos (alianzas) implementados por la inclusión social y productiva de las Personas con discapacidad.</t>
  </si>
  <si>
    <t>Implementar 20 pactos (alianzas) por la inclusión social y productiva de las personas con discapacidad de acuerdo con lineamientos técnicos y metodológicos en las dimensiones sociales, institucionales y económicas.</t>
  </si>
  <si>
    <t>Números de organizaciones de personas con discapacidad consolidadas en la libre asociación y acorde a la reglamentación normativa.</t>
  </si>
  <si>
    <t>4
Fuente de Datos: Secretaria de Planeación, Plan de acción, corte 31 de Diciembre 2019</t>
  </si>
  <si>
    <t>Consolidar 20 organizaciones de personas con discapacidad en el marco de la libre asociación, la representatividad y reglamentación normativa.</t>
  </si>
  <si>
    <t>Programa: Desarrollo Local Inclusivo de las Personas Con Discapacidad: Reconocimiento de Capacidades, Diferencias y Diversidad.</t>
  </si>
  <si>
    <t>Numero de comités Territoriales de Discapacidad e Inclusión Social empoderados y participativos.</t>
  </si>
  <si>
    <t>Establecer la asistencia técnica permanente a los 4 comités Territoriales de Discapacidad e Inclusión Social dentro del marco normativo Distrital y nacional.</t>
  </si>
  <si>
    <t>Numero de planes de Fortalecimiento técnico y metodológico al documento base de la Política pública focalizada integradora de discapacidad e inclusión social.</t>
  </si>
  <si>
    <t>Desarrollar 1 plan de Fortalecimiento técnico y metodológico al documento base de la Política Pública focalizada integradora de discapacidad e inclusión social</t>
  </si>
  <si>
    <t>Política pública de  discapacidad e inclusión social reformulada e implementada</t>
  </si>
  <si>
    <t>1
Fuente: Secretaría de Participación y Desarrollo Social</t>
  </si>
  <si>
    <t>Reformulación e Implementación de la política pública discapacidad e inclusión social.</t>
  </si>
  <si>
    <t>LINEA ESTRATEGICA TRATO HUMANITARIO AL HABITANTE DE CALLE</t>
  </si>
  <si>
    <t>Porcentaje de la  Población en Situación de Calle del Distrito de Cartagena atendidos</t>
  </si>
  <si>
    <t>100%
Secretaría de Participación y Desarrollo Social</t>
  </si>
  <si>
    <t>Mantener el porcentaje del 100%  de la  Población en Situación de Calle del Distrito de Cartagena atendidos de manera integral basados en la Política Publica Social de Habitante de Calle.</t>
  </si>
  <si>
    <t>Proceso de Caracterización de población de Habitantes de Calle en el  Distrito de Cartagena</t>
  </si>
  <si>
    <t>Realizar 1 proceso de caracterización de la población de Habitante de Calle.</t>
  </si>
  <si>
    <t>Número de Hogares de Paso Habitantes de Calle en el  Distrito de Cartagena</t>
  </si>
  <si>
    <t>Aumentar a 4 Hogares de Paso.</t>
  </si>
  <si>
    <t>LINEA ESTRATEGICA DIVERSIDAD SEXUAL Y NUEVAS IDENTIDADES DE GÉNERO.</t>
  </si>
  <si>
    <t>Porcentaje de la  Población LGTBIQ+ en del Distrito de Cartagena atendidos</t>
  </si>
  <si>
    <t>Lograr que el 100%  de la Población LGTBIQ+ en del Distrito de Cartagena sean atendidos de manera integral basados en la Política Pública en Diversidad Sexual e Identidades de Género Distrital.</t>
  </si>
  <si>
    <t>Programa: Diversidad Sexual e Identidades de Género</t>
  </si>
  <si>
    <t>Número De Acciones Afirmativas para el Reconocimiento de Derechos.</t>
  </si>
  <si>
    <t>15 Acciones Afirmativas para el Reconocimiento de Derechos.</t>
  </si>
  <si>
    <t>Implementación Estrategias de Emprendimiento y Empresarismo para la Inclusión Productiva y la Vinculación Laboral en el Distrito de Cartagena: " Centros para el Emprendimiento y la Gestión de la Empleabilidad"  Cartagena de Indias</t>
  </si>
  <si>
    <t>Desarrollar una Estrategia para la inclusión productiva, a través de los Centros para el Emprendimiento y la Gestión de la Empleabilidad en Cartagena, - propuesta como mecanismo para la reactivación económica y dirigida a la generación de ingresos.</t>
  </si>
  <si>
    <t>Diseñar el protocolo de atención- Ruta de inclusión productiva- de los Centros para el Emprendimiento y la Gestión de la Empleabilidad en Cartagena de Indias.</t>
  </si>
  <si>
    <t>A1,  Realizar jornadas de socialización ³Ruta Comunitaria para la  Inclusión Productiva´  en las diferentes localidades de la ciudad de Cartagena.</t>
  </si>
  <si>
    <t xml:space="preserve"> A2, Registrar a los participantes  (aplicación de diagnóstico socio productivo u otro soporte).</t>
  </si>
  <si>
    <t>A1.Desarrollar componentes de orientación, capacitación y asesorías empresariales a los participantes</t>
  </si>
  <si>
    <t>A2, Elaboración y sustentación de los planes de negocio de los participantes.</t>
  </si>
  <si>
    <t>A3, Implementar unidades productivas de participantes aprobados.</t>
  </si>
  <si>
    <t>A2, Gestionar acuerdos y alianzas con empresas de sector productivo</t>
  </si>
  <si>
    <t>A1, Generar, por lo menos 5 alianzas con IFPDH y de educación superior, para la capacitación, orientación y formación pertinente de la población sujeto.</t>
  </si>
  <si>
    <t>FORTALECIMIENTO MUJERES CON AUTONOMÍA ECONÓMICA CARTAGENA DE INDIAS</t>
  </si>
  <si>
    <t>Desarrollar procesos de generación de ingresos en la población de mujeres, a partir del fortalecimiento empresarial y la gestión de la empleabilidad en el marco de la estrategia "Centros para el Emprendimiento y la Gestión de la Empleabilidad".</t>
  </si>
  <si>
    <t>A1, Capacitar y asesorar en componentes empresariales a las mujeres emprendedoras.</t>
  </si>
  <si>
    <t>A2, Elaboración y sustentación de los planes de negocio.</t>
  </si>
  <si>
    <t>A1, Participar de la orientación, capacitación y formación pertinente, acorde a las necesidades del mercado laboral en el marco de la estrategia de inclusión productiva, "Centros para el Emprendimiento y la Gestión de la Empleabilidad´.</t>
  </si>
  <si>
    <t>A2, Gestionar oportunidades de formación y vinculación laboral de acuerdo a los perfiles formados.</t>
  </si>
  <si>
    <t>A1, Aplicar registro laboral a las mujeres participantes de la ruta.</t>
  </si>
  <si>
    <t>A2, Vincular laboralmente a las mujeres participantes en el marco de modelo de empleo inclusivo propuesto en la estrategia de inclusión productiva "Centros del emprendimientos y gestión de la empleabilidad".</t>
  </si>
  <si>
    <t>FORTALECIMIENTO EMPLEO INCLUSIVO PARA LOS JÓVENES. CARTAGENA DE INDIAS</t>
  </si>
  <si>
    <t xml:space="preserve">Desarrollar procesos de generación de ingresos sostenibles en jóvenes a partir del fortalecimiento empresarial y la gestión de la empleabilidad en el marco de la estrategia Centros para el Emprendimiento y la Gestión de la Empleabilidad en Cartagena </t>
  </si>
  <si>
    <t xml:space="preserve">A1, Aplicar registro laboral a los jóvenes participantes de la ruta </t>
  </si>
  <si>
    <t>A2, Participar de la  orientación, capacitación y formación pertinente, acorde a las necesidades del mercado laboral en el marco de la estrategia de inclusión productiva, Centros para el Emprendimiento y la Gestión de la Empleabilidad en Cartagena de Indias.</t>
  </si>
  <si>
    <t>A3,  Vincular laboralmente a los jóvenes participantes  en el marco de la estrategia de inclusión productiva, Centros para el Emprendimiento y la Gestión de la Empleabilidad en Cartagena de Indias.</t>
  </si>
  <si>
    <t>A1,  Presentación y sustentación de los planes de negocio de los jóvenes participantes</t>
  </si>
  <si>
    <t>A2, Implementar unidades productivas de jóvenes emprendedores en el marco de la estrategia centros para el emprendimiento y la Gestión de la Empleabilidad en Cartagena de Indias.</t>
  </si>
  <si>
    <t xml:space="preserve">A1, Aplicar registro a jóvenes  participantes atendidos, formados y orientados. </t>
  </si>
  <si>
    <t>ASISTENCIA CARTAGENA EMPRENDEDORES PARA PEQUEÑOS PRODUCTORE RURALES CARTAGENA DE INDIAS</t>
  </si>
  <si>
    <t>GENERAR OPORTUNIDADES DE ACCESO A PROGRAMAS DE EMPREDIMIENTO RURAL PARA LOS CAMPESINOS O PEQUEÑOS PRODUCTORES DEL DISTRITO PARA FORTALECER LA VOCACIÓN PRODUCTIVA Y MEJORAR SUS CONDICONES DE VIDA ASI COMO APORTAR ALIMENTO A LOS HABITANTES RURALES.</t>
  </si>
  <si>
    <t>Visitas de extensión agropecuarios a campesinos productores para identificar oportunidades de negocios.</t>
  </si>
  <si>
    <t>Formular plan de negocios viable en términos sociales, técnicos, ambientales y comerciales.</t>
  </si>
  <si>
    <t>PRESTAR EL SERVICIO PÚBLICO DE EXTENSIÓN AGROPECUARIA MEDIANTE EL CUMPLIMIENTO DE LOS ENFOQUES ESTABLECIDOS EN LA LEY 1876 DEL 2017 PARA INSIDRI POSITIVAMENTE EN LA PRODUCCIÓN DE ALIMENTO Y SEGURIDAD ALIMENTARIA.</t>
  </si>
  <si>
    <t>Visitas de extensión agropecuaria  a pequeños productores rurales para desarrollar capacidades humanas y fortalecer la asociatividad, propiciar el acceso y aprovechamiento de la información para el emprendimiento.</t>
  </si>
  <si>
    <t>Demostraciones de metodos para el desarrollo de las capacidades y mejorar la gestión de de recursos.</t>
  </si>
  <si>
    <t>Vistas de extensión con transferencia de técnologia agropecuaria.</t>
  </si>
  <si>
    <t>FORTALECIMIENTO DE LA PARTICIPACIÓN CIUDADANA Y COMUNITARIA, PARA SALVAR JUNTOS A CARTAGENA DE INDIAS</t>
  </si>
  <si>
    <t>Fortalecer la incidencia y gestión de las organizaciones comunales en el desarrollo integral de sus comunidades y en la construcción de lo público.</t>
  </si>
  <si>
    <t>Realizar capacitación, inspección, vigilancia y control a Organizaciones Comunales.</t>
  </si>
  <si>
    <t>Realizar capacitaciones a dignatarios y líderes comunales en legislación comunal.</t>
  </si>
  <si>
    <t>Realizar talleres de capacitación, asesoría y orientación a dignatarios y líderes comunales en formulación de programas y proyectos empresariales.</t>
  </si>
  <si>
    <t>Realizar asesoría, orientación y talleres de capacitación a organizaciones comunales para formular planes de gestión social.</t>
  </si>
  <si>
    <t>Garantizar el ejercicio de sus derechos a líderes comunales</t>
  </si>
  <si>
    <t>Construir e implementar una política pública comunal</t>
  </si>
  <si>
    <t>Promover la incidencia en la participación de ciudadanos en los procesos de construcción de lo público y ciudadanía activa.</t>
  </si>
  <si>
    <t>FORTALECIMIENTO Y DOTACIÓN CON MATERIALES A 15 ASOCIACIONES DE PESCADORES PERTENECIENTES A GRUPOS DE LA ETNI AFRO UBICADOS EN EL DISTRITO DE CARTAGENA DURANTE L CUATRIENIO 20209 A 2023</t>
  </si>
  <si>
    <t>DOTAR CON MATERIALES A 15 ASOCIACIONES DE PESCADORES PERTENECIENTES A GRUPOS ETNICOS AFRO UBICADOS EN EL DISTRITO DE CARTEGGENA DURANTE EL CUATRIENIO 2020 A 2023</t>
  </si>
  <si>
    <t>Capacitar a organizaciones de pescadores de la etnia fro en técnicas pesqueras y buenas practicas para mejorar su actividad productiva.</t>
  </si>
  <si>
    <t>Dotar con materiales asociados a su actividad pesquera a organizaciones de la etnia afro ubicados en el Distrito de Cartagena para influenciar positivamente en su actividad productiva.</t>
  </si>
  <si>
    <t>CARACTERIZAR  LAS MUJERES INDIGENAS PARA  FORTALECERLAS EN SU PRODUCCIÓN PROPIA AGRO</t>
  </si>
  <si>
    <t>ACTUALIZACIÓN LAS MUJERES DECIDIMOS SOBRE EL EJERCICIO DEL PODER.</t>
  </si>
  <si>
    <t>INCREMENTAR LOS NIVEL DE PARTICIPACIÓN DE LAS MUJERES EN LOS ESPACIOS DE PODER Y TOMA DE DECISIÓN</t>
  </si>
  <si>
    <t>Caracterización de las organizaciones de mujeres en el distrito de Cartagena.</t>
  </si>
  <si>
    <t>Desarrollar plan de formación y asistencia técnica</t>
  </si>
  <si>
    <t>ACTUALIZACIÓN UNA VIDA LIBRE DE VIOLENCIAS PARA LAS MUJERES CARTAGENA DE INDIAS</t>
  </si>
  <si>
    <t>DISMINUIR LOS ALTOS INDICES DE VIOLENCIA DE PAREJA Y VIOLENCIA SEXUAL EN LAS MUJERES DEL DISTRITO DE CARTAGENA.</t>
  </si>
  <si>
    <t>Desarrollar Jornadas para la toma de conciencia frente a las VBG "MUJERES CARTAGENERAS POR SUS DERECHOS" dirigidas a la ciudadanía Cartagenera.</t>
  </si>
  <si>
    <t>Realizar acciones de prevención en cumplimiento al Comité de seguimiento a la implementación de la ley 1257 de 2008 - decreto 0652 de 2019, en el marco del mecanismo articulador para la atención integral a las VBG</t>
  </si>
  <si>
    <t>Crear Mesa Técnica de Mujeres Migrantes para la prevención de las VBG</t>
  </si>
  <si>
    <t>Hogar de Acogida para atender a mujeres víctimas de violencia de pareja y violencia sexual con hijos e hijas menores de edad</t>
  </si>
  <si>
    <t>ACTUALIZACIÓN MUJERES CONSTRUCTORAS DE PAZ. CARTAGENA DE INDIAS</t>
  </si>
  <si>
    <t>INCLUIR A LAS MUJERES VICTIMAS DEL CONFLICTO ARMANDO EN ACCIONES DE PREVENCIÓN PARA EL GOCE EFECTIVO DE SUS DERECHOS</t>
  </si>
  <si>
    <t>Socialización de la metodología para la construcción del plan de acción de la resolución 1325 del 2000.</t>
  </si>
  <si>
    <t>Diseño del plan de acción de la resolución 1325 del 2000.</t>
  </si>
  <si>
    <t>ADECUACIÓN CARTAGENA LIBRE DE UNA CULTURA MACHISTA CARTAGENA DE INDIAS</t>
  </si>
  <si>
    <t>PROMOVER LA TRANSFORMACION SOCIAL DE PATRONES SOCIOCULTURALES QUE IMPLIDEN EL ACCESO A LAS MUJERES A
LA VIDA POLÍTICA Y PÚBLICA EN EL DISTRITO DE CARTAGENA</t>
  </si>
  <si>
    <t>Diseño y ejecución del plan de formación, para 5 IE del Distrito.</t>
  </si>
  <si>
    <t>Desarrollar una estrategia publicitaria con la evaluación de percepción que mida los resultados</t>
  </si>
  <si>
    <t>COMPROMISO CON LA SALVACIÓN DE  NUESTRA PRIMERA INFANCIA EN EL DISTRITO DE CARTAGENA DE INDIAS</t>
  </si>
  <si>
    <t>Impulsar procesos de formación y/o acompañamiento a padres, madres y cuidadores para fortalecer su capacidad de gestión en el cuidado y la crianza de los niños y las niñas desde la gestación y hasta los 5 años, que les permita acceder a herramientas favorables para el desarrollo de la primera infancia.</t>
  </si>
  <si>
    <t>Desarrollo de Procesos formativos dirigidos a padres madres de niños y niñas de 0 a 5 años y cuidadores en acciones que promueva la crianza amorosa el desarrollo de entornos protectores.</t>
  </si>
  <si>
    <t>Realizar ajuste y divulgación de la RIA.</t>
  </si>
  <si>
    <t>Identificación y apoyo de población de primera infancia con necesidades de atención nutricional.</t>
  </si>
  <si>
    <t>Desarrollo de jornadas lúdicas o ludotecas viajeras virtuales o presenciales con nn de primera infancia.</t>
  </si>
  <si>
    <t>Diseñar e implementar una (1) campaña de comunicación que promueva la garantía de los derechos de la primera Infancia.</t>
  </si>
  <si>
    <t>PROTECCIÓN DE LA INFANCIA Y LA ADOLESCENCIA PARA LA PREVENCIÓN Y ATENCIÓN DE VIOLENCIAS EN EL DISTRITO DE  CARTAGENA DE INDIAS</t>
  </si>
  <si>
    <t xml:space="preserve">Desarrollar acciones para la prevención y atención especializada de la niñez y la adolescencia en riesgo o víctima de situaciones de maltrato, violencia sexual, trabajo infantil, mendicidad, alta permanencia en calle u otros riesgos sociales, fortaleciendo los espacios de articulación y las rutas de atención a fin de en la mitigación de estas problemáticas. </t>
  </si>
  <si>
    <t>Atención de niños, niñas y adolescentes con Derechos amenazados y/o vulnerados en Hogar de Paso.</t>
  </si>
  <si>
    <t>Talleres formativos en prevención de riesgos sociales dirigidos a niños, niñas y adolescentes.</t>
  </si>
  <si>
    <t>Ajuste y reformulación de ruta de atención a niños, niñas y adolescentes en situación de trabajo infantil, violencia sexual, mendicidad, alta permanencia en calle y situación de vida en calle.</t>
  </si>
  <si>
    <t>Actividades o Acciones Afirmativas de prevención de violencia contra NNA.</t>
  </si>
  <si>
    <t>FORMACIÓN LOS NIÑOS, LAS NIÑAS Y ADOLESCENTES DE CARTAGENA PARTICIPAN Y DISFRUTAN SUS DERECHOS CARTAGENA DE INDIAS</t>
  </si>
  <si>
    <t xml:space="preserve">Promover la implementación de la política pública de infancia y adolescencia en el territorio, generando espacios para la participación y la incidencia de las niñas, niños y adolescentes en la transformación del Distrito, promoviendo acciones que posibiliten el disfrute de sus derechos, sobre todo de aquellos más vulnerados y subvalorados que potencializan sus habilidades para la vida como el derecho al juego y a la recreación, el derecho a la asociación y a la participación. </t>
  </si>
  <si>
    <t>Actividades lúdicas de promoción del derecho al juego con nna de manera presencial y/o virtual.</t>
  </si>
  <si>
    <t>Talleres de fortalecimientos del CIA y promocion de la participacion infantil.</t>
  </si>
  <si>
    <t>FORTALECIMIENTO FAMILIAR  CARTAGENA DE INDIAS</t>
  </si>
  <si>
    <t>Desarrollar acciones que fortalezcan el rol protector y educador de las familias, a través de la puesta en Marcha de acciones que otorguen a los padres, madres y cuidadores conocimientos sobre todas aquellas situaciones que ponen en riesgo el desarrollo de niños, niñas y adolescentes, potenciando en las familias el cumplimiento de sus funciones en beneficio del bienestar y la realización personal de sus integrantes.</t>
  </si>
  <si>
    <t>Desarrollo de actividades formativas dirigidas a padres, madres, cuidadores, servidores públicos, lideres comunitarios para la prevencion de riesgos sociales que afectan a niños, niñas y adolescentes y la promocion de la crianza amorosa</t>
  </si>
  <si>
    <t>Realización de jornadas lúdicas con participación de adultos mayores, para promover el buen trato en el hogar</t>
  </si>
  <si>
    <t>Orientar y gestionar proceso de atención integral a familias de niños, niñas y adolescentes con discapacidad</t>
  </si>
  <si>
    <t>Implementación Servicio de acompañamiento social y asesoría legal</t>
  </si>
  <si>
    <t>FORTALECIMIENTO AL PROGRAMA JÓVENES PARTICIPANDO Y SALVANDO A CARTAGENA DE INDIAS</t>
  </si>
  <si>
    <t>Aumentar la participación de la población juvenil en espacios e instancias de participación, representación e incidencia juvenil y ciudadana en el Distrito de Cartagena de Indias.</t>
  </si>
  <si>
    <t>Desarrollar actividades afirmativas para la participación juvenil en los espacios de representación ciudadana y grupos juveniles.</t>
  </si>
  <si>
    <t>Desarrollar plan de formación sociopolítica y asistencia técnica.</t>
  </si>
  <si>
    <t>Talleres de Formación y entrega de Insumos para el fortalecimiento de las Organizaciones Juveniles.</t>
  </si>
  <si>
    <t>Desarrollar foros y actividades para la participación de jóvenes en espacios culturales, deportivos y acciones de cultura de paz.</t>
  </si>
  <si>
    <t>FORMULACIÓN E IMPLEMENTACION DE LA POLÍTICA PUBLICA DE JUVENTUD EN CARTAGENA DE INDIAS</t>
  </si>
  <si>
    <t>Formular e implementar la Política Publica de Juventud en el Distrito de Cartagena de Indias</t>
  </si>
  <si>
    <t>APOYO PARA LA ATENCION INTEGRAL A LOS ADULTO MAYORES EN ESTADO DE ABANDONO, MALTRATO Y SITUACION DE CALLE EN EL DISTRITO DE CARTAGENA DE INDIAS.</t>
  </si>
  <si>
    <t>REDUCIR LOS ALTOS NIVELES DE VULNERABILIDAD EN LA POBLACIÓN MAYOR DEL DISTRITO DE CARTAGENA</t>
  </si>
  <si>
    <t>ASISTENCIA INTEGRAL A LOS ADULTOS MAYORES EN CONDICION DE VULNERABILIDAD.</t>
  </si>
  <si>
    <t>APOYO PARA LA ATENCIÓN INTEGRAL A LOS ADULTOS MAYORES EN CENTROS DE VIDA Y GRUPOS ORGANIZADOS EN EL DISTRITO DE CARTAGENA DE INDIAS</t>
  </si>
  <si>
    <t>ASISTENCIA TECNICA Y PROFESIONAL CON EQUIPO INTERDISCIPLINARIO PARA LA ATENCIÓN INTEGRAL A LAS PERSONAS MAYORES EN EL DISTRITO DE CARTAGENA.</t>
  </si>
  <si>
    <t>SERVICIO DE TRANSPORTE TERRESTRE DE VEHICULO AUTOMOTOR EN EL DISTRITO, PARA EL APOYO DE LOS PROGRAMAS EN BENEFICIO DE LOS ADULTOS MAYORES.</t>
  </si>
  <si>
    <t>SUMINISTRO DE ALIMENTOS PERECEDEROS Y NO PERECCEDEROS PARA GARANTIZAR LA SALUD NUTRICIONAL DE LOS ADULTOS MAYORES EN EL DISTRITO DE CARTAGENA.</t>
  </si>
  <si>
    <t>SUMINISTRO DE ELETRODOMESTICOS, MENAJES DE COCINA Y COMPLEMENTARIOS PARA EL FUNCIONAMIENTO DE LOS CENTROS DE VIDA Y GRUPOS ORGANIZADOS.</t>
  </si>
  <si>
    <t>EVENTOS DE RECREACIÓN Y CULTURA DIRIGIDO A LOS ADULTOS MAYORES.</t>
  </si>
  <si>
    <t>SUMINISTRO DE AYUDAS TÉCNICAS PARA LA MARCHA.</t>
  </si>
  <si>
    <t>SUMINISTRO DE UNIFORMES.</t>
  </si>
  <si>
    <t>SERVICIOS PARA FORTALECIMIENTO DE UNIDADES PRODUCTIVAS.</t>
  </si>
  <si>
    <t>DOTACIÓN ELEMENTOS KITS DE ASEO PARA EL BENEFICIO DE LOS ADULTOS MAYORES DEL DISTRITO DE CARTAGENA.</t>
  </si>
  <si>
    <t>ADECUACIÓN DE LOS CENTROS DE VIDA EN EL DISTRITO DE CARTAGENA.</t>
  </si>
  <si>
    <t>RECONSTRUCCIÓN CENTROS DE VIDA CDV EN EL DISTRITO DE CARTAGENA.</t>
  </si>
  <si>
    <t>ASISTENCIA TECNICA A REDES DE APOYO DE LAS FAMILIAS Y/O CUIDADORES DE PERSONAS MAYORES.</t>
  </si>
  <si>
    <t>CAPACITACIÓN HÁBITOS DE VIDA SALUDABLE.</t>
  </si>
  <si>
    <t>CAPACITACIÓN SOBRE LA LEY DE ADULTO MAYOR.</t>
  </si>
  <si>
    <t>Garantizar la asistencia y acompañamiento integral a las PcD, sus familias y/o cuidadores en las dimensiones corporales, individuales</t>
  </si>
  <si>
    <t>Puesta en marcha del plan visitas psicosocial domiciliarias a las PcD.</t>
  </si>
  <si>
    <t>Apoyo técnico en los informes y elaboración de planes.</t>
  </si>
  <si>
    <t>Suministrar los apoyos básicos alimentarios nutricionales en concordancia al plan de respuesta territorial.</t>
  </si>
  <si>
    <t>Suministrar los productos de apoyo en el marco de la habilitación / Rehabilitación Funcional en concordancia al plan de respuesta territorial.</t>
  </si>
  <si>
    <t>Asesoría en asistencia y acompañamiento en la generación de opciones productivas y de ingreso para el trabajo en concordancia al plan de respuesta territorial.</t>
  </si>
  <si>
    <t>Monitoreo ciudadano a las respuestas territoriales articuladas de protección a las PcD.</t>
  </si>
  <si>
    <t>Contribución :PACTO O ALIANZA POR LA INCLUSION SOCIAL Y PRODUCTIVA DE LAS PERSONAS CON DISCAPACIDAD. Cartagena de Indias</t>
  </si>
  <si>
    <t>Fomentar las capacidades y oportunidades de las personas con discapacidad para participar en escenarios institucionales, sociales y económicos en el marco de la articulación y transversalización de la oferta de bienes y servicios diferenciales del Distrito de Cartagena de Indias.</t>
  </si>
  <si>
    <t>Asistencia tecnica y suministro de materiales y de apoyo logistico a los eventos relacionados al fortalecimientos de la atencion integral y respuesta territorial.</t>
  </si>
  <si>
    <t>Realizar brigadas formativas por escenarios desde el enfoque de derechos  y deberes, fortalecimiento y generacion de oportunidades a las Personas con discapacidad.</t>
  </si>
  <si>
    <t>Establecer documento tecnico Estrategico de alianza (pacto) para la articulacion y transversalizacion de la oferta de bienes y servicios diferencial.</t>
  </si>
  <si>
    <t>Asegurar de manera sistémica, participativa y flexible la estrategia "Apalancamiento en la generación de Ingreso y Empleo de las Personas con Discapacidad en edad laboral.</t>
  </si>
  <si>
    <t>Fomentar el acompañamiento en la creación, fortalecimiento y aseguramiento sostenible de las organizaciones de personas con discapacidad para la garantía de su participación plena y efectiva en la adopción de todas las decisiones que los afecten en el Distrito de Cartagena de Indias.</t>
  </si>
  <si>
    <t>Implementar procesos de desarrollo de cadena de valor para la creacion, fortalecimiento, liderazgo y organización de las PcD dentro de las capacidades y generacion de oportunidades individuales y organiativas.</t>
  </si>
  <si>
    <t>Desarrollo LOCAL INCLUSIVO DE LAS PERSONAS CONDISCAPACIDAD: RECONOCIMIENTO DE CAPACIDADES, DIFERENCIAS Y DIVERSIDAD EN EL Cartagena de Indias</t>
  </si>
  <si>
    <t>Crear capacidad Institucional y operativa de los Comités Territoriales de Discapacidad a través de la promoción de su organización, articulación, movilización e incidencias políticas para los grupos de valor e interés en el Distrito de Cartagena.</t>
  </si>
  <si>
    <t>Realizar Campañas de sensibilización y publicitario del Sistema Distrital de Discapacidad e Inclusión Social y de la agenda de trabajo de los Comités Locales
de Discapacidad e Inclusión social.</t>
  </si>
  <si>
    <t>Diseñar y acompañar las piezas publicitarias de las campañas y de las agendas de trabajo.</t>
  </si>
  <si>
    <t>Suministro de materiales y apoyo logístico a las reuniones de cada sesiones de los Comités Territoriales de Discapacidad.</t>
  </si>
  <si>
    <t>Suministro servicio de transporte equipo de trabajo.</t>
  </si>
  <si>
    <t>Generar empoderamiento social, organizativo y de proceso de renovación en el marco de la representatividad, legalidad y legitimidad de las organizaciones de y para personas con discapacidad.</t>
  </si>
  <si>
    <t>Realizar asistencia profesional, técnica y logística en los procesos participativos de planificación de la acción para la renovación del Sistema de Discapacidad e Inclusión social en el marco del acuerdo 009 de 2019.</t>
  </si>
  <si>
    <t>Realizar asesoría, asistencia y/o capacitación permanente de acuerdo con las acciones preparatorias en el Territorio al funcionamiento de los Comités Locales de Discapacidad en el marco del Desarrollo Local Inclusivo.</t>
  </si>
  <si>
    <t>Reconocer en los grupos de valor e interés el valor del trabajo conjunto y coordinado a través del plan de fortalecimiento técnico y metodológico para la reformulación e implementación de la política integradora focalizada de Inclusion social a las personas con discapacidad.</t>
  </si>
  <si>
    <t>Realizar asesoría, asistencia y/o capacitación de acuerdo con acciones Especializadas, metodológicas y logística en los procesos de planificación participativa del plan de fortalecimiento técnico y metodológico del documento de política pública para su reformulación e implementación.</t>
  </si>
  <si>
    <t>Realizar asistencia profesional y técnica en el desarrollo, integración y mejoramiento del sistema de información y gestión de análisis de redes Sociales al tema de discapacidad</t>
  </si>
  <si>
    <t>APOYO A LAS PERSONAS HABITANTES DE CALLE CON DESARROLLO HUMANO INTEGRAL EN CARTAGENA DE INDIAS</t>
  </si>
  <si>
    <t>Generar acciones de inclusión social que contribuyan al desarrollo humano de los habitantes de calle, mediante un enfoque de derechos y de corresponsabilidad que facilite el acceso a servicios sociales y el desarrollo de sus potencialidades.</t>
  </si>
  <si>
    <t>Gestionar y realizar jornadas de atención ambulatorias dirigida a la población habitante de calle y organizar redes de apoyo.</t>
  </si>
  <si>
    <t>Fortalecimiento del equipo interdiciplinario para la atención de la población habitante de calle.</t>
  </si>
  <si>
    <t>Desarrollar acciones de sensibilización ciudadana frente a la problemática de la población habitante de calle.</t>
  </si>
  <si>
    <t>ACTUALIZACIÓN DIVERSIDAD SEXUAL E IDENTIDADES DE GÈNERO CARTAGENA DE INDIAS</t>
  </si>
  <si>
    <t>DISMINUIR EXCLUSIÓN Y DISCRIMINACIÓN EN LAS PERSONAS LGTBI EN EL DISTRITO DE CARTAGENA.</t>
  </si>
  <si>
    <t>INGRESOS CORRIENTES DE LIBRE DESTINACIÓN</t>
  </si>
  <si>
    <t>CAROLINA LEON NUÑEZ</t>
  </si>
  <si>
    <t>02-001-06-20-03-01-02-01</t>
  </si>
  <si>
    <t>Directora y  grupo  de Emprendimiento de la UMATA.</t>
  </si>
  <si>
    <t>02-001-06-20-03-01-10-01</t>
  </si>
  <si>
    <t>Umata y Secretaria de Participación y Desarrollo Social</t>
  </si>
  <si>
    <t>Secretaria de Hacienda</t>
  </si>
  <si>
    <t>Directora y  grupo  Agropecuario de la UMATA</t>
  </si>
  <si>
    <t>02-001-06-20-03-02 -03-02-01</t>
  </si>
  <si>
    <t>02-001-06-20-04-07-01-01</t>
  </si>
  <si>
    <t>Directora y  grupo  Agrope pesquero de la UMATA</t>
  </si>
  <si>
    <t>FORTALECIMIENTO Y DOTACIÓN CON MATERIALES A 15 ASOCIACIONES DE PESCADORES PERTENECIENTES A GRUPOS DE LA ETNI AFRO UBICADOS EN EL DISTRITO DE CARTAGENA DURANTEL CUATRIENIO 20209 A 2023</t>
  </si>
  <si>
    <t>02-001-06-20-03-02-03-03</t>
  </si>
  <si>
    <t>UMATA- SECRETARIA DE PARTICIPACION</t>
  </si>
  <si>
    <t>LUISA HORTA - CROLINA LEON</t>
  </si>
  <si>
    <t>EMPODERAMIENTO DE LIDERAZGOS DE LA MUJER, NINEZ, JOVENES, FAMILIA Y GENERACIÓN INDIGENAS</t>
  </si>
  <si>
    <t>02-001-06-20-03-01-10-02</t>
  </si>
  <si>
    <t>Carolina Leon Nuñez</t>
  </si>
  <si>
    <t>02-001-06-20-05-02-01-01</t>
  </si>
  <si>
    <t>02-001-06-20-05-02-02-01</t>
  </si>
  <si>
    <t>02-001-06-20-05-02-03-01</t>
  </si>
  <si>
    <t>02-001-06-20-05-02-04-01</t>
  </si>
  <si>
    <t>02-001-06-20-05-03-01-01</t>
  </si>
  <si>
    <t>02-001-06-20-05-03-02-01</t>
  </si>
  <si>
    <t>02-001-06-20-05-03-03-01</t>
  </si>
  <si>
    <t>02-001-06-20-05-03-04-01</t>
  </si>
  <si>
    <t>02-001-06-20-05-04-01-01</t>
  </si>
  <si>
    <t>02-001-06-20-05-04-02-01</t>
  </si>
  <si>
    <t>JOSEFA VALENZUELA GASTELBONDO</t>
  </si>
  <si>
    <t>ESTAMPILLA AÑOS DORADOS</t>
  </si>
  <si>
    <t>02-088-06-20-05-05-01-02</t>
  </si>
  <si>
    <t>Denis Arryo Matos</t>
  </si>
  <si>
    <t>02-001-06-20-05-06-01-01</t>
  </si>
  <si>
    <t>02-001-06-20-05-06-02-01</t>
  </si>
  <si>
    <t>02-001-06-20-05-06-03-01</t>
  </si>
  <si>
    <t>Milciades Osorio Diaz</t>
  </si>
  <si>
    <t>02-001-06-20-05-07-01-01</t>
  </si>
  <si>
    <t>02-001-06-20-05-08-01-01</t>
  </si>
  <si>
    <t>PROGRAMACIÓN META A 2021</t>
  </si>
  <si>
    <t>Implementar 4 Semanas por la productividad en Cartagena, como mecanismo de promoción empresarial. (1 por año)</t>
  </si>
  <si>
    <t>Vincular 800 unidades productivas participando de espacios de promoción, comercialización y acceso a nuevos mercados (local, nacional e internacional)</t>
  </si>
  <si>
    <t>Vincular a 100 unidades productivas con enfoque de innovación y uso de nuevas tecnologías. Programa “Emprendimiento INN” y con becas otorgadas.</t>
  </si>
  <si>
    <t>Implementar 1 laboratorio empresarial y laboral juvenil (padrinazgo empresarial, cultura empresarial, análisis y estudios sectoriales, modelos asociativos, teletrabajo, voluntariado).</t>
  </si>
  <si>
    <t>Semana por la productividad en Cartagena, implementada como mecanismo de promoción empresarial.</t>
  </si>
  <si>
    <t>N° de unidades productivas participando de espacios de promoción, comercialización y acceso a nuevos mercados (local, nacional e internacional)</t>
  </si>
  <si>
    <t>N° de unidades productivas con enfoque de innovación y uso de nuevas tecnologías. Programa “Emprendimiento INN” y con becas otorgadas.</t>
  </si>
  <si>
    <t>1 laboratorio empresarial y laboral juvenil implementado (padrinazgo empresarial, cultura empresarial, análisis y estudios sectoriales, modelos asociativos, teletrabajo, voluntariado).</t>
  </si>
  <si>
    <t>256 Organizaciones comunales dotadas</t>
  </si>
  <si>
    <t>Un (1) Consejo Distrital de Participación Ciudadana conformado y en funcionamiento.</t>
  </si>
  <si>
    <t>Una (1) Política Pública de Participación Ciudadana construida e implementada</t>
  </si>
  <si>
    <t>Número de Consejos Distritales de Participación Ciudadana conformados y en funcionamiento.</t>
  </si>
  <si>
    <t xml:space="preserve"> Política Pública de Participación Ciudadana construida e implementada</t>
  </si>
  <si>
    <t>1 Política Pública Reformulada y actualizada</t>
  </si>
  <si>
    <t>1 Instancia rectora de la Política Pública de Mujeres incluida en el proceso de modernización.</t>
  </si>
  <si>
    <t>Política Pública Reformulada y actualizada con línea base y documento final</t>
  </si>
  <si>
    <t>Instancia rectora de la Política Pública de Mujeres incluida en el proceso de modernización.</t>
  </si>
  <si>
    <t>14 acciones estratégicas de cumplimiento al comité unificado de lucha contra el delito de la trata de personas.</t>
  </si>
  <si>
    <t>Número de acciones estratégicas de cumplimiento al comité unificado de lucha contra el delito de la trata de personas.</t>
  </si>
  <si>
    <t>Aumentar el porcentaje de cupos para la atención especializada a niñas, niños y adolescentes con derechos amenazados, inobservados y/o vulnerados (en situación de explotación laboral y/o víctimas de violencia sexual u otro tipo de violencia al 1,5%.</t>
  </si>
  <si>
    <t>1,3% Funte: Secretaría de Participación y Desarrollo Social – Oficina de Niñez, Infancia y Adolescencia. 2019.</t>
  </si>
  <si>
    <t>800 cupos habilitados para la atención especializada de niños, niñas y adolescentes con derechos amenazados, inobservados y/o vulnerados (en situación de explotación laboral y/o víctimas de violencia sexual u otro tipo de violencia).</t>
  </si>
  <si>
    <t>Numero cupos habilitados para la atención especializada de niños, niñas y adolescentes con derechos amenazados, inobservados y/o vulnerados (en situación de explotación laboral y/o víctimas de violencia sexual u otro tipo de violencia).</t>
  </si>
  <si>
    <t>Atención especializada de niños, niñas y adolescentes con derechos amenazados, Inobservados y/o vulnerados</t>
  </si>
  <si>
    <t>Una (1) Política Pública de Infancia, Adolescencia y Fortalecimiento Familiar implementada y en ejecución.</t>
  </si>
  <si>
    <t>Formular el primer año de la actual administración, un (1) documento de Caracterización de la problemática de trabajo infantil en el Distrito</t>
  </si>
  <si>
    <t>Política Pública de Infancia, Adolescencia y Fortalecimiento Familiar</t>
  </si>
  <si>
    <t>Documento de Caracterización de la problemática de trabajo infantil en el Distrito</t>
  </si>
  <si>
    <t xml:space="preserve">Desarrollo de 4 sesiones CPS y de las Mesas Tematicas y Poblacionales (Primera Infancia, CIETI, MIAF) </t>
  </si>
  <si>
    <t xml:space="preserve"> Alistamiento para la Caracterizacion del la problemática de trabajo infantil en el Distrito. </t>
  </si>
  <si>
    <t>ARRIENDOS BIEN INMUEBLE PARA EL FUNCIONAMIENTO DE CENTROS DE VIDA.</t>
  </si>
  <si>
    <t>Impulsar 3 modificaciones y adaptaciones necesarias y adecuadas, que no impongan carga desproporcionada o indebida, en las dimensiones institucionales, sociales y económicas.</t>
  </si>
  <si>
    <t>No de Ajustes Razonables Impulsados en dimensiones institucionales, sociales y económicas.</t>
  </si>
  <si>
    <t>Establecer importancia al mecanismo Ajustes Razonables en las Dimensiones Institucionales, Sociales y Economicas que garanticen a las personas con discapacidad el ejercicio de igualdad de condiciones.</t>
  </si>
  <si>
    <t>Aumentar asistencia técnica y apoyo logístico para desarrollar el potencial productivo de las personas con Discapacidad, familia y/o cuidador.</t>
  </si>
  <si>
    <t>Formación Para El Trabajo - Generación De Ingresos y Responsabilidad Social Empresarial.</t>
  </si>
  <si>
    <t>Porcentaje de la Población en Situación de Calle del Distrito de Cartagena atendidos</t>
  </si>
  <si>
    <t>100% Secretaría de Participación y Desarrollo Social. 2019.</t>
  </si>
  <si>
    <t>Mantener el porcentaje del 100% de la Población en Situación de Calle del Distrito de Cartagena atendidos de manera integral basados en la Política Publica Social de Habitante de Calle.</t>
  </si>
  <si>
    <t>25 habitantes de calle beneficiados con Programas de Responsabilidad Social del Sector Privado</t>
  </si>
  <si>
    <t>170 habitantes de calle beneficiados con Programas de educación para el trabajo</t>
  </si>
  <si>
    <t>3 Organizaciones legalmente constituidas por habitantes de calle de acuerdo a su interés</t>
  </si>
  <si>
    <t>Apoyo A LA FORMACIÓN PARA EL TRABAJO GENERACIÓN DE INGRESOS Y RESPONSABILIDAD SOCIAL EMPRESARIAL A PERSONAS HABITANTES DE CALLE EN Cartagena de Indias</t>
  </si>
  <si>
    <t>Política Pública de Diversidad Sexual e Identidades de Género Distrital formulada</t>
  </si>
  <si>
    <t>Observatorio en Diversidad Sexual e Identidades de Género Distrital creado</t>
  </si>
  <si>
    <t>Formular 1 Política Pública de Diversidad Sexual e Identidades de Género Distrital</t>
  </si>
  <si>
    <t>Crear 1 Observatorio en Diversidad Sexual e Identidades de Género Distrital</t>
  </si>
  <si>
    <t>FORMULACIÓN DE LA POLÍTICA PUBLICA DE DIVERSIDAD SEXUAL E
IDENTIDADES DE GÉNERO CARTAGENA DE INDIAS</t>
  </si>
  <si>
    <t>A1, Aplicar registro laboral a los participantes de la ruta.</t>
  </si>
  <si>
    <t>A2, Desarrollar capacitación y asesorías empresariales a jóvenes emprendedores.</t>
  </si>
  <si>
    <t>ACTUALIZACIÓN Y REFORMULACION DE LA POLÍTICA PUBLICA DE MUJER CARTAGENA DE INDIAS</t>
  </si>
  <si>
    <t>ACTUALIZACIÓN INSTANCIA RECTORA DE LA POLÍTICA PÚBLICA DE MUJERES CARTAGENA DE INDIAS</t>
  </si>
  <si>
    <t>Elaboracion Plan de accion de la politica</t>
  </si>
  <si>
    <t>Desarrollar la iniciativa de promoción comercial “Semanas por la productividad en Cartagena”.</t>
  </si>
  <si>
    <t>MARISOL JIMENEZ</t>
  </si>
  <si>
    <t>Generar participación, de por lo menos 100 unidades productivas a los diferentes espacios propuestos.</t>
  </si>
  <si>
    <t>Generar, por lo menos, 20 acuerdos comerciales para los emprendimientos y unidades productivas.</t>
  </si>
  <si>
    <t>Desarrollar la iniciativa “Emprendimiento INN”, dirigida a emprendimientos con enfoque de innovación y uso de nuevas tecnologías. (documento proyecto de la iniciativa e implementaciòn y resultados).</t>
  </si>
  <si>
    <t>Desarrollar la iniciativa “Laboratorio laboral y empresarial juvenil”, con enfoque de conectividad y uso de nuevas formas digitales para la inclusión (documento proyecto de la iniciativa e implementaciòn y resultados).</t>
  </si>
  <si>
    <t>Construir una (1) plataforma digital Comunal.</t>
  </si>
  <si>
    <t>Crear e implementar un (1)Consejo Distrital de Participación Ciudadana</t>
  </si>
  <si>
    <t>Construir e implementar una (1)Política Pública de Participación</t>
  </si>
  <si>
    <t>Diagnostico (Análisis de la situación de las mujeres).</t>
  </si>
  <si>
    <t>Consulta publica</t>
  </si>
  <si>
    <t>Reformular y actualizar la Política Pública de Mujer</t>
  </si>
  <si>
    <t>Formulación y Aprobación</t>
  </si>
  <si>
    <t>Elaboración plan de acción para operativización de la política</t>
  </si>
  <si>
    <t>Elaboración de la propuesta técnica, el acto administrativo y Gestión ante el ente gubernamental, el consejo distrital y asistencia técnica de la función pública.</t>
  </si>
  <si>
    <t>Crear una instancia rectora de la política pública para las mujeres en Cartagena</t>
  </si>
  <si>
    <t>1.600 niños, niñas y adolescentes que  participan de los consejos de infancia y adolescencia u otros escenarios de participación.</t>
  </si>
  <si>
    <t>Asistencia EN LA GESTIÓN SOCIAL INTEGRAL Y ARTICULADORA POR LA PROTECCION DE LAS PERSONAS CON DISCAPACIDAD Y/O SU FAMILIA O CUIDADOR. Cartagena de Indias</t>
  </si>
  <si>
    <t>Capacitar, orientar y brindar formación en artes y oficios a 170 habitantes de calle, a partir de la estrategia "Centros para el emprendimiento y la gestión de la empleabilidad".</t>
  </si>
  <si>
    <t>Capacitación, orientación y formación de habitantes de calle en artes y oficios, en el marco de la estrategia Centros para el Emprendimiento y la Gestión de la Empleabilidad en Cartagena.</t>
  </si>
  <si>
    <t>Gestionar oportunidades de formación y vinculación laboral de acuerdo a los perfiles formados.</t>
  </si>
  <si>
    <t>Participar en el laboratorio empresarial laboral y juvenil en el marco de la estrategia de inclusión productiva, Centros para el Emprendimiento y la Gestión de la Empleabilidad.</t>
  </si>
  <si>
    <t>Brindar orientación, acompañamiento y asistencia técnica para la constitución legal de tres (3) organizaciones conformadas por habitantes de calle.</t>
  </si>
  <si>
    <t>Capacitación, asesoría en componentes empresariales y acompañamiento para los trámites y etapas de constitución legal.</t>
  </si>
  <si>
    <t>Participar en los espacios de promoción comercial en el marco de la estrategia de inclusión productiva Centros para el Emprendimiento y la Gestión de la Empleabilidad</t>
  </si>
  <si>
    <t>Realizar vinculación a 25 habitantes de calle en procesos de responsabilidad social, mediante jornadas de atención, procesos formativos, asistencias y entrega de ayudas</t>
  </si>
  <si>
    <t>Aplicar registro laboral a los habitantes de calle participantes de la ruta.</t>
  </si>
  <si>
    <t>Número de habitantes de calle beneficiados con Programas de Responsabilidad Social del Sector Privado.</t>
  </si>
  <si>
    <t>Número de habitantes de calle beneficiados con Programas de educación para el trabajo.</t>
  </si>
  <si>
    <t>Organizaciones legalmente constituidas por habitantes de calle de acuerdo a su interés.</t>
  </si>
  <si>
    <t>Desarrollar un plan de formación a funcionarios y funcionarias sobre los derechos de la población LGTBIQ.</t>
  </si>
  <si>
    <t>Servicio de consultoría y logística para la creación del observatorio</t>
  </si>
  <si>
    <t>Desarrollar jornadas de sensibilización para el respeto y el reconocimiento de los derechos de las personas LGTBIQ del Distrito de Cartagena</t>
  </si>
  <si>
    <t>Formular la política pública LGTBIQ del Distrito de Cartagena</t>
  </si>
  <si>
    <t>Elaboración plan de acción para operativización de la política.</t>
  </si>
  <si>
    <t>2350 
Fuente umata 2019</t>
  </si>
  <si>
    <t>Esterilización de 7000 animales callejeros</t>
  </si>
  <si>
    <t xml:space="preserve">Presentar una  propuesta de la Politica Publica </t>
  </si>
  <si>
    <t>CARTAGENA EMPRENDEDORA MPARA pequeños productore rurales</t>
  </si>
  <si>
    <t>En Proceso</t>
  </si>
  <si>
    <t>PILAR RESILIENTE</t>
  </si>
  <si>
    <t xml:space="preserve">“SALVEMOS JUNTOS NUESTRO PATRIMONIO NATURAL” </t>
  </si>
  <si>
    <t>VEHICULOS DE TRACCION
 ANIMAL SUSTITUIDOS</t>
  </si>
  <si>
    <t>SUSTITUIR 100% EN CENSO DE VTA</t>
  </si>
  <si>
    <t>IMPLMENTACIÓN PROYECTO OPERACIÓN DENTRO
 DE ATENCIÓN Y PROTECCIÓN ANIMAL-VEHICULOS DE TRACCION ANIMAL CARTAGENA DE INDIAS</t>
  </si>
  <si>
    <t>ENTEGAR EN ADOPCION A 274 ANIMALES RECUPERADOS QUE ERAN 
UTILIZADOS COMO VEHICILOS DE TRACCION ANIMAL EN EL DISTRITO DE CARTAGENA</t>
  </si>
  <si>
    <t xml:space="preserve">UMATA </t>
  </si>
  <si>
    <t>PROYECTO OPERACIÓN DENTRO
 DE ATENCIÓN Y PROTECCIÓN ANIMAL-VEHICULOS DE TRACCION ANIMAL</t>
  </si>
  <si>
    <t>02-001-06-20-01-01-08-02</t>
  </si>
  <si>
    <t>ESTRATEGIAS DE EMPRENDIMIENTO Y EMPRESARISMO PARA LA INCLUSION PRODUCTIVA Y LA VINCULACION LABORAL EN EL DISTRITO DE CARTAGENA DE INDIAS. ET+</t>
  </si>
  <si>
    <t>02-001-06-10-03-01-01-01</t>
  </si>
  <si>
    <t>MUJERES CON AUTONOMIA ECONOMICA EG+</t>
  </si>
  <si>
    <t>EMPLEO INCLUSIVO PARA LOS JOVENES ET+</t>
  </si>
  <si>
    <t>02-001-06-20-03-01-03-02</t>
  </si>
  <si>
    <t>FORTALECIMIENTO DE LA PARTICIPACION CIUDADANA Y COMINITARIA PARA SALVAR JUNTOS A CARTAGENA. ET+</t>
  </si>
  <si>
    <t>LAS MUJERES DECIDIMOS EN EL EJERCICIO DEL PODER EG+</t>
  </si>
  <si>
    <t>UNA VIDA LIBRE DE VIOLENCIAS PARA LAS MUJERES EG+</t>
  </si>
  <si>
    <t>MUJERES CONSTRUCTORAS DE PAZ EG+</t>
  </si>
  <si>
    <t>CARTAGENA LIBRE DE UNA CULTURA MACHISTA EG+</t>
  </si>
  <si>
    <t>COMPROMETIDOS CON LA SALVACION DE NUESTRA PRIMERA INFANCIA  ET+</t>
  </si>
  <si>
    <t>PROTECCION DE LA INFANCIA Y LA ADOLESCENCIA PARA LA PREVENCION Y ATENCION DE VIOLENCIAS ET+</t>
  </si>
  <si>
    <t>LOS NINOS, LAS NINAS Y ADOLESCENTES DE CARTAGENA PARTICIPAN Y DISFRUTAN SUS DERECHOS  ET+</t>
  </si>
  <si>
    <t>FORTALECIMIENTO FAMILIAR ET+</t>
  </si>
  <si>
    <t>JOVENES PARTICIPANDO Y SALVANDO A CARTAGENA ET+</t>
  </si>
  <si>
    <t>POLITICA PUBLICA DE JUVENTUD ET+</t>
  </si>
  <si>
    <t>ATENCION INTEGRAL A LOS ADULTO MAYORES EN ESTADO DE ABANDONO, MALTRATO Y SITUACION DE CALLE. ET+</t>
  </si>
  <si>
    <t>ATENCION INTEGRAL A LOS ADULTOS MAYORES EN CENTROS DE VIDA Y GRUPOS ORGANIZADOS ET+</t>
  </si>
  <si>
    <t xml:space="preserve">GESTION SOCIAL INTEGRAL Y ARTICULADORA POR LA PROTECCION DE LAS PERSONAS CON DISCAPACIDAD Y/O SU FAMILIA O CUIDADOR. ET+ </t>
  </si>
  <si>
    <t>PACTO O ALIANZA POR LA INCLUSION SOCIAL Y PRODUCTIVA DE LAS PERSONAS CON DISCAPACIDAD. ET+</t>
  </si>
  <si>
    <t>DESARROLLO LOCAL INCLUSIVO DE LAS PERSONAS CON DISCAPACIDAD: RECONOCIMIENTO DE CAPACIDADES, DIFERENCIAS Y DIVERSIDAD. ET+</t>
  </si>
  <si>
    <t>HABITANTE DE CALLE CON DESARROLLO HUMANO INTEGRAL ET+</t>
  </si>
  <si>
    <t>FORMACION PARA EL TRABAJO - GENERACION DE INGRESOS Y RESPONSABILIDAD SOCIAL EMPRESARIAL PARA LOS HABITANTES DE CALLE DEL DISTRITO DE CARTAGENA. ET+</t>
  </si>
  <si>
    <t>02-001-06-20-05-07-02-01</t>
  </si>
  <si>
    <t>DIVERSIDAD SEXUAL E IDENTIDADES DE GENERO. ET+</t>
  </si>
  <si>
    <t>REALIZAR SEGUIMIENTO A LOS ANIMALES ENTREGADOS Y CAPACITAR A LOS NUEVOS PROPIETARIOS</t>
  </si>
  <si>
    <t>ENTREGAR EN ADOPCION LOS EQUINOS UTILIZADOS COMO  VTA SUSTITUIDOS</t>
  </si>
  <si>
    <t>RECEPCION DE LOS EQUINOS USADOS COMO VTA Y SUSTITUDIOS  EN EL DISTRITO DE CARTAGENA</t>
  </si>
  <si>
    <t>ATENCIÓN Y ADOPCIÓN DE ANIMALES QUE SON PARTE DEL PROCESO DE SUSTITUCIÓN DE VTA. RECEPCIÓN DE EQUINOS</t>
  </si>
  <si>
    <t>META EJECUTADA A 31-03-2021</t>
  </si>
  <si>
    <t>OBSERVACIONES 31-03-2021</t>
  </si>
  <si>
    <r>
      <rPr>
        <b/>
        <sz val="12"/>
        <rFont val="Arial"/>
        <family val="2"/>
      </rPr>
      <t>6</t>
    </r>
    <r>
      <rPr>
        <sz val="12"/>
        <rFont val="Arial"/>
        <family val="2"/>
      </rPr>
      <t xml:space="preserve"> Fuente: Secretaría de Participación y Desarrollo Social. 2019</t>
    </r>
  </si>
  <si>
    <t>Presupuesto Ejecutado 31-03-2021</t>
  </si>
  <si>
    <t>Se tiene previsto reunion el dia 23 de abril para realizar, alianza publico privado con empresas para la generacion de empleo y procesos de emprendimiento para 15 mujeres.</t>
  </si>
  <si>
    <t>Desarrollar la estrategia Escuelas de Formación a 300 Mujeres</t>
  </si>
  <si>
    <t xml:space="preserve">Promocion de la ruta de atencion, entidades de acceso a la justicia y violentometro en el marco de la campaña Voces que no callan </t>
  </si>
  <si>
    <t xml:space="preserve">Asistencia tecnica de ONU Mujeres, Programa de Gobernabilidad de USAID, Secretaria de Planeacion Distrital, Escuela de Gobierno y organzaciones de mujeres para el proceso de rendicion de cuentas, formulacion y actualizacion de la politica publica. </t>
  </si>
  <si>
    <t>Desarrollar un (1) plan de formación sobre el delito de la trata de personas que incluya tres (3) acciones de fortalecimiento a la ruta de protección y atención del Comité</t>
  </si>
  <si>
    <t>Realizar tres (3) conmemoraciones al día mundial contra el delito de la trata de personas.</t>
  </si>
  <si>
    <t>Diseñar e Implementar una (1) campaña institucional para la prevención del delito de la trata de personas con su respectiva evaluación que mida los resultados.</t>
  </si>
  <si>
    <t>Desarrollar una (1) Línea de Investigación para la para la prevención del delito de la trata de personas.</t>
  </si>
  <si>
    <t xml:space="preserve">Acompañamiento de OIM en asistencia tecnica para el comité distrital de lucha contra el delito de la trata de personas </t>
  </si>
  <si>
    <t xml:space="preserve">En proceso de revision con las organizaciones de la sociedad civil </t>
  </si>
  <si>
    <t xml:space="preserve">Se definieron las IE para inciar el proceso </t>
  </si>
  <si>
    <t xml:space="preserve">La campaña de de comunicación aprobada en la vigencia inmediatamente anterior, continua siendo promocionada a traves de las redes sociales de la Secretaria. </t>
  </si>
  <si>
    <t>ASITENCIA CARTAGENA FOMENTA LA CIENCIA  TECNOLOGIA E INNOVACION: JUNTOS POR LA EXTENSIÓN AGROPECUARIA  CARTAGENA DE INDIAS.</t>
  </si>
  <si>
    <t>Implementar convenio con albergue para atencion medico veterinaria integral para animales domesticos en condicion de calle del distrito.</t>
  </si>
  <si>
    <t>En fase de articulación con el IDER - IPCC para coordinar como será llevado a cabo el cumplimiento de este indicadoe en el presente año.</t>
  </si>
  <si>
    <t>A la espera de aprobación del documento de diagnostico participativo por parte de la Secretaría de Planeación para continuar con la agenda de P.P.D.J.</t>
  </si>
  <si>
    <t>Elaboracion del documento Diagnostico de la Politica Publica de Juventud.</t>
  </si>
  <si>
    <t>ENTREGAR EN ADOPCION LOS EQUINOS UTILIZADOS COMO VTA SUSTITUIDOS.</t>
  </si>
  <si>
    <t>RECEPCION DE LOS EQUINOS USADOS COMO VTA Y SUSTITUDIOS  EN EL DISTRITO DE CARTAGENA.</t>
  </si>
  <si>
    <t>REALIZAR SEGUIMIENTO A LOS ANIMALES ENTREGADOS Y CAPACITAR A LOS NUEVOS PROPIETARIOS.</t>
  </si>
  <si>
    <t>Dotacion a familias de mujeres indigenas</t>
  </si>
  <si>
    <t>Dotar a (43) Organizaciones Comunales de equipos informáticos, muebles y enseres</t>
  </si>
  <si>
    <t>Las acciones desarolladas a partir de este programa se encuentran en fase de planeación y estudios previos.</t>
  </si>
  <si>
    <t>No se ha realizado acciones para esta actividad.</t>
  </si>
  <si>
    <t>Servicios de atención Integral mediante hogar de paso, para la resocializacion, inclusión al núcleo familiar y laboral.</t>
  </si>
  <si>
    <t xml:space="preserve">EN PROCESO DE CONTRATACION DE DOS MEDICOS VETERINARIOS PARA AQTENCION DE EQUINOS USADOS COMO VTA EN EL DISTRITO DE CARTAGENA, EQUIPO ADMINISTRATIVO Y LEGAL, PARA LLEVAR A CABO PROCESOS PERTINENTES DEL PROYECTO CDP #32  *PROCESO DE CONTRATACION DE ALBERGUE TEPORAL PARA TENENCIA DE EQUINOS SUSTITUIDOS POR EL DATT O LOS DECOMISADOS POR MALTRATO EN EL DISTRITO. *PROCESO DE ESTRUCTURACION PROCESO DE CONTRATACION FUNDACION DE APOYO SOCIAL PARA CAPACITACIONES DE TENEDORES DE EQIDOS Y FUTUROS ADOPTANTES, SEGUIMIENTO A ADOPCIONES.                             *SE REALIZARON CAMPAÑAS DE VACUNACION, VITAMINIZACION, DESPARACITACION, MEDIDAS Y PESAJE DE EQUINOS USADOS COMO VEHICULOS DE TRACCION ANIMAL EN EL DISTRITO.  EN LAS CAMPAÑAS DE VACUNACIÓN DE 2021 SE ATENDIERON 149  ANIMALES (CABALLOS, ASNOS Y MULOS)                                </t>
  </si>
  <si>
    <t>PROCESO DE CONTRATACION CONVENIO DE ASOCICIACION PARA RECONOCIMIENTO Y DOTACION A MUJERES INDIGENAS EN ACTIVIDAD PROPIA.                                                PROCESO DE CONTRATACION PSICOLOGA PARA SEGUIMIENTO, CAPACITACION Y APOYO PSICOSOCIAL A MUJERES INDIGENAS DEL DISTRITO.</t>
  </si>
  <si>
    <t>EL PROCESO DE FORMACIÓN Y CAPACITAICÓN, LO ESTAMOS REALIZANDO CON UNA ORGANIZACIO, QUE ES LA FEDERACIÓN DE PESCADORES FEDECARIBOL. QUE A SU VEZ ESTA CONFORMADA POR 25 ORGANIZACIONES DE PESCADORES. EN APOYO DE SENA SE IMPARTIO CAPACITACION EN FORTALECIMIENTO EMPAQUE Y COMERCIALIZACION DE PRODUCTOS A TRAVES DE LAS REDES SOCIALES OCOMERCIO ELECTRONICO - FEDECARIBOL BARRIO CHINO QUE AGRUPA A 30 ASOCIACIONES DEL DISTRITO.                      SE PREPARA CONVENIO PARA CAPACITAR A 5 ASOCIACIONES Y DOTARDE MATERIALES.        PROCESO DE CONTRATACION DE BIOLOGO MARINO PARA APOYAR LA CONTINUA COMUNICACION CON LAS ASOCIACIONES DE PESCADORES, Y CAPACITAR EN ARTES DE PESCA.</t>
  </si>
  <si>
    <t>SE ATENDIO A LOS PRODUCTORES RURALES MEDIENTE LAS VISITA PEDIALES, TALLERES, CAPACITACIONES, ENTREGA DE INSUMOS Y ASISTENCIA TÉCNICA.                                         SE ESTAN REALIZANDO TALLERES DE AGRICULTURA URBANA EN LA POPA Y PONTEZUELA SUMINISTRO DE SEMILLAS Y ASISTENCIA TECNICA.     ESTA EN PROCESO LA SOLICITUD DE SDP PARA CONTRATACION  DE UNA CORPORACION PARA CAPACITAR EN AGRICULTURA URBANA EN EL DISTRITODE CARTAGENA.</t>
  </si>
  <si>
    <t>Se solicito CDP para covenio con asociacion para impulsar emprendimientos rurales en el distrito,  se han realizado visiatas tecnicas con posibilidad de emprendimientos</t>
  </si>
  <si>
    <t>Proceso de revision de documento entregados, para formular borrador.</t>
  </si>
  <si>
    <t>Dos propuestas para convenios se estan realizando visitas y negociaciones para la atencion integral y de urgencias de animales domesticos en condicion de calle.</t>
  </si>
  <si>
    <t>Se esta realizando actividades pedagogicas por redes sociales, e invitando a las autoridades y fundaciones para hacer parte de lajunta protectora de animales, invitando a las entidades que hacen parte de la junta, como la iglesia, el dadis, comunidad estudiantil, fundaciones, personas que se encargan de velar por los animales.</t>
  </si>
  <si>
    <t>reparacion de borrador por el profesional especializado de planta</t>
  </si>
  <si>
    <t xml:space="preserve">Programa: Habitante De Calle Con Desarrollo Humano Integral </t>
  </si>
  <si>
    <t>LÍNEA ESTRATÉGICA: DESARROLLO ECONÓMICO Y EMPLEABILIDAD</t>
  </si>
  <si>
    <t>Proyectos Productivos y Generacion de Ingresos Secretaría de Participación y Desarrollo Social.</t>
  </si>
  <si>
    <t>Oficina de Asuntos para la Mujer  Secretaría de Participación y Desarrollo Social</t>
  </si>
  <si>
    <t>Oficina Programa de Juventud    Secretaría de Participación y Desarrollo Social</t>
  </si>
  <si>
    <t>YULISKA DE LA HOZ</t>
  </si>
  <si>
    <t>Oficina de Formacion Ciudadana y Gestion Comunitaria   Secretaría de Participación y Desarrollo Social</t>
  </si>
  <si>
    <t>NUBIA CORONEL DE GARCIA</t>
  </si>
  <si>
    <t>Oficina de Asuntos para la mujer Secretaría de Participación y Desarrollo Social</t>
  </si>
  <si>
    <t>Oficina de Infancia y  Familia     Secretaría de Participación y Desarrollo Social.</t>
  </si>
  <si>
    <t>MILADY NIÑO OROZCO</t>
  </si>
  <si>
    <t>Oficina Programa de Jouventud    Secretaría de Participación y Desarrollo Social</t>
  </si>
  <si>
    <t>Oficina Prohrama de Atención a las Personas Mayores   Secretaría de Participación y Desarrollo Social</t>
  </si>
  <si>
    <t>Oficina Programa de Discapacidad - Secretaria de Participación y Desarrollo Social</t>
  </si>
  <si>
    <t>Oficina de Atención Poblacion Habitantes de Calle    Secretaría de Participación y Desarrollo Social</t>
  </si>
  <si>
    <t>Vincular laboralmente alos habitantes de calle participantes en el marco del modelo de empleo productivo propuesto en la estrategia de inclusión productiva Centros de Emprendimiento y Gestión de la Empleabilidad.</t>
  </si>
  <si>
    <t>Oficina de Asuntos para la mujer  Secretaría de Participación y Desarrollo Social</t>
  </si>
  <si>
    <t>Presupuesto Ejecutado 15-06-2021</t>
  </si>
  <si>
    <t xml:space="preserve">02-088-06-20-05-05-01-01                                  </t>
  </si>
  <si>
    <t>02-109-06-20-05-05-01-01</t>
  </si>
  <si>
    <t xml:space="preserve">ESTAMPILLA AÑOS DORADOS     </t>
  </si>
  <si>
    <t>RENDIMIENTOS FINANCIEROS ESTAMPILLAS AÑOS DORADOS</t>
  </si>
  <si>
    <t>ATENCION INTEGRAL A LOS ADULTOS MAYORES EN CENTROS
DE VIDA Y GRUPOS ORGANIZADOS ET+ - Rendimientos
Financieros Estampilla Anos Dorados</t>
  </si>
  <si>
    <t>% DE EJECUCION</t>
  </si>
  <si>
    <t>ACTIVIDAD EJECUTADA HASTA EL 31-03-2021</t>
  </si>
  <si>
    <t>ACTIVIDAD EJECUTADA HASTA EL 30-06-2021</t>
  </si>
  <si>
    <t>Una (1) Política Pública Comunal del Distrito de Cartagena construida e implementada.</t>
  </si>
  <si>
    <t>Una (1) Plataforma comunal construida</t>
  </si>
  <si>
    <t>META EJECUTADA A 30-06-2021</t>
  </si>
  <si>
    <t>El convenio aun no se ha firmado con la entidad formativa "SENA", el documento  esta en juridica para revision y posterior firma, sin embargo desde ya  se estan implementando acciones</t>
  </si>
  <si>
    <t>Las unidades productivas participaran en la semana de la productividad el 15 y 16 de julio</t>
  </si>
  <si>
    <t>De manera presencial se viene realizando asesorias tecnica, juridica y contable a las organizaciones comunales en las tres localidades del distrito de cartagena; igualmente, peticion de estas, se les viene acompañando y brindando asesoria en la resolucion de conflictos organizativos , manejo adecuado de libros contables, de afiliados y de actas, como tambien, en todo lo que tiene que ver con el registro unico comunal, registro unico tributario, reforma estatutaria, segregacion y constitucion de nuevas juntas de accion comunal. Todas estas actividades se realizaron, cumplindo con los protocolos de bioseguridad.</t>
  </si>
  <si>
    <t>De manera virtual y presencial, se vienen capacitando a los dignatarios y afiliados de las organizaciones comunales, en legislacion comunal y procesos de eleccion de dignatarios comunales, con el fin de brindar los conocimientos basicos, para el correcto ejercicio de sus funciones y el cumplimiento de la normatividad comunal.</t>
  </si>
  <si>
    <t xml:space="preserve"> Atraves del equipo de tecnicos comunitarios, se viene realizando un inventario a las organizaciones comunales, con el fin de identificar sus necesidades de dotacion, y contar con la informacion que  permita priorizar las organizaciones que seran dotadas.  igualmente se está gestionando la consecucion de los recursos, que permita avanzar en el cumplimiento de la meta. </t>
  </si>
  <si>
    <t>Se han capacitado, asesorado y orientado de manera virtual y presencial, a dignatarios y afiliados de  las organizaciones comunales en formulación de programas y proyectos empresariales y emprendimiento comunal, con el fin de fortalecer las comisiones empresariales de estas organizaciones.</t>
  </si>
  <si>
    <t>De manera presencia y virtual,  han capacitado  a dignatarios s de  las organizaciones comunales en elaboracion de planes gestion social y de desarrollo comunal, posibilitando a estas organizaciones herramientas consectuales y metodologica para la formulacion e implementacion de los mismos.</t>
  </si>
  <si>
    <t>Se le brindó asesoria y acompañamiento mediante contacto via telefonica para identificar el grado de riesgo y la implementacion de medidas urgentes para su seguridad personal y garantia de derecho.</t>
  </si>
  <si>
    <t xml:space="preserve">Se están gestionando las alianzas estrategicas y la articulacion institucional  para avanzar en las diferentes fases que  el cumplimiento de la meta. </t>
  </si>
  <si>
    <t xml:space="preserve">Se avanzó con la fase de planeacion y alistamiento y se está trabajando de manera articulada con Planeacion distrital, para el inicio de la fase agenda publica. Esta requiere la asisignacion de recursos  para el desarrollo de las actividades previstas. (Diagnostico participativo, transporte, refrigerio, material pedagogico Etc.) </t>
  </si>
  <si>
    <t xml:space="preserve">Se  avanzó con la revision del decreto 0434 del 27 de abril de 2018, por medio del cual se conforma el Consejo Distrital de Participacion Ciudadana del distrito Cartagena de Indias, con el fin de hacer  ajustes para incluir algunos  actores que en el momento de su elaboracion no se tuvieron en cuenta. Igualmente, se viene recibiendo asespria del Ministerio del interior, para los temas de convocatoria, conformacion, instalacion, reglamento interno y plan de accion del Consejo de Participacion Ciudadana. </t>
  </si>
  <si>
    <t>La implementacion del Consejo Distrital de Participacion Ciudadana, conforme a lo establecido en la Ley 1757 de 2015, en su articulo 81, nos permitirá establecer las condiciones para la definicion, promocion, diseño, seguimiento y evaluacion de la Politica Publica de Participacion Ciudadana en el Distrito de cartagena.</t>
  </si>
  <si>
    <t>Se realizaron encuentros ciudadanos y comunales, reuniones y diálogos con el Secretario de Participación y Desarrollo Social, posibilitando a los ciudadanos ser parte activa en la toma de decisiones de carácter institucional, social y comunitario.</t>
  </si>
  <si>
    <t xml:space="preserve">Las actividades formativas fueron desarrolladas en alianza con entidades y comunidades como Asociación Mundo Infantil, Hogar Infantil Comunitario Don Blas, Hogar Comunitario San Blas, Comunidad Del Barrio Chiquinquirá, Asociación Pablo Vi, Comunidad Del Barrio Colombiaton, Villas de Aranjuez Asociación Fragata, Arroz Barato sector la paz, quienes recibieron capacitacion relacionada con pautas de crianza amorosa, proteccion en el hogar y sobre la ruta de atencion a la primera infancia, todo con el fin de que niños y niñas de 0 a 5 años crezcan con familias que protejan sus derechos con entornos saludables para su crecimiento y desarrollo.  </t>
  </si>
  <si>
    <t xml:space="preserve">A final del mes de junio se logro formalizar la contratacion con el operador del Hogar de Paso, Fundacion Hijos de Bolivar, persona Juridica con licencia de funcionamiento expedida por el ICBF para el desarrollo de la atencion, el cual se deja en condiciones para la prestacion de servicios con disponiblidad para atencion durate los 7 dias de la semana. </t>
  </si>
  <si>
    <t xml:space="preserve">Se avanza en las gestiones correspondientes a la contratacion de un Operador  para la atención especializada o coplementaria de niños, niñas y adolescentes con derechos amenazados, inobservados y/o vulnerados (en situación de explotación laboral y/o víctimas de violencia sexual u otro tipo de violencia)
</t>
  </si>
  <si>
    <t xml:space="preserve">Las actividades realizadas para el cumplimiento de la esta meta se han llevado a cabo en articulacion con las siguientes instituciones y comunidades, Barrio Policarpa, Colegio Colombo Bolivariano, Barrio Nelson Mandela, Institución educativa José Manuel Rodríguez Torices, Institución educativa Clemente Manuel Zabala. 
Para la poblacion infantil y adolescente se siguen ofertando las atenciones psicosociales de manera virtual y presencial, estas atenciones se llevan a cabo a traves de las solicitudes realizadas por la comunidad por los medios habilitados como correo electronico, numero de Whatsapp o durante el desarrollo de las actividades formativas de manera presencial. 
Igualmente se han llevado a cabo jornadas de sensibilización y búsqueda activa presencial en Centro Histórico, Castellana, Bomba el Amparo, o y Avenida del Consulado, sectores priorizados para el desarrollo de estas actividades por las amplias zonas comerciales y turísticas con las que cuentan. </t>
  </si>
  <si>
    <t xml:space="preserve">En el marco del proceso de creacion del Mecanismo Articulador para el Abordaje Integral de las Violencias por Razones de Género en Distrito se priorizo en el plan de accion estipulado la revision y actualizacion de la ruta de atencion a la violencias sexual, por lo que se espera que en el segundo semestre del año se tenga una ruta actualizada. 
El dia 13 de mayo se llevo a cabo la segunda sesion del Comite Interinstitucional Consultivo para la prevencion y atencion de las violencias sexuales con especial enfasis en NNA, dentro de los compromisos establecidos esta la entrega por parte de las entidades del comite de los insumos para la construccion de la PPPIIAFF. </t>
  </si>
  <si>
    <t xml:space="preserve">Con el objetivo de Conmemorar el día mundial del trabajo infantil en el distrito de Cartagena y desarrollar  estrategias que promuevan la erradicación de esta problematica y sus peores formas, se realizaron, durante la semana del 8 al 12 de junio ,las actividades definidas en el cronograma elaborado con el CIETI Distrital. 
Las actividades desarrolladas fueron: 
Jornadas lúdicas y recreativas  “Los NNA decimos SI al Juego, y NO al Trabajo Infantil”, teniendo como objetivo Desarrollar espacios de participación para el disfrute del derecho al juego desde las ludotecas y casa lúdica con actividades recreativas y formativas, como una estrategia para la prevención del trabajo infantil, se llevaron a cabo 4 jornadas en los Nelson Mandela, Olaya sector Foco Rojo (cancha), Bayunca (Casa Amarilla) y en la casa Lúdica de Colombiaton. 
Festival Salvemos a la niñez de Cartagena: Pongamos fin al trabajo infantil, esta actividad tuvo como objetivo desarrollar una estrategia de fortalecimiento de cultura ciudadana y de sensibilización, donde se tomaron  tres puntos críticos de la ciudad (semáforos) con mayor presencia de trabajo infantil. Llevando y mostrando mensajes alusivos a la prevención y erradicación del trabajo infantil, a través de pasacalles, volanteo. 
Escuela para Padres con el objetivo de sensibilizar y formar e informar a madres, padres y cuidadores de las niñas, los niños y adolescentes en la prevención del trabajo infantil a través de se llevaron a cabo espacios de formación virtual a través de las plataformas teams, meet o zoom y presenciales, estas actividades se llevaron a cabo en articulación con IDER,  tuvieron una metodología lúdico pedagógica, motivando la participación de los asistentes a través de actividades lúdicas que facilitaron el intercambio de opiniones y el aprendizaje a través de las vivencias y experiencias de cada participante. 
Facebook Live a través de una transmisión en vivo se llevo a cabo una de las actividades de la conmemoración del día mundial de la prevención del trabajo infantil, durane el evento se mostraron testimonios de NNA que han estado en situación de trabajo infantil, además de contar con la participación y conocimiento de un personaje representativas de la ciudad por su lucha contra el trabajo infantil quien  conto su experiencia en el trabajo desarrollado. 
Ademas de todas estas acciones se publicaron en las redes sociales de la Seretaria piezas alusivas a la conmemoracion.
En la jornada de sensibilizacion llevada a cabo en el centro historico se conto con la participacion de la gestora Social del Distrito, quien se unio al mensaje de prevencion que se entregoa turistas, visitantes y prestadores de servicios turisticos. 
En alianza con Transcaribe y para cerrar el mes de la prevencion del Trabajo Infantil se llevo a cabo una jornada de sensibilizacion en las estaciones de Transcaribe la primera se desarrollo el dia 28 de junio en la estacion Bodeguita y la proxima se realizara el dia 1 de julio en las estaciones Madre Bernarda y Castellana. 
Otra de las acciones implementadas fue la jornada de sensibilizacion "Refreskito", dirigida tenderos y dueños de terrazas y bares de la localidad 2, especificamente en el barrio Olaya por el sector del Cuartelillo, esta jornada conto con la participacion de la Secretaria de Participacion Paola Pianeta, quien llego a diferentes tiendas y negocios a dejarles el mensaje de la importancia de prevenir el consumo de alcohol en niños, niñas y adolescentes, dejando a tras esas constumbre y practicas insanas que afectan el bienestar de este grupo poblacional. </t>
  </si>
  <si>
    <t xml:space="preserve">Durante el mes de junio se articularon acciones de promocion del derecho al juego y la recreacion con las siguientes instituciones y comunidades: JAC Villa De Aranjuez, Colegio Nueva Generación, Hogar Infantil Comunitario Don Blas, JAC Barrio El Nazareno, Junta De Acción Comunal Barrio Flor Del Campo, Junta De Acción Comunal - Barrio Villas De Aranjuez Sec. Bolívar, Cabildo Indígena De Membrillal, Centro Educativo Integral Colombia, Instituto El Edén, Lider Comunitaria Sector Nueva Colombia, JAC Chapacua, JAC Barrio El Pozón, Pozón Sector Isla De León, Fundación Comienzo A Vivir, I.E Soldados De Jesús, Instituto Paulo Freire Uds Manzanillo, Comunidad Barrio Escallonvilla, JAC  Barrio 13 De Junio y Barrio Las Gaviotas, Comunidad Del Barrio Las Palmeras Y Cerezos, Comunidad Del Pozón Sector Los Lagos, Comunidad Del Sector La Paz En Arroz Barato, Fundación Fragata, Fundación Granito De Paz, Fundación Gestión Activa, Fundación Sueños Con Un Propósito. 
Niños, niñas y adolescentes disfrutan y ejercen su derecho al juego a traves del desarrollo de las ludotecas viajeras, las cuales se llevan a cabo de manera virtual y presencial, guardando todos los protocolos de bioseguridad, con estas actividades se les enseña a los niños cuáles son sus derechos, pero se enfoca el derecho al juego y la recreación, a estas actividades se tratan de llevar juegos y juguetes que común mente los niños no tiene acceso como por ejemplo apilables, arma todos, encajables y rondas infantiles para los niños de primera infancia con el objetivo de desarrollar sus habilidades cognitivas y destrezas. Para los niños de infancia se realizan bailes lúdicos, como el baile de las estatuas, el baile del oso meloso, don chucho tiene un chino, y diferentes juegos como rompecabezas, cuerdas, juegos de mesa (ludo, escaleras, dominó), yengas, la peregrina, el girador de colores, este último es uno de sus favoritos entre otros. Los niños y niñas comentan como se sintieron en la actividad, cuáles fueron sus juegos favoritos, siendo la ludoteca viajera una de las ofertas mas solicitadas por la ciudadanía. </t>
  </si>
  <si>
    <t>Gracias a la articulacion realizada con Fundación granito de paz, Fundación Gestión Activa, Fundación sueños con un propósito, durante el mes de junio se llevaron a cabo actividades formativas de promocion de la participacion infantil y adolescente y el liderazgo. 
Durante estas actividades se compartió con niños, niñas y adolescentes herramientas para ejercer su derecho a la participacion en los distintos escenarios en los que se desenvuelven, haciendo enfasis en la importancia de reconcer el liderazgo y la mejor manera de ejercerlo, motivando la participacion y la reflexion de cada uno de los NNA participantes.                                                                                                                                       De igual forma en articulacion con ICBF, Fundancion Plan y Unisinu se avanza en el proceso del fortalecimiento del Consejo de Infancia y Adolsecencia, en especial en el diseño de la Renovacion de los miembros del la Mesa de Paricipacion Infantil.</t>
  </si>
  <si>
    <t xml:space="preserve">Durante el mes de junio se avanzo en la elaboracion del informa de avance de la PPPIIAFF, este informe da cuenta de la gestion realizada hasta la fecha para el cumplimiento de la meta, indicando las acciones implementadas por parte de las entidades lideres. Para el mes de Julio se tienen previstas nuevas mesas de trabajo con la participacion de NNA como los protagonistas principales de la Politica, a fin de concretar las tareas definidas en la ruta.
Se llevo a cabo 2a sesion ordinaria de la MIAF, el 3 de junio y se proyecto la segunda sesion ordinaria del CPS  para el mes de julio del año en curso. </t>
  </si>
  <si>
    <t>Se continua avanzando en la definicion del alcance de la caracterizacion y la ruta, programandose para la tercera sesion ordinaria del CIETI, la aprobacion de dicho proceso, a fin de que con base en dicho documento tecnico el Distrito proceda a gestionar los recursos para su realizacion en las proximas vigencias.</t>
  </si>
  <si>
    <t xml:space="preserve">Para el cumplimiento de esta meta, el equipo de la Unidad de Infancia y Familia  desarrollo actividades formativas para la prevencion de riesgos sociales como la Violencia en todas sus formas, el trabajo infantil, el embarazo adolescente, entre otros, las cuales han sido dirigidas a padres, madres, lideres, docentes, mujeres migrantes, comunidades indigenas.
Igualmente en las jornadas de atencion socio legal llevadas a cabo en las comunidades vulnerables del Distrito, se aprovecho para brindar  atencion socio legales que permitieron orientar a las familias para la solucion de conflictos o aquellas situaciones que generan tension dentro del hogar. </t>
  </si>
  <si>
    <t xml:space="preserve">En alianza con la Unidad de Adulto Mayor se llevaron a cabo 3 encuentros intergeneracionales con la participacion de 40 Adultos mayores y 28 niños, niñas y adolescentes. 
Estos encuentros se llevaron a cabo en Centro de vida Bellavista, Centro de vida los Caracoles, Centro de Vida Ciudadela 2000, en la jornada niños, niñas y adolescentes tuvieron la oportunidad de intercambiar saberes, experiencias con los adultos mayores, a la vez que pudieron disfrutar juntos de actividades ludicas diseñadas para que ambas poblaciones puedan realizarlas e integrarse a la vez. 
Tanto los NNA como los adultos mayores manifestaron su alegria por haber participado en las jornadas y pudieron reflexionar sobre la importancia de fortalecer las relaciones familiares con los adultos mayores. </t>
  </si>
  <si>
    <t xml:space="preserve">En articulacion con el programa de Discapacidad se realizo la focalizacion de las familias a intervenir, las cuales se vincularan en las actividades en el segundo semestre del año. </t>
  </si>
  <si>
    <t xml:space="preserve">El servicio de asesoria socio legal ha seguido brindandose a la poblacion a traves de las jornadas moviles de atencion. Durante el mes de junio se realizaron un total de 7 jornadas en las siguientes comunidades: 
Zarambanada
Pozon sector Isla de Leon
Villas de Aranjuez
Membrillal
Olaya sector la Uniion de Dios
Chambacu
Nelson Mandela
Durante estas jornadas se logro la atencion de 371 familias, quienes recibieron atencion por parte del equipo de abogadas que acompaña la jornada y por parte del equipo psicosocial. </t>
  </si>
  <si>
    <t>Se realizaron 421 asistencias en el marco de la gestión social integran y articuladora por la protección de las Personas con Discapacidad y/o su familia o cuidador. /2da OBSERVACION: Esta meta producto se fijó bajo el criterio de (7.120 PcD registradas en el RCLPD en atención intersectorial en el desarrollo y protección social integral) de acuerdo a la resolución 113 de 2020, se otorga esta competencia al DADIS, en este sentido el Programa de Discapacidad de la SPDS alterna por otra meta de, atenciones, asesoria y acompañamiento integral a las PcD, sus familias y/o cuidadores en las dimensiones corporales, individuales.</t>
  </si>
  <si>
    <t>Estos 64 planes de respuesta o informes, corresponden a visitas y atenciones psicosociales realizadas</t>
  </si>
  <si>
    <t>Se realizaron 26 entregas de apoyo o raciones alimentarias durante los meses de febrero y marzo de 2021; estas entregas fueron suministradas a través de una gestión realizada por la Secretaria de Participación y Desarrollo Social con Oficina de Gestión de Riesgo, como estrategia para mitigar los efectos del Huracan IOTA y emergencia sanitaria.</t>
  </si>
  <si>
    <t>Se realizaron 2 entregas de ayudas técnicas (sillas de rueda) a personas con discapacidad que la requerían, producto de (sillas de rueda) recuperadas de comodatos de vigencias anteriores.</t>
  </si>
  <si>
    <t>Se realizó 3 asesoría en asistencia y acompañamiento en la generación de opciones productivas y de ingreso para el trabajo en concordancia al plan de respuesta territorial a las organizaciónes, Fundacion Sin Limites de la Costa  del barrio Arroz Barto, Fundacion DISCAR del barrio Olaya y, pequeños con Vision Grande del Barrio Escallon Villa (Asesoria tecnica y profesional para la formulacion y estructuracion de propuestas de unidades productivas).</t>
  </si>
  <si>
    <t>Se realizó monitoreó ciudadano a traves de la territorializaciones de oferta institucional en 9 barrios, en las localidades del Distrito Cartagena.</t>
  </si>
  <si>
    <t>Esta meta para la vigencia 2021, esta cumplida (realizada el 2 de Marzo de 2021).</t>
  </si>
  <si>
    <t>Durante el 1er semestre de la vigencia 2021, se realizaron 2 salas situacionales. 1/. Estudio de casos de Personas con Discapacidad atendidas, para el suministro de ayudas y raciones humanitarias 2/. Estudio de casos de Personas con Discapacidad atendidas, para determinar participantes al proyecto, Generación de oportunidades para el desarrollo socioeconómico de mujeres con discapacidad y mujeres cuidadoras en zonas marginales de cuatro ciudades colombianas, con la Asociación Alemana de Asistencia al Enfermo con Lepra y Tuberculosis- DAHW.</t>
  </si>
  <si>
    <t>Durante el 1er semestre de la vigencia 2021, se efectuaron 2 pactos. 1/. Pacto o Alianza por la Inclusión “Una Oportunidad, una Razón, un Plan por la Niñez” con Fundación Plan Internacional. 2/. Alianza por la Inclusión “Oportunidad, Participación y Equidad en Generación Productiva e Ingreso para el Trabajo” con la Asociación Alemana de Asistencia al Enfermo con Lepra y Tuberculosis- DAHW.</t>
  </si>
  <si>
    <t>Durante el 1er sementre de la vigencia 2021, se adelantaron 2 apalancamientos. 1/. Agencia de Empleo Comfenalco 2/. Ecopetrol; ambas contribuyendo a la inclusion  de Personas con Discapacidad en el ambito laboral en edad productiva.</t>
  </si>
  <si>
    <t xml:space="preserve">Se realizó el acompañamiento en la creación a 6 organizaciones de personas con discapacidad, 1/.Fundación Sin Límites de la Costa del barrio Arroz Barato, 2/.Fundación Caminos de Emaús del barrio La María, 3/. Corporación hoy por ti Huellas del barrio Huellas de Alberto Uribe, 4/. Fundación DISCAR del barrio Olaya, 5/. Fundación Afrocolombiana Innovación Social sin Barrera isla Caño del Oro y Boca chica, 6/. Asociación Soñemos Juntos Cartagena del barrio Olaya sector el Tancon. </t>
  </si>
  <si>
    <t xml:space="preserve">
Se realizaron  21 campañas de sensibilización en sistema distrital: los días 24 abril y 20 de mayo visita a Caño del Oro y Boca chica, los días 12, 13,14 de mayo con organizaciones, líderes en discapacidad, 18 de mayo en Huellas de Alberto Uribe, 26 de mayo y  2 de junio con presidentes de ASOJAC 3, 7, 10, 11,14, 15, 17,22 y 29 de junio con presidentes y delegados de Juntas de Acciones Comunales de las 3 localidades , 25 Y 26 de mayo sensibilización a madres cuidadoras de las 3 localidades en el marco del proyecto de Asociación Alemana, 3 de junio mesa intersectorial de Infancia Adolescencia y Familia, 11, 21 y 26 junio encuentros de sociabilización con Ediles.
</t>
  </si>
  <si>
    <t>Se diseñaron y acompañaron piezas publicitarias de las campañas y de las agendas de trabajo: 4 piezas publicitarias en audio para emisoras (emisora Fuentes) 2 piezas audiovisuales, 1 comunicado de prensa, avance en el diseño de la cartilla de la política pública, 5 piezas publicitarias graficas en redes sociales; previo a estas piezas se realizaron 3 reuniones de acompañamiento para el diseño de las mismas. Entre el 18 y el 26 mayo se realizaron 13 publicaciones de sensibilización de la Política Pública de Discapacidad y Comités Locales de Discapacidad. Para un total de 28 publicaciones entre 19 abril y el 26 de mayo.</t>
  </si>
  <si>
    <t>Para el presente informe se realiza corrección y traslado de estas actividades reportadas en el plan de acción a corte 30 de marzo a las actividades preparatorias puesto que los comités aun no están debidamente conformados y puestos en operación.</t>
  </si>
  <si>
    <t>no se nos ha suministrado transporte.</t>
  </si>
  <si>
    <t>Se realizaron asistencias profesionales, técnicas y logísticas en los procesos participativos de planificación de la acción para la renovación del Sistema de Discapacidad e Inclusión social en el marco del acuerdo 009 de 2019, los días: 22 y 28 de abril, 12, 13 y 14 de mayo a las diferentes localidades; cabe anotar que el 14 en horas de la mañana se realizó una asistencia adicional con el acompañamiento de la consejería presidencial, procuraduría y secretarios de despacho, se realizó el suministro continuo de la plataforma virtual Teams, para el desarrollo de las capacitaciones del 12, 13 y 14 de mayo,</t>
  </si>
  <si>
    <t xml:space="preserve">
Se Realizaron asesoría, asistencia y/o capacitación permanente de acuerdo con las acciones preparatorias en el Territorio al funcionamiento de los Comités Locales de Discapacidad en el marco del Desarrollo Local Inclusivo. Los días: 22 y 28 de abril, 12, 13 y 14 de mayo a las diferentes localidades; cabe anotar que el 14 en horas de la mañana se realizó una asistencia adicional con el acompañamiento de la consejería presidencial, procuraduría y secretarios de despacho; 15, 17 y 23 de junio asistencia técnica a las alcaldías locales entregando y revisando modelos de decretos para cada uno de los comités locales de Discapacidad.
</t>
  </si>
  <si>
    <t xml:space="preserve">
Trabajo independiente especializado en la redacción de la ficha hasta el capítulo del presupuesto, se remite a planeación para su revisión. 5 reuniones de trabajo equipo formulador, planeación, enlace de la consejería presidencial, acompañamiento continuo por parte de Juan Pablo Peña asesor externo de la Sec de Planecaion y Manuel Castro de la Concejeria Presidencial. Contacto 3205318816
</t>
  </si>
  <si>
    <t>Trabajo independiente especializado en la redacción de la ficha hasta el capítulo del presupuesto, se remite a planeación para su revisión. 5 reuniones de trabajo equipo formulador, planeación, enlace de la consejería presidencial. acompañamiento continuo por parte de Juan Pablo Peña asesor externo de la Sec de Planecaion y Manuel Castro de la Concejeria Presidencial. Contacto 3205318816/ trabajo continuo y la Ofic, de comunicaciones algunos encuentros realizados fueron 21 abril, 3,5,6, 25 y 30 de mayo.</t>
  </si>
  <si>
    <t>Mediante este rubro se realizo convenio con tres hogares geriatricos para la habilitacion de 115 cupos para la atención de adultos mayores en condicion de abandono.</t>
  </si>
  <si>
    <t>Se realizo vinculacion de personal para conformar equipo de atencion de interdisciplinario para a atencion de los adultos mayores en cdv y go.</t>
  </si>
  <si>
    <t>Se en proceso de contratación.</t>
  </si>
  <si>
    <t>Se realizo contrato para la prestacion de servicios de transporte terrestre con tres vehiculos.</t>
  </si>
  <si>
    <t>Se encuentra en proceso de contratación.</t>
  </si>
  <si>
    <t>Durante esta vigencia no se realizaran eventos culturales por Decretos emitidos por el gobierno central, dado a que no se pueden realizar eventos con mas de 50 personas con el animo de evitar aglomeraciones y proteger a los adultos mayores.</t>
  </si>
  <si>
    <t>Se articula con la oficina de discapacidad distrital.</t>
  </si>
  <si>
    <t>-</t>
  </si>
  <si>
    <t>se cuento cdp y en revision de la unidad de administrativa de contratacion.</t>
  </si>
  <si>
    <t>Se encuentra en estudios previos</t>
  </si>
  <si>
    <t>Se relizo convenio con la Corporacion para el desarrollo Integral y Humano para la atenciòn de 50 Habitantes de calle de forma mensual hasta el 31 de diciembre de 2021.</t>
  </si>
  <si>
    <t>1 Hogares de paso
Fuente: Secretaría de Participación y  Desarrollo Social. 2019</t>
  </si>
  <si>
    <t>Los jóvenes emprendedores en el marco del proceso crearon un plan de negocios para obtener el beneficio.</t>
  </si>
  <si>
    <t>Actualmente se encuentra en proceso de compra de enseres y articulos para los jóvenes emprendedores, se proyecta fecha de entrega el 9 de julio.</t>
  </si>
  <si>
    <t xml:space="preserve">Fueron capacitados 21 jóvenes emprendadores en Derechos Economicos Sociales y Culturales. </t>
  </si>
  <si>
    <t>Implementar la Sala Situacional en Discapacidad e Inclusion.</t>
  </si>
  <si>
    <t>META EJECUTADA A 30-09-21</t>
  </si>
  <si>
    <t>ACTIVIDAD EJECUTADA HASTA EL 30-09-2021</t>
  </si>
  <si>
    <t>31 DE DICIEMBRE DE 2021</t>
  </si>
  <si>
    <t>Presupuesto Ejecutado 30-09-2021</t>
  </si>
  <si>
    <t>OBSERVACIONES 30-09-2021</t>
  </si>
  <si>
    <t>Durante los  meses de julio, agosto y septiembre se desarrollaron actividades formativas dirigidas a padres, madres y cuidadores en alianza con comunidades e instituciones como: Comunidad Cerros de Albornoz sector La Roca, Hogar Infantil la Candelaria, Instituto Paulo Freire UDS Bicentenario, Huellas de Alberto Uribe, Asociación Unidos Trabajamos, Proactivar UT Por el futuro de Colombia, Fundación Colombia Vive, Aldeas Infantiles SOS Cartagena;  Corporación Gran Colombia UDS Bayunca, Corporación Gran Colombia UDS Chiquinquirá, Corporación Gran Colombia UDS Boston La Candelaria,  Institución Educativa Mente Activa, Hogar Infantil La Candelaria.
El 27 de agosto se llevó a cabo la XII FERIA DEL BUEN TRATO LIDERADA POR LA SECRETARIA DE PARTICIPACIÓN Y DESARROLLO SOCIAL y LA CAJA DE COMPENSACION FAMILIAR COMFENALCO, como un espacio de encuentro ciudadano, en el cual se promovió la Estrategia Distrital “Refréscate sin alcohol, solo basta tu pasión” para Prevención del Consumo de Licor en Niños, Niñas y Adolescente. El objetivo de la Feria del Buen Trato fue promover alternativas de participación ciudadana donde se vinculen diferentes entidades territoriales públicas y privadas para intervenir en las diversas problemáticas infantiles, a través de una articulación intersectorial y el empoderamiento de las familias donde se fortalezcan los procesos de atención integral para el adecuado y sano desarrollo de la niñez. Para este año 2021 la Feria se realizó de forma virtual, debido a las actuales condiciones de pandemia por el Covid19.
En el marco de la Celebración de la Semana mundial de la Lactancia Materna en el mes de septiembre, se realizaron dos espacios formativos para fomentar la lactancia materna como una estrategia que promueve el buen desarrollo nutricional y el vínculo afectivo y duradero entre los bebes y la madre, generándoles mayor seguridad que facilita su relación en el mundo exterior.  Se llevó a cabo la “Conferencia Herramientas para una Lactancia Materna exitosa”, compartiendo experiencias y conocimientos a las familias de las gestantes, las jóvenes gestantes, profesionales en el área y demás funcionarios.</t>
  </si>
  <si>
    <t xml:space="preserve">Durante el mes de Julio se lanzo la iniciativa de escoger el nombre de la  campaña para la promoción y protección de los derechos de la primera infancia a través de  las redes sociales. Alcanzando la participación en Instagram 1882 personas y Facebook 4.227 personas. Quedando seleccionada "PRIMERO LA PRIMERA INFANCIA", la cual empezo a circular a traves de piezas comunicacionales en las redes sociales,  buscando concientizar a padres, madres y cuidadores de la importancia que tiene para el desarrollo del ser humano esta etapa de la vida y la proteccion de sus derechos para garantizar un optimo crecimiento y desarrollo desde los diferentes entornos en lo que se desenvuelven. </t>
  </si>
  <si>
    <t xml:space="preserve">A partir del mes de Julio se inició la atención de NNA con derechos amenazados, Inobservados y/o vulnerados atendidos de forma transitoria e inmediata a través de Hogar de Paso Luz De Vida, operado por la Fundacion Hijos de Bolívar, con licencia de funcionamiento expedida por el ICBF, lográndose atender a los NNA remitidos por la utoridad administrativa, víctimas de situaciones como violencia intrafamiliar, situación de calle, mendicidad y trabajo infantil. </t>
  </si>
  <si>
    <t xml:space="preserve">Desde la UIC se avanza en las gestiones correspondientes a la contratación de un Operador con las exigencias requeridas para la atención especializada de niños, niñas y adolescentes con derechos amenazados, inobservados y/o vulnerados (en situación de explotación laboral y/o víctimas de violencia sexual u otro tipo de violencia).
Para los meses de agosto y septiembre se llevó a cabo el proceso de cotización, se está en el proceso de selección del operador, por lo que se espera que en el mes de octubre se haya realizado la escogencia. </t>
  </si>
  <si>
    <t xml:space="preserve">Con el desarrollo de las JORNADAS DE SENSIBILIZACIÓN Y CONTROL PARA LA PREVENCIÓN DEL TRABAJO INFANTIL, se logra la activación de las distintas rutas de atención para la garantía de los derechos de los niños, las niñas y adolescentes que se encuentran en riesgo, en este sentido, durante el mes de agosto se llevaron a cabo cuatro jornadas de sensibilización para la prevención del trabajo infantil, tres de ellas en el Centro Histórico de la ciudad de Cartagena, liderada por la Secretaria del Interior y una en el barrio San Fernando (Homecenter), liderada por la Secretaria de Participación y Desarrollo Social. Durante las jornadas fueron encontrados 15 menores de edad en riesgo de trabajo infantil y/o prácticas asociadas a la mendicidad, por lo que se sensibilizó a sus padres sobre los riesgos a los cuales exponen a sus hijos al llevarlos consigo a realizar estas actividades. Así mismo, se pudo realizar la verificación de derechos de 13 menores de edad ante la autoridad administrativa competente (Comisaria de Familia Permanente) para el restablecimiento de los mismos. 
En el mes de agosto, se llevó a cabo la Jornada de Prevención de Consumo de Alcohol en menores de edad, socializando la Campaña "Refréscate sin alcohol solo basta tu pasión" dirigida a los establecimientos comerciales ubicados en la Avenida Pedro Romero.
Jornada de búsqueda activa de NNA en situación de alta permanencia en la calle en Chambacu: Realizada el día 17 de septiembre con la participación de la Unidad de Infancia y Familia, ICBF, Policía de Infancia y Adolescencia, Fundación Dones de Misericordia, Hogar de Paso Hijos de Bolívar, DADIS. En esta jornada se logró rescatar a un adolescente de 17 años en situación de vida en calle, a través de la activación de la ruta de atención de acuerdo al protocolo. El joven fue trasladado por voluntad propia hasta las instalaciones de la Fundación Niños de Papel (IPS Marea) en donde se adelanta su proceso de desintoxicación. Alternamente a la búsqueda activa, el equipo psicosocial de la Unidad de Infancia realizó una actividad Formativa en Crianza amorosa en la que participaron 10 adultos. </t>
  </si>
  <si>
    <t xml:space="preserve">En el mes de septiembre se desarrollaron acciones afirmativas correspondientes a la Semana Andina para la Prevención del Embarazo en Adolescentes y al día mundial de la Lucha Contra la ESCNNA. 
En el marco del de la conmemoración de la Semana Andina, se realizaron actividades para promover acciones de cuidado y autocuidado y prevenir el embarazo en adolescentes, actividades desarrolladas en diversos espacios del distrito y movilizado por diferentes medios de comunicación
Semana que tiene como objetivo promover la educación integral en sexualidad como un derecho, y un factor protector en la prevención del embarazo en la infancia y adolescencia.
Desde la Mesa de proyectaron tres momentos para el desarrollo de la semana con el fin de poder informar y hacer partícipe a la ciudadanía, así mismo poder sensibilizar a los y las adolescentes
1. LANZAMIENTO SEMANA ANDINA DISITRITAL 2021
En este espacio se logró la participación de 60 adolescentes que estudian en la IE Nuestra Señora de Fátima, los adolescentes estuvieron atentos y participaron de las diferentes actividades desarrolladas proyectadas en un mural que logra captar las percepciones y compromisos de estos en relación a la prevención de embarazos en adolescentes
2. FORO SEMANA ANDINA
Con el Foro se buscó que los adolescentes y jóvenes conversaran alrededor de dos cuestionamientos con los cuales se logró movilizar la participación y reflexión sobre lo que la pandemia afecto los procesos de formación frente a la prevención de embarazos en adolescentes, así como la corresponsabilidad de las diferentes instancias e instituciones frente a la prevención de embarazos en adolescentes
3. CIERRE SEMANA ANDINA
Para la clausura de la Semana Andina Distrital 2021, se realizó un cierre alterno en las tres localidades de Cartagena, con la participación de las Entidades relacionadas a continuación en sectores estratégicos así: 
Localidad 1 Histórica y del Caribe Norte: Parque Barrio San Francisco Norte: DADIS-ICBF-PONAL MECARLABORATORIOS ABBOT-IPCC- IDER (Por confirmar) 
Localidad 2 De la Virgen y Turística: UPA POZÓN: ESE CARTAGENA DE INDIAS –FUNDACIÓN PLAN 
Localidad 3 Industrial y de la Bahía: LUDOTECA NELSON MANDELA: SPDS (UNIDAD DE INFANCIA, ADOLESCENCIA Y FAMILIA)– PONAL- OFICINA DE LA MUJERDADIS. 
DIA MUNDIAL DE LA LUCHA CONTRA LA ESCNNA: 
En el marco de la conmemoración del dia mundial de la lucha contra la ESCNNA  se desarrollaron 4 jornadas lúdicas pedagógicas para el disfrute del derecho al juego y la prevención de la Violencia Sexual cometida contra niños, niñas y adolescentes, a través de la estrategia Los NNA Decimos Si al Juego y No a la ESCNNA, cuyo objetivo fue brindar a los niños, niñas un momento de alegría realizando actividades lúdicas, participativas y formativas y de esta manera promover el derecho al juego como estrategia para prevención de la explotación sexual comercial. 
Las actividades contaron con el apoyo y la participación del IDER y Policía de Infancia y fueron desarrolladas en las 3 Ludotecas Distritales y la casa lúdica de colombiaton. 
EVENTO CARTAGENA LIBRE DE ESCNNA
Con ocasión a esta conmemoración del día Internacional contra la explotación sexual y el tráfico de mujeres, niñas y niños y con el ánimo de despertar una conciencia colectiva, frente a este delito, el Ministerio del Trabajo convoca a fortalecer las instancias y acciones para educar, hacer pedagogía y erradicar la Explotación Sexual Comercial Infantil que viven niñas, niños y adolescentes en Cartagena. Por ello y con el alto compromiso que tiene el País y las autoridades para aunar esfuerzos presenta el plan de acción para la erradicación de la ESCNNA y la protección de todos los niños, niñas y adolescentes en riesgo.
Evento 1. Plan de Choque de Cartagena Libre de ESCNNA: con el objetivo de generar compromisos y acciones concretas con el fin de prevenir y erradicar la ESCNNA en el Distrito de Cartagena, a través de un plan de choque para desarrollar intervenciones de corto y mediano plazo, se llevó a cabo este evento el día 29 de septiembre en la emblemática plaza de los coches, conto con la participación del Sr. Alcalde, El ministro de trabajo y la directora Nacional del ICBF, entre otras personalidades quienes se comprometieron a seguir trabajando por la erradicación de esta problemática en la ciudad. 
Evento 2. FERIA DE SERVICIOS: ALTERNATIVA DE SERVICIOS PARA UN PROYECTO DE VIDA EN CARTAGENA LIBRE DE ESCNNA  Y PROMOCION DE DENUNCIA: este feria se llevó a cabo el día 30 de septiembre, se contó con la participación de entidades como Secretaria de Educación, Secretaria de Participación y Desarrollo Social, DADIS, Dirección Territorial del Min. Trabajo, Min Vivienda, ICBF, Fiscalía, Policía de Infancia y Adolescencia, Renacer, Cámara de Comercio, Comfenalco, Unidad del Servicio Público de Empleo, Colpensiones -Piso de Protección Social-, SENA, en esta jornada cada entidad tuvo la oportunidad de llevar la oferta de servicios dirigida a la población cartagenera y la oferta de servicios sociales para la prevención de la ESCNNA. 
</t>
  </si>
  <si>
    <t>Durante los meses de julio a septiembre  se llevaron a cabo jornadas lúdicas y  ludotecas viajeras en alianza con las siguientes comunidades e instituciones:  barrio El Pozón, sector Los Lagos,  barrio Arroz Barato sector La Paz, barrio 20 de Julio, barrio Olaya sector 11 de noviembre, Junta de Acción Comunal barrio Puerta de Hierro, barrio Cerros de Albornoz, Roca de Cristo, barrio Cerros de Albornoz sector La Paz, barrio 20 de Julio sector Nuevo Israel, barrio Albornoz, Institución Educativa Islas del Rosario, IPCC, Fundación Sin Límites, Fundación Asofragata, Comunidad de Ricaurte, Institución Educativa Islas del Rosario, Comunidad del barrio Chapacua, Comunidad Torres de la Esperanza, JAC Olaya sector Ricaurte, Flor del Campo,  Nueva Jerusalén, Fundación Rayito De Luz, Corregimiento Punta Canoa, Fundación Sociedad Sin Fronteras,  La María, sector San Bernardo,  7 de Agosto, CDI PONTEZUELA, COORPORACION GRAN COLOMBIA,   Villa Rosa,  Hogar comunitario Santa Rita, Hogar comunitario Caritas Felices, FUNAVICON, Hogar Infantil Pablo VI, Instituto Paulo Freire UDS Bicentenario, barrio  colombiaton, barrio  Chapacua, JAC  Puerta De Hierro, Cabildo Indígena Pasacaballo, Fundacion Hoy Por Ti Huellas, Jac Villa De Aranjuez Sector Caribe, Concejo Comunitario, J.A.C Sector Primavera, Líderes Comunitarios De San Bernardo, Plan De Emergencia Social, Asociación Fragata, Tierra bomba, Iglesia bautista los del camino, Consejo Comunitario 14 De Enero, San francisco, Junta De Acción Comunal Villa Rosita, Junta De Acción Comunal Villas De Aranjuez Sector Caribe, comunidad Isla Grande, corregimiento Pontezuela, Fundación Colombia Vive, Fundación Sin Límites, Junta De Acción Comunal Cerros De Albornoz, Institución Educativa Islas del Rosario, IPCC, Corporación Educativa Mente Activa. En estas actividades lúdicas participaron niños, niñas y adolescentes entre las edades de 1 a los 15 años.  Todos los niños, niñas y adolescentes pudieron ejercer su derecho al juego y a la recreación. Entre los juegos que más se realizaron están los juegos deportivos como voleibol y futbol, también realizaron dibujos con pinturas donde expresaron cada una de sus emociones, otro de los juegos realizados es la construcción con piezas armables, este juego lo realizan principalmente los niños entre 6 y 10 años, cada uno de estos juegos los ayuda a desarrollar la coordinación, la motricidad fina y su imaginación, además, son imprescindibles para el desarrollo cognitivo de los niños, pero también útiles para su desarrollo emocional y social.
Gran Ludoteca Viajera en el marco de la jornada “El Centro es Cartagena” 
Esta gran jornada lúdica se desarrolló el día 19 de septiembre en el Centro Histórico de la ciudad de Cartagena, en esta participaron más de 500 niños, niñas y adolescentes de todas las edades, disfrutaron de diferentes juegos y actividades lúdicas que les permitieron ejercer su derecho al juego, pero también disfrutar con sus amigos y con su familia, cada uno de los juegos que se desarrollaron estuvieron enfocado en sus gustos y necesidades como lo es la pintura, los juegos de armados, rompecabezas, la cocinita, y reporteritos, este último les permitió entrevistar a diferentes personas y desarrollar sus habilidades interpersonales. "</t>
  </si>
  <si>
    <t>Se adelanta proceso de articulación con la Secretaria de Planeacion Distrital para avanzar en el proceso de formulación e implementación de la Política Pública, en el marco de la metodología conpes y los lineamientos definidos por el SNBF a nivel país. Se definió la estructruación de la ficha técnica, a fin de continuar con el proceso.</t>
  </si>
  <si>
    <t>El dia 22 de septiembre se llevo a cabo la tercera sesion del Consejo de Politica Social del Distrito, este consejo fue liderado por el Sr. Alcalde y conto con la asistencia de las entidades miembro.       De igual forma se llevaron a cabo sesiones ordinarias de CIETI, Comite Consultivo, Mesa de Primera Infancia, MIAF.</t>
  </si>
  <si>
    <t xml:space="preserve">Para la vigencia 2021 se define el alcance tecnico del documento de caracterizacion del Trabajo infantil en el Distrito. </t>
  </si>
  <si>
    <t>Meta cumplida</t>
  </si>
  <si>
    <t xml:space="preserve">Meta cumplida. De manera articulada con el programa de Discapacidad se realizó proceso de focalización de las 60 familias y se adelantó diseño de Plan de Intervención, el cual iniciará en el mes de octubre con la orientación y atención integral de las familias. </t>
  </si>
  <si>
    <t>El servicio de asesoria socio legal ha seguido brindandose a la poblacion a traves de las jornadas moviles de atencion. Durante los meses de julio a septiembre se realizaron un total de 8 jornadas en las siguientes comunidades: Cabildo Indigena de Pasacaballos, Huellas Alberto Uribe, Villas de Aranjuez, Nueva Jerusalén, Villa Rosa, Cabildo Indígena de Bayunca, Arroz Barato, y el corregimiento de la Boquilla Sector Villa Gloria.   Durante estas jornadas se logro la atencion de XXX familias, quienes recibieron orientaciones y atenciones por parte del equipo de abogadas que acompaña la jornada y por parte del equipo psicosocial,  de la Unidad de Infancia &lt;juventud y familia, igualemente con la oferta de otras unidades como Discapacidad, Proyectos Productivos, Adulto mayor, UMATA y otras entidades como SISBEN, DADIS, IDER, PES, Migracion, Registraduria, COOSALUD, Fundacademy,  Familias en acción y Policía de Infancia y Adolescencia, ICBF, estos ultimos entregaron a la poblacion de Primera Infancia, identificada con riesgo nutricional, alimento de alto valor nutricional y sales de rehidratación oral.</t>
  </si>
  <si>
    <t>Actualmente se encuentra proceso en curso articulado con Studio F para vinculación laboral de jóvenes, que permitirá mejorar las cifras contempladas en esta meta.</t>
  </si>
  <si>
    <t>El cumplimiento de esta meta se hará a través convenio entre el Distrito y la Coporación Taller PRODESAL, que se actualmente se encuentra en proceso de contratación.</t>
  </si>
  <si>
    <t>Teniendo en cuenta el alto cumplimiento de esta meta en los dos primeros trimestres, se estipuló el cumplimiento total en el cuarto trimestre del año.</t>
  </si>
  <si>
    <t>Documento de diagnostico aprobado por la Secretaría de Planeación a través del oficio AMC-OFI-0061852-2021</t>
  </si>
  <si>
    <t>SE APORTA LISTADO DE ASISTENCIA DE ADULTOS MAYORES CON ATENCION ESPECIAL POR CONDICIÓN DE VULNERABILIDAD</t>
  </si>
  <si>
    <t>SE APORTA LISTADO DE ASISTENCIA DE ADULTOS MAYORES  EN CDV Y GRUPOS ORGANIZADOS QUE RECIBIERON ASISTENCIA TECNICA INTEGRAL</t>
  </si>
  <si>
    <t>LA UNIDAD DE ADULTO MAYOR TIENE CONTRATADOS 3 VEHICULOS DE LOS CUALES SOLO SE UTILIZA UN VEHICULO TIPO VANS - SE APORTA EVIDENCIA DE REPORTE DE RUTAS DE TRANSPORTE TIPO VAN UTILIZADA POR LA UNIDAD DE ADULTO MAYOR EN EL MES DE SEPTIEMBRE DE  2021</t>
  </si>
  <si>
    <t>SE APORTAN EVIDENCIAS SOLICITADAS DE LISTADO DE BENEFICIARIOS DE SUMINISTRO DE ALIMENTOS</t>
  </si>
  <si>
    <t>LA ACTIVIDAD RELACIONADA SE ENCUENTRA EN PROCESO DE CONTRATACIÓN,LA MISMA YA TIENE CDP ASIGNADO, SE ENCUENTRA EN LOS TERMINOS DEL PROCESO EN LA PLATAFORMA SECOP II</t>
  </si>
  <si>
    <t>El CONCURSO DE SOMBRERO Y ANTIFAZ SE DESARROLLO EN LA SEMANA DEL 23-30 DE AGOSTO DE 2021 EN LOS 30 CDV DEL DISTRITO, (SE APORTÓ EVIDENCIA FOTOGRAFICA), EL ENCUENTRO DEPARTAMENTAL CULTURAL VIRTUAL PATROCINADO POR COMFENALCO SE DESARROLLO EL DIA  19 DE AGOSTO DE 2021 , (SE APORTO EVIDENCIA FOTOGRAFICA),CELEBRACION DEL DIA DEL ADULTO MAYOR- SEMANA DEL  30 DE AGOSTO AL 10 DE SEPTIEMBRE  EN LOS 30 CDV ( SE APORTA EVIDENCIA FOTOGRAFICA , TORNEO DE DOMINO DEL 22-24 DE SEPTIEMBRE DE 2021. (SE APORTA EVIDENCIA FOTOGRAFICA)-EVIDENCIAS LINK ADJUNTO</t>
  </si>
  <si>
    <t>LA ACTIVIDAD CUENTA CON CDP Y ESTUDIOS PREVIOS, SE PROCEDERA A REALIZAR UN ADICIONAL A UN CONTRATO EXISTENTE DE DISCAPACIDAD QUE ESTA PENDIENTE DE LA PRIMERA ENTREGA PARA RECIBO DE DICHO ADICIONAL.</t>
  </si>
  <si>
    <t>EL PROCESO SE ENCUENTRA EN FASE DE SOLICITUD DE ESPECIFICACIONES TECNICAS PARA ELABORACION DE ESTUDIOS PREVIOS  Y SOLICITUD DE CDP</t>
  </si>
  <si>
    <t>LA ACTIVIDAD RELACIONADA SE ENCUENTRA EN PROCESO DE TRAMITE JURIDICO PARA SOLICITUD DE CERTFICACION DE DISPONIBILIDAD PRESUPUESTAL (CDP) PARA EL APOYO A 13 PANADERIAS UBICADAS EN CDV.(ZAPATERO,POZON,ESPERANZA,PALMERAS,ISLA FUERTE, LA REINA,TERNERA,LA CANDELARIA,BAYUNCA,CAÑO DEL ORO,OLAYA SECTOR RICAURTE,CALAMARES,PIEDRA DE BOLIVAR),LUEGO DE LA CONSULTA REALIZADA EL DIA 04-10-2021 EN EL PREDIS Y LA NUBE DE LA SECRETARIA DE HACIENDA, SE CONSTATA QUE EL CERTIFICADO DE DISPONIBILIDAD NO HA SIDO EXPEDIDO.</t>
  </si>
  <si>
    <t>EL PROCESO SE ENCUENTRA EN AJUSTE DE OBSERVACIONES SOLICITADAS  POR LA LA UAC DE LA ALCALDIA MAYOR DE CARTAGENA DE INDIAS</t>
  </si>
  <si>
    <t>LA ACTIVIDAD SE ENCUENTRA EN PROCESO DE ORGANIZACIÓN INTERNA PARA FORMULACIÓN DE PROYECTO</t>
  </si>
  <si>
    <t>SE APORTA LINK EVIDENCIAS RED DE CUIDADORES</t>
  </si>
  <si>
    <t>SE APORTA LINK CON EVIDENCIAS HABITOS DE VIDA SALUDABLE</t>
  </si>
  <si>
    <t>SE APORTA LINK CON EVIDENCIAS TALLERES LEY ADULTO MAYOR</t>
  </si>
  <si>
    <t>Se realizaron  341 atenciones en el marco de la gestión social integran y articuladora por la protección de las Personas con Discapacidad y/o su familia o cuidador. /2da OBSERVACION: Esta meta producto se fijó bajo el criterio de "7.120 PcD registradas en el RCLPD en atención intersectorial en el desarrollo y protección social integra", de acuerdo a la resolución 113 de 2020, se otorga esta competencia al DADIS; en este sentido el Programa de Discapacidad de la SPDS alterna por otra meta de, atenciones, asesoria y acompañamiento integral a las PcD, sus familias y/o cuidadores en las dimensiones corporales, individuales; asi mismo, dentro de este acompañamaiento y en la territorializacion de la oferta institucional se propende por socializar la ruta para acceder a la certificacion de Discapacidad.</t>
  </si>
  <si>
    <t>30 planes de respuesta o informes, corresponden a visitas y atenciones psicosociales realizadas</t>
  </si>
  <si>
    <t>No se ha realizado acciones para esta actividad; en proceso de contratación.</t>
  </si>
  <si>
    <t>Se realizaron 1 entregas de ayudas técnicas (sillas de rueda) a personas con discapacidad que la requerían, producto de sillas de rueda recuperadas de comodatos de vigencias anteriores; de la vigencia 2021 se ha hecho entrega de 1 silla de rueda, se prevee el suministro de 52 en el 4to trimestre.</t>
  </si>
  <si>
    <t>Se construyo desde el programa un análisis de necesidades de generación productiva, con el fin de realizar la solicitud de disponibilidad de recursos para atender la demanda a solicitudes de personas con discapacidad,  que manifiestan en las atenciones psicosociales, el deseo de fortalecer o emprender una unidad productiva, y la carencia de recursos para ello; por tanto, desde el programa de discapacidad, como forma de coadyuvar en la situación expuesta, propiciando a su vez, escenarios laborales para las personas con discapacidad, familia y/o cuidador y dar cumplimiento a algunas actividades propuestas en el plan acción, se realiza dicha solicitud; este análisis fue soportado con insumos recogidos a través de asesorías, asistencia en la generación de opciones productivas y  acompañamiento en la elaboración de planes de negocio a 60 personas con discapacidad con dichas solicitudes.</t>
  </si>
  <si>
    <t>Se realizaron 14 monitoreó ciudadano a través de la territorialización de la oferta institucional, en las localidades del Distrito Cartagena. cabe decir, que en estos espacios se propende en la sensibilización del uso correcto de términos para referirse a las personas con discapacidad, como acción de ir rompiendo con las barreras aptitudinales que en ocasiones imparte el medio; así mismo, se les comparte la ruta de como acceder a la certificación de discapacidad y RLCPD.</t>
  </si>
  <si>
    <t>Esta actividad para la vigencia 2021 esta cumplida</t>
  </si>
  <si>
    <t>se prevé acciones de cumplimiento de esta actividad para el 4to trimestre de la vigencia 2021</t>
  </si>
  <si>
    <t xml:space="preserve">Durante este trimestre se adelantaron acciones de motivación, dinamización a las organizaciones de y para personas con discapacidad y líderes de discapacidad, para que sean participes activos en las elecciones de los Comités Locales de Discapacidad; así mismo, se generaron espacio y apoyo a encuentros comunitarios para sensibilizar a la población con discapacidad en la importancia de la constitución de los CLD y el rol que tienen, esto con el fin de apoyar y asistir técnicamente a las Alcaldías Locales. Cabe decir, que esta actividad para la vigencia 2021 esta cumplida en materia de legalización de 6 organizaciones (conformadas y constituidas ante cámara de comercio) y se prevé para el 4to trimestre asistencias técnicas, acompañamiento y formación en temas de discapacidad y Sistema Distrital a estas organizaciones constituidas </t>
  </si>
  <si>
    <t>Durante el 3er trimestre de la vigencia 2021, se adelantaron 43 encuentros presenciales y/o virtuales en el marco de la convocatoria a CLD con la población con Discapacidad, candidatos y líderes comunitarios  en apoyo a actividades programadas en los cronogramas electorales, sustentadas en los decretos locales número 17, 14 y 16 Alcaldía de la Virgen y Turística, Histórica del Caribe Norte, Industrial y de la Bahía respectivamente; distribuidos de la siguiente manera (En la semana del 6 al 9 de julio se realizaron encuentros (5) del 12 al 9 de julio (1) del 21 al 23  (5) del  26 al 30 de julio (6) del 9 al 13 agosto (5) del 16 al 20 de agosto (6) del 23 al 27 de agosto (1) del 6 al 10 de septiembre (3) del 13 al 17 de septiembre (4) del 20 al 24 de septiembre (1).</t>
  </si>
  <si>
    <t>Se diseñaron 10 piezas publicitarias, publicada en los canales oficiales de la Alcaldía Mayor y la Secretaria de Participación y Desarrollo Social.</t>
  </si>
  <si>
    <t>Durante las actividades adelantadas en este periodo no se suministró  materiales y apoyo logístico a las reuniones de cada sesión de los Comités Territoriales de Discapacidad, este proceso se encuentra en contratación.</t>
  </si>
  <si>
    <t>Se realizo durante este periodo acompañamiento y asistencia técnica y profesional especializada, permanentes de manera presencial y remota en el marco de las elecciones a CLD y se entrega aplicativo para inscripción y tarjetón virtual en el marco de las elecciones de los CLD.</t>
  </si>
  <si>
    <t>Se han efectuado 3 reuniones en el marco de la fase de alistamiento de la política publica de discapacidad, 1 con la Secretaria de Planeación y 2 con el equipo de política publica de la Secretaria de Participación y Desarrollo Social; cabe resaltar que todas las acciones relacionadas a la conformación de los CLD y CDD se realiza como parte de la fase de alistamiento de la política de discapacidad, soportado en la ley 1145 de 2007.</t>
  </si>
  <si>
    <t>Se avanza en el mejoramiento en la página web del programa de discapacidad  de la SPDS y se entrega aplicativo para inscripción y tarjetón virtual en el marco de las elecciones de los CLD.</t>
  </si>
  <si>
    <t>Para el cumplimiento de esta meta, se requiere la asisgnacion de recursos. Actulmente, se viene gestionando un proyecto de dotacion a las OAC en articulacion con las ASOJAC del Distrito de Cartagena, asesorados por funcionarios de la Secretaría de Planeacion Distrital, este proyecto será financiado con recursos de regalíaas, el cual nos va a permitir cumplir con esta meta.</t>
  </si>
  <si>
    <t xml:space="preserve">De manera presencia y virtual,  han capacitado  a dignatarios  de  las organizaciones comunales en elaboracion de planes gestion social y de desarrollo comunal, posibilitando a estas organizaciones herramientas consectuales y metodologica para la formulacion e implementacion de los mismos. </t>
  </si>
  <si>
    <t xml:space="preserve">El avance de esta meta, depende de los casos de amenazas que se presenten en el Distrito de Cartagena con líderes sociales y comunitarios.  </t>
  </si>
  <si>
    <t xml:space="preserve">Esta meta requiere de asisignacion presupuestal para su cumplimiento. Se está gestionando las alianzas estrategicas y la articulacion institucional  para avanzar en su cumplimiento. </t>
  </si>
  <si>
    <t>Para continuar con la segunda fase "Agenda pública" se requiere la asisgnación de recursos  para el desarrollo de las actividades previstas (Diagnostico participativo, transporte, refrigerio, material pedagogico Etc.)</t>
  </si>
  <si>
    <t xml:space="preserve">Se requiere la asisgnacion de recursos para la logística del proceso de  conformación, instalación, reglamento interno y plan de acción del Consejo de Participación Ciudadana. </t>
  </si>
  <si>
    <t>La implementacion del Consejo Distrital de Participacion Ciudadana, conforme a lo establecido en la Ley 1757 de 2015, en su articulo 81, nos permitirá establecer las condiciones para la definición, promoción, diseño, seguimiento y evaluación de la Política Pública de Participación Ciudadana en el Distrito de Cartagena.</t>
  </si>
  <si>
    <t>Se implementaron 5 acciones afirmativas, que buscaban la inclusión en jornadas y actividades institucionales, así como el respeto y el buen trato de las personas con orientación sexual e identidades de género diversas en las comunidades: (1) Reunión “Pacto Colombia por los jóvenes” – Mesa jóvenes de los sectores LGBTIQ+: Acompañamiento a la mesa con enfoque diferencial realizada por el Bienestar Familiar en marco del “Pacto Colombia por los Jóvenes”, liderado desde la Vicepresidencia de la República, realizado el martes 3 de agosto desde las 08:00 am. (2) Oferta institucional a personas de los sectores LGBTIQ+: Realización de reunión virtual para la socialización de la oferta institucional desde la Unidad de Proyectos Productivos para las personas de los sectores LGBTIQ+, el jueves 12 de agosto a las 09:00 am. (3) Taller: “Mi comunidad: Inclusiva y respetuosa de la diversidad sexual”: Articulación con la Organización de Base Comunitaria Amigos Positivos en la realización del taller “Mi comunidad: Inclusiva y respetuosa de la diversidad sexual”, en el Barrio Madre Herlinda del Corregimiento de Pasacaballos, el miércoles 25 de agosto a las 09:00 am. (4) Vacunación sin barreras: Articulación con DADIS y Mesa de la Diversidad Sexual de Cartagena de Indias para realización de jornada de vacunación COVID-19, dirigida a personas con orientación sexual e identidades de género diversas y hombres que tienen relaciones sexuales con otros hombres (HSH), durante los días 17, 18 y 19 de agosto de 08:00 am a 01:00 pm. (5) Conformación instancia técnica intersectorial de diversidad sexual: Articulación con la Secretaría del Interior de la Gobernación de Bolívar para apoyo en la conformación de una instancia técnica en el Distrito de Cartagena. Esta instancia tendrá como objetivo velar por las garantías, promoción y el goce efectivo de los derechos de las personas con orientación sexual e identidades de género diversas. Reunión realizada el día martes 31 de agosto a las 09:30 am.</t>
  </si>
  <si>
    <t>Se contrataron  : Dos Psicologas, una trabadora social, Un Abogado,  5 apoyo gestion, y  3 trabajadoras  sociales de planta</t>
  </si>
  <si>
    <t>Continuación del contrato del hogar de paso.</t>
  </si>
  <si>
    <t>En la finca del Hogar de Paso se están capacitando en siembra de arroz, ají, yuca, mango, melón y patilla a 7 habitantes de calle y 10 en elaboración de kits de aseo (límpido, ambientadores, traperos, escobas)</t>
  </si>
  <si>
    <t>En la finca del Hogar de Paso se están capacitando en siembra de arroz, ají, yuca, mango, melón y patilla a 10 habitantes de calle y 8 en elaboración de kits de aseo (límpido, ambientadores, traperos, escobas)</t>
  </si>
  <si>
    <t>Los Centros para el Emprendimiento y la Gestión de la Empleabilidad aun no se han implementado</t>
  </si>
  <si>
    <t>SE CAPACITARON 150 MUJERES, SE TRABAJO EN UNA CULTURA LIBRE DE MACHISMO Y LIBRE DE SEXISMO DE FORMA VIRTUAL ACOMPAÑAMIENTO DE USAID- POLITICA SOCIAL Y LIDERAZGO COMUNAL</t>
  </si>
  <si>
    <t>META CUMPLIDA, SE TRABAJO LA LEY DE REGALIA, ARTÍCULO 30 DE LA LEY DE REGALIAS</t>
  </si>
  <si>
    <t>META CUMPLIDA, SE CONSOLIDO ACTO ADMINISTRATIVO DECRETO NÚMERO 1207 DEL 10 DE AGOSTO DE 2016</t>
  </si>
  <si>
    <t>SE AVANZO EN EL INFORME DE PRESENTACION DE RESULTADOS DSE EVALUACION DE IMPACTO DE LA POLITICA PUBLICA CARTAGENERAS EN PLENO GOCE DE SUS DERECHOS DE 2008 A 2019 QUE SE ENCUENTRA VENCIDA DANDO COMO RESULTADOS INSUMOS PARA SU POSTERIOR REFORMULACION</t>
  </si>
  <si>
    <t xml:space="preserve"> </t>
  </si>
  <si>
    <t>Valor Absoluto de la Actividad del  Proyecto 2021</t>
  </si>
  <si>
    <t>Con el objetivo de desarrollar espacios de formación en prevención de riesgos sociales y habilidades auto protectoras dirigidas a niños, niñas y adolescentes del Distrito de Cartagena, brindando herramientas de autoproteccion, se llevan a cabo las actividades. Durante el mes de septiembre se logró desarrollar procesos a través de talleres virtuales y presenciales sobre temas como: • Prevención de la violencia sexual: abuso sexual y explotación sexual – sexting, gromming 
• Prevención del trabajo infantil 
• Prevención del embarazo en adolescentes  
• Prevención del consumo de sustancias psicoactivas 
• Prevención del consumo de alcohol a temprana edad 
• Prevención del Bullying
• Habilidades Autoprotectoras
a través de una metodología lúdico pedagógica, de manera virtual y presencial. Durante los talleres los NNA pudieron conocer cada uno de los riesgos sociales, como prevenirlos y desarrollar habilidades autoprotectoras.  Estos talleres se realizaron en las siguientes comunidades y organizaciones:
• Cabildo Indígena Zenu de Bayunca
• Barrio Olaya sector La Magdalena 
• Barrio Arroz Barato
• Institución Educativa Bertha Sutner
• Institución Educativa Bernardo Foaguen</t>
  </si>
  <si>
    <t xml:space="preserve">Se llevó a cabo la participación de los miembros del Consejo de Infancia y Adolescencia del Distrito en el evento “Seminario Internacional de Participación Infantil", en el que asistieron delegados de países como Argentina, Uruguay, Chile, Perú y Colombia; espacio lúdico y pedagógico en el que se desarrollaron diversas actividades interactivas, con el objetivo de crear condiciones para que las niñas y los niños desarrollen en los entornos familiares, escolares, rurales y urbanos, el lema Juguemos, aprendamos y transformemos con los grandes y pequeños creadores, la consejera Aura intervino contando toda su experiencia en liderazgo en su paso por el Consejo, se enfatizó en la importancia de fortalecer los espacios de participación infantil y adolescente que existen para tener nuevos liderazgos en los territorios. 
Durante los meses de julio a septiembre se adelantaron procesos formativos orientados al impulso del liderazgo colaborativo y democrático con nna de diversos sectores del distrito
Encuentro Consejeros y Consejeras de Infancia y Adolescencia del Distrito y NNA de la Casa Lúdica de Colombiaton con la Comisión de la Verdad “Consulta de niños, niñas, adolescentes y jóvenes por la verdad”, en este espacio hablaron sobre todas las ventajas que tienen los jóvenes para hacer parte de procesos de participación juvenil, pero resaltaron la necesidad de abrir más espacios de participación, los consejeros de infancia fueron enfáticos en resaltar que la niñez y la juventud son el presente mas no el futuro y mencionaron que no solo basta con ideas y propuestas sino con hechos y realidades para poder tener más garantías de sus derechos y mejores oportunidades para estudiar y seguir participando en diferentes contextos. 
</t>
  </si>
  <si>
    <t>La implementación del Consejo Distrital de Participación Ciudadana, conforme a lo establecido en la Ley 1757 de 2015, en su artículo 81, nos permitirá establecer las condiciones para la definición, promoción, diseño, seguimiento y evaluación de la Política Pública de Participación Ciudadana en el Distrito de Cartagena.</t>
  </si>
  <si>
    <t xml:space="preserve">Se realizó convocatoria para la contratación de los cupos de atención especializada a NNA víctimas de Violencia Sexual y NNA en situación de trabajo infantil, sin embargo, ninguna de las entidades que se presentaron contaban con las exigencias técnicas para desarrollar el servicio, por lo que ya no será posible realizar la contratación durante esta vigencia, pues los tiempos requeridos para su desarrallo son mínimo 2 meses. 
Es importante anotar que la Unidad de Infancia desde el mes de abril entregó la información concerniente a lo requerido para el servicio, en meses posteriores, por solicitud de la Unidad de Contratacion (UIC) se actualizó y se entregó con un mayor nivel de detalle los requerimientos técnicos para la contratación, sin embargo, la demora para sacar adelante la convocatoria hizo que los tiempos se agotaran y no se logró avanzar en la búsqueda de un operador que cumpliera con todos los requisitos para su contratación. 
Este es el segundo año de ejecución del Plan de Desarrollo Salvemos Juntos a Cartagena y no se ha logrado contrartar el servicio, situación que no permitirá que la Secretaría de Participación y Desarrollo Social cumpla con la meta estipulada para la vigencia 2020 -2023. 
Se hace necesario que los equipos responsables de la contratación hagan una gestión oportuna y se pueda por lo menos lograr cumplir un 50% en lo que resta de la administración. </t>
  </si>
  <si>
    <t xml:space="preserve">Durante el mes de noviembre se llevaron a cabo las acciones de conmemoración del Día mundial de la Prevención del Abuso Sexual cometido contra NNA, en este sentido, desde la Unidad en articulación con entidades como IDER, Policía se logró el desarrollo de actividades de sensibilización, jornadas lúdicas de prevención y eventos académicos para crear conciencia en la ciudadania frente a la importancia de prevenir esta problemática social. 
Las acciones desarrolladas fueron: 
• Activismo por redes sociales #MiCuerpoSeRespeta. 
• Actividades presenciales en ludotecas y casas lúdicas, Tardes de Lectura.
• Conversatorio Internacional “Experiencias en la Atención y Prevención del Abuso Sexual Infantil".
• Jornada de Clausura con la presencia de entidades, organizaciones y dependencias del Distrito que trabajan por la prevención del abuso sexual infantil.
Con estas actividades se logró impactar a más de 200 niños, niñas adolescentes y sus familias en las actividades presenciales y con el activismo en redes sociales llegó a alcanzamos a más de 1500 personas. 
Con la realización de estos 19 días de activismo se da un cumplimiento del 100% a la meta. </t>
  </si>
  <si>
    <t xml:space="preserve">Para la vigencia 2021 se define el alcance técnico del documento de caracterización del Trabajo infantil en el Distrito. </t>
  </si>
  <si>
    <t>Esta meta para la vigencia 2021, está cumplida (realizada el 2 de marzo de 2021).</t>
  </si>
  <si>
    <t>Esta actividad para la vigencia 2021 está cumplida</t>
  </si>
  <si>
    <t>Esta actividad para la vigencia 2021 está cumplida; se han constituido 5 pactos que buscan a través de alianzas con instituciones públicas y privadas fomentar las capacidades y oportunidades de las personas con discapacidad. Entre las entidades con las que se establecieron los pactos se encuentran: Fundación Plan Internacional, Agencia de Empleo Comfenalco, Ecopetrol, SOSING S.A.S y Asociación Alemana de Asistencia al Enfermo con Lepra y Tuberculosis- DAHW. Sin embargo, en los meses de octubre y noviembre se apoyaron actividades promovidas por las entidades con las que se realizaron los pactos.</t>
  </si>
  <si>
    <t>La etapa de agenda pública y formulación se llevará a cabo en el 2022</t>
  </si>
  <si>
    <t>23,1% Tasa de desempleo Nacional juvenil - Junio 2021 
Fuente: DANE (Estadísticas por tema Mercado Laboral de la juventud)</t>
  </si>
  <si>
    <t>6.66%</t>
  </si>
  <si>
    <t>12 (Dato 2021)</t>
  </si>
  <si>
    <t>https://drive.google.com/drive/folders/1ijpIJQzlyhSxOMnUtXWVytNBB9WCYdBt?usp=sharing</t>
  </si>
  <si>
    <t>https://drive.google.com/drive/folders/1CWetDMQ5ZoZPaHxWotZ47ikvyNJVAqgi?usp=sharing</t>
  </si>
  <si>
    <t>https://drive.google.com/drive/folders/14IE2KJXxNZGlhEnLcvi0eXUGFN8sHKtT?usp=sharing</t>
  </si>
  <si>
    <t>https://drive.google.com/drive/folders/17XmNN2q5nZG4RgOG4ZqQBaUmCAK3Ellj?usp=sharing</t>
  </si>
  <si>
    <t>https://drive.google.com/drive/folders/1m9u870pv_HxLG6_L0VxiOlpVuON0L9Cs?usp=sharing</t>
  </si>
  <si>
    <t>https://drive.google.com/drive/folders/12HlF2SdQ2l5r31FbYk-LImbLXY-Cjzdz?usp=sharing</t>
  </si>
  <si>
    <t>https://drive.google.com/drive/folders/14ZKY1SY7JOxF7YWM6zaTwbjqXMqFuFD3?usp=sharing</t>
  </si>
  <si>
    <t>https://drive.google.com/drive/folders/16sRcjvFGfGo7gePA3rK5F-AYnFpW67WK?usp=sharing</t>
  </si>
  <si>
    <t>https://drive.google.com/drive/folders/1OLaEZNbsJqCOV50-iWpsoPssH5hFWRTM?usp=sharing</t>
  </si>
  <si>
    <t>https://drive.google.com/drive/folders/1uecjSrPgLGftyOwGVDLlm1JVMGPOPWCF?usp=sharing</t>
  </si>
  <si>
    <t>https://drive.google.com/drive/folders/1oHydm9pNG03dIwIq-mWv213AnY6pmOJP?usp=sharing</t>
  </si>
  <si>
    <t>https://drive.google.com/drive/folders/1SlVlf0o6LUar07Tyr1a75-zRF6tb0hA3?usp=sharing</t>
  </si>
  <si>
    <t>https://drive.google.com/drive/folders/1aLqy7o4z1nE9Fgyx9zYczk4mQWXlFXy_?usp=sharing</t>
  </si>
  <si>
    <t>https://drive.google.com/drive/folders/1y2lqPSSDLY130XzaCEXRO0WnIGd4FgfO?usp=sharing</t>
  </si>
  <si>
    <t>https://drive.google.com/drive/folders/1sZTELOIW1gRIA33SGEROtO_ZX_hs9___?usp=sharing</t>
  </si>
  <si>
    <t>https://drive.google.com/drive/folders/1vSvXNyoMtodCc1JaPDxfX5wHPKGoakv3?usp=sharing</t>
  </si>
  <si>
    <t>https://drive.google.com/drive/folders/1yH_QHBkNrzIQHGKcxCHEWVFXig2q2FPk?usp=sharing</t>
  </si>
  <si>
    <t>https://drive.google.com/drive/folders/1rGITKMIplucrCMXMiO9bwFPWPGVVJIVV?usp=sharing</t>
  </si>
  <si>
    <t>https://drive.google.com/drive/folders/1Crv31tHPGuFtfO6qSzmXij8FQ88-gXpi?usp=sharing</t>
  </si>
  <si>
    <t>https://drive.google.com/drive/folders/14guptgS4PC-hCFLiEu87Jmtyj72Dg9pM?usp=sharing</t>
  </si>
  <si>
    <t>https://drive.google.com/drive/folders/1T1xY71K_rky-0DAVwSQyQeHz0r2aEeqe?usp=sharing</t>
  </si>
  <si>
    <t>https://drive.google.com/drive/folders/1rQu0jp3gBDzgvEL5DkbDOYSCxGshk5Im?usp=sharing</t>
  </si>
  <si>
    <t>https://drive.google.com/drive/folders/10cAWJwXpNI6FbLXkW1BZZN6XBNw0ZUks?usp=sharing</t>
  </si>
  <si>
    <t>https://drive.google.com/drive/folders/1_UivEv-atctDRnooQZYGtblF3Ni5Mr1Y?usp=sharing</t>
  </si>
  <si>
    <t>https://drive.google.com/drive/folders/1QSldlkUVknlMCa9ogKcZYP8QisL33IYI?usp=sharing</t>
  </si>
  <si>
    <t>https://drive.google.com/drive/folders/1xgTismav6N3LcdwoC1m3EQQNCAGc2WFK?usp=sharing</t>
  </si>
  <si>
    <t>https://drive.google.com/drive/folders/1ezM3c9132Y6MlUChpPV5GI4muV1f-Eu0?usp=sharing</t>
  </si>
  <si>
    <t>https://drive.google.com/drive/folders/1Gb_ICRTEXaFtHB9LT70pCY1czQ9mTZ13?usp=sharing</t>
  </si>
  <si>
    <t>https://drive.google.com/drive/folders/1keOi-ozQMRN5Tca4Cc3HOJnKXMY0LLJz?usp=sharing</t>
  </si>
  <si>
    <t>https://drive.google.com/drive/folders/1oQ2W12nK9M0XK0rA3mu5KtinKjaPfGLH?usp=sharing</t>
  </si>
  <si>
    <t>https://drive.google.com/drive/folders/1JdKG7nkcA0r8jYV8oBuSYLGuknd7TG3Q?usp=sharing</t>
  </si>
  <si>
    <t>https://drive.google.com/drive/folders/19kdt7lkmXaIyODW__sL3VAWSzzqsVpjV?usp=sharing</t>
  </si>
  <si>
    <t>https://drive.google.com/drive/folders/1tVMaGytTRhCV7GjFFX-PYoNycy9CnWOV?usp=sharing</t>
  </si>
  <si>
    <t>https://drive.google.com/drive/folders/1n8M8m3ripQXHXHZH1BsyLYLG0P6oyMuK?usp=sharing</t>
  </si>
  <si>
    <t>https://drive.google.com/drive/folders/16t7fU4PLByEM9QqqDB6EnfdOruyYewqk?usp=sharing</t>
  </si>
  <si>
    <t>https://drive.google.com/drive/folders/1FSonlWG8kIBH_bCIHn0G9mP7i3X73WL4?usp=sharing</t>
  </si>
  <si>
    <t>https://drive.google.com/drive/folders/1jPHZBkdHLjnZU0MI4hVCHlPHuW93i1_C?usp=sharing</t>
  </si>
  <si>
    <t>https://drive.google.com/drive/folders/1zt-E2O_uNzFUE4Wc0r2sH8lWww21JEbs?usp=sharing</t>
  </si>
  <si>
    <t>https://drive.google.com/drive/folders/18adsN8zuIlLmYsn5KUymH7B3bgV2Mdbr?usp=sharing</t>
  </si>
  <si>
    <t>https://drive.google.com/drive/folders/1dH6-7KtDQxbT7lQB3ZHR5KNpEAehXBrR?usp=sharing</t>
  </si>
  <si>
    <t>https://drive.google.com/drive/folders/1PrEW5c2m6c-hWr4rByEZGgmbh_AtNiq5?usp=sharing</t>
  </si>
  <si>
    <t>https://drive.google.com/drive/folders/1f5wsZ1uQER0u5zbkgIswo4JvtCFc-R7C?usp=sharing</t>
  </si>
  <si>
    <t>https://drive.google.com/drive/folders/1gKPKUhIUxvqfxfEceQuErtaekoqWLvg_?usp=sharing</t>
  </si>
  <si>
    <t>https://drive.google.com/drive/folders/1zLZz3ruv4IDhxFx-6G30sF1SIVeUnNYO?usp=sharing</t>
  </si>
  <si>
    <t>https://drive.google.com/drive/folders/1gvDumfbbbrW8vrCT6t6liUtbBFUXbfFs?usp=sharing</t>
  </si>
  <si>
    <t>https://drive.google.com/drive/folders/1B59irEc0NV0u8AbNPoFZDTdKLSlfnDyR?usp=sharing</t>
  </si>
  <si>
    <t>https://drive.google.com/drive/folders/1FtusoZxJe5hfnK3Js7KxVTixTMYMH9bB?usp=sharing</t>
  </si>
  <si>
    <t>https://drive.google.com/drive/folders/1GduRzZPGgBlI3Fi3TlWETqmhl_SqwKKD?usp=sharing</t>
  </si>
  <si>
    <t>https://drive.google.com/drive/folders/1HCo1MQGPGzQgbFrrQf_EKj6T-8W-Rak0?usp=sharing</t>
  </si>
  <si>
    <t>https://drive.google.com/drive/folders/1Hr9kfoyWTkA7Tujd4ZH7eY02QkNc3XB7?usp=sharing</t>
  </si>
  <si>
    <t>https://drive.google.com/drive/folders/1ycdGw0cyr5ruCyE5pQhT94gsI8--8gpP?usp=sharing</t>
  </si>
  <si>
    <t>https://drive.google.com/drive/folders/11vJUxCY9NzsJfn7x0JHgUtWX820VDXtB?usp=sharing</t>
  </si>
  <si>
    <t>https://drive.google.com/drive/folders/1xMlPcDxmmNZQ28a-iP6fUWnp8E-nq2Pq?usp=sharing</t>
  </si>
  <si>
    <t>https://drive.google.com/drive/folders/1jgy4C_xSobCkPH9UM6UxJR1saSNjfxbq?usp=sharing</t>
  </si>
  <si>
    <t>https://drive.google.com/drive/folders/1REdKHO3oekO5YO5NSYH_TsHzrtWZCqVQ?usp=sharing</t>
  </si>
  <si>
    <t>https://drive.google.com/drive/folders/1zflkRK9_xrviqJu5JMBMQTbN1buCg-WG?usp=sharing</t>
  </si>
  <si>
    <t>https://drive.google.com/drive/folders/1aPyKi6SNJRU7WzbUqSriKCKPWMZRhqaw?usp=sharing</t>
  </si>
  <si>
    <t>https://drive.google.com/drive/folders/1qu9BeMEny92pTmt8eDHAVHGO8ny6hjIc?usp=sharing</t>
  </si>
  <si>
    <t>https://drive.google.com/drive/folders/1WkaE4H3nBnD-rgBxJ2F3RZ7ZJL8-jddW?usp=sharing</t>
  </si>
  <si>
    <t>https://drive.google.com/drive/folders/1Kp9NzGyeap0QwcwFDPmsu4zQ5NoykV80?usp=sharing</t>
  </si>
  <si>
    <t>https://drive.google.com/drive/folders/1no3M9noeClWclc341e7X5jetVzNeDzj4?usp=sharing</t>
  </si>
  <si>
    <t>https://drive.google.com/drive/folders/1U6E8vo0rX9FR_vMpWeEtF6j0dZFrGK6e?usp=sharing</t>
  </si>
  <si>
    <t>https://drive.google.com/drive/folders/1Ji9RETaHmQ41wfn2q_PyXeZarpBPgXk6?usp=sharing</t>
  </si>
  <si>
    <t xml:space="preserve">
https://drive.google.com/drive/folders/15E9RCz7EWGiJh6eaQTwGHAQEmqKParg8?usp=sharing
Se aclara que a este documento, se le realizo una actualizacion y se adiciono informacion relacionada con los planes de negocio de cada uno de los potenciales beneficiarios; ya reportados anteriormente.   </t>
  </si>
  <si>
    <t>https://drive.google.com/drive/folders/1s4MLZZTFgL85p5RRvF9Kc4-WHlqX8cWl?usp=sharing</t>
  </si>
  <si>
    <t>https://drive.google.com/drive/folders/1WFYU9c_vpnQ6bXOH2-hdG1pb8tlvD4gp?usp=sharing</t>
  </si>
  <si>
    <t>https://drive.google.com/drive/folders/1apBkusZrbakAphaFLc0RTjoaGnmipzCC?usp=sharing</t>
  </si>
  <si>
    <t>https://drive.google.com/drive/folders/1FxP-T44F6eT0TS3WQzkh6IZJZirsHVn-?usp=sharing</t>
  </si>
  <si>
    <t>https://drive.google.com/drive/folders/1qY3LzSZDXp3nIy0MwHZwfsReYljjZiJb?usp=sharing</t>
  </si>
  <si>
    <t>https://drive.google.com/drive/folders/1DTWpVItxno4ySaFxsa5JyC51pgJzJgPs?usp=sharing</t>
  </si>
  <si>
    <t>https://drive.google.com/drive/folders/1R_qtJuHGP5NWHGFj87kJmIc7N_0fYoC8?usp=sharing</t>
  </si>
  <si>
    <t>https://drive.google.com/drive/folders/1QYCZMv1aF9Uo-VFQU3KIanZzkmsOjdWA?usp=sharing</t>
  </si>
  <si>
    <t>https://drive.google.com/drive/folders/1zsbXrxtf4kFTIt4KCejWuIr3EPM4vkBZ?usp=sharing</t>
  </si>
  <si>
    <t>https://drive.google.com/drive/folders/1oIw0pSLDlAreCaaUz8ubYWqRi-3eAr2y?usp=sharing</t>
  </si>
  <si>
    <t>https://drive.google.com/drive/folders/1ILe58pZdBjux3rEgoQ5H4xzJ7y29Gb0h?usp=sharing</t>
  </si>
  <si>
    <t>https://drive.google.com/drive/folders/1x1NhAQKRIbrD_taNuTyxB-N5dNvJ-Ad5?usp=sharing</t>
  </si>
  <si>
    <t>https://drive.google.com/drive/folders/1v_ZxuPFt4kRNgqnWur3Bght8PeHg8YRJ?usp=sharing</t>
  </si>
  <si>
    <t>https://drive.google.com/drive/folders/1OLEuDDZ-UFlFHzaYZCxJ4i4nxDW7VS8e?usp=sharing</t>
  </si>
  <si>
    <t>https://drive.google.com/drive/folders/1x5Wr5umZsIGpgtrJezS3U_6y1gLArhN7?usp=sharing</t>
  </si>
  <si>
    <t>https://drive.google.com/drive/folders/1Rjsb8vEND0VENAbnkmg_pgp5sU02GU37?usp=sharing</t>
  </si>
  <si>
    <t>https://drive.google.com/drive/folders/1_lZeMcDYymqVieZIzEWi6jMl2r8fXXI7?usp=sharing</t>
  </si>
  <si>
    <t>https://drive.google.com/drive/folders/1Wlpf0hz2z4omA4RMkZlij4_pu9SIpkxo?usp=sharing</t>
  </si>
  <si>
    <t>https://drive.google.com/drive/folders/1YdZ_HirZxVL3K2YXJaZC7Xx4ZcleuiO3?usp=sharing</t>
  </si>
  <si>
    <t>https://drive.google.com/drive/folders/1LcpxgyVwK9AblMwPlsXlKxcC4yt0qTzL?usp=sharing</t>
  </si>
  <si>
    <t>https://drive.google.com/drive/folders/13YR-853Ay9J1pGUS6WqvjctUPF4DJDjG?usp=sharing</t>
  </si>
  <si>
    <t>https://drive.google.com/drive/folders/11Tt_M-JkG4GOl1yZ1vy7gsIitOsMtVpH?usp=sharing</t>
  </si>
  <si>
    <t>Link evidencia 31-12-2021</t>
  </si>
  <si>
    <t>OBSERVACIONES 31-12-2021</t>
  </si>
  <si>
    <t>META EJECUTADA A 31-12-22</t>
  </si>
  <si>
    <t>ACTIVIDAD EJECUTADA HASTA EL 
31-12-2021</t>
  </si>
  <si>
    <r>
      <t>En ejercicio de nuestras funciones de inspección,  vigilancia  y control de los Organismos de Acción Comunal de primero y segundo grado,  el equipo técnico y juridico del Grupo de Formación Ciudadana y Gestión Comunitaria, realizó acompañamiento, asesorias, orientacion, inspeccion, vigilancia y control,  a  22 Organizaciones Comunales en las tres localidades del distrito de cartagena de Indias</t>
    </r>
    <r>
      <rPr>
        <b/>
        <sz val="12"/>
        <rFont val="Arial"/>
        <family val="2"/>
      </rPr>
      <t xml:space="preserve"> (Localidad Uno: 11 OAC, Localidad Dos: 6 OAC, Localidad Tres:  5 OAC). </t>
    </r>
    <r>
      <rPr>
        <sz val="12"/>
        <rFont val="Arial"/>
        <family val="2"/>
      </rPr>
      <t xml:space="preserve">A continuacion, se relacionan las  actividades realizadas: </t>
    </r>
    <r>
      <rPr>
        <b/>
        <sz val="12"/>
        <rFont val="Arial"/>
        <family val="2"/>
      </rPr>
      <t>a).</t>
    </r>
    <r>
      <rPr>
        <sz val="12"/>
        <rFont val="Arial"/>
        <family val="2"/>
      </rPr>
      <t xml:space="preserve"> Revisión de Libros (tesorería, socios, inventario, convivencia y conciliación, actas de asamblea general, actas de junta directiva)  </t>
    </r>
    <r>
      <rPr>
        <b/>
        <sz val="12"/>
        <rFont val="Arial"/>
        <family val="2"/>
      </rPr>
      <t xml:space="preserve"> b).</t>
    </r>
    <r>
      <rPr>
        <sz val="12"/>
        <rFont val="Arial"/>
        <family val="2"/>
      </rPr>
      <t xml:space="preserve"> Apoyo y acompañamiento en los procesos realizados de elección y renovación de dignatarios Comunales.</t>
    </r>
    <r>
      <rPr>
        <b/>
        <sz val="12"/>
        <rFont val="Arial"/>
        <family val="2"/>
      </rPr>
      <t xml:space="preserve"> c).</t>
    </r>
    <r>
      <rPr>
        <sz val="12"/>
        <rFont val="Arial"/>
        <family val="2"/>
      </rPr>
      <t xml:space="preserve"> Acompañamiento en asambleas de afiliados y de Junta Directiva. </t>
    </r>
    <r>
      <rPr>
        <b/>
        <sz val="12"/>
        <rFont val="Arial"/>
        <family val="2"/>
      </rPr>
      <t>d).</t>
    </r>
    <r>
      <rPr>
        <sz val="12"/>
        <rFont val="Arial"/>
        <family val="2"/>
      </rPr>
      <t xml:space="preserve"> Asesoría y orientación en manejo y diligenciamiento de libros de afiliados.</t>
    </r>
    <r>
      <rPr>
        <b/>
        <sz val="12"/>
        <rFont val="Arial"/>
        <family val="2"/>
      </rPr>
      <t xml:space="preserve"> e).</t>
    </r>
    <r>
      <rPr>
        <sz val="12"/>
        <rFont val="Arial"/>
        <family val="2"/>
      </rPr>
      <t xml:space="preserve"> Asesoría y orientación en procesos eleccionarios. Estas actividades se desarrollaron de manera presencial, algunas de estas se llevaron a cabo en el territorio de la organización comunal y otras en la oficina del Grupo de Formación Ciudadana, con la finalidad de posibilitar en estas organizaciones comunales el correcto ejercicio de sus funciones y el cumplimiento de la normatividad comunal vigente en cada una de las acciones que emprendan.</t>
    </r>
  </si>
  <si>
    <r>
      <t>Con la finalidad de fortalecer el correcto y adecuado ejercicio de las funciones de los dignatarios de las organizaciones comunales, se capacitaron en total  14 organizaciones comunales en la tres localidades del Distrito de Cartagena de Indias</t>
    </r>
    <r>
      <rPr>
        <b/>
        <sz val="12"/>
        <rFont val="Arial"/>
        <family val="2"/>
      </rPr>
      <t xml:space="preserve"> (Localidad Uno: 6 OAC, Localidad Dos: 3 OAC, Localidad Tres:  5 OAC)</t>
    </r>
    <r>
      <rPr>
        <sz val="12"/>
        <rFont val="Arial"/>
        <family val="2"/>
      </rPr>
      <t xml:space="preserve"> en temas de Legislación Comunal (Ley 743 de 2002 y Decreto 2350 de 2003)  y proceso de elección de dignatarios comunales. En estas capacitaciones, se les brindaron las herramientas conceptuales y metodológicas a todas las personas interesadas y que hacen parte de los Organismos Comunales del Distrito de Cartagena de Indias, con el fin de fortalecer su gestión comunitaria.</t>
    </r>
  </si>
  <si>
    <t>Debido a la insuficiente asignación de recursos, no se ha podido avanzar en el cumplimiento de esta meta. En articulación con las tres ASOJAC del Distrito de Cartagena de Indias y con el acompañamiento y asesoría de la Secretaria de Planeación Distrital, se están gestionando los recursos para su financiamiento, a través de un proyecto Tecnológico para el fortalecimiento de las organizaciones comunales, el cual contempla dentro de sus objetivos, dotar de equipos tecnológicos y de oficinas al 100% de las organizaciones comunales del distrito de Cartagena de Indias. Este proyecto va hacer financiado con recursos del Fondo Nacional de Regalías y nos va a permitir cumplir con el 100% de la meta establecida en el Plan de Desarrollo Distrital para el Cuatrienio.</t>
  </si>
  <si>
    <r>
      <t xml:space="preserve">Con el fin de instalar capacidades, competencias y condiciones en los dignatarios y afiliados que integran las organizaciones comunales para la generación de ingresos, orientados al fortalecimiento financiero y logístico para implementar proyecto productivo o emprendimiento de carácter solidario. Se capacitaron a dignatarios y afiliados de 16 organizaciones comunales de las tres localidades del distrito de Cartagena de Indias </t>
    </r>
    <r>
      <rPr>
        <b/>
        <sz val="12"/>
        <rFont val="Arial"/>
        <family val="2"/>
      </rPr>
      <t>(Localidad Uno: 10 OAC, Localidad Dos: 3 OAC, Localidad Tres:  3 OAC)</t>
    </r>
    <r>
      <rPr>
        <sz val="12"/>
        <rFont val="Arial"/>
        <family val="2"/>
      </rPr>
      <t xml:space="preserve"> en Emprendimiento comunal y formulación de programas y proyectos empresariales, posibilitándoles a los dignatarios y afiliados, asumir retos y liderar procesos comunitarios solidarios , autogestionarios , democráticos e innovadores , que luego se expresen en planes de negocios socio empresariales y después se concreten  mediante proyectos productivos o empresas de carácter solidarios de iniciativa comunal que impacten en el desarrollo integral de sus territorios y en el mejoramiento de la calidad de vida de las personas.</t>
    </r>
  </si>
  <si>
    <r>
      <t xml:space="preserve">A través del Convenio de Asociación Numero 051 de 2021, celebrado entre el Distrito de Cartagena de Indias y la Corporación Universitaria Rafael Niñez, el cual se encuentra en ejecución, cuyo objeto es la formulación e implementación participativa de los planes de gestión social de 120 organizaciones comunales, con radio de acción en el distrito de Cartagena de Indias. De manera presencial y virtual, </t>
    </r>
    <r>
      <rPr>
        <b/>
        <sz val="12"/>
        <rFont val="Arial"/>
        <family val="2"/>
      </rPr>
      <t xml:space="preserve">SE DICTÓ UN DIPLOMADO CERTIFICADO EN HERRAMIENTA PARA LA GESTIÓN SOCIAL COMUNITARIA A (115) DIGNATARIOS DE (64) ORGANIZACIONES COMUNALES </t>
    </r>
    <r>
      <rPr>
        <sz val="12"/>
        <rFont val="Arial"/>
        <family val="2"/>
      </rPr>
      <t>de las tres localidades del Distrito de Cartagena de Indias</t>
    </r>
    <r>
      <rPr>
        <b/>
        <sz val="12"/>
        <rFont val="Arial"/>
        <family val="2"/>
      </rPr>
      <t xml:space="preserve"> (Localidad Uno: 25 OAC, Localidad Dos: 11 OAC, Localidad Tres:  28 OAC)</t>
    </r>
    <r>
      <rPr>
        <sz val="12"/>
        <rFont val="Arial"/>
        <family val="2"/>
      </rPr>
      <t xml:space="preserve">, este diplomado hace parte del alcance del objeto del presente convenio, con el fin de brindar los conocimientos e instalar capacidades en las organizaciones comunales en todo lo referente a la formulación de sus Planes de Gestión Social Comunal. </t>
    </r>
    <r>
      <rPr>
        <u/>
        <sz val="12"/>
        <rFont val="Arial"/>
        <family val="2"/>
      </rPr>
      <t>Se aclara, que el Convenio en mención aún se encuentra en ejecución y que lo que se está reportando es el avance en el cumplimiento de la meta del Proyecto de Inversión que tiene que ver con asesoría y capacitación a las OAC para formular planes de gestión social comunal; en lo que concierne al  cumplimiento de meta Plan de Desarrollo, el reporte de avance en su cumplimiento, se hará cuando la Institución ejecutora del convenio haga entrega del producto final del mismo, que son los 120 Planes de Gestión Social Comunal Formulados e Implementados.</t>
    </r>
  </si>
  <si>
    <t>Durante los meses de octubre y noviembre de 2021, se realizaron dos reuniones con representantes de los líderes amenazados en el Distrito de Cartagena de Indias y la participación de representantes de la Defensoría del Pueblo, Secretaría del Interior, Policía Nacional, y funcionarios de la Secretaría de Participación y Desarrollo Social. 
Primera Reunión: Realizada el día 28 de octubre de 2021, Lugar: edificio Ronda Real piso 4 sala de reuniones. Objetivo: Instalar mesa Institucional de Garantías para Líderes Comunales Amenazados, que permita establecer garantías de seguridad para el ejercicio del liderazgo comunal en la ciudad y posibilitar que estos puedan ejercer su labor social y participar en el proceso de renovación de dignatarios comunales. 
Segunda Reunión: Lugar: Auditorio Nuevo Comando de la Policía Barrio Manga. Objetivo: Generar estrategia de acompañamiento y seguridad que les permita el ejercicio pleno de sus derechos a la participación ciudadana y comunitaria con total transparencia y sana paz.</t>
  </si>
  <si>
    <t>Debido a la insuficiente asignación de recursos, no se ha podido avanzar en el cumplimiento de esta meta. En articulación con las tres ASOJAC del Distrito de Cartagena de Indias y con el acompañamiento y asesoría de la Secretaría de Planeación Distrital, se están gestionando los recursos para su financiamiento, a través de un proyecto Tecnológico para el fortalecimiento de las organizaciones comunales, el cual contempla dentro de sus objetivos, la construcción e implementación de una plataforma digital comunal. Este proyecto va hacer financiado con recursos del Fondo Nacional de Regalías y nos va a permitir cumplir con el 100% de la meta establecida en el Plan de Desarrollo Distrital para el Cuatrienio.</t>
  </si>
  <si>
    <t>No se ha podido avanzar en el cumplimiento de la meta por no asignación de recursos para continuar con la fase de agenda pública, contratación para suministro de la logística requerida y material pedagógico. Por lo anterior, se priorizaron recursos para la vigencia 2022, con el fin de avanzar en el cumplimiento de lo que resta de la meta establecida en el Plan de Desarrollo para el cuatrienio.</t>
  </si>
  <si>
    <t xml:space="preserve">A través del Convenio de Asociación Número 051 de 2021, celebrado entre el Distrito de Cartagena de Indias y la Corporación Universitaria Rafael Niñez, un total de (115) ciudadanos miembros de Organizaciones Comunales de las tres localidades del Distrito de Cartagena de Indias, participaron en el diplomado certificado en "Herramienta para la gestión social comunitaria" realizado durante los días del 9 al 18 de diciembre de 2021, en el cual, se le brindaron a los participantes los conocimientos para la formulación de sus Planes de Gestión Social Comunal, como también para una mejor gestión en sus comunidades, resolución de conflictos y relacionamiento.
Por otro lado, el día 28 de noviembre de 2021, se celebraron las elecciones de dignatarios comunales en Cartagena, en el que más de 190 organizaciones comunales, realizaron su proceso de elección de dignatarios comunales, durante la jornada las organizaciones comunales recibieron acompañamiento y asesoría por parte de la Secretaría de Participación y Desarrollo Social, con la finalidad de garantizar el principio de imparcialidad en todo el proceso electoral. Igualmente, en articulación con los entes de control, la policía y demás instituciones del Distrito brindamos acompañamiento e inspección, con el fin de posibilitarle a los ciudadanos garantías para ejercicio del derecho de la participación.
</t>
  </si>
  <si>
    <t>https://drive.google.com/drive/folders/1ERVRBD6gBsw553cQlA7Bswl5rOOgvP_u?usp=sharing</t>
  </si>
  <si>
    <t>Meta cumplida. 
Durante el mes de diciembre se circulan pieza de la campaña en las redes sociales de la Secretaria</t>
  </si>
  <si>
    <t xml:space="preserve">Durante el mes de octubre, entre los motivos de ingreso de los NNA atendidos estan: 
• Alta permanencia en calle
• Rebeldía
• Auto lesiones 
• Posible explotación sexual
• Violencia intrafamiliar
• Negligencia parental
• Maltrato infantil
• Vida en calle
• Encontrarse en una discoteca siendo menor de edad
• Problemas relacionados con la supervisión o el control inadecuado de los padres
• Presunta conducta punible
• Situación de abandono
De los 18 cupos atendidos uno tuvo prorroga
El 77% de los cupos fueron otorgados a adolescentes y 23% restantes a infantes. 
En el mes de noviembre se habilitaron 26 cupos para la atencion de NNA con derechos vulnerados, dentro de las situaciones por las cuales ingresaron estan situacion de vida en calle, violencia sexual, maltrato. Durante su permanencia en el servicio se desarrollaron actividades ludicas y formativas, asi como todas aquellas acciones relacionadas con la atencion en salud y el restablecimiento de derechos de los NNA.
Durante el mes de diciembre se lograron 9 atenciones a NNA con derechos vulnerados o amenazados en el Hogar de Paso. 
Dentro de las actividades desarrolladas con los niños, las niñas y adolescentes atendidos durante este mes en el Hogar esta la realizacion de la decoracion navideña, ellos y ellas tuvieron la oportunidad de elaborar las decoraciones con que se adorno la casa hogar y armar el pesebre, cabe la pena resaltar que esta es una actividad de esparcimiento que se realiza ademas de todas aquellas que normalmente se llevana a cabo durante su estadia en el Hogar de Paso. </t>
  </si>
  <si>
    <t xml:space="preserve">Durante el mes de octubre las acciones de prevención fueron implementadas gracias a las alianzas establecidas con Fundación REI, CDI BUENAS NUEVAS, Institución Educativa Buen Aire de Pasacaballos, I.E BERTHA SUTNER, Fundación el Rosario, Fundación Manos para la Vida, Institución Educativa Santa Ana, Comisaría de Familia Localidad de la Virgen y Turística- Alcaldía Local, Comisaría de Damilia de la Casa de Justicia de Chiquinquirá, y con alianzas con comunidades como: Barrio Boston, Nuevo Paraíso, Olaya, La María. 
Durante el mes de noviembre se realizaron alianzas con las siguientes entidades y comunidades para el desarrollo de las actividades de prevención de riesgos sociales dirigidas a NNA: 
I.E Ciudad de Sincelejo, Institución Educativa Gabriel García Márquez, IE Juan Bautista Scalabrini, Bayunca sector Reino de Pambele, I. E Nuestra Señora del Carmen, Inst. Educativa de Barú, Casa Lúdica Colombiaton, Casa Lúdica Colombiaton, CDI Refugio de Esperanza, CDI Puerto Rey, CDI Mi Refugio de Esperanza, CDI Actuar por Bolívar, I.E El Salvador, Inst. Educativa San Francisco de Asís, Asociación padres de familia I.E Manuela Beltrán, CDI Colombiaton, Fundación Plan International, Articulación con Afinia, CDI Camino de Luz, Fundación social Metropolitana San Vicente.
Igualmente, se llevaron a cabo las jornadas de sensibilización y control de la ESCNNA y el Trabajo Infantil, en total se realizaron 6 de las cuales 5 fueron de control y 1 de sensibilización, en el desarrollo de las mismas se logró identificar 19 NNA en riesgo y 6 fueron llevados ante la autoridad administrativas por prácticas asociadas con la mendicidad. 
Estas jornadas se realizaron en Centro historico, Chambacu, Getsemani, Bosque y Basurto. 
Durante el mes de diciembre en alianza con la JAC de la Candelaria, la Parroquia Espíritu Santo del barrio Las Gaviotas, Pozón, Barrio Sucre, entre otras, en las actividades como Salvemos Juntos a Cartagena se desarrollaron actividades formativas y de prevención de la violencia sexual dirigidas a NNA. Estas fueron llevadas a cabo por el equipo psicosocial de la Unidad quienes dieron a los participantes herramientas para la prevención de este riesgo social. 
Igualmente, se llevaron a cabo jornadas de sensibilización y de búsqueda activa de NNA en situación de trabajo infantil, mendicidad, vida en calle, alta permanencia en calle o víctimas de ESCNNA, en: 
Muelle de La Bodeguita
Terminal de Transportes Terrestre
Terminal de Transporte Aereo (Crespo)
Chambacú
Playas de Bocagrande. 
Centro Histórico
Barrio el Laguito
Barrios Pie de la Popa y Toril.
En total fueron atendidos 19 niños, niñas y adolescentes de los cuales los encontrados en Chambacu 5 adolescentes fueron institucionalizados, 4 en Hogares Crea y 1 en la fundación CORGESTACOL. </t>
  </si>
  <si>
    <t>En la Mesa de Infancia, Adolescencia y Fortalecimiento familiar (MIAF) y el Consejo de Politica Social desarrollados en el mes de diciembre, fue presentada la ruta de atencion a NNA en situacion de mendicidad, la cual fue aprobada para su puesta en marcha y socializacion en el Distrito. 
Esta ruta fue elaborada por el equipo de la Unidad de Infancia de la Secretaria en el marco del Comite CIETI Distrital, con quienes se hicieron las revisiones previas y ajustes para luego poder ser socializada y aprobada en las demas instancias como la MIAF y el Consejo de Politica Social.</t>
  </si>
  <si>
    <t>El día 1 de noviembre se realizó en las 3 Ludotecas Distritales y la casa Lúdica Colombiatón la celebración de la Tradición de Ángeles Somos, en esta actividad participaron niños, niñas y adolescentes entre los 4 y 16 años, pero también se contó con el acompañamiento de algunos padres de familia y otros miembros del hogar. Los equipos de las ludotecas y casa lúdica salieron con Los niños, las niñas y sus familias en una caravana con disfraces, panderetas, tambores, maracas y con mucha alegría cantando el estribillo “Ángeles somos del cielo venimos, pidiendo limosnas para nosotros mismos”, entre otros cantos relacionados a la tradición. Se realizó el recorrido por las tiendas, mercados campesino que ese día se desarrollaba cerca a la ludoteca, carnicerías, viviendas, supermercados y abarrotes de varios sectores de los barrios Nelson Mándela, Olaya, Colombiatón y Bayunca, quienes brindaron a los niños diferentes productos como plátano, ñame, papas, ajos, huesos, arroz, limones, entre otros alimentos necesarios para preparar el popular sancocho. Luego del recorrido, entre todos se prepararon los alimentos y se sirvió la sopa para todos, garantizando que todos los niños y niñas tuvieran una comida garantizada, lo cual es el principal objetivo de esta tradición, garantizar que todos los primeros de noviembre a los niños se les garantice su alimentación.
Las jornadas de ludoteca viajera durante el mes de noviembre fueron desarrolladas en las siguientes comunidades e instituciones: 
Reino de Pambele, Centro – Sector india Catalina, isla Barú, Comunidad Puerto Rey, Ludoteca Sonrisas de Cartagena, FUNSAREP, articulación con Afinia, HOGAR INFANTIL COMUNITARIO DON BLAS, Comunidad de Bayunca, Fundación “Dejad a Los niños venid a mí”, Fundación social metropolitana San Vicente
Con la atencion de 1067 NNA durante noviembre se da un cumplimiento del 100% a la meta. 
Durante el mes de diciembre se llevaron a cabo jornadas lúdicas en CDI Colombiaton 2, sector 11 de Noviembre de Olaya Herrera, Chiquinquirá, La Candelaria Cll 1° de Mayo, Zarabanda, Chambacú y en la vía Perimetral, estas actividades fueron dirigidas a niños, niñas y adolescentes quienes pudieron disfrutar del ejercicio de su derecho al juego y a la recreación. 
CIERRE NAVIDEÑO- LUDOTECAS DISTRITALES Y CASA LÚDICA DE COLOMBIATÓN 
El objetivo de esta actividad fue brindar espacios para alimentar el espíritu navideño y disfrutar de los pequeños y valiosos detalles de la familia, a amar a los demás, y dar lo mejor a quienes nos rodean. 
Para esta actividad se gestionaron recursos y refrigerios con diferentes entidades como la Fundación Plan International, la Fundación Viva y con personas particulares.
Seguidamente, se ambientó el espacio de la ludoteca para que los niños, niñas y sus familias disfrutaran de un ambiente navideño, para esto también se realizó la novena navideña, la cual fue acompañada con instrumentos musicales como panderetas y sonajeros, y por supuesto con las palmas de los niños y sus padres de familia, luego, se les explicó a los padres la importancia de jugar con sus hijos, pues el juego fortalecer los vínculos afectivos y promueve la comunicación en el hogar, ante esto se invitaron a los padres juntos con sus hijos a realizar un juego en familia, el cual consistía en que la familia que más recogiera fichas ganaba, sin embargo, el verdadero propósito era enseñar a los padres que con juegos tan sencillos se puede generar la confianza y la unión. 
Todos los niños, las niñas y adolescentes usuarios permanentes de las 3 ludotecas Distritales y la Casa Lúdica de Colombiatón tuvieron la oportunidad de recibir un obsequio y de disfrutar de todas las actividades desarrolladas en las jornadas. 
Se llevó a cabo Jornada Lúdica el 19 de diciembre en el marco de la Estrategia Mi Centro es Cartagena, con presencia de nuestra oferta lúdico pedagógica en las Plazas de la Proclamación y de los Coches</t>
  </si>
  <si>
    <t xml:space="preserve">Durante el mes de noviembre se avanzó en la elaboración de la Ficha de Estructuración de la PPPIIAFF, pues en el marco del Ciclo de Políticas Públicas del Distrito de Cartagena de Indias, la etapa de alistamiento tiene como producto documento denominado Ficha de Estructuración de Política Pública. 
En reunión sostenida con el asesor de la Secretaría de Planeación el día 29 de noviembre,  se tomó la decisión de seguir avanzando en la construcción del documento y desarrollar la prueba piloto de los instrumentos que se utilizarán en la ejecución del esquema de participación, esto con el fin de asegurar que son los instrumentos adecuados y hacer los ajustes antes de la entrega de la ficha a la Secretaría de Planeación, puesto que una vez se entregue será dada a conocer a los grupos de veeduría ciudadana para los respectivos seguimientos al ejercicio de formulación de la PPPIIAFF. 
En el mes de diciembre se realizó reunión con el equipo de Políticas Publicas de la Secretaría de Planeación y se presentó el avance de la Ficha de Estructuración de la Política Publica de Primera Infancia, Infancia, Adolescencia y Fortalecimiento Familiar, el cual fue elaborado y ajustado por los funcionarios de la Unidad de Infancia con base en las recomendaciones emitidas por el asesor Juan Pablo Peña.    
En este orden de ideas, se avanzó en la elaboración del documento técnico para la elaboración de la Línea de base de la PPPIIAFF, el cual fue aprobado por el asesor. 
Frente al cumplimiento de la meta se considera que se ha tenido un avance del 70% con relación a las fases del ciclo de Políticas Publicas estipuladas por el Distrito y sobre las cuales el equipo de la Unidad ha avanzado.  </t>
  </si>
  <si>
    <t xml:space="preserve">En 28 de Octubre se realizó una Miaf y durante el mes de noviembre los días 18 y 26 se realizaron las sesiones de la Mesa de Infancia, Adolescencia y fortalecimiento Familiar del Distrito. 
Durante el mes de diciembre se realizaron: 
Una mesa de Infancia, Adolescencia y Fortalecimiento Familiar (Última sesión del año)
Un Consejo de Política Social (Última sesión del año)
Una sesión Extraordinaria de Comité Interinstitucional Consultivo para la prevención y Atención de las Violencias Sexuales con especial Énfasis en Niños, Niñas y Adolescentes. 
Y la última sesión del Comité de Erradicación del Trabajo Infantil CIETI Distrital. </t>
  </si>
  <si>
    <t xml:space="preserve">Meta cumplida
Se llevó a cabo jornada lúdica intergeneracional en alianza con el Centro de Vida de las Palmeras, en la actividad tuvieron la oportunidad de compartir actividades de juego y recreación entre NNA y adultos mayores. </t>
  </si>
  <si>
    <t xml:space="preserve">Durante el mes de noviembre se realizó atención a 8 familias de NNA con discapacidad por parte de la  fisioterapeuta que acompaña el proceso de atención a estas familias.
Esta actividad tiene como objetivo realizar acciones de apoyo educativo, psicosocial y alimenticio a  familias de niños, niñas y adolescentes pertenecientes a  comunidades vulnerables del Distrito de Cartagena, articulando la prestación de los   servicios de  salud,  educación y ayuda humanitaria a través de  entidades como el DADIS, la Secretaria de educación y la Secretaria de Participación y Desarrollo social, a fin de fortalecer las acciones que se generan alrededor de esta población desde un enfoque inclusivo. 
La atención a estas familias se realiza a partir de visitas en el hogar por parte de una profesional psicosocial y una fisioterapeuta quienes se encargan de identificar las necesidades de estos NNA  y si existe vulneración de derechos frente a la atención y oportunidad por parte de las entidades prestadoras de servicios, además de verificar con las familias que los niños, niñas y adolescentes se encuentren inscritos en el Registro de localización y caracterización de personas con discapacidad (RLCPD) sin descuidar al cuidador principal del NNA durante la visita a quien se le brindan  pautas de la estrategia “Cuidado al cuidador”. 
Durante el mes de diciembre  se realizó atención a 26 familias de niños, niñas y adolescentes con discapacidad en los barrios San Pedro Mártir, 20 de julio, Olaya sectores Nuevo Porvenir, La Puntilla y Central, Policarpa, Puerta de hierro, Pozón, Nelson Mandela, Caracoles  y Bicentenario  ubicados  en las localidades 2  y 3 de la ciudad de Cartagena. Del total de familias de niños, niñas y adolescentes  atendidas  11  corresponden a niñas con discapacidad y 15 niños y/o adolescentes con discapacidad. 
</t>
  </si>
  <si>
    <t xml:space="preserve">Meta cumplida. 
Durante noviembre se llevaron a cabo dos Jornadas móviles de atención Socio-legal en los barrios San José de los Campanos y Bayunca respectivamente. 
Esta actividad tiene como objetivo acercar la oferta de servicios de la Unidad de Infancia, Juventud y Familia a las comunidades vulnerables del Distrito de Cartagena, vinculando otros servicios de la Secretaria de Participación y Desarrollo Social, a fin de fortalecer las acciones de esta dependencia, beneficiando con los diferentes programas, a la población pobre y vulnerable del Distrito. 
A estas jornadas se vinculan entidades del orden Público y Privado, tales como Migración Colombia, OIM, Comisaria de familias localidad 2, oficina de asuntos para la mujer, Proyectos productivos,  Programa Familias en acción, entre otras, de acuerdo con la disponibilidad que tengan. 
El día 04 de noviembre se realizó un servicio de asesoría socio legal a Familias en el corregimiento de  Bayunca sector Reino de Pambelé ubicado en la localidad 2 de la zona rural  en la que participaron 50 personas  adultas de las cuales 10 fueron hombres y 40 fueron mujeres. 
El día 24 de noviembre se realizó un servicio de asesoría socio legal a Familias en el barrio San José de los Campanos ubicado en la localidad 3 unidad comunera de gobierno # 13. En esta jornada participaron un total de  75 personas  adultas de las cuales 11 fueron hombres y 64 fueron mujeres. 
Durante diciembre se llevó a cabo una jornada móvil de atención Socio-legal asentamiento de Chambacú.
Esta actividad tiene como objetivo acercar la oferta de servicios de la Unidad de Infancia juventud y familia a las comunidades vulnerables del Distrito de Cartagena, vinculando otros servicios de la Secretaria de Participación y Desarrollo Social, a fin de fortalecer las acciones de esta dependencia, beneficiando con los diferentes programas, a la población pobre y vulnerable del Distrito. 
A estas jornadas se vinculó la oferta institucional de la Secretaria de Participación y Desarrollo Social a través de la unidad de Infancia y Familia con acciones formativas en prevención de riesgos sociales para niños, niñas y adolescentes y ludoteca viajera, oficina de Asuntos para la Mujer, Proyectos Productivos, Unidad de Discapacidad, UMATA, oficina de Adulto Mayor, Policía de Infancia y Adolescencia, Modalidad Mi Familia del ICBF y la empresa privada CEMARCARIBE quien donó obsequios y refrigerios para los niños y niñas asistentes a la actividad. 
El día 17 de diciembre se realizó un servicio móvil de asesoría socio legal a familias  en el  asentamiento humano de Chambacú sector Las Pesebreras ubicadas en la Localidad 1 Unidad Comunera de Gobierno 1 en la que participaron 34 personas adultas de las cuales 5 corresponden a hombres y 29 corresponden a mujeres. </t>
  </si>
  <si>
    <t>https://drive.google.com/drive/folders/1G1hHw11kQuvgUnXjxfQaE1-vBEDc_7WD?usp=sharing</t>
  </si>
  <si>
    <t>https://drive.google.com/drive/folders/1KfgSmycj-c4W1j584epqtrC5yrxiqxWp?usp=sharing</t>
  </si>
  <si>
    <t>La  meta producto "7.120 PcD registradas en el RCLPD en atención intersectorial en el desarrollo y protección social integra", de acuerdo a la resolución 113 de 2020 expedida por el Ministerio de Salud y Protección Social, otorga esta competencia al DADIS; en este sentido el Programa de Discapacidad de la SPDS alterna por otra meta de atenciones, asesoría y acompañamiento integral a las PcD, sus familias y/o cuidadores en las dimensiones corporales, individuales; Sin embargo, dentro de este acompañamiento y en la territorialización de la oferta institucional se propende por socializar la ruta para acceder a la certificación de Discapacidad- RLCPD y apoyar (personas con discapacidad que no tienen accedo a internet) en la solicitud del mismo ante el DADIS.</t>
  </si>
  <si>
    <t>Los 30 planes de respuesta reportados, corresponden a informes de visitas y atenciones psicosociales realizadas durante los meses de octubre, noviembre y diciembre de 2021.</t>
  </si>
  <si>
    <t xml:space="preserve">Se encuentra a espera del proveedor (Fundación para el Progreso Bienestar Social y Desarrollo Sostenible), para el suministro de apoyos alimentarios a niños y niñas con discapacidad priorizados en el acompañamiento psicosocial. </t>
  </si>
  <si>
    <t xml:space="preserve">Se realizaron 5 entregas de ayudas técnicas (sillas de rueda) a personas con discapacidad priorizadas en el acompañamiento psicosocial. </t>
  </si>
  <si>
    <t xml:space="preserve">No se realizó asesoría en la generación de ingreso y empleo; sin embargo, en los meses de octubre y noviembre de 2021 se realizaron ajustes al análisis de necesidades de generación productiva a personas con discapacidad (enviado en meses anteriores) por solicitud del equipo de contratación para la disponibilidad de recursos. Esto para avanzar o dar cumplimento de las actividades del Plan de Acción, Asesoría en asistencia y acompañamiento en la generación de opciones productivas y de ingreso para el trabajo en concordancia al plan de respuesta territorial; y Asegurar de manera sistémica, participativa y flexible la estrategia "Apalancamiento en la generación de Ingreso y Empleo de las Personas con Discapacidad en edad laboral”. </t>
  </si>
  <si>
    <t>Durante el mes de diciembre no se realizaron monitoreos ciudadanos/ ofertas institucionales (la evidencia relacionada, fue la reportada en el mes de octubre y noviembre)</t>
  </si>
  <si>
    <t>No se realizó asesoría en la generación de ingreso y empleo; sin embargo, en los meses de octubre y noviembre de 2021 se realizaron ajustes al análisis de necesidades de generación productiva a personas con discapacidad (enviado en meses anteriores) por solicitud del equipo de contratación para la disponibilidad de recursos. Esto para avanzar o dar cumplimento de las actividades del Plan de Acción, Asesoría en asistencia y acompañamiento en la generación de opciones productivas y de ingreso para el trabajo en concordancia al plan de respuesta territorial; y Asegurar de manera sistémica, participativa y flexible la estrategia "Apalancamiento en la generación de Ingreso y Empleo de las Personas con Discapacidad en edad laboral”. (la evidencia relacionada, fue la reportada en el mes de octubre y noviembre)</t>
  </si>
  <si>
    <t xml:space="preserve">Esta actividad para la vigencia 2021 está cumplida; se han constituido 6 organizaciones de personas con discapacidad, entre ellas: Fundación Sin Límites de la Costa del barrio Arroz Barato, Fundación Caminos de Emaús del barrio La María, Corporación Hoy por Ti Huellas del barrio Huellas de Alberto Uribe, Fundación DISCAR del barrio Olaya Herrera, Fundación Innovación Social sin Barrera de Caño del Oro, Asociación Soñemos Juntos Cartagena del barrio Olaya Herrera, sector el Tancon. Durante los meses de octubre y noviembre algunas organizaciones han recibido asistencias técnicas y de formación basada en la Cartilla de Fortalecimiento de Organizaciones Sociales de Personas con Discapacidad /2016 del Ministerio de Salud y Protección Social y Protocolos de Incidencia, Participación y Gestión en el Marco del Sistema Nacional de Discapacidad (SND). Durante el mes de diciembre se promovieron actividades con algunas organizaciones ya constituidas. </t>
  </si>
  <si>
    <t>Se asistieron técnicamente 5 campañas de sensibilización del Sistema Distrital, en el marco de la conformación de los Comités Locales de Discapacidad. Desarrolladas los días: 
**1 de octubre donde se realizó encuentro de socialización de los decretos locales modificatorios de la convocatoria a elecciones de cada comité local, desarrollado en el Centro Cultural las Palmeras, asistieron 35 líderes de los diferentes tipos de discapacidad, referentes de las tres localidades, delegado de la Registraduría, delegado de la Consejería Presidencial para la Participación de las Discapacidad, Rector del Sistema Nacional de Discapacidad; este encuentro dio apertura al calendario electoral modificado en el cambio de fechas electorales. 
**21 de octubre Simulacro electoral con el acompañamiento del delegado de la Registraduría, delegado de la oficina de informática de la Alcaldía mayor y desarrollador del portal, trabajo social de las Alcaldías Locales y Personería Distrital. 
**4 de noviembre Despliegue territorial, intersectorial para llevar a cabo la jornada electoral de comités locales de discapacidad. 
**08 de noviembre encuentro Madres cuidadoras para resolver dudas del proceso de elección de comités locales de discapacidad. Asistentes: 3 madres cuidadores, secretario de participación, Coordinadora del programa de discapacidad y asesora para la conformación del Sistema Distrital de discapacidad, Personería Distrital, delegado de la Registraduría, Equipo de comunicaciones, Referentes de discapacidad de las Alcaldías locales.
**El 19 de diciembre se asistió técnicamente 1 campañas de sensibilización del Sistema Distrital y política pública, en el marco del día internacional de discapacidad, a través de la Brigada formativa “Somos Capacidades” se sensibilizó a la comunidad en la fase de alistamiento para la formulación de la política pública de discapacidad.</t>
  </si>
  <si>
    <t>Se diseñaron y acompañaron 11 piezas publicitarias en el mes de diciembre; en el marco de la asistencia técnica de los Comités Locales de Discapacidad y la preparación de la fase de agenda pública, Política Distrital de Discapacidad y también piezas para la sensibilización del Sistema Distrital y política pública, en el marco del día internacional de discapacidad, a través de la Brigada formativa “Somos Capacidades” donde se sensibilizó a la comunidad en la fase de alistamiento para la formulación de la política pública de discapacidad.</t>
  </si>
  <si>
    <t>Durante el mes de diciembre, no se suministró materiales de apoyo logístico a las reuniones de cada sesión de los Comités Territoriales de Discapacidad. Este apoyo será esencial durante la fase de agenda pública, que estima iniciar en el primer trimestre de 2022</t>
  </si>
  <si>
    <t xml:space="preserve">
Durante el mes diciembre, no suministraron transporte </t>
  </si>
  <si>
    <t xml:space="preserve">
Se realizaron 16 asistencias técnicas y profesionales, durante los meses de octubre, noviembre y diciembre. Estas asistencias fueron permanentes, de manera presencial y remota en el marco de la puesta en operación de los Comités Locales de Discapacidad y la conformación del Comité Distrital de Discapacidad.</t>
  </si>
  <si>
    <t xml:space="preserve">
Se realizaron 16 asistencias técnicas y profesionales, durante los meses de octubre, noviembre y diciembre. Estas asistencias fueron permanentes, de manera presencial y remota en el marco de la puesta en operación de los Comités Locales de Discapacidad y la conformación del Comité Distrital de Discapacidad. </t>
  </si>
  <si>
    <t xml:space="preserve">Durante los meses de octubre y noviembre se mantuvo el fuerzo en la estructuración de los 3 comités Locales de Discapacidad, debido a que a la ley 1145 del 2007 que exige la conformación de los mismos para la construcción de la Política Pública. Sin embargo, Se continuo el trabajo independiente especializado en el marco de la fase de alistamiento ver versión 08 de la ficha de estructuración y avances en el desarrollo de la metodología participativa; entregada esta ficha el 23 de noviembre de 2021 a la Secretaría de Planeación. 
En el mes de diciembre se refino la ficha de estructuración, el esquema de participación comunitaria y la planeación de recursos requeridos para la agenda publica durante el año 2022. </t>
  </si>
  <si>
    <t>Durante el mes de diciembre no se adelantaron acciones en el sistema de información.</t>
  </si>
  <si>
    <t>https://www.facebook.com/secretariadeparticipacion/posts/3224102051156488
https://drive.google.com/drive/folders/10xQtpcs4HuQ0mben1PvxC1gw1qNnTCtZ?usp=sharing</t>
  </si>
  <si>
    <t>https://drive.google.com/drive/folders/1ycDBuAClDZXipyrKLbE7OLz05SoczOr1?usp=sharing
https://www.instagram.com/p/CWRHFikPsjR/
https://www.instagram.com/p/CWRIqU_FyA6/
https://www.instagram.com/p/CWUET9iL2bL/</t>
  </si>
  <si>
    <t>https://drive.google.com/drive/folders/1XEMBz9uZ5o1qbKMJ8ufmNpaSwO2P-P6G?usp=sharing
https://www.instagram.com/p/CXpLMhognft/</t>
  </si>
  <si>
    <t xml:space="preserve">El Programa de Asuntos para la Diversidad Sexual, socializó los avances en la formulación de la Política Pública de Diversidad Sexual e Identidades de Género del Distrito de Cartagena de Indias, se informó sobre cada una de las actividades desarrolladas en el 2021 en la Etapa de Alistamiento. La agenda del evento contempló la realización de mesas de trabajo en las cuales se validaron los instrumentos de caracterización y recolección de información que se utilizarán en la Etapa de Agenda Pública. 
La validación de los instrumentos de caracterización y recolección de información con las organizaciones, líderes y lideresas LGBTIQ+ , es un paso obligado en la Etapa de Alistamiento para poder convocar el esquema de participación ciudadana en el marco de la Etapa de Agenda Pública que se desarrollará en el 2022.
En la actividad que se realizó el sábado 18 de diciembre de 2021 de 8:00 am a 4:00 pm en el Hotel Mariand Plaza, participaron dependencias del Distrito, tales como; DADIS, IDER, IPCC, Secretaría Distrital de Educación, Secretaría del Interior y Convivencia Ciudadana, además de Lideres, Lideresas, Colectivos y Organizaciones con trabajo en Diversidad Sexual. 
En total fueron 33 participantes en el acto de socialización de avances, con los que al final de la jornada se concertó construir conjuntamente el plan de trabajo 2022 para articular acciones en pro de los derechos de las personas con orientación sexual e identidades de género diversas del Distrito de Cartagena.
</t>
  </si>
  <si>
    <t xml:space="preserve">https://www.facebook.com/1746705428896165/posts/3229038367329523/?d=n </t>
  </si>
  <si>
    <t xml:space="preserve">Meta cumplida. 
Durante octubre se llevó a cabo actividad formativa en pautas de crianza con la Corporación Colegio Gran Colombia e igualmente se realizó socialización de la Ruta Integral de Atenciones a la Primera infancia (RIA). 
Durante noviembre se llevaron a cabo talleres en crianza amorosa en alianza con CDI Mi Refugio de Esperanza y la Fundación Dejad a los Niños Venid a Mí, dejando en padres, madres y cuidadores herramientas para convertir sus hogares en verdaderos entornos de protección para niños y niñas de la primera infancia.
Durante el mes de diciembre de 2021 y enero de 2022, gracias a la alianza de la Unidad de Infancia, Juventud y Familia con el Instituto Colombiano de Bienestar Familiar se tiene previsto beneficiar con 4 bolsas alimento de alto valor nutricional a 1000 niños y niñas de primera infancia con necesidades de apoyo nutricional, residentes en los sectores vulnerables de la ciudad de Cartagena. 
Los sectores priorizados son Nelson Mandela Olaya Isla de León, Isla de Belén, Reino de Pambele, Bayunca, Fredonia, Villa Hermosa, Henequén Colombiaton, flor del campo y revivir de los campanos. 
Hasta el día 31 de diciembre se han entregado a 806 niños y niñas lo que corresponde a un total de 3.225 bolsas, se tiene previsto continuar con la entrega durante el mes de enero hasta llegar a los 1000 niños y niñas a beneficiar de acuerdo con el convenio. 
Igualmente, se llevaron a cabo acciones formativas con padres, madres y cuidadores. . </t>
  </si>
  <si>
    <t>Durante el mes de octubre las niñas del Consejo de Infancia y Adolescencia del Distrito participaron en las diferentes actividades de conmemoración del Día Mundial de la Niña. 
En la ludoteca primero los niños de Bayunca se llevo acabo jornada formativa para la promoción del derecho a la participación dirigida a NNA, durante la actividad se dieron a los participantes informaciones sobre la importancia de ejercer su derecho a la participación, los diversos escenarios que existen para tal fin y las actividades que se desarrollan desde la Unidad con el Consejo de Infancia y Adolescencia del Distrito para promover este derecho. 
El día 16 de diciembre se llevó a cabo la segunda mesa de participación infancia, adolescencia y juventud del Plan de Ordenamiento Territorial Cartagena de Indias, cuyo objetivo está orientados a trabajar conjuntamente con los actores los programas y proyectos necesarios para incluir en el instrumento; como insumo para el desarrollo de este ciclo de participación, en esta mesa participaron los consejeros de infancia y adolescencia, keiver Buelvas, Saray Vargas y Aura Ortega.
Se mostraron los resultados de participación ciudadana del primer encuentro realizado el día 7 de septiembre de 2021.
Inicialmente, se revisaron los resultados de participación ciudadana, donde se resalta que la ciudad cuenta con diferentes problemáticas de invasión y mal uso de sus suelos, y que a pesar de tener grandes ingresos económicos los niveles de pobreza son muy altos, mientras que la inversión es muy poca, además existe poco fomento de la participación, la educación y sobre todo la falta de pertenencia y por supuesto la falta de control y ordenamiento. 
Sin embargo, lo que se busca es incrementar la participación de la ciudadanía especialmente la de la niñez y juventud, por esto se deben hacer unos aportes a la visión como: protección de territorios y practicas ancestrales en la ruralidad e insularidad, promoción del desarrollo social y comunitario, protección y conservación del espacio público, movilidad sostenible y alternativa, entre otros. 
Para poder desarrollar y alcanzar cada una de estas acciones se deben implementar unas metodologías:
● Oportunidades para el uso sostenible y la conservación ambiental (estructura ecológica, uso adecuado del suelo, gestión de riesgo, gestión ambiental y saneamiento básico)
● Oportunidades para el mayor aprovechamiento económico del suelo y el desarrollo de actividades urbanas (aglomeración urbana, vías de comunicación, servicios públicos y actividad económica.)
● Avances con oportunidades para el uso sostenible y la conservación ambiental (estructura ecológica, gestión de riesgo, saneamiento básico)
Para finalizar la actividad se solicitó aportes, comentarios, ideas, sobre las diferentes problemáticas que afrontan los niños, niñas, adolescentes y jóvenes en la ciudad, en este punto los consejeros de infancia consultaron donde pueden conocer los programas del Plan de ordenamiento territorial, además manifestaron que muchos niños no cuentan con acceso a salud, y que la ciudad está viviendo una situación difícil con el dengue pues ya se han presentado varias muertes por esta enfermedad. Adicionalmente se manifestó que entre las problemáticas que afrontan los niños y jóvenes están: inseguridad, falta de espacios públicos, mal uso de parques, acoso sexual, venta de sustancias psicoactivas, entre otras. 
Taller Formativo en Liderazgo y participación infantil
El objetivo de esta actividad fue fortalecer las capacidades de los niños, niñas y adolescentes en canto al liderazgo infantil, además fomentar la participación en espacios que garanticen este derecho. Participaron 19 niños, niñas y adolescentes entre los 6 y los 13 años de edad. 
Se definió que es el liderazgo, tipos de liderazgo (democrático, autoritario y paternalista) adicionalmente se trabajó con los niños en grupos de 5 para conocer sus conceptos acerca de cuáles son sus derechos, como estos estos son vulnerados y cómo podrían ellos participara en los diferentes espacios de toma de toma de decisiones.
Por lo anterior se les socializó a los participantes los diferentes espacios que existen en Cartagena donde ellos pueden hacer parte como lo es: el consejo de infancia y adolescencia distrital, las mesas de participación territorial, las cuales permiten que los niños aportes estrategias, ideas y posibles soluciones ante las dificultades y problemáticas en las que se enfrentan en el día a día. "</t>
  </si>
  <si>
    <t xml:space="preserve">Se envÍa listado de excel donde, cada hoja hace referencia a una ruta. Se anexan evidencias fotográficas de algunas rutas representativas. </t>
  </si>
  <si>
    <t>Se anexa base de datos de atendidos en Empresarismo y Empleabilidad.</t>
  </si>
  <si>
    <t>Personas que fueron formadas en empresarismo y Emprendimiento por parte de la Unidad de Proyectos Productivos y las que finalizaron con sus planes de inversión.</t>
  </si>
  <si>
    <t xml:space="preserve">El proceso de formación de la Unidad de Proyectos Productivos culmina con la formulación de el plan de inversión. Se adjunta base de datos de planes de inversión. </t>
  </si>
  <si>
    <t>Se adjunta base de datos de unidades financiadas en el marco del convenio entre SPDS y PRODESAL.</t>
  </si>
  <si>
    <t>Se anexa base de datos de registros laborales.</t>
  </si>
  <si>
    <t>SE CUMPLIÓ CON EL INDICADOR</t>
  </si>
  <si>
    <t>La meta fue alcanzada en el trimestre anterior.</t>
  </si>
  <si>
    <t xml:space="preserve">Se anexan listado de Emprendimientos en espacios de promoción. </t>
  </si>
  <si>
    <t>Se estaba a la espera de que los emprendedores mostraran evidencias del avance de estos resultados, algunos participantes expresaron en la actividad haber realizado preacuerdos o preventas comerciales, sin embargo, se les llamó vía telefónica y aun no han enviado ningun soporte donde demuestren estas ventas (Materas con llantas y plantas ornamentales).
Infortunadamente los Emprendedores no dieron respuesta positiva al llamado. Por lo anterior seguimos trabajando en la consecucion de la meta.</t>
  </si>
  <si>
    <t>Se adelantaron gestiones con Secretaria de Educación sin resultado positivo a la fecha, asi mismo con  ELYON YIREH para la obtención de becas en programas de educación superior, lo cual depende de una solicitud que ellos quedaron en realizar y aun no ha llegado, adicionalmente,  se resalta que esta meta asi como las demás  y acorde al Plan de Desarrollo dependen de la creación del Centro para el Emprendimiento y la Empelablilidad que está contemplado para vigencias futuras.</t>
  </si>
  <si>
    <t>El dia 31 de Diciembre fue expedido y enviado a Hacienda el RP con valor de $ 230.000000 para formalizar el convenio entre Secretaria de Participacion, Secretaria de Hacienda, y PNUD.</t>
  </si>
  <si>
    <t xml:space="preserve">La meta fue alcanzada en el trimestre anterior y reportada, por ende, no se anexa evidencia. </t>
  </si>
  <si>
    <t>El día 12 de Noviembre del 2021 se realizó una reunión con el Secretario de Participación y Desarrollo Social y el Rector de ELYON YIREH, Gabriel Lalinde, quien expresó hacer la solicitud de manera formal para una alianza interadministrativa, en la cual se formarán de manera gratuita en cursos complementarios a jóvenes en situación de vulnerabilidad, se está a la espera de este documento. De igual manera, se solicitó asesoría jurídica para la formalización de la alianza. 
Según el Rector de la Institución Jhon Yireh enviaron la solicitud por Sigob, para iniciar la formalización, pero esta no ha llegado a la Unidad de Proyectos Productivos.</t>
  </si>
  <si>
    <t>La semana de la productividad esta programada para el 15 y 16 de julio, sin embargo están dadas todas las condiciones y logísticas para su realización</t>
  </si>
  <si>
    <t>Se han contratado por Orden de Prestacion de Servicio (3 Apoyo a la gestion, 1 abogada, 1 psicologa, 1 trabajadora social, 1 tecnico en sistemas)</t>
  </si>
  <si>
    <t>Se continuo con el contrato al hogar de paso ( Se contrato un hogar de paso por 7 meses 25 dias ( mayo - Diciembre) para atender 50 habitantes de la calle mensual)</t>
  </si>
  <si>
    <t>Se aplicaron 33 perfil laboral a personas en condicion de calle</t>
  </si>
  <si>
    <t xml:space="preserve">El laboratorio empresarial laboral y juvenil en el marco de la estrategia de inclusión productiva, Centros para el Emprendimiento y la Gestión de la Empleabilidad aun no ha sido puesto en marcha en el Distrito, </t>
  </si>
  <si>
    <r>
      <t xml:space="preserve">En este trimestre se han realizado:  </t>
    </r>
    <r>
      <rPr>
        <sz val="12"/>
        <rFont val="Arial"/>
        <family val="2"/>
      </rPr>
      <t xml:space="preserve">                                                                                                                                                                                                                                                                                                  </t>
    </r>
    <r>
      <rPr>
        <b/>
        <sz val="12"/>
        <rFont val="Arial"/>
        <family val="2"/>
      </rPr>
      <t>1.</t>
    </r>
    <r>
      <rPr>
        <sz val="12"/>
        <rFont val="Arial"/>
        <family val="2"/>
      </rPr>
      <t xml:space="preserve"> 8 jornadas de sensibilización en los sectores: barrio El Campestre, Blas de Lezo, Ceballo, Clínica Crecer, Mercado de Bazurto, Centro, Torices, estación de Transcaribe.</t>
    </r>
    <r>
      <rPr>
        <b/>
        <sz val="12"/>
        <rFont val="Arial"/>
        <family val="2"/>
      </rPr>
      <t xml:space="preserve">
2.</t>
    </r>
    <r>
      <rPr>
        <sz val="12"/>
        <rFont val="Arial"/>
        <family val="2"/>
      </rPr>
      <t xml:space="preserve"> 6 jornadas de vacunación: Mercado de Bazurto (1), Ceballos(1), Centro(1), Fundación Educador(1), sector el Zapatero(1), Fundación Mujeres(1).                                                                  
</t>
    </r>
    <r>
      <rPr>
        <b/>
        <sz val="12"/>
        <rFont val="Arial"/>
        <family val="2"/>
      </rPr>
      <t>3.</t>
    </r>
    <r>
      <rPr>
        <sz val="12"/>
        <rFont val="Arial"/>
        <family val="2"/>
      </rPr>
      <t xml:space="preserve"> 3 acompañamientos a los operativos de control al Centro Histórico.
</t>
    </r>
    <r>
      <rPr>
        <b/>
        <sz val="12"/>
        <rFont val="Arial"/>
        <family val="2"/>
      </rPr>
      <t>4.</t>
    </r>
    <r>
      <rPr>
        <sz val="12"/>
        <rFont val="Arial"/>
        <family val="2"/>
      </rPr>
      <t xml:space="preserve"> 1 Intervención a mujer habitante de calle víctima de violencia intrefamiliar. </t>
    </r>
    <r>
      <rPr>
        <b/>
        <sz val="12"/>
        <rFont val="Arial"/>
        <family val="2"/>
      </rPr>
      <t xml:space="preserve">
5.</t>
    </r>
    <r>
      <rPr>
        <sz val="12"/>
        <rFont val="Arial"/>
        <family val="2"/>
      </rPr>
      <t xml:space="preserve"> 4 visita a centros hospitalarios.  
</t>
    </r>
    <r>
      <rPr>
        <b/>
        <sz val="12"/>
        <rFont val="Arial"/>
        <family val="2"/>
      </rPr>
      <t>6.</t>
    </r>
    <r>
      <rPr>
        <sz val="12"/>
        <rFont val="Arial"/>
        <family val="2"/>
      </rPr>
      <t xml:space="preserve"> 1 Sensibilización comunitaria para abandonar hábitos que mantienen a los habitantes de calle en el sector.
</t>
    </r>
    <r>
      <rPr>
        <b/>
        <sz val="12"/>
        <rFont val="Arial"/>
        <family val="2"/>
      </rPr>
      <t xml:space="preserve">7. </t>
    </r>
    <r>
      <rPr>
        <sz val="12"/>
        <rFont val="Arial"/>
        <family val="2"/>
      </rPr>
      <t xml:space="preserve">En este trimestre se han afiliado al sistema de salud 996 personas (496 en Octubre y 500 en noviembre) completando asi 5396 en todo lo corrido del año.
</t>
    </r>
    <r>
      <rPr>
        <b/>
        <sz val="12"/>
        <rFont val="Arial"/>
        <family val="2"/>
      </rPr>
      <t xml:space="preserve">8. </t>
    </r>
    <r>
      <rPr>
        <sz val="12"/>
        <rFont val="Arial"/>
        <family val="2"/>
      </rPr>
      <t xml:space="preserve">Se han caracterizado en este trimestre 148 personas (76 en octubre y 72 en noviembre)  completando asi 626 en todo lo corrido del año.
</t>
    </r>
    <r>
      <rPr>
        <b/>
        <sz val="12"/>
        <rFont val="Arial"/>
        <family val="2"/>
      </rPr>
      <t>9.</t>
    </r>
    <r>
      <rPr>
        <sz val="12"/>
        <rFont val="Arial"/>
        <family val="2"/>
      </rPr>
      <t xml:space="preserve"> Jornada de embelleciento en el Mercado de Bazurto,</t>
    </r>
  </si>
  <si>
    <t>Se realizo gestión ante la Dian y la Carama de Comercio pero informan que en este momento no tienen programas que beneficien a la población habitante de calle</t>
  </si>
  <si>
    <t>Elaboración y sustentación de los planes de negocio</t>
  </si>
  <si>
    <t>Nos encontramos en gestión  para capacitar la empresa unipersonal  productiva dedicada a la elaboración de productos de aseo</t>
  </si>
  <si>
    <t>Carolina León Núñez</t>
  </si>
  <si>
    <t xml:space="preserve">Se realizo en concertación con las organizaciones de la sociedad civil </t>
  </si>
  <si>
    <t>El 5 de agosto, se difundió una encuesta de conocimientos,  actitudes, practicas  y percepciones a los funcionarios de la SPDS que nos permitiera conocer su postura frente a la Diversidad Sexual. Los resultados de esta encuesta CAP, permitirán realizar un taller de sensibilización y reducción de estigma frente a las personas de los sectores LGBTIQ+ en cada Unidad de la Secretaría.</t>
  </si>
  <si>
    <t>Entre el 17 y el 19 de noviembre, en el marco de la conmemoración de los 16 días de activismo y como antesala a la conmemoración del Día Internacional de la Eliminación de todo tipo de violencia contra la mujer (25 de noviembre), se realizaron en cada una de las Unidades, talleres de formación a funcionarios y colaboradores de la SPDS sobre los derechos de las personas LGBTIQ+. 
Igualmente, se realizó un taller sobre Nuevas Masculinidades a funcionarios y miembros de la Armada Nacional de Colombia, con el objetivo de eliminar las violencias basadas en género.</t>
  </si>
  <si>
    <t xml:space="preserve">En diferentes sectores, fuerza naval, funcionarios públicos </t>
  </si>
  <si>
    <t>Bajo el liderazgo de la Mesa de la Diversidad Sexual de Cartagena de Indias y con el acompañamiento de la Secretaría de Participación y Desarrollo Social, Instituto de Patrimonio y Cultura de Cartagena-IPCC, Instituto de Recreación y Deporte de Cartagena-IDER, Secretaría del Interior y Convivencia Ciudadana y la Policía Metropolitana de Cartagena, se realizó el sábado 13 de noviembre de 06:00 pm a 11:30 pm en el Centro Cultural del Socorro, la Muestra Cultural: Desfile de la Independencia y las Diversidades.
En el marco de esta muestra cultural, se realizó un reconocimiento a las exreinas de la diversidad sexual y a varios líder es y lideresas de los sectores sociales por su trabajo a favor de los derechos de las personas con orientación sexual e identidades de género diversas. Este espacio, que contó con la participación de grupos folclóricos y artistas locales, sirvió para dar a conocer el talento de artistas LGBTIQ+. El aforo de 300 personas, fue controlado mediante previa inscripción y solicitando al momento de ingresar, el documento de identidad y carnet de vacunación. 
El acompañamiento y apoyo de la Secretaría de Participación y Desarrollo Social a esta muestra cultural, se dio en el marco de una de las acciones afirmativas contempladas en el plan de acción 2021.</t>
  </si>
  <si>
    <r>
      <rPr>
        <b/>
        <sz val="12"/>
        <rFont val="Arial"/>
        <family val="2"/>
      </rPr>
      <t xml:space="preserve">1.  </t>
    </r>
    <r>
      <rPr>
        <sz val="12"/>
        <rFont val="Arial"/>
        <family val="2"/>
      </rPr>
      <t xml:space="preserve">El Centro de Emprendimiento y Gestión de la Empleabilidad aun no se ha puesto en marcha por el Distrito  Sin embargo y como alternativa para cumplir con esta meta, se ha realizado gestión con las Empresas: Veolia, Essentia y Centro Comercial la Plazuela.
</t>
    </r>
    <r>
      <rPr>
        <b/>
        <sz val="12"/>
        <rFont val="Arial"/>
        <family val="2"/>
      </rPr>
      <t>2.</t>
    </r>
    <r>
      <rPr>
        <sz val="12"/>
        <rFont val="Arial"/>
        <family val="2"/>
      </rPr>
      <t xml:space="preserve"> Informalmente hay una unidad productiva que produce elementos de aseo, en estos momentos se encontrar en proceso de gestión para su formalización.
</t>
    </r>
    <r>
      <rPr>
        <b/>
        <sz val="12"/>
        <rFont val="Arial"/>
        <family val="2"/>
      </rPr>
      <t>3</t>
    </r>
    <r>
      <rPr>
        <sz val="12"/>
        <rFont val="Arial"/>
        <family val="2"/>
      </rPr>
      <t>. Se está llevando a cabo gestiones con las Empresas: Veolia, Essentia y Centro Comercial la Plazuela para que vinculen a personas en condición de calle en sus programas de responsabilidad social.</t>
    </r>
  </si>
  <si>
    <r>
      <t xml:space="preserve">Los Centros de Emprendimiento y Gestión de la Empleabilidad  aun no han sido puesto en marcha por el Distrito 
Se están capacitando 38 habitantes de calle discriminados de la siguiente manera: 
</t>
    </r>
    <r>
      <rPr>
        <b/>
        <sz val="12"/>
        <rFont val="Arial"/>
        <family val="2"/>
      </rPr>
      <t xml:space="preserve">1. </t>
    </r>
    <r>
      <rPr>
        <sz val="12"/>
        <rFont val="Arial"/>
        <family val="2"/>
      </rPr>
      <t xml:space="preserve">21 habitantes de calle en "Proyectos productivos, avícola", los cuales se realizaron en la sede campestre del hogar de paso Cordeshu, la formación esta siendo impartida por el SENA.  
</t>
    </r>
    <r>
      <rPr>
        <b/>
        <sz val="12"/>
        <rFont val="Arial"/>
        <family val="2"/>
      </rPr>
      <t>2.</t>
    </r>
    <r>
      <rPr>
        <sz val="12"/>
        <rFont val="Arial"/>
        <family val="2"/>
      </rPr>
      <t xml:space="preserve">  13 habitantes de calle en "Taller de Artesanías"  la formación esta siendo impartida por el SENA y las clases se dictan en el hogar de paso Cordeshu
</t>
    </r>
    <r>
      <rPr>
        <b/>
        <sz val="12"/>
        <rFont val="Arial"/>
        <family val="2"/>
      </rPr>
      <t>3.</t>
    </r>
    <r>
      <rPr>
        <sz val="12"/>
        <rFont val="Arial"/>
        <family val="2"/>
      </rPr>
      <t xml:space="preserve"> 4 habitantes de calle se están formado en "Huerta productiva" las clases se realizar en el Hogar la Milagrosa y son impartidas por CENPROVI</t>
    </r>
  </si>
  <si>
    <r>
      <t xml:space="preserve">Se cuenta con dos convenios de formación:
</t>
    </r>
    <r>
      <rPr>
        <b/>
        <sz val="12"/>
        <rFont val="Arial"/>
        <family val="2"/>
      </rPr>
      <t>1.</t>
    </r>
    <r>
      <rPr>
        <sz val="12"/>
        <rFont val="Arial"/>
        <family val="2"/>
      </rPr>
      <t xml:space="preserve"> SENA. Centro de Formación Agroempresarial y Minero,  impartiendo formación en artesanías y huerta productiva en la sede campestre y urbana de Cordeshu
</t>
    </r>
    <r>
      <rPr>
        <b/>
        <sz val="12"/>
        <rFont val="Arial"/>
        <family val="2"/>
      </rPr>
      <t>2.</t>
    </r>
    <r>
      <rPr>
        <sz val="12"/>
        <rFont val="Arial"/>
        <family val="2"/>
      </rPr>
      <t xml:space="preserve"> Cenprovi. Impartiendo formación en huerta productiva en el asilo la Milagrosa
</t>
    </r>
    <r>
      <rPr>
        <b/>
        <sz val="12"/>
        <rFont val="Arial"/>
        <family val="2"/>
      </rPr>
      <t>3.</t>
    </r>
    <r>
      <rPr>
        <sz val="12"/>
        <rFont val="Arial"/>
        <family val="2"/>
      </rPr>
      <t xml:space="preserve"> Se esta realizando gestión con las Empresas: Veolia, Essentia y Centro Comercial la Plazuela para vinculación laboral de personas en condición de calle</t>
    </r>
  </si>
  <si>
    <t xml:space="preserve">En el último bimestre de 2020, se construyeron los lineamientos técnicos para la construcción de un Observatorio de Derechos Humanos de la Diversidad Sexual. </t>
  </si>
  <si>
    <t>En el último bimestre de 2020, se construyeron los lineamientos técnicos para la construcción de un Observatorio de Derechos Humanos sobre Diversidad Sexual, bajo el documento "Observatorio de Diversidad Sexual e Identidades de Género en el Distrito de Cartagena de Indias-Diciembre 2020". El objetivo de crear un Observatorio es Generar conocimiento, espacios de participación e incidencia política, articulando los recursos públicos, privados y comunitarios, posibilitando el análisis tendencial del cumplimiento de los derechos, promoviendo espacios de participación social y política para las personas con Orientación Sexual e Identidades de Género Diversas de la ciudad de Cartagena. Identificada la necesidad de crear un órgano vigilante del cumplimiento de derechos de las personas con Orientación Sexual e Identidades de Género Diversas en la ciudad de Cartagena, se plantea su creación en el año 2022.</t>
  </si>
  <si>
    <t>La Secretaría de Planeación Distrital, con fecha 9 de julio, ha emitido concepto 
POSITIVO mediante el cual el equipo formulador podrá avanzar al desarrollo de los 
procesos relacionados en la etapa de Agenda Pública del instrumento para la formulación de la Política Pública de Diversidad Sexual. El esquema de participación ciudadana se pondrá en marcha en el 2022</t>
  </si>
  <si>
    <t>Practicar esterilizaciones a animales domésticos en condición de calle en el Distrito de Cartagena.</t>
  </si>
  <si>
    <t>CDP expedido, se esta realizando la documentación para la contratación con veterinario con experiencia en esterilizaciones.</t>
  </si>
  <si>
    <t xml:space="preserve">Documento de avance en el proceso de construcción de la  política </t>
  </si>
  <si>
    <t>https://drive.google.com/drive/folders/1D2p4EQsfhRV7LCb5Ogkma5AwkUvir7_k?usp=sharing</t>
  </si>
  <si>
    <t>1. Se orientaron procesos de formación en emprendimiento con 32 mujeres en condición de vulnerabilidad de los barrios de Nelson Mandela y El Pozón. Las fichas de caracterización reposan en el archivo físico de la Oficina de al Mujer.   En el link de evidencia se reporta la fichas de caracterización de las usuarias del Barrio Pozón.
2. En el link de evidencia se reporta la lista de asistencia de las usuarias del Barrio  Nelson Mandela.
3. En link se evidencia del Taller de “IDEACIÓN” y PROTOTIPADO. Metodología “FLOR DE LOTO”.   Biblioteca central de la Universidad Los Libertadores
Se orientó, se identificó  y se dio a conocer a  10 mujeres del Asentamiento La Pesebrera del barrio Chambacú, la oferta de servicios del programa de Autonomía Económica, se tuvo un primer acercamiento sobre todo lo relacionado de emprendimiento para que las usuarias de estas zona puedan llevar a cabo su idea de negocio o unidad productiva.</t>
  </si>
  <si>
    <t>Se reportan 4 planes de negocio  que corresponden a prototipados de ideas de negocios de mujeres emprendedoras del barrio España.</t>
  </si>
  <si>
    <t>El Centro de Emprendimiento y empleabilidad aun no se ha creado, se encuentra en proceso de implementación.</t>
  </si>
  <si>
    <t>Se gestionaron para el proceso de inclusión laboral 4 acuerdos de voluntades que tienen como objetivo la vinculación de la mujer al trabajo formal, los cuales están a la espera de la aprobación y firma protocolaria por parte del Secretario de Participación y Desarrollo Social, todo este proceso se realizó hace más de 3 meses y no se ha concluido ni se ha ejecutado porque el secretario tiene pensado en que más que acuerdos de voluntades sean convenios que puedan lograrse y generar el impacto esperado.</t>
  </si>
  <si>
    <t>Se reportan 25 registros laborales de la siguiente forma:  5 hojas de vidas, presentadas por las mujeres victimas de violencia de pareja,  interesadas en vincularse laboralmente a una fuente de empleo, igualmente se reportan 20 registros laborales consistentes en valoracion de competencias laborales a traves de una ficha tecnica.  (anexamos el formato de caracterizacion donde se recogen los datos de las usuaria.).</t>
  </si>
  <si>
    <t>Aun no se ha creado el Centro de Emprendimiento y Empleabilidad el cual depende de la unidad de Proyectos Productivos</t>
  </si>
  <si>
    <t>https://drive.google.com/drive/folders/1Pvy5Q1C6eVIsiwURdbt2Y-AMCAJr8vvN?usp=sharing</t>
  </si>
  <si>
    <t>https://drive.google.com/drive/folders/1XsEHqmOZZWUm_TI-W5BCK4g1t9ACzTYZ?usp=sharing</t>
  </si>
  <si>
    <t>Se trabajó el Liderazgo Comunal de las Mujeres sobre cómo fortalecer el Liderazgo al interior de las Juntas de Acción Comunal, Dinamización del papel de la Mujer en decisiones, planeación, ejecución, control y desarrollo de la comunidad.  Se encontró que las Unidades Comuneras, 8, 9 y 10 de 27 juntas sólo 16 mujeres se presentaron al taller.
Durante el mes de diciembre se trabajo Taller sobre la Ley 1257 acompañado con la Ruta de Atención y la Ley Penal para la protección de la Mujer. También se realizaron jornadas pedagógicas departicipación política de la mujer y se trabajó atención jurídica a las mujeres comunales para la elaboración de las actas ante el ente de control de las juntas donde se eligieron  mujeres, entre estas: Cartagenita, Nuevo Oriente, Urbanización Parque del Country y  Nuevo Paraguay.</t>
  </si>
  <si>
    <t>De las mujeres del Distrito de Cartagena se caracterizaron  3 tipos de organizaciones: Mujer Comunal,  Mujeres Organización Base y Diversidad Sexual, y se trabajó con un total de 32  mujeres que hacen parte de los 3 grupos.</t>
  </si>
  <si>
    <t>El  plan de formación y asistencia técnica aun no se ha desarrollado, porque se están actualizando los contenidos temáticos que vayan acordes con las exigencias de los avances de la Ley 743 del año 2002, que está en modificación en la Cámara de Representantes del Congreso de la Ley # 269, 341  y 474 del 2020 de la Cámara de Representantes.
Se realizó el plan de formación en el que se busca fortalecer el liderazgo de las mujeres: comunales, organizaciones de base y población diversa.</t>
  </si>
  <si>
    <t>La reformulación y actualización de la política publica se inicia desde el año 2022, actualmente, se trabaja en un informe de gestión que da cierre a la política publica vencida y a su vez recolecta la información para un documento preliminar diagnóstico de la situación actual de las mujeres.
El día lunes 21 de diciembre se realizó una reunión donde se socializó de manera interna el informe distrital de la Política Pública de la Mujer del 2008 al 2019, así mismo, se presentó el documento donde se proyecta la metodología a utilizar en las mesas de participación donde se harán ejercicios de  diálogos de escucha; después de presentar el documento metodológico se presentó el informe donde está condensada toda la información del rastreo que se hizo sobre la Política pública, es decir, este informe no corresponde a una evaluación de impacto si no a un rastreo de información que se hizo de  que se cumplió dentro de los planes de desarrollo que pasaron por la vigencia de esta política, cabe resaltar que, en la última parte de este informe se presenta el contexto situacional de las mujeres en los años  2008 y 2020, lo que quiere decir  es que se ha empezado un trabajo de diagnóstico que también fue presentado de manera interna y que sirve como insumo para el primer paso para la reformulación de la política pública que sería la ficha de alistamiento en la que se debe tener  un diagnóstico.</t>
  </si>
  <si>
    <t>La consulta publica se inicia el año 2022.</t>
  </si>
  <si>
    <t>Se iniciará para el segundo semestre del año 2022.</t>
  </si>
  <si>
    <t>Se iniciará para finales del  segundo semestre del año 2022.</t>
  </si>
  <si>
    <t>Se dará inicios en el año 2022</t>
  </si>
  <si>
    <t>https://drive.google.com/drive/folders/1Tmo4-x7n7s51UdbAqR2K9m0prDD-hYIx?usp=sharing</t>
  </si>
  <si>
    <t>El día 25 de noviembre, se realizó la conmemoración del Día Internacional de la Eliminación contra la Violencia de la Mujer, para esto se realizaron las campañas: Carpa Purpura Naranja en diferentes lugares de la ciudad, todo esto tuvo su respectiva planeación, la cual se hizo con el equipo de la oficina de la Unidad Asuntos para la Mujer.
El día 01 de diciembre se realizó una jornada territorial de oferta de servicios con el acompañamiento del DADIS, ICBF Y el IDER en el centro cultural las palmeras, estrategia implementada en el marco de las carpas Purpura – naranja, se atendieron 18 personas
El día 15 de diciembre del 2021, en el Centro de Atención Integral para Migrantes ubicado en el barrio Líbano, se llevó a cabo la jornada del día internacional del Migrante. Se contó con la participación de 19 mujeres provenientes y retornadas de Venezuela. La oficina de asuntos de la mujer estuvo encargada de dos momentos en la jornada.  
El primer momento, tuvo como objetivo generar un ambiente de confianza con las personas asistentes. Se realizó una acción simbólica para fomentar las habilidades de autoconcepto y autoestima en agradecimiento en su labor de cuidadoras y, por otro lado, reconocer las principales anécdotas vividas en el recorrido en un nuevo país.
El segundo momento, tuvo el objetivo de sensibilizar frente a los patrones culturales, que se fundamentan en roles, estereotipos, prácticas e imaginarios, que perpetúan y naturalizan la violencia por razones de sexo o género. La actividad se realizó utilizando la estrategia de “Cartas de amor” en donde a través de estrofas de canciones elegidas se reflexionaba a acerca de las practicas e imaginarios que perpetúan socialmente y que influyen directamente en desigualdades, violencias y vulneraciones hacia la mujer.
El día 16 de diciembre de 2021 en acompañamiento con ACNUR se llevó a cabo una reunión con cinco (05) lideresas comunitarias que buscan incluir en el conjunto de acciones del plan de acción del año 2021 de la Oficina para Asuntos de la Mujer las estrategias de prevención y atención de violencias basadas en género donde se priorizara el territorio de la Unión de Dios de Fredonia, ya que conforme a la lectura territorial se presentaba esta problemática social sin contar sin respuesta institucional. 
Asimismo, se realizó el intercambio de la oferta institucional que contiene la Oficina de Asuntos para la Mujer, así como las Unidades que constituyen la Secretaria de Participación y Desarrollo Social.</t>
  </si>
  <si>
    <t>Se realizaron 3 acciones durante los meses de octubre y noviembre, en los cuales se articuló con la Secretaría del Interior, ICBF y la Unidad de Infancia.   La segunda reunión dando continuidad a la reunión del 28 de octubre donde se socializaron los lineamientos del nivel nacional por el Ministerio de Salud, sobre la estructura del Mecanismo Articulador. En la reunión del 1 de noviembre de 2021, se socializó y validó las medidas adoptadas en conjunto con el Minsiterio de Salud y con el DADIS, donde se acordó mantener los subcomites del orden nacional al orden territorial, conforme a las necesidades específicas del Distrito de Cartagena. Finalmente, el 19 de octubre de 2021, en conjunto con la Secretaria del Interior se trabajó en la estrategia de prevención, atención y articulación de las Comisarías de Familia y la Policía Nacional, en el marco del Mecanismo Articulador, con el propósito de cocrear lineamientos macro, para abordar las barreras presentadas en la ruta de atención de violencias basadas en género en el  año 2020 con el propósito de superarlas en el año 2021.</t>
  </si>
  <si>
    <t>Se  espera crear esta mesa para el  próximo año  2022, ya se cuenta con la base de datos de las mujeres migrantes que hicieron parte de una capacitación en conjunto con ONU Mujeres, las cuales se certificaron a  mitad de año en un diplomado llamado "Diálogos comunitarios",  se espera crear una estructura organizacional y diseñar un Plan de Acción y articular con Secretaría del  Interior para poner en marcha esta mesa. Se anexa base de datos de las mujeres que hicieron parte de esta capacitación</t>
  </si>
  <si>
    <t>Se está trabajando en esto, se espera que para el año 2022 se logre desarrollar esta linea.
Esta actividad se actualizó para el año 2022, es decir que  por temas de recursos para el próximo año ésta actividad se abolió del Plan de Acción,  (no hay recursos para lograr esta actividad), ya  la oficina de Planeación tiene conocimiento sobre este cambio.</t>
  </si>
  <si>
    <t>Para el año 2022 se espera diseñar  e implementar dicha campaña
Se realizó la campaña institucional "Cuál Leona Fiera" esta campaña fue una estrategia de la Alcaldía Mayor de Cartagena, asesorada porla oficina de Cooperación Internacional, se colocó mucha publicidad de esta campaña en los sitios más visibles de la ciudad. Su lanzamiento fue el 30 de julio de 2021, el mismo dia que se conmemoró el Día Mundial contra el delito dela  Trata de Personas., en el Centro Histórico de Cartagena.</t>
  </si>
  <si>
    <t>En el marco de la conmemoración del Día Mundial contra el delito de la Trata de Personas, en alianza con OIM  y la Fundación Renacer  se hicieron 3 Tomas: una en la Terminal de Transportes de Cartagena, Otra en el Mercado de Bazurto y la última que se acompañó con el lanzamiento de  la campaña Cual Leona Fiera, en la Torre del Reloj con unos operativos que  hicieron a los diferentes  sitios turisticos en el Centro Histórico.</t>
  </si>
  <si>
    <t>Se realizó un plan Formativo en alianza con OIM y la Fundación RENACER, donde participaron 35 funcionarios de las distintas entidades que conforman el Comité de Lucha Contra el Delito de  la Trata de Personas y tuvo una duración con una intensidad horaria de 40 horas.</t>
  </si>
  <si>
    <t>Se aporta la base de datos cualitativa y cuantitativa de las mujeres atendidas en el marco de un programa "Una vida libre de violencia" para los meses de octubre, noviembre y diciembre, aquí se señala la edad, nacionalidad, sexo, barrio, localidad, tipo de violencia, rutas de atención activadas y datos generales del agresor. De estas 47 mujeres únicamente 4 de ellas ingresaron  a la casa Refugio (esta casa Refugio fue contratada en el mes de marzo de este año). Durante el mes de octubre del año 2021, conforme se indica en el archivo de Excel anexo, los perfiles de las mujeres son:  Victimas de multiplicidad de violencias siendo reiteradas la violencia física, psicológica y sexual, encontrándose en curso de vida, dos de ellas jóvenes y dos adultas, así mismo, actualmente se encuentran en unión marital de hecho, donde su agresor es su actual pareja y con dependencia económica, ya que todas son amas de casa y están desempleadas. Conforme la ruta de atención establecida por la ley y la Oficina de Asuntos para la Mujer, toda mujer que ingrese a la casa Refugio recibe atención Psicológica, jurídica y activación de la ruta de atención en salud, protección y justicia. En cuanto a las mujeres atendidas en la casa Refugio en los meses de Octubre, noviembre y diciembre se han atendido 4 usuarias. 
No se contrató Hogar de Acogida durante el mes de diciembre por tal motivo no se reportan usuarias que hayan ingresado a este hogar. Durante el mes de diciembre se han realizado 41 atenciones (seguimientos) vía telefónica a las usuarias víctimas de violencia de género, remitidas por las Comisarías de Familia y se han atendido 8 usuarias de manera presencial por parte de la  Oficina de Asuntos para la Mujer. Se anexan las bases de datos de dichas atenciones.</t>
  </si>
  <si>
    <t>El día 3 de Noviembre se socializó la matriz del plan de acción de la Resolución 1325 (del 31 de octubre de 2004), con la Secretaría del Interior y Oficina de Víctimas.
Se realizó una reunión el día 22 de diciembre con la Secretaría del Interior y se concluyó que la matriz presentada por las mujeres victimas del conflicto armado se le deben realizar unos ajustes para que pueda entrar a regir el plan de formación diseñado.</t>
  </si>
  <si>
    <t>Se reestructuró la Matriz inicial de acuerdo a los ítems a la cual pertenece cada uno de los temas y organizaron 11 ítems. Se creó alianza con la Secretaría del Interior y la Oficina de Victimas en la transversalización del programa Constructoras de Paz..    Para que esta meta se cumpla  debe ser aprobada por la Secretaría del Interior y la oficina de Victimas.  Estamos a la espera de una reunión que se programó para el día miércoles 15 de diciembre de 2021 con estos con las unidades 
Después de la reunión que se tuvo con Secretaria del Interior se espera que se realicen los ajustes al diseño que  se realizó al plan de formación, ya que que la matriz presentada por las mujeres victimas del conflicto armado, se debe ajustar al Plan de desarrollo, al  Plan territorial y al Plan de la Secretaria de Participacion y Desarollo Social y que esta pueda responder al punto de emprendimiento y empleabilidad, además se deben realizar talleres los cuales deben concertarse  con las mismas mujeres de igual forma  los temas que se van a tratar en la formacion y serán socializados con las" Mujeres Mesa Linea de Victimas", también se acordó en enviar el contacto de la coordinadora de esta mesa .  Estas 2 iniciativas de actividades sera socializada con el Secretario de Participacion y la Coordinadora de la unidad de Mujer para acordar cual seria el operador que debe  estar al frente de esta propuesta   
Nota: se presenta la misma evidencia del corte anterior porque se debe esperar que se le hagan los ajustes al plan de formacion para presentar el diseño final</t>
  </si>
  <si>
    <t>Se realizaron 5 talleres de Lenguaje No Sexista, Derechos Sexuales y Reproductivos y Prevención del Embarazo y de la Violencia Sexual;  en las siguientes Instituciones Educativas:  José Manuel Rodríguez Torices (INEM),  Colegio Departamental, María Cano, Fredonia y Ludoteca Sonrisas, en el barrio Nelson Mandela.
No se realizaron talleres en el mes de diciembre porque las instituciones educativas estaban de vacaciones en esta época.</t>
  </si>
  <si>
    <t>https://drive.google.com/drive/folders/1FQuohc5FVP6JBp4nIXwUqdby1CpCchY3?usp=sharing</t>
  </si>
  <si>
    <t>https://drive.google.com/drive/folders/1HrP52eM5Oyx8w-RivOKHC-sb9ABe5Cyl?usp=sharing</t>
  </si>
  <si>
    <t>En el mes de Octubre fueron atendidos 114 adultos mayores y en el mes de Noviembre 40 adultos mayores en el marco del presente proceso, en el mes de diciembre se realizaron 4 visitas de acompañamiento a los adultos mayores en situación de vulnerabilidad.</t>
  </si>
  <si>
    <t>Se aportan eviencias consolidadas de los meses de octubre, noviembre y diciembre de 2021.</t>
  </si>
  <si>
    <t>Actualmente, el único contrato vigente de arrendamiento está ubicado en el Centro de Vida del barrio Piedra de Bolívar reportado en el trimestre anterior, por múltiples motivos relativos a problemas de servicios públicos adeudados, incapacidad de encontrar predios acordes  al cumplimiento de la normatividad del Ministerio de Salud  y Protección Social para la Atención Integral al adulto mayor y problemas de embargos de predios en los barrios definidos para la Unidad de Adulto Mayor. Se aportan avisos de convocatorias relativas al proceso los cuales no se pudieron materializar en la vigencia 2021, se plantean el estudio de alternativas de solución relativas en la vigencia 2022.</t>
  </si>
  <si>
    <t>Se aporta planilla de transporte de los meses de octubre, noviembre  y diciembre de 2021</t>
  </si>
  <si>
    <t xml:space="preserve">Se aporta listado de beneficiarios, actas de entrega y fotografías de  Centros de Vida (CDV) y Grupos organizados de adulto mayor del Distrito de Cartagena que recibieron los paquetes alimentarios, a corte de diciembre de 2021. </t>
  </si>
  <si>
    <t>La actividad por ajustes de tiempos de contrato no alcanza a ser ejecutada en la presente vigencia, sin embargo, se encuentra priorizada para ejecución en los primeros meses de la vigencia 2022.</t>
  </si>
  <si>
    <t>Se plantea un completo plan de fortalecimiento a unidades productivas de panaderías para apoyo ubicadas en 13 CDV del Distrito que por motivos logísticos asociados a la pandemia SARS COv2 no pudieron ser ejecutados, sin embargo, en el último trimestre se adelantaron reuniones preparatorias y de sensibilidad de procesos asociados al fortalecimiento de unidades productivas para inicio de actividades en el primer trimestre de 2022, en la primera  semana de diciembre se realizaron visitas asociadas al cumplimiento de las metas proyectadas, encontrándose dificultades en los CDV  en la eficiente prestación del servicio de energía eléctrica por debilidades de las redes de voltaje para conexión de las maquinarias requeridas. (cilindradoras, mezcladoras),requiriendo este problema atención inmediata, se estudian diferentes alternativas de solución para cumplimiento de metas en la vigencia 2022, no obstante estas dificultades se desarrolla actividad de fortalecimiento de actividades productivas de panaderías en el CDV  de Las Palmeras.</t>
  </si>
  <si>
    <t xml:space="preserve">Se realizó entrega de los kits de aseo a los adultos mayores de los diferentes Centros de Vida y Grupos Organizados. </t>
  </si>
  <si>
    <t>La actividad cuenta con 5 presupuestos preliminares  para adecuación de Centros de Vida (CDV) desarrollados por la Secretaría de Infraestructura del Distrito de Cartagena y se plantea inicio de ejecución en el primer semestre de 2022..</t>
  </si>
  <si>
    <t>La actividad tiene compromiso de iniciar la ejecución en la vigencia 2022 previa recepción de estudios arquitectónoicos, estructurales, eléctricos, hidraulico sanitarios de la Secretaría de Infraestructura del Distrito de Cartagena de Indias. Se aporta presupuesto de consultoría de diseño CDV la secretaria de Infraestructura del distrito.</t>
  </si>
  <si>
    <t>Se aporta relación de actividades desarrolladas  del mes de diciembre de 2021,incluyendo actividades desarrolladas por el grupo integrador de actividades de la secretaria de participación y desarrollo social.</t>
  </si>
  <si>
    <t>Se aporta relación de actividades desarrolladas  del mes de diciembre de 2021.</t>
  </si>
  <si>
    <t>convenio de asociacion numero 044-2021 firmado el 25 de octubre de 2021, del cual se han realizado esterilizaciones 36 de animales albergados rescatados en malas condiciones en la ciudad y en bayunca,  se realizaron 15 jornadas de esterilizacion en los barrios: y corregimientos del distrito: Punta canoa, Puerto Rey, Torices, La Perimetral, Bayunca, Nelson Mandela, Albornoz, Los Caracoles, Manzanillo del mar, Tierra Baja</t>
  </si>
  <si>
    <t>Convenio de asociacion numero 44-2021 se albergaron en octubre 36 aniamles en condicion de calle 18 caninos y 18 felinos                                                                                                             En noviembre y diciembre 84 caninos y felinos</t>
  </si>
  <si>
    <t>Actualizcion  de la pagina web de registros de razas potencialmente peligrosas, actualizacion de cuenta bancaria para cobro del registro.</t>
  </si>
  <si>
    <t>Convenio de asociación N.045 con corporación desarrollo y paz canal del dique, en octubre se capacito y se identifico a las asociaciones beneficiarias, Arroceros de leticia y puerto rey, 3 asociaciones productoras agrícolas arroceras fortalecidas en su producciones, en leticia se entrego molino arrocero el 17 de noviembre de 2021 en compañía de la armada por la dificultad del acceso a la vereda de leticia.                                               el segundo emprendimiento esta la formalización de una tienda agropecuaria para pequeños productores de la vereda puerto rey y se estructuro proyecto para la próxima vigencia para fortalecimiento productivo de la vereda puerto rey.</t>
  </si>
  <si>
    <t>Implementar y articular con el mercado local emprendimientos rurales agropecuarios, pesqueros o piscícolas para generación económica de pequeños productores agropecuarios.</t>
  </si>
  <si>
    <t>Asistencia Cartagena fomenta la ciencia tecnología e innovación: Juntos por la extensión agropecuaria a pequeños productores. Cartagena de Indias.</t>
  </si>
  <si>
    <t xml:space="preserve">se realizo Consejo Municipal de Desarrollo Rural (CDMR) con representantes del SENA, la UNAP y el ICA. Y pequeños productores del distrito.                                                                   También se realizaron visitas de extensión, a los pequeños productores (finca  a finca)        Demostración de métodos de agricultura sana y sostenible                                                Transferencia de tecnología sana y sostenible, y talleres de buenas practicas                             Se atendió y capacito a mujeres rurales.                                      </t>
  </si>
  <si>
    <t>Transferencias de tecnología  agropecuaria apequeños productores rurales.</t>
  </si>
  <si>
    <t>Convenio 045 con corporación desarrollo y paz canal del dique, para dotación de materiales y artes de pesca para organizaciones de pescadores, se realizaron mesas de trabajo, coordinación para entrega de materiales en el mes de diciembre.                                                                                                                                               Se entregaron materiales y artes de pesca a 5 asociaciones de pescadores del distrito de Cartagena</t>
  </si>
  <si>
    <t>Impartir capacitación socio empresarial a organizaciones de pescadores artesanal de la etnia fafro  para el fortalecimiento del mercado de sus productos.</t>
  </si>
  <si>
    <t>Convenio 045 con corporación desarrollo y paz canal del dique, se capacito a 24 mujeres indígenas y se e doto con materiales necesarios para sus actividades propias.</t>
  </si>
  <si>
    <t xml:space="preserve">Se realizo convenio 044 con asociación protectora de animales amigo fiel, para albergar a equidos usados como vta, abandonados, maltratados o entregados en sustitución.   Se albergaron 10 equinos abandonados, maltratados o decomisados por la policía ambiental.         Se recepcionaron 20 equinos entregados voluntariamente VTA para que sean albergados y entregados en adopción para un retiro digno. </t>
  </si>
  <si>
    <t>https://drive.google.com/drive/folders/1t3dX677J7tfHWcQlRXDPGpHbUZkqsPfi?usp=sharing</t>
  </si>
  <si>
    <t>Cumplimiento Metas de Bienestar Enero a Diciembre de 2021</t>
  </si>
  <si>
    <t>De acuerdo a esta meta, la articulación de la Oficina de Juventud y Studio F, permitieron hacer una convocatoria general a la población juvenil de la ciudad, en la cual a través de un formulario, tuvieron la posibilidad de enviar sus hojas de vidas de acuerdo a los requisitos exigidos para la ocupación de las vacantes de asesor de ventas y cajeros, de acuerdo a esto, el total de los participantes en las edades comprendidas como población juvenil fue de 1.029 en el cual los mejores perfiles fueron seleccionados para la vinculación laboral para temporada de fin de año. Además, la participación entre la paridad de genero se dio de la siguiente manera; en la vacante de cajero se presentaron 22 hombres y 82 mujeres, con un total de 104. Lo correspondiente a la vacante de asesor de ventas se presentaron un total de 206 hombres y 719 mujeres, con un total de 925. De acuerdo a esto, en el link anexo se plantea detalladamente la información.</t>
  </si>
  <si>
    <t xml:space="preserve">De acuerdo a esta meta, a través de Studio F, se pudo articular por medio de la Oficina de Juventud de la Secretaria de Participación y Desarrollo Social, la convocatorio que permitió vincular a jóvenes entre las edades comprendidas de 22 a 28 años, de los cuales participaron hombres y mujeres de toda la ciudad en las vacantes de asesor/as de ventas y cajeros/as, Una vez recibida la información que suministró Studio F, el total de los seleccionados fue de 15 jóvenes, los cuales 12 fueron mujeres y 3 hombres. </t>
  </si>
  <si>
    <t>De acuerdo a este meta, el convenio que se llevó a cabo entre la Secretaría de Participación y Desarrollo Social y la Corporación Taller Prodesal, permitió el fortalecimiento de 90 iniciativas productivas que los jóvenes venían desarrollando, los cuales fueron seleccionados por el cumplimiento de los requisitos mínimos exigidos y la participación constante a todos los llamados establecidos en el cronograma, tales como proceso de capacitación, evaluación, asesorías y acompañamiento.</t>
  </si>
  <si>
    <t>De acuerdo a esta meta, Etapa 2. Formación para la reactivación económica. Corresponde al proceso de formación en Ciudadanía Juvenil, DESC y la orientación para la formulación del plan de negocio que postularán las y los participantes del proyecto. Meta:
- 100 capacitados en DESC.</t>
  </si>
  <si>
    <t>Con el objeto de “Aunar esfuerzos técnicos, administrativos y financieros para fortalecer habilidades/iniciativas emprendedoras, empresariales y para la empleabilidad de la población vulnerable de Cartagena, en el marco de las actividades inherentes al proyecto de inversión Empleo Inclusivo para los Jóvenes de la Secretaria De Participación y Desarrollo Social De La Alcaldía Mayor De Cartagena De Indias” que se desarrolla con principalmente para mantener el número de jóvenes que han sido ubicados laboralmente por medio de intermediación laboral y seguir capacitando a los jóvenes en emprendimiento, articulando con el Pilar Cartagena Contingente que genera las condiciones de Desarrollo Económico y Productivo para superar en la población juvenil, los efectos de la pandemia por el COVID19, se celebra el Convenio de Asociación 049-2021 entre el Distrito Turístico y Cultural de Cartagena de Indias y Corporación Taller PRODESAL para lograr metas relacionadas con Plan de Desarrollo Salvemos Juntos A Cartagena 2020-2023. De acuerdo a lo anterior, se hizo la primera asesoría virtual sobre derechos económicos, sociales y culturales, economía solidaria y popular, además, se hicieron 5 asesorías virtuales de planes de negocio la cual incluyó asesoría para postulación los días 16,18,19 y 22 de noviembre, así mismo del 17 de noviembre al 30 se hicieron consultorías virtuales individuales y del 23 al 26 consultorías presencial individual.</t>
  </si>
  <si>
    <t>Desde Comité Organizador de Elecciones de Consejos de Juventud en Cartagena de Indias, creado a través del Decreto No. 0943/2021, espacio encargado de la pedagogía y difusión del proceso electoral, donde la Secretaría de Participación y Desarrollo Social, participó en calidad de Secretaría Técnica en representación de la Alcaldía Distrital, se llevaron a cabo Talleres Pedagógicos en las Distintas Localidades de la Ciudad, con la finalidad de que los jóvenes conocieran el calendario electoral y la importancia de ejercer el derecho al voto.</t>
  </si>
  <si>
    <t>Total de jóvenes que participaron en el proceso democrático de las elecciones del consejo local de juventud, en el cual la Secretaría de Participación y Desarrollo Social, lideró jornadas de promoción y de incentivo a la participación de los jóvenes en la jornada electoral. Además, la Secretaría de Participación, fue la Secretaría Técnica del Comité Organizador de Elecciones de CJ, espacio encargado de la promoción y pedagogía sobre las elecciones en el Distrito de Cartagena.</t>
  </si>
  <si>
    <t xml:space="preserve">De acuerdo a esta meta, se desarrolló un total de 23 encuentros hasta la fecha de 31 de diciembre del 2021, correspondiente al cuarto trimestre, en los cuales la población juvenil tuvo la posibilidad de participar a diversas actividades tales como procesos de formación en temáticas como empoderamiento juvenil y liderazgo, resolución de conflictos para el uso adecuado de los comportamientos en los diferentes escenarios de la vida cotidiana, igualmente, salidas recreativas a través de recorridos en el Castillo de San Felipe, armamento de carpas en el programa camping por un día organizado por el IDER y encuentros juveniles cuyo objetivo es el relacionamiento de los jóvenes pertenecientes a las diferentes prácticas organizativas e impartan sus experiencias, teniendo en cuenta que hacen parte de grupos culturales, ambientales, políticos, sociales etc. En el mes de diciembre se trabajó con los jóvenes pertenecientes al SRPA de la Fundación Hogares Clared y Fundación construyendo ciudad, así mismo el acompañamiento al festival de pensamiento juvenil desarrollado entre la Fundación Julio Mario santo domingo y la Agencia para la reincorporación y normalización, por ultimo un taller de liderazgo de gestión del cambio con los consejeros y consejeras locales de juventud, en el marco de la socialización de la política publica de juventud. </t>
  </si>
  <si>
    <t xml:space="preserve">Actualmente se encuentra en espera de la posesión de los consejeros de juventud en el Distrito de Cartagena de indias para llevar a cabo la etapa de formulación de la política publica en articulación, la posesión se llevará a cabo en el mes de febrero de 2022. Sin embargo en el marco de la política publica de juventud en articulación con los consejeros y consejeras locales de juventud, se llevó a cabo el taller de liderazgo y gestión del cambio donde se socializó de manera detallada los avances y retos que hay en la política publica de juventud en la cual su participación es importante, esta actividad se llevó a cabo el 29 de diciembre en el Hotel Cartagena Confort. </t>
  </si>
  <si>
    <t>https://drive.google.com/drive/folders/12uOzXpfqZnFU0jbxf3IGNWU9ydbQ-KcE?usp=sharing</t>
  </si>
  <si>
    <t>34.88%</t>
  </si>
  <si>
    <t>https://drive.google.com/drive/folders/1NSsrGLVqExigrP8jmiImOoE6Q3apdj8s?usp=sharing</t>
  </si>
  <si>
    <t>https://drive.google.com/drive/folders/18bUPJKbw4UKodAKfgw6PkJX8UElrkhAM?usp=sharing</t>
  </si>
  <si>
    <t>https://drive.google.com/drive/folders/10yA_eXUwOs4WkY9W7WiSDSiOuDBez6fU?usp=sharing</t>
  </si>
  <si>
    <t>Se realizó una inspección en la bodega para la verificacion de los suministros y menajes del contrato. Se realizó entrega de menajes de cocina a los 106 grupos organizados y 30 Centros de Vida.</t>
  </si>
  <si>
    <t>durante este trimestre se realizaron varias actividades para dar cumplimiento a esta metas : en el mes de octubre Se realizo actividad lúdica recreativa: "FINAL TORNEO DE DOMINO INTER-CENTROS DE VIDA" con la participación de 35 adultos mayores,Jornada lúdico recreativa localidad  2 por el rescate de las tradiciones fiestas de noviembre y Ángeles Somos, Actividad lúdico pedagógica Diviértete. en mes de noviembre: Aprende y Mejora tu salud con  estilos de vida saludables en los centros de vida: Bayunca con 60 adultos mayores, Ternera, con 30 adultos , en mes de diciembre :Actividad recreativa y compartir navideño, velatón Celebración del 7 de diciembre día de las velitas, Creación de manualidades navideñas Se elaboraron manualidades en materiales reciclables con motivos navideños, para el fortalecimiento de la motricidad en los adultos mayores y el avivamiento de el espíritu navideños.</t>
  </si>
  <si>
    <t>Se encuentran 12 sillas de ruedas en almacén y a corte 28-12-2021 no se ha podido desarrollar entrega a los adultos mayores en condición de discapacidad porque  por dificultades administrativas no se ha realizado entrega formal de las sillas de ruedas a la unidad de adulto mayor .</t>
  </si>
  <si>
    <t>Se aplicó instrumento institucional de caracterización a la practica organizativa juvenil artística "Colectivo Canta" del barrio Nelson Mandela.</t>
  </si>
  <si>
    <t>https://drive.google.com/drive/folders/1rardDRNU07msAsBOee2_4QuAv0rsPnYP?usp=sharing</t>
  </si>
  <si>
    <t>80 jóvenes seleccionados dentro de 90 planes de negocios formulados, fueron apoyados con capital semilla para el fortalecimiento de sus iniciativas productivas en el marco del convenio de asociación suscrito entre la Secretaría de Participación y Desarrollo Social con la Corporación Taller PRODESAL.</t>
  </si>
  <si>
    <t>https://drive.google.com/drive/folders/1IUwwKkYED6peHfOYG_0qSYe1Qripx2o8?usp=sharing</t>
  </si>
  <si>
    <t>https://drive.google.com/drive/folders/1ogZFmDTH6Hhp4NAuHBzd1fgdZRb1FcFQ?usp=sharing</t>
  </si>
  <si>
    <t>Presupuesto Ejecutado 31-12-2021</t>
  </si>
  <si>
    <t>Acumulado meta producto a dic 2021</t>
  </si>
  <si>
    <t>Avace meta producto a dic 2021</t>
  </si>
  <si>
    <t>Acumulado meta producto a  2020 - 2021</t>
  </si>
  <si>
    <t>AVANCE META PRODUCTO EN EL CUATRIENENIO</t>
  </si>
  <si>
    <t xml:space="preserve">Avance Programa: Centros para el emprendimiento y la gestión de la empleabilidad en Cartagena de Indias </t>
  </si>
  <si>
    <t>Avance Programa: Mujeres con Autonomía Económica</t>
  </si>
  <si>
    <t xml:space="preserve">AVANCE LÍNEA ESTRATÉGICA: DESARROLLO ECONÓMICO Y EMPLEABILIDAD: </t>
  </si>
  <si>
    <t>Avance Programa: Participando salvamos a Cartagena</t>
  </si>
  <si>
    <t xml:space="preserve">AVANCE LÍNEA ESTRATÉGICA: PARTICIPACIÓN Y DESCENTRALIZACIÓN </t>
  </si>
  <si>
    <t>Avace Programa: Las Mujeres Decidimos Sobre el Ejercicio del Poder</t>
  </si>
  <si>
    <t>Avance Programa: Una Vida Libre de Violencias para las Mujeres</t>
  </si>
  <si>
    <t>Avace Programa: Mujer, Constructoras De Paz</t>
  </si>
  <si>
    <t>AVACE LINEA ESTRATEGICA MUJERES CARTAGENERAS POR SUS DERECHOS.</t>
  </si>
  <si>
    <t>Avace Programa: Cartagena Libre de una Cultura Machista</t>
  </si>
  <si>
    <t>Avance Programa: Comprometidos con la Salvación de Nuestra Primera Infancia</t>
  </si>
  <si>
    <t>AVANCE LINEA ESTRATEGICA: INCLUSION Y OPORTUNIDAD PARA NIÑOS, NIÑAS Y ADOLESCENTES Y FAMILIAS.</t>
  </si>
  <si>
    <t>Avance Programa Fortalecimiento Familiar.</t>
  </si>
  <si>
    <t>Avace Programa: Jóvenes Participando y Salvando a Cartagena</t>
  </si>
  <si>
    <t>Avance Programa: Política Pública De Juventud</t>
  </si>
  <si>
    <t>AVANCE LINEA ESTRATEGICA JOVENES SALVANDO A CARTAGENA</t>
  </si>
  <si>
    <t>Avance Programa: Atención Integral Para Mantener a Salvo a los Adultos Mayores</t>
  </si>
  <si>
    <t>Avance Programa: Gestión Social Integral y Articuladora por la Protección de las Personas Con Discapacidad y/o su Familia o Cuidador.</t>
  </si>
  <si>
    <t>Avance Programa: Pacto o Alianza Por La Inclusión Social y Productiva de las Personas Con Discapacidad.</t>
  </si>
  <si>
    <t>Avance Programa: Desarrollo Local Inclusivo de las Personas Con Discapacidad: Reconocimiento de Capacidades, Diferencias y Diversidad.</t>
  </si>
  <si>
    <t>AVANCE  LÍNEA ESTRATÉGICA: TODOS POR LA PROTECCIÓN SOCIAL DE LAS PERSONAS CON DISCAPACIDAD: “RECONOCIDAS, EMPODERADAS Y RESPETADAS”.</t>
  </si>
  <si>
    <t xml:space="preserve">Avance Programa: Habitante De Calle Con Desarrollo Humano Integral </t>
  </si>
  <si>
    <t>Avance Formación Para El Trabajo - Generación De Ingresos y Responsabilidad Social Empresarial.</t>
  </si>
  <si>
    <t>AVANCE LINEA ESTRATEGICA TRATO HUMANITARIO AL HABITANTE DE CALLE</t>
  </si>
  <si>
    <t>Avance Programa: Diversidad Sexual e Identidades de Género</t>
  </si>
  <si>
    <t>AVANCE LINEA ESTRATEGICA DIVERSIDAD SEXUAL Y NUEVAS IDENTIDADES DE GÉNERO.</t>
  </si>
  <si>
    <t>Avance Programa Bienestar y Protección animal</t>
  </si>
  <si>
    <t xml:space="preserve">AVANCE LINEA  “SALVEMOS JUNTOS NUESTRO PATRIMONIO NATURAL” </t>
  </si>
  <si>
    <t>AVANCE METAS PRODUCTO 2021</t>
  </si>
  <si>
    <t>AVACE METAS PRODUCTO CUATRENIO 2021 - 2022</t>
  </si>
  <si>
    <t>Avace meta proyecto a Dic 2021</t>
  </si>
  <si>
    <t>Avance Programa: "Empleo Inclusivo Para Los Jóvenes”</t>
  </si>
  <si>
    <t xml:space="preserve">AVANCE ACTIVIDADES PROYECTO </t>
  </si>
  <si>
    <t>PRESUPUESTO DEFINITIVO 2021</t>
  </si>
  <si>
    <t>EJECUCION PRESUPUESTAL</t>
  </si>
  <si>
    <t>PORCENTAJE DE EJECUCION PRESUPUESTAL DIC 2021</t>
  </si>
  <si>
    <t>PRESUPUESTO DEFINITIVO 2021 A DIC 2021</t>
  </si>
  <si>
    <t>EJECUCION PRESUPUESTAL A DIC 2021</t>
  </si>
  <si>
    <t>PORCENTAJE DE EJECUCION PRESUPUESTAL 2021</t>
  </si>
  <si>
    <r>
      <t xml:space="preserve">Se realizó campaña institucional de "UN MUNDO CON NUEVAS MASCULINIDADES" se llevó a cabo en cada una de las unidades de la Secretaria de Participación y Desarrollo Social .
El día 3 de diciembre se realizaron  2 talleres con mujeres del el Distrito. El primero se llevó a cabo en el Centro Cultural de las Palmeras con 17 mujeres que se integraban al </t>
    </r>
    <r>
      <rPr>
        <i/>
        <sz val="12"/>
        <rFont val="Arial"/>
        <family val="2"/>
      </rPr>
      <t xml:space="preserve">Programa Mamá en casa, </t>
    </r>
    <r>
      <rPr>
        <sz val="12"/>
        <rFont val="Arial"/>
        <family val="2"/>
      </rPr>
      <t xml:space="preserve">en el taller se desarrollaron los temas de empoderamiento femenino, violencias basadas en genero, rutas de atención y el valor de las tareas de cuidado y crianza. El segundo se realizó en la Escuela Mixta de Zaragocilla con 20 mujeres del sector y también se abordaron rutas de atención a violencias de género, Ley 1257 y lenguaje no sexista. </t>
    </r>
  </si>
  <si>
    <r>
      <t xml:space="preserve">Se realizó asistencia técnica y suministro de materiales y de apoyo logístico a los eventos relacionados al fortalecimiento de la atención integral en 2 actividades próvidas desde el Programa de Discapacidad en el marco del día internacional de la discapacidad. 1era actividad </t>
    </r>
    <r>
      <rPr>
        <b/>
        <sz val="12"/>
        <rFont val="Arial"/>
        <family val="2"/>
      </rPr>
      <t xml:space="preserve">Brigada deportiva, recreativa y formativa, con Maratón Inclusiva, denominada “Somos Capacidades </t>
    </r>
    <r>
      <rPr>
        <sz val="12"/>
        <rFont val="Arial"/>
        <family val="2"/>
      </rPr>
      <t>(evidencia relacionada en la pagina 2)</t>
    </r>
    <r>
      <rPr>
        <b/>
        <sz val="12"/>
        <rFont val="Arial"/>
        <family val="2"/>
      </rPr>
      <t>,</t>
    </r>
    <r>
      <rPr>
        <sz val="12"/>
        <rFont val="Arial"/>
        <family val="2"/>
      </rPr>
      <t xml:space="preserve"> realizada el día 19 de diciembre de 2021 y la 2da actividad </t>
    </r>
    <r>
      <rPr>
        <b/>
        <sz val="12"/>
        <rFont val="Arial"/>
        <family val="2"/>
      </rPr>
      <t xml:space="preserve">Entrega de detalles de navidad a niños y niñas con discapacidad, </t>
    </r>
    <r>
      <rPr>
        <sz val="12"/>
        <rFont val="Arial"/>
        <family val="2"/>
      </rPr>
      <t>los días 22 y 23 de diciembre de 2021.</t>
    </r>
  </si>
  <si>
    <r>
      <t xml:space="preserve">Se realizó una brigada formativa, con </t>
    </r>
    <r>
      <rPr>
        <b/>
        <sz val="12"/>
        <rFont val="Arial"/>
        <family val="2"/>
      </rPr>
      <t>Maratón Inclusiva, denominada “Somos Capacidades</t>
    </r>
    <r>
      <rPr>
        <sz val="12"/>
        <rFont val="Arial"/>
        <family val="2"/>
      </rPr>
      <t xml:space="preserve">, el día 19 de diciembre de 2021, articulada con la jornada “Mi Centro es Cartagena”, en esta actividad se sensibilizó en el tema de discapacidad haciendo énfasis en la importancia del respeto e inclusión hacia la población con discapacidad.  </t>
    </r>
  </si>
  <si>
    <r>
      <t xml:space="preserve">En este trimestre se realizó lo siguiente:  
</t>
    </r>
    <r>
      <rPr>
        <b/>
        <sz val="12"/>
        <rFont val="Arial"/>
        <family val="2"/>
      </rPr>
      <t>1.</t>
    </r>
    <r>
      <rPr>
        <sz val="12"/>
        <rFont val="Arial"/>
        <family val="2"/>
      </rPr>
      <t xml:space="preserve"> 20 Acompañamientos a los operativos de toque de queda en el Centro Histórico de la ciudad .
</t>
    </r>
    <r>
      <rPr>
        <b/>
        <sz val="12"/>
        <rFont val="Arial"/>
        <family val="2"/>
      </rPr>
      <t>2.</t>
    </r>
    <r>
      <rPr>
        <sz val="12"/>
        <rFont val="Arial"/>
        <family val="2"/>
      </rPr>
      <t xml:space="preserve"> 15 Jornadas de sensibilizacion en los sectores del Mecado Bazurto,  Terminal de Transporte, Ceballos, Bomba del Amparo, Centro Histórico, Chambacu.
</t>
    </r>
    <r>
      <rPr>
        <b/>
        <sz val="12"/>
        <rFont val="Arial"/>
        <family val="2"/>
      </rPr>
      <t>3.</t>
    </r>
    <r>
      <rPr>
        <sz val="12"/>
        <rFont val="Arial"/>
        <family val="2"/>
      </rPr>
      <t xml:space="preserve"> 2 jornadas de limpieza y aseo personal a los habitantes de calle que no acceden a asistir al hogar de paso (se les brindaron servicios como: corte de cabello, servicio de baño,  elementos de bioseguridad, corte de barba, ropa, zapatos, refrigerios).
</t>
    </r>
    <r>
      <rPr>
        <b/>
        <sz val="12"/>
        <rFont val="Arial"/>
        <family val="2"/>
      </rPr>
      <t>4.</t>
    </r>
    <r>
      <rPr>
        <sz val="12"/>
        <rFont val="Arial"/>
        <family val="2"/>
      </rPr>
      <t xml:space="preserve"> 1 jornada de limpieza con los habitantes de calle que permanecen en el Parque de los Borrachos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</si>
</sst>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3" formatCode="_-* #,##0.00_-;\-* #,##0.00_-;_-* &quot;-&quot;??_-;_-@_-"/>
    <numFmt numFmtId="164" formatCode="_-&quot;$&quot;\ * #,##0_-;\-&quot;$&quot;\ * #,##0_-;_-&quot;$&quot;\ * &quot;-&quot;_-;_-@_-"/>
    <numFmt numFmtId="165" formatCode="_-&quot;$&quot;\ * #,##0.00_-;\-&quot;$&quot;\ * #,##0.00_-;_-&quot;$&quot;\ * &quot;-&quot;??_-;_-@_-"/>
    <numFmt numFmtId="166" formatCode="&quot;$&quot;\ #,##0_);[Red]\(&quot;$&quot;\ #,##0\)"/>
    <numFmt numFmtId="167" formatCode="_-&quot;$&quot;\ * #,##0_-;\-&quot;$&quot;\ * #,##0_-;_-&quot;$&quot;\ * &quot;-&quot;??_-;_-@_-"/>
    <numFmt numFmtId="168" formatCode="0_ ;\-0\ "/>
    <numFmt numFmtId="169" formatCode="#,##0.0"/>
    <numFmt numFmtId="170" formatCode="0.0%"/>
    <numFmt numFmtId="171" formatCode="0.0"/>
  </numFmts>
  <fonts count="30" x14ac:knownFonts="1">
    <font>
      <sz val="11"/>
      <color theme="1"/>
      <name val="Calibri"/>
      <family val="2"/>
      <scheme val="minor"/>
    </font>
    <font>
      <sz val="11"/>
      <color theme="1"/>
      <name val="Calibri"/>
      <family val="2"/>
      <scheme val="minor"/>
    </font>
    <font>
      <b/>
      <sz val="12"/>
      <name val="Arial"/>
      <family val="2"/>
    </font>
    <font>
      <sz val="12"/>
      <name val="Arial"/>
      <family val="2"/>
    </font>
    <font>
      <b/>
      <sz val="14"/>
      <name val="Arial"/>
      <family val="2"/>
    </font>
    <font>
      <sz val="9"/>
      <color indexed="81"/>
      <name val="Tahoma"/>
      <family val="2"/>
    </font>
    <font>
      <b/>
      <sz val="9"/>
      <color indexed="81"/>
      <name val="Tahoma"/>
      <family val="2"/>
    </font>
    <font>
      <b/>
      <sz val="16"/>
      <name val="Arial"/>
      <family val="2"/>
    </font>
    <font>
      <b/>
      <sz val="24"/>
      <name val="Arial"/>
      <family val="2"/>
    </font>
    <font>
      <sz val="8"/>
      <name val="Calibri"/>
      <family val="2"/>
      <scheme val="minor"/>
    </font>
    <font>
      <u/>
      <sz val="11"/>
      <color theme="10"/>
      <name val="Calibri"/>
      <family val="2"/>
      <scheme val="minor"/>
    </font>
    <font>
      <sz val="16"/>
      <name val="Arial"/>
      <family val="2"/>
    </font>
    <font>
      <u/>
      <sz val="12"/>
      <name val="Arial"/>
      <family val="2"/>
    </font>
    <font>
      <b/>
      <sz val="18"/>
      <name val="Arial"/>
      <family val="2"/>
    </font>
    <font>
      <sz val="18"/>
      <name val="Arial"/>
      <family val="2"/>
    </font>
    <font>
      <sz val="14"/>
      <name val="Arial"/>
      <family val="2"/>
    </font>
    <font>
      <b/>
      <sz val="30"/>
      <name val="Arial"/>
      <family val="2"/>
    </font>
    <font>
      <sz val="30"/>
      <name val="Arial"/>
      <family val="2"/>
    </font>
    <font>
      <b/>
      <sz val="29"/>
      <name val="Arial"/>
      <family val="2"/>
    </font>
    <font>
      <b/>
      <sz val="28"/>
      <name val="Arial"/>
      <family val="2"/>
    </font>
    <font>
      <sz val="50"/>
      <name val="Arial"/>
      <family val="2"/>
    </font>
    <font>
      <b/>
      <sz val="50"/>
      <name val="Arial"/>
      <family val="2"/>
    </font>
    <font>
      <b/>
      <sz val="20"/>
      <name val="Arial"/>
      <family val="2"/>
    </font>
    <font>
      <b/>
      <sz val="40"/>
      <name val="Arial"/>
      <family val="2"/>
    </font>
    <font>
      <b/>
      <sz val="26"/>
      <name val="Arial"/>
      <family val="2"/>
    </font>
    <font>
      <sz val="20"/>
      <name val="Calibri"/>
      <family val="2"/>
      <scheme val="minor"/>
    </font>
    <font>
      <u/>
      <sz val="11"/>
      <name val="Calibri"/>
      <family val="2"/>
      <scheme val="minor"/>
    </font>
    <font>
      <i/>
      <sz val="12"/>
      <name val="Arial"/>
      <family val="2"/>
    </font>
    <font>
      <sz val="10"/>
      <name val="Calibri"/>
      <family val="2"/>
    </font>
    <font>
      <sz val="12"/>
      <color rgb="FF00B050"/>
      <name val="Arial"/>
      <family val="2"/>
    </font>
  </fonts>
  <fills count="29">
    <fill>
      <patternFill patternType="none"/>
    </fill>
    <fill>
      <patternFill patternType="gray125"/>
    </fill>
    <fill>
      <patternFill patternType="solid">
        <fgColor rgb="FFFFFF00"/>
        <bgColor indexed="64"/>
      </patternFill>
    </fill>
    <fill>
      <patternFill patternType="solid">
        <fgColor theme="5" tint="-0.249977111117893"/>
        <bgColor indexed="64"/>
      </patternFill>
    </fill>
    <fill>
      <patternFill patternType="solid">
        <fgColor rgb="FF00FF00"/>
        <bgColor indexed="64"/>
      </patternFill>
    </fill>
    <fill>
      <patternFill patternType="solid">
        <fgColor rgb="FF00FF00"/>
        <bgColor rgb="FFFFFF00"/>
      </patternFill>
    </fill>
    <fill>
      <patternFill patternType="solid">
        <fgColor theme="0"/>
        <bgColor rgb="FFFFFF00"/>
      </patternFill>
    </fill>
    <fill>
      <patternFill patternType="solid">
        <fgColor theme="0"/>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rgb="FFFF000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bgColor rgb="FFFF0000"/>
      </patternFill>
    </fill>
    <fill>
      <patternFill patternType="solid">
        <fgColor theme="7"/>
        <bgColor indexed="64"/>
      </patternFill>
    </fill>
    <fill>
      <patternFill patternType="solid">
        <fgColor theme="9"/>
        <bgColor rgb="FFFF0000"/>
      </patternFill>
    </fill>
    <fill>
      <patternFill patternType="solid">
        <fgColor theme="9"/>
        <bgColor indexed="64"/>
      </patternFill>
    </fill>
    <fill>
      <patternFill patternType="solid">
        <fgColor theme="6" tint="0.39997558519241921"/>
        <bgColor rgb="FFFF0000"/>
      </patternFill>
    </fill>
    <fill>
      <patternFill patternType="solid">
        <fgColor rgb="FFFF0000"/>
        <bgColor rgb="FFFFFF00"/>
      </patternFill>
    </fill>
    <fill>
      <patternFill patternType="solid">
        <fgColor rgb="FFFFFF00"/>
        <bgColor rgb="FFFF0000"/>
      </patternFill>
    </fill>
    <fill>
      <patternFill patternType="solid">
        <fgColor theme="5" tint="0.59999389629810485"/>
        <bgColor rgb="FFFF0000"/>
      </patternFill>
    </fill>
    <fill>
      <patternFill patternType="solid">
        <fgColor theme="6"/>
        <bgColor rgb="FFFF0000"/>
      </patternFill>
    </fill>
    <fill>
      <patternFill patternType="solid">
        <fgColor theme="6"/>
        <bgColor indexed="64"/>
      </patternFill>
    </fill>
    <fill>
      <patternFill patternType="solid">
        <fgColor rgb="FF00B0F0"/>
        <bgColor rgb="FFFF0000"/>
      </patternFill>
    </fill>
    <fill>
      <patternFill patternType="solid">
        <fgColor rgb="FF6666FF"/>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00B050"/>
        <bgColor indexed="64"/>
      </patternFill>
    </fill>
    <fill>
      <patternFill patternType="solid">
        <fgColor theme="5"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indexed="64"/>
      </top>
      <bottom/>
      <diagonal/>
    </border>
    <border>
      <left style="thin">
        <color rgb="FF000000"/>
      </left>
      <right/>
      <top/>
      <bottom/>
      <diagonal/>
    </border>
    <border>
      <left style="thin">
        <color rgb="FF000000"/>
      </left>
      <right/>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indexed="64"/>
      </top>
      <bottom style="thin">
        <color indexed="64"/>
      </bottom>
      <diagonal/>
    </border>
    <border>
      <left/>
      <right/>
      <top style="thin">
        <color indexed="64"/>
      </top>
      <bottom/>
      <diagonal/>
    </border>
    <border>
      <left style="thin">
        <color rgb="FF000000"/>
      </left>
      <right style="thin">
        <color indexed="64"/>
      </right>
      <top style="thin">
        <color indexed="64"/>
      </top>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s>
  <cellStyleXfs count="7">
    <xf numFmtId="0" fontId="0" fillId="0" borderId="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164" fontId="1" fillId="0" borderId="0" applyFont="0" applyFill="0" applyBorder="0" applyAlignment="0" applyProtection="0"/>
  </cellStyleXfs>
  <cellXfs count="611">
    <xf numFmtId="0" fontId="0" fillId="0" borderId="0" xfId="0"/>
    <xf numFmtId="4" fontId="2" fillId="0" borderId="1" xfId="1" applyNumberFormat="1" applyFont="1" applyFill="1" applyBorder="1" applyAlignment="1">
      <alignment horizontal="center" vertical="center" wrapText="1"/>
    </xf>
    <xf numFmtId="167" fontId="2" fillId="0" borderId="1" xfId="3" applyNumberFormat="1" applyFont="1" applyFill="1" applyBorder="1" applyAlignment="1">
      <alignment vertical="center" wrapText="1"/>
    </xf>
    <xf numFmtId="3" fontId="2" fillId="0" borderId="1" xfId="0" applyNumberFormat="1" applyFont="1" applyFill="1" applyBorder="1" applyAlignment="1">
      <alignment horizontal="left" vertical="center"/>
    </xf>
    <xf numFmtId="0" fontId="3" fillId="0" borderId="1" xfId="0" applyFont="1" applyFill="1" applyBorder="1" applyAlignment="1">
      <alignment vertical="center" wrapText="1"/>
    </xf>
    <xf numFmtId="3" fontId="3" fillId="0" borderId="1" xfId="0" applyNumberFormat="1" applyFont="1" applyFill="1" applyBorder="1" applyAlignment="1">
      <alignment horizontal="left" vertical="center"/>
    </xf>
    <xf numFmtId="3" fontId="3" fillId="0" borderId="1" xfId="0" applyNumberFormat="1" applyFont="1" applyFill="1" applyBorder="1" applyAlignment="1">
      <alignment vertical="center" wrapText="1"/>
    </xf>
    <xf numFmtId="3" fontId="3" fillId="0" borderId="1" xfId="0" applyNumberFormat="1" applyFont="1" applyFill="1" applyBorder="1" applyAlignment="1">
      <alignment horizontal="center" wrapText="1"/>
    </xf>
    <xf numFmtId="4" fontId="3" fillId="0" borderId="1" xfId="0" applyNumberFormat="1" applyFont="1" applyFill="1" applyBorder="1" applyAlignment="1">
      <alignment horizontal="left" vertical="center" wrapText="1"/>
    </xf>
    <xf numFmtId="0" fontId="3" fillId="0" borderId="0" xfId="0" applyFont="1" applyFill="1"/>
    <xf numFmtId="3" fontId="3" fillId="0" borderId="1" xfId="1" applyNumberFormat="1" applyFont="1" applyFill="1" applyBorder="1" applyAlignment="1">
      <alignment horizontal="center" vertical="center" wrapText="1"/>
    </xf>
    <xf numFmtId="0" fontId="3" fillId="0" borderId="0" xfId="0" applyFont="1" applyFill="1" applyAlignment="1">
      <alignment wrapText="1"/>
    </xf>
    <xf numFmtId="0" fontId="3" fillId="3" borderId="1" xfId="0" applyFont="1" applyFill="1" applyBorder="1" applyAlignment="1">
      <alignment horizontal="center" vertical="center" textRotation="90" wrapText="1"/>
    </xf>
    <xf numFmtId="0" fontId="3" fillId="3" borderId="1" xfId="0" applyFont="1" applyFill="1" applyBorder="1" applyAlignment="1">
      <alignment horizontal="center" vertical="center" wrapText="1"/>
    </xf>
    <xf numFmtId="9"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3"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3" fillId="3" borderId="1" xfId="0" applyFont="1" applyFill="1" applyBorder="1" applyAlignment="1">
      <alignment horizontal="center" vertical="center"/>
    </xf>
    <xf numFmtId="167" fontId="2" fillId="3" borderId="1" xfId="3" applyNumberFormat="1" applyFont="1" applyFill="1" applyBorder="1" applyAlignment="1">
      <alignment horizontal="center" vertical="center"/>
    </xf>
    <xf numFmtId="0" fontId="3" fillId="3" borderId="0" xfId="0" applyFont="1" applyFill="1"/>
    <xf numFmtId="3" fontId="2" fillId="3" borderId="1" xfId="0" applyNumberFormat="1"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1" fontId="2" fillId="3" borderId="1" xfId="0" applyNumberFormat="1" applyFont="1" applyFill="1" applyBorder="1" applyAlignment="1">
      <alignment horizontal="center" vertical="center" wrapText="1"/>
    </xf>
    <xf numFmtId="167" fontId="2" fillId="3" borderId="1" xfId="3" applyNumberFormat="1" applyFont="1" applyFill="1" applyBorder="1" applyAlignment="1">
      <alignment horizontal="center" vertical="center" wrapText="1"/>
    </xf>
    <xf numFmtId="0" fontId="3" fillId="3" borderId="1" xfId="0" applyFont="1" applyFill="1" applyBorder="1" applyAlignment="1">
      <alignment vertical="center" wrapText="1"/>
    </xf>
    <xf numFmtId="2" fontId="2" fillId="3" borderId="1" xfId="0" applyNumberFormat="1" applyFont="1" applyFill="1" applyBorder="1" applyAlignment="1">
      <alignment horizontal="center" vertical="center" wrapText="1"/>
    </xf>
    <xf numFmtId="17" fontId="3"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textRotation="90" wrapText="1"/>
    </xf>
    <xf numFmtId="9" fontId="2" fillId="3" borderId="1" xfId="0" applyNumberFormat="1" applyFont="1" applyFill="1" applyBorder="1" applyAlignment="1">
      <alignment horizontal="center" vertical="center" wrapText="1"/>
    </xf>
    <xf numFmtId="3" fontId="2" fillId="3" borderId="1" xfId="0" applyNumberFormat="1" applyFont="1" applyFill="1" applyBorder="1" applyAlignment="1">
      <alignment horizontal="left" vertical="center"/>
    </xf>
    <xf numFmtId="1" fontId="2" fillId="3" borderId="1" xfId="0" applyNumberFormat="1" applyFont="1" applyFill="1" applyBorder="1" applyAlignment="1">
      <alignment horizontal="center" vertical="center"/>
    </xf>
    <xf numFmtId="10" fontId="2" fillId="3" borderId="1" xfId="4" applyNumberFormat="1" applyFont="1" applyFill="1" applyBorder="1" applyAlignment="1">
      <alignment horizontal="center" vertical="center"/>
    </xf>
    <xf numFmtId="10" fontId="2" fillId="3" borderId="1" xfId="4" applyNumberFormat="1" applyFont="1" applyFill="1" applyBorder="1" applyAlignment="1">
      <alignment horizontal="center" vertical="center" wrapText="1"/>
    </xf>
    <xf numFmtId="10" fontId="2" fillId="0" borderId="1" xfId="4" applyNumberFormat="1" applyFont="1" applyFill="1" applyBorder="1" applyAlignment="1">
      <alignment horizontal="center" vertical="center" wrapText="1"/>
    </xf>
    <xf numFmtId="0" fontId="3" fillId="0" borderId="0" xfId="0" applyFont="1" applyFill="1" applyAlignment="1">
      <alignment horizontal="center" vertical="center"/>
    </xf>
    <xf numFmtId="10" fontId="2" fillId="0" borderId="1" xfId="4" applyNumberFormat="1" applyFont="1" applyFill="1" applyBorder="1" applyAlignment="1">
      <alignment horizontal="center" vertical="center"/>
    </xf>
    <xf numFmtId="165" fontId="3" fillId="0" borderId="0" xfId="3" applyFont="1" applyFill="1"/>
    <xf numFmtId="0" fontId="2" fillId="7" borderId="1" xfId="0" applyFont="1" applyFill="1" applyBorder="1" applyAlignment="1">
      <alignment horizontal="center" vertical="center" wrapText="1"/>
    </xf>
    <xf numFmtId="4" fontId="2" fillId="7" borderId="1" xfId="0" applyNumberFormat="1" applyFont="1" applyFill="1" applyBorder="1" applyAlignment="1">
      <alignment horizontal="center" vertical="center"/>
    </xf>
    <xf numFmtId="3" fontId="2" fillId="7" borderId="1" xfId="0" applyNumberFormat="1" applyFont="1" applyFill="1" applyBorder="1" applyAlignment="1">
      <alignment horizontal="center" vertical="center" wrapText="1"/>
    </xf>
    <xf numFmtId="167" fontId="2" fillId="0" borderId="1" xfId="3" applyNumberFormat="1" applyFont="1" applyFill="1" applyBorder="1" applyAlignment="1">
      <alignment horizontal="center" vertical="center" wrapText="1"/>
    </xf>
    <xf numFmtId="3" fontId="2" fillId="3" borderId="0" xfId="0" applyNumberFormat="1" applyFont="1" applyFill="1" applyBorder="1" applyAlignment="1">
      <alignment horizontal="center" vertical="center"/>
    </xf>
    <xf numFmtId="4" fontId="2" fillId="0" borderId="1" xfId="0" applyNumberFormat="1" applyFont="1" applyFill="1" applyBorder="1" applyAlignment="1">
      <alignment horizontal="center" vertical="center"/>
    </xf>
    <xf numFmtId="0" fontId="2" fillId="12" borderId="1" xfId="0" applyFont="1" applyFill="1" applyBorder="1" applyAlignment="1">
      <alignment horizontal="center" vertical="center" wrapText="1"/>
    </xf>
    <xf numFmtId="3" fontId="3" fillId="8" borderId="1" xfId="0" applyNumberFormat="1" applyFont="1" applyFill="1" applyBorder="1" applyAlignment="1">
      <alignment horizontal="left" vertical="center" wrapText="1"/>
    </xf>
    <xf numFmtId="3" fontId="2" fillId="3" borderId="0" xfId="0" applyNumberFormat="1" applyFont="1" applyFill="1" applyBorder="1" applyAlignment="1">
      <alignment horizontal="left" vertical="center"/>
    </xf>
    <xf numFmtId="0" fontId="3" fillId="0" borderId="0" xfId="0" applyFont="1" applyFill="1" applyAlignment="1">
      <alignment vertical="center"/>
    </xf>
    <xf numFmtId="3" fontId="3" fillId="0" borderId="1" xfId="0" applyNumberFormat="1" applyFont="1" applyFill="1" applyBorder="1" applyAlignment="1">
      <alignment horizontal="center" vertical="center"/>
    </xf>
    <xf numFmtId="3" fontId="2" fillId="3" borderId="6" xfId="0" applyNumberFormat="1" applyFont="1" applyFill="1" applyBorder="1" applyAlignment="1">
      <alignment horizontal="center" vertical="center"/>
    </xf>
    <xf numFmtId="3" fontId="2" fillId="0" borderId="6" xfId="0" applyNumberFormat="1" applyFont="1" applyFill="1" applyBorder="1" applyAlignment="1">
      <alignment horizontal="left" vertical="center"/>
    </xf>
    <xf numFmtId="3" fontId="2" fillId="0" borderId="6" xfId="0" applyNumberFormat="1" applyFont="1" applyFill="1" applyBorder="1" applyAlignment="1">
      <alignment horizontal="left" vertical="center" wrapText="1"/>
    </xf>
    <xf numFmtId="3" fontId="2" fillId="3" borderId="6" xfId="0" applyNumberFormat="1" applyFont="1" applyFill="1" applyBorder="1" applyAlignment="1">
      <alignment horizontal="left" vertical="center"/>
    </xf>
    <xf numFmtId="0" fontId="3" fillId="0" borderId="6" xfId="0" applyFont="1" applyFill="1" applyBorder="1" applyAlignment="1">
      <alignment horizontal="left" vertical="center" wrapText="1"/>
    </xf>
    <xf numFmtId="3" fontId="3" fillId="0" borderId="6" xfId="0" applyNumberFormat="1" applyFont="1" applyFill="1" applyBorder="1" applyAlignment="1">
      <alignment horizontal="left" vertical="center"/>
    </xf>
    <xf numFmtId="3" fontId="3" fillId="0" borderId="6" xfId="0" applyNumberFormat="1" applyFont="1" applyFill="1" applyBorder="1" applyAlignment="1">
      <alignment horizontal="left" vertical="center" wrapText="1"/>
    </xf>
    <xf numFmtId="3" fontId="3" fillId="0" borderId="5" xfId="0" applyNumberFormat="1" applyFont="1" applyFill="1" applyBorder="1" applyAlignment="1">
      <alignment horizontal="left" vertical="center" wrapText="1"/>
    </xf>
    <xf numFmtId="0" fontId="4" fillId="12"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xf>
    <xf numFmtId="3" fontId="4" fillId="3"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3" fontId="4" fillId="8" borderId="1" xfId="0" applyNumberFormat="1" applyFont="1" applyFill="1" applyBorder="1" applyAlignment="1">
      <alignment horizontal="center" vertical="center"/>
    </xf>
    <xf numFmtId="3" fontId="4" fillId="8" borderId="1" xfId="0" applyNumberFormat="1" applyFont="1" applyFill="1" applyBorder="1" applyAlignment="1">
      <alignment horizontal="center" vertical="center" wrapText="1"/>
    </xf>
    <xf numFmtId="3" fontId="4" fillId="14" borderId="1" xfId="0" applyNumberFormat="1" applyFont="1" applyFill="1" applyBorder="1" applyAlignment="1">
      <alignment horizontal="center" vertical="center"/>
    </xf>
    <xf numFmtId="0" fontId="4" fillId="14" borderId="1" xfId="0" applyFont="1" applyFill="1" applyBorder="1" applyAlignment="1">
      <alignment horizontal="center" vertical="center" wrapText="1"/>
    </xf>
    <xf numFmtId="3" fontId="4" fillId="16" borderId="1" xfId="0" applyNumberFormat="1" applyFont="1" applyFill="1" applyBorder="1" applyAlignment="1">
      <alignment horizontal="center" vertical="center"/>
    </xf>
    <xf numFmtId="3" fontId="4" fillId="16" borderId="1" xfId="0" applyNumberFormat="1" applyFont="1" applyFill="1" applyBorder="1" applyAlignment="1">
      <alignment horizontal="center" vertical="center" wrapText="1"/>
    </xf>
    <xf numFmtId="3" fontId="4" fillId="14" borderId="1" xfId="0" applyNumberFormat="1" applyFont="1" applyFill="1" applyBorder="1" applyAlignment="1">
      <alignment horizontal="center" vertical="center" wrapText="1"/>
    </xf>
    <xf numFmtId="3" fontId="4" fillId="11" borderId="1" xfId="0" applyNumberFormat="1" applyFont="1" applyFill="1" applyBorder="1" applyAlignment="1">
      <alignment horizontal="center" vertical="center"/>
    </xf>
    <xf numFmtId="3" fontId="4" fillId="22" borderId="1"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2" fillId="2" borderId="1" xfId="0" applyFont="1" applyFill="1" applyBorder="1" applyAlignment="1">
      <alignment horizontal="center" vertical="center" wrapText="1"/>
    </xf>
    <xf numFmtId="2" fontId="2" fillId="0" borderId="1" xfId="0" applyNumberFormat="1" applyFont="1" applyFill="1" applyBorder="1" applyAlignment="1">
      <alignment horizontal="center" vertical="center"/>
    </xf>
    <xf numFmtId="0" fontId="3" fillId="7" borderId="1" xfId="0"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3" fontId="3" fillId="0" borderId="4" xfId="0" applyNumberFormat="1" applyFont="1" applyFill="1" applyBorder="1" applyAlignment="1">
      <alignment vertical="center" wrapText="1"/>
    </xf>
    <xf numFmtId="3" fontId="2" fillId="7" borderId="4"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8" fillId="12" borderId="6" xfId="0" applyFont="1" applyFill="1" applyBorder="1" applyAlignment="1">
      <alignment horizontal="center" vertical="center" wrapText="1"/>
    </xf>
    <xf numFmtId="0" fontId="7" fillId="4" borderId="1" xfId="0" applyFont="1" applyFill="1" applyBorder="1" applyAlignment="1">
      <alignment horizontal="center" vertical="center" wrapText="1"/>
    </xf>
    <xf numFmtId="3" fontId="7" fillId="4" borderId="1" xfId="0" applyNumberFormat="1" applyFont="1" applyFill="1" applyBorder="1" applyAlignment="1">
      <alignment horizontal="center" vertical="center"/>
    </xf>
    <xf numFmtId="3" fontId="7" fillId="3" borderId="1" xfId="0" applyNumberFormat="1" applyFont="1" applyFill="1" applyBorder="1" applyAlignment="1">
      <alignment horizontal="center" vertical="center"/>
    </xf>
    <xf numFmtId="4" fontId="7" fillId="4" borderId="1" xfId="0" applyNumberFormat="1" applyFont="1" applyFill="1" applyBorder="1" applyAlignment="1">
      <alignment horizontal="center" vertical="center"/>
    </xf>
    <xf numFmtId="3" fontId="7" fillId="4" borderId="2" xfId="0" applyNumberFormat="1" applyFont="1" applyFill="1" applyBorder="1" applyAlignment="1">
      <alignment horizontal="center" vertical="center"/>
    </xf>
    <xf numFmtId="3" fontId="7" fillId="4" borderId="1" xfId="0" applyNumberFormat="1" applyFont="1" applyFill="1" applyBorder="1" applyAlignment="1">
      <alignment horizontal="center" vertical="center" wrapText="1"/>
    </xf>
    <xf numFmtId="3" fontId="7" fillId="4" borderId="1" xfId="1" applyNumberFormat="1" applyFont="1" applyFill="1" applyBorder="1" applyAlignment="1">
      <alignment horizontal="center" vertical="center" wrapText="1"/>
    </xf>
    <xf numFmtId="3" fontId="3" fillId="0" borderId="1" xfId="0" applyNumberFormat="1" applyFont="1" applyBorder="1" applyAlignment="1">
      <alignment horizontal="left" vertical="center" wrapText="1"/>
    </xf>
    <xf numFmtId="3" fontId="3" fillId="0" borderId="6" xfId="0" applyNumberFormat="1" applyFont="1" applyBorder="1" applyAlignment="1">
      <alignment horizontal="left" vertical="center" wrapText="1"/>
    </xf>
    <xf numFmtId="0" fontId="3" fillId="0" borderId="1" xfId="0" applyFont="1" applyBorder="1" applyAlignment="1">
      <alignment horizontal="left" vertical="center" wrapText="1"/>
    </xf>
    <xf numFmtId="0" fontId="2" fillId="7" borderId="1" xfId="1" applyNumberFormat="1" applyFont="1" applyFill="1" applyBorder="1" applyAlignment="1">
      <alignment horizontal="center" vertical="center" wrapText="1"/>
    </xf>
    <xf numFmtId="0" fontId="7" fillId="4" borderId="1" xfId="1"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17" fontId="3" fillId="0" borderId="1" xfId="0" applyNumberFormat="1" applyFont="1" applyBorder="1" applyAlignment="1">
      <alignment horizontal="center" vertical="center" wrapText="1"/>
    </xf>
    <xf numFmtId="3" fontId="3" fillId="0" borderId="1" xfId="0" applyNumberFormat="1" applyFont="1" applyBorder="1" applyAlignment="1">
      <alignment vertical="center" wrapText="1"/>
    </xf>
    <xf numFmtId="3" fontId="4" fillId="24" borderId="1" xfId="0" applyNumberFormat="1" applyFont="1" applyFill="1" applyBorder="1" applyAlignment="1">
      <alignment horizontal="center" vertical="center" wrapText="1"/>
    </xf>
    <xf numFmtId="0" fontId="3" fillId="0" borderId="0" xfId="0" applyFont="1"/>
    <xf numFmtId="3"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3" fontId="3" fillId="3" borderId="1" xfId="0" applyNumberFormat="1" applyFont="1" applyFill="1" applyBorder="1" applyAlignment="1">
      <alignment vertical="center" wrapText="1"/>
    </xf>
    <xf numFmtId="0" fontId="3" fillId="0" borderId="1" xfId="0" applyFont="1" applyBorder="1" applyAlignment="1">
      <alignment horizontal="center" vertical="center" textRotation="90" wrapText="1"/>
    </xf>
    <xf numFmtId="0" fontId="3" fillId="0" borderId="1" xfId="0" applyFont="1" applyBorder="1" applyAlignment="1">
      <alignment vertical="center" wrapText="1"/>
    </xf>
    <xf numFmtId="0" fontId="4" fillId="24" borderId="1" xfId="0" applyFont="1" applyFill="1" applyBorder="1" applyAlignment="1">
      <alignment horizontal="center" vertical="center" wrapText="1"/>
    </xf>
    <xf numFmtId="0" fontId="3" fillId="0" borderId="1" xfId="0" applyFont="1" applyBorder="1" applyAlignment="1">
      <alignment horizontal="center" wrapText="1"/>
    </xf>
    <xf numFmtId="0" fontId="4" fillId="24" borderId="2" xfId="0" applyFont="1" applyFill="1" applyBorder="1" applyAlignment="1">
      <alignment horizontal="center" vertical="center" wrapText="1"/>
    </xf>
    <xf numFmtId="0" fontId="3" fillId="0" borderId="0" xfId="0" applyFont="1" applyAlignment="1">
      <alignment wrapText="1"/>
    </xf>
    <xf numFmtId="0" fontId="3" fillId="0" borderId="0" xfId="0" applyFont="1" applyAlignment="1">
      <alignment horizontal="center" vertical="center"/>
    </xf>
    <xf numFmtId="0" fontId="3" fillId="0" borderId="0" xfId="0" applyFont="1" applyAlignment="1">
      <alignment horizontal="left"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vertical="center"/>
    </xf>
    <xf numFmtId="0" fontId="2" fillId="0" borderId="1" xfId="0" applyFont="1" applyBorder="1" applyAlignment="1">
      <alignment horizontal="center" vertical="center" textRotation="90" wrapText="1"/>
    </xf>
    <xf numFmtId="0" fontId="2" fillId="0" borderId="0" xfId="0" applyFont="1"/>
    <xf numFmtId="0" fontId="2" fillId="0" borderId="0" xfId="0" applyFont="1" applyFill="1"/>
    <xf numFmtId="0" fontId="2" fillId="25" borderId="1" xfId="0" applyFont="1" applyFill="1" applyBorder="1" applyAlignment="1">
      <alignment horizontal="center" vertical="center" wrapText="1"/>
    </xf>
    <xf numFmtId="3" fontId="3" fillId="13" borderId="11" xfId="0" applyNumberFormat="1" applyFont="1" applyFill="1" applyBorder="1" applyAlignment="1">
      <alignment horizontal="left" vertical="center" wrapText="1"/>
    </xf>
    <xf numFmtId="3" fontId="3" fillId="13" borderId="6" xfId="0" applyNumberFormat="1" applyFont="1" applyFill="1" applyBorder="1" applyAlignment="1">
      <alignment horizontal="left" vertical="center" wrapText="1"/>
    </xf>
    <xf numFmtId="3" fontId="3" fillId="13" borderId="7" xfId="0" applyNumberFormat="1" applyFont="1" applyFill="1" applyBorder="1" applyAlignment="1">
      <alignment horizontal="left" vertical="center" wrapText="1"/>
    </xf>
    <xf numFmtId="3" fontId="2" fillId="13" borderId="7" xfId="0" applyNumberFormat="1" applyFont="1" applyFill="1" applyBorder="1" applyAlignment="1">
      <alignment horizontal="left" vertical="center" wrapText="1"/>
    </xf>
    <xf numFmtId="3" fontId="2" fillId="3" borderId="6" xfId="0" applyNumberFormat="1" applyFont="1" applyFill="1" applyBorder="1" applyAlignment="1">
      <alignment horizontal="left" vertical="center" wrapText="1"/>
    </xf>
    <xf numFmtId="3" fontId="2" fillId="3" borderId="1" xfId="0" applyNumberFormat="1" applyFont="1" applyFill="1" applyBorder="1" applyAlignment="1">
      <alignment horizontal="left" vertical="center" wrapText="1"/>
    </xf>
    <xf numFmtId="0" fontId="3" fillId="0" borderId="6" xfId="0" applyFont="1" applyBorder="1" applyAlignment="1">
      <alignment horizontal="left" vertical="center" wrapText="1"/>
    </xf>
    <xf numFmtId="3" fontId="2" fillId="3" borderId="0" xfId="0" applyNumberFormat="1" applyFont="1" applyFill="1" applyBorder="1" applyAlignment="1">
      <alignment horizontal="left" vertical="center" wrapText="1"/>
    </xf>
    <xf numFmtId="0" fontId="3" fillId="0" borderId="0" xfId="0" applyFont="1" applyAlignment="1">
      <alignment horizontal="left" vertical="center" wrapText="1"/>
    </xf>
    <xf numFmtId="0" fontId="3" fillId="0" borderId="0" xfId="0" applyFont="1" applyFill="1" applyAlignment="1">
      <alignment horizontal="left" vertical="center" wrapText="1"/>
    </xf>
    <xf numFmtId="4" fontId="7" fillId="4" borderId="1" xfId="0" applyNumberFormat="1" applyFont="1" applyFill="1" applyBorder="1" applyAlignment="1">
      <alignment horizontal="center" vertical="center" wrapText="1"/>
    </xf>
    <xf numFmtId="0" fontId="2" fillId="7" borderId="1" xfId="0" applyNumberFormat="1" applyFont="1" applyFill="1" applyBorder="1" applyAlignment="1">
      <alignment horizontal="center" vertical="center" wrapText="1"/>
    </xf>
    <xf numFmtId="0" fontId="7" fillId="4" borderId="1" xfId="0" applyNumberFormat="1" applyFont="1" applyFill="1" applyBorder="1" applyAlignment="1">
      <alignment horizontal="center" vertical="center" wrapText="1"/>
    </xf>
    <xf numFmtId="4" fontId="7" fillId="3" borderId="1" xfId="0" applyNumberFormat="1" applyFont="1" applyFill="1" applyBorder="1" applyAlignment="1">
      <alignment horizontal="center" vertical="center" wrapText="1"/>
    </xf>
    <xf numFmtId="0" fontId="11" fillId="0" borderId="0" xfId="0" applyFont="1" applyAlignment="1">
      <alignment horizontal="center" vertical="center"/>
    </xf>
    <xf numFmtId="3" fontId="2" fillId="3" borderId="6" xfId="0" applyNumberFormat="1" applyFont="1" applyFill="1" applyBorder="1" applyAlignment="1">
      <alignment horizontal="center" vertical="center" wrapText="1"/>
    </xf>
    <xf numFmtId="3" fontId="2" fillId="3" borderId="0" xfId="0" applyNumberFormat="1"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3" fontId="3" fillId="13" borderId="1" xfId="0" applyNumberFormat="1" applyFont="1" applyFill="1" applyBorder="1" applyAlignment="1">
      <alignment horizontal="left" vertical="center" wrapText="1"/>
    </xf>
    <xf numFmtId="0" fontId="3" fillId="6" borderId="1" xfId="0" applyFont="1" applyFill="1" applyBorder="1" applyAlignment="1">
      <alignment horizontal="left" vertical="center" wrapText="1"/>
    </xf>
    <xf numFmtId="4" fontId="3" fillId="13" borderId="1" xfId="0" applyNumberFormat="1" applyFont="1" applyFill="1" applyBorder="1" applyAlignment="1">
      <alignment horizontal="left" vertical="center" wrapText="1"/>
    </xf>
    <xf numFmtId="3" fontId="3" fillId="13" borderId="16" xfId="0" applyNumberFormat="1" applyFont="1" applyFill="1" applyBorder="1" applyAlignment="1">
      <alignment horizontal="left" vertical="center" wrapText="1"/>
    </xf>
    <xf numFmtId="3" fontId="3" fillId="7" borderId="6" xfId="0" applyNumberFormat="1" applyFont="1" applyFill="1" applyBorder="1" applyAlignment="1">
      <alignment horizontal="left" vertical="center" wrapText="1"/>
    </xf>
    <xf numFmtId="3" fontId="3" fillId="7" borderId="1" xfId="0" applyNumberFormat="1" applyFont="1" applyFill="1" applyBorder="1" applyAlignment="1">
      <alignment horizontal="left" vertical="center" wrapText="1"/>
    </xf>
    <xf numFmtId="0" fontId="3" fillId="7" borderId="0" xfId="0" applyFont="1" applyFill="1" applyAlignment="1">
      <alignment horizontal="left" vertical="center" wrapText="1"/>
    </xf>
    <xf numFmtId="0" fontId="3" fillId="7" borderId="6" xfId="5" applyFont="1" applyFill="1" applyBorder="1" applyAlignment="1">
      <alignment vertical="center" wrapText="1"/>
    </xf>
    <xf numFmtId="0" fontId="3" fillId="7" borderId="6" xfId="0" applyFont="1" applyFill="1" applyBorder="1" applyAlignment="1">
      <alignment horizontal="left" vertical="center" wrapText="1"/>
    </xf>
    <xf numFmtId="0" fontId="3" fillId="0" borderId="0" xfId="0" applyFont="1" applyAlignment="1">
      <alignment vertical="center" wrapText="1"/>
    </xf>
    <xf numFmtId="0" fontId="13" fillId="3" borderId="1" xfId="0" applyFont="1" applyFill="1" applyBorder="1" applyAlignment="1">
      <alignment horizontal="center" vertical="center" wrapText="1"/>
    </xf>
    <xf numFmtId="0" fontId="14" fillId="0" borderId="0" xfId="0" applyFont="1" applyAlignment="1">
      <alignment wrapText="1"/>
    </xf>
    <xf numFmtId="0" fontId="14" fillId="0" borderId="0" xfId="0" applyFont="1" applyFill="1" applyAlignment="1">
      <alignment wrapText="1"/>
    </xf>
    <xf numFmtId="0" fontId="4" fillId="2"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10" fontId="15" fillId="7" borderId="1" xfId="0" applyNumberFormat="1" applyFont="1" applyFill="1" applyBorder="1" applyAlignment="1">
      <alignment horizontal="center" vertical="center" wrapText="1"/>
    </xf>
    <xf numFmtId="0" fontId="15" fillId="3" borderId="1" xfId="0" applyFont="1" applyFill="1" applyBorder="1" applyAlignment="1">
      <alignment vertical="center" wrapText="1"/>
    </xf>
    <xf numFmtId="0" fontId="15" fillId="0" borderId="1" xfId="0" applyFont="1" applyBorder="1" applyAlignment="1">
      <alignment horizontal="center" vertical="center" wrapText="1"/>
    </xf>
    <xf numFmtId="0" fontId="15" fillId="0" borderId="0" xfId="0" applyFont="1" applyAlignment="1">
      <alignment wrapText="1"/>
    </xf>
    <xf numFmtId="0" fontId="3" fillId="7" borderId="0" xfId="0" applyFont="1" applyFill="1"/>
    <xf numFmtId="0" fontId="2" fillId="26" borderId="1" xfId="0" applyFont="1" applyFill="1" applyBorder="1" applyAlignment="1">
      <alignment horizontal="center" vertical="center" wrapText="1"/>
    </xf>
    <xf numFmtId="167" fontId="2" fillId="0" borderId="2" xfId="3" applyNumberFormat="1" applyFont="1" applyFill="1" applyBorder="1" applyAlignment="1">
      <alignment horizontal="center" vertical="center" wrapText="1"/>
    </xf>
    <xf numFmtId="167" fontId="2" fillId="0" borderId="3" xfId="3" applyNumberFormat="1" applyFont="1" applyFill="1" applyBorder="1" applyAlignment="1">
      <alignment horizontal="center" vertical="center" wrapText="1"/>
    </xf>
    <xf numFmtId="167" fontId="2" fillId="0" borderId="4" xfId="3"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3" fontId="3" fillId="0" borderId="2" xfId="0" applyNumberFormat="1" applyFont="1" applyBorder="1" applyAlignment="1">
      <alignment horizontal="center" vertical="center" wrapText="1"/>
    </xf>
    <xf numFmtId="3" fontId="3" fillId="0" borderId="3" xfId="0" applyNumberFormat="1" applyFont="1" applyBorder="1" applyAlignment="1">
      <alignment horizontal="center" vertical="center" wrapText="1"/>
    </xf>
    <xf numFmtId="3" fontId="3" fillId="0" borderId="4"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3" fontId="2" fillId="0" borderId="4" xfId="0" applyNumberFormat="1" applyFont="1" applyFill="1" applyBorder="1" applyAlignment="1">
      <alignment horizontal="center" vertical="center"/>
    </xf>
    <xf numFmtId="4" fontId="2" fillId="7" borderId="4" xfId="0" applyNumberFormat="1" applyFont="1" applyFill="1" applyBorder="1" applyAlignment="1">
      <alignment horizontal="center" vertical="center"/>
    </xf>
    <xf numFmtId="3" fontId="2" fillId="7" borderId="1"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0" fontId="3"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2" fillId="0" borderId="1" xfId="0" applyFont="1" applyFill="1" applyBorder="1" applyAlignment="1">
      <alignment horizontal="center" vertical="center" textRotation="90" wrapText="1"/>
    </xf>
    <xf numFmtId="3" fontId="2" fillId="7" borderId="1" xfId="1"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0" fontId="3" fillId="7" borderId="1" xfId="0" applyFont="1" applyFill="1" applyBorder="1" applyAlignment="1">
      <alignment horizontal="left" vertical="center" wrapText="1"/>
    </xf>
    <xf numFmtId="3" fontId="2" fillId="7" borderId="2" xfId="0" applyNumberFormat="1" applyFont="1" applyFill="1" applyBorder="1" applyAlignment="1">
      <alignment horizontal="center" vertical="center"/>
    </xf>
    <xf numFmtId="3" fontId="2" fillId="7" borderId="4" xfId="0" applyNumberFormat="1" applyFont="1" applyFill="1" applyBorder="1" applyAlignment="1">
      <alignment horizontal="center" vertical="center"/>
    </xf>
    <xf numFmtId="3" fontId="2" fillId="7" borderId="3" xfId="0" applyNumberFormat="1" applyFont="1" applyFill="1" applyBorder="1" applyAlignment="1">
      <alignment horizontal="center" vertical="center"/>
    </xf>
    <xf numFmtId="3" fontId="3" fillId="0" borderId="1" xfId="0" applyNumberFormat="1" applyFont="1" applyFill="1" applyBorder="1" applyAlignment="1">
      <alignment horizontal="left" vertical="center" wrapText="1"/>
    </xf>
    <xf numFmtId="3" fontId="3" fillId="0" borderId="2"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0" fontId="4" fillId="27"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167" fontId="2" fillId="3" borderId="2" xfId="3" applyNumberFormat="1" applyFont="1" applyFill="1" applyBorder="1" applyAlignment="1">
      <alignment horizontal="center" vertical="center"/>
    </xf>
    <xf numFmtId="10" fontId="2" fillId="3" borderId="2" xfId="4" applyNumberFormat="1" applyFont="1" applyFill="1" applyBorder="1" applyAlignment="1">
      <alignment horizontal="center" vertical="center"/>
    </xf>
    <xf numFmtId="0" fontId="2" fillId="3" borderId="2" xfId="0" applyFont="1" applyFill="1" applyBorder="1" applyAlignment="1">
      <alignment horizontal="center" vertical="center"/>
    </xf>
    <xf numFmtId="0" fontId="3" fillId="3" borderId="2" xfId="0" applyFont="1" applyFill="1" applyBorder="1" applyAlignment="1">
      <alignment horizontal="center" vertical="center" textRotation="90" wrapText="1"/>
    </xf>
    <xf numFmtId="9" fontId="3" fillId="3" borderId="2" xfId="0" applyNumberFormat="1" applyFont="1" applyFill="1" applyBorder="1" applyAlignment="1">
      <alignment horizontal="center" vertical="center" wrapText="1"/>
    </xf>
    <xf numFmtId="0" fontId="16" fillId="3" borderId="18" xfId="0" applyFont="1" applyFill="1" applyBorder="1" applyAlignment="1">
      <alignment vertical="center" wrapText="1"/>
    </xf>
    <xf numFmtId="0" fontId="16" fillId="3" borderId="19" xfId="0" applyFont="1" applyFill="1" applyBorder="1" applyAlignment="1">
      <alignment vertical="center" wrapText="1"/>
    </xf>
    <xf numFmtId="0" fontId="16" fillId="3" borderId="1" xfId="0" applyFont="1" applyFill="1" applyBorder="1" applyAlignment="1">
      <alignment vertical="center" wrapText="1"/>
    </xf>
    <xf numFmtId="9" fontId="16" fillId="3" borderId="1" xfId="0" applyNumberFormat="1" applyFont="1" applyFill="1" applyBorder="1" applyAlignment="1">
      <alignment vertical="center" wrapText="1"/>
    </xf>
    <xf numFmtId="3" fontId="2" fillId="3" borderId="2" xfId="0" applyNumberFormat="1" applyFont="1" applyFill="1" applyBorder="1" applyAlignment="1">
      <alignment horizontal="left" vertical="center"/>
    </xf>
    <xf numFmtId="3" fontId="2" fillId="3" borderId="15" xfId="0" applyNumberFormat="1" applyFont="1" applyFill="1" applyBorder="1" applyAlignment="1">
      <alignment horizontal="left" vertical="center"/>
    </xf>
    <xf numFmtId="3" fontId="2" fillId="3" borderId="5" xfId="0" applyNumberFormat="1" applyFont="1" applyFill="1" applyBorder="1" applyAlignment="1">
      <alignment horizontal="left" vertical="center" wrapText="1"/>
    </xf>
    <xf numFmtId="3" fontId="2" fillId="2" borderId="1" xfId="0" applyNumberFormat="1" applyFont="1" applyFill="1" applyBorder="1" applyAlignment="1">
      <alignment horizontal="center" vertical="center"/>
    </xf>
    <xf numFmtId="170" fontId="16" fillId="3" borderId="1" xfId="4" applyNumberFormat="1" applyFont="1" applyFill="1" applyBorder="1" applyAlignment="1">
      <alignment vertical="center" wrapText="1"/>
    </xf>
    <xf numFmtId="170" fontId="16" fillId="3" borderId="18" xfId="0" applyNumberFormat="1" applyFont="1" applyFill="1" applyBorder="1" applyAlignment="1">
      <alignment vertical="center" wrapText="1"/>
    </xf>
    <xf numFmtId="3" fontId="2" fillId="3" borderId="15" xfId="0" applyNumberFormat="1" applyFont="1" applyFill="1" applyBorder="1" applyAlignment="1">
      <alignment horizontal="left" vertical="center" wrapText="1"/>
    </xf>
    <xf numFmtId="3" fontId="2" fillId="3" borderId="2" xfId="0" applyNumberFormat="1" applyFont="1" applyFill="1" applyBorder="1" applyAlignment="1">
      <alignment horizontal="center" vertical="center" wrapText="1"/>
    </xf>
    <xf numFmtId="1" fontId="2" fillId="3" borderId="2" xfId="0" applyNumberFormat="1" applyFont="1" applyFill="1" applyBorder="1" applyAlignment="1">
      <alignment horizontal="center" vertical="center" wrapText="1"/>
    </xf>
    <xf numFmtId="167" fontId="2" fillId="3" borderId="2" xfId="3" applyNumberFormat="1" applyFont="1" applyFill="1" applyBorder="1" applyAlignment="1">
      <alignment horizontal="center" vertical="center" wrapText="1"/>
    </xf>
    <xf numFmtId="3" fontId="3" fillId="3" borderId="2" xfId="0" applyNumberFormat="1" applyFont="1" applyFill="1" applyBorder="1" applyAlignment="1">
      <alignment vertical="center" wrapText="1"/>
    </xf>
    <xf numFmtId="3" fontId="3" fillId="3" borderId="2" xfId="0" applyNumberFormat="1" applyFont="1" applyFill="1" applyBorder="1" applyAlignment="1">
      <alignment horizontal="center" vertical="center" wrapText="1"/>
    </xf>
    <xf numFmtId="0" fontId="3" fillId="10" borderId="1" xfId="0" applyFont="1" applyFill="1" applyBorder="1" applyAlignment="1">
      <alignment horizontal="left" vertical="center" wrapText="1"/>
    </xf>
    <xf numFmtId="0" fontId="3" fillId="10" borderId="1" xfId="0" applyFont="1" applyFill="1" applyBorder="1" applyAlignment="1">
      <alignment horizontal="center" vertical="center" wrapText="1"/>
    </xf>
    <xf numFmtId="0" fontId="17" fillId="3" borderId="1" xfId="0" applyFont="1" applyFill="1" applyBorder="1" applyAlignment="1">
      <alignment horizontal="center" vertical="center" textRotation="90" wrapText="1"/>
    </xf>
    <xf numFmtId="0" fontId="17" fillId="3" borderId="1" xfId="0" applyFont="1" applyFill="1" applyBorder="1" applyAlignment="1">
      <alignment horizontal="center" vertical="center" wrapText="1"/>
    </xf>
    <xf numFmtId="0" fontId="16" fillId="3" borderId="1" xfId="0" applyFont="1" applyFill="1" applyBorder="1" applyAlignment="1">
      <alignment horizontal="center" vertical="center" textRotation="90" wrapText="1"/>
    </xf>
    <xf numFmtId="0" fontId="16" fillId="3" borderId="1" xfId="0" applyFont="1" applyFill="1" applyBorder="1" applyAlignment="1">
      <alignment horizontal="center" vertical="center" wrapText="1"/>
    </xf>
    <xf numFmtId="0" fontId="19" fillId="0" borderId="0" xfId="0" applyFont="1"/>
    <xf numFmtId="9" fontId="7" fillId="4" borderId="1" xfId="4" applyFont="1" applyFill="1" applyBorder="1" applyAlignment="1">
      <alignment horizontal="center" vertical="center" wrapText="1"/>
    </xf>
    <xf numFmtId="9" fontId="16" fillId="3" borderId="1" xfId="4" applyFont="1" applyFill="1" applyBorder="1" applyAlignment="1">
      <alignment horizontal="center" vertical="center"/>
    </xf>
    <xf numFmtId="170" fontId="16" fillId="3" borderId="1" xfId="4" applyNumberFormat="1" applyFont="1" applyFill="1" applyBorder="1" applyAlignment="1">
      <alignment horizontal="center" vertical="center"/>
    </xf>
    <xf numFmtId="9" fontId="7" fillId="4" borderId="1" xfId="4" applyFont="1" applyFill="1" applyBorder="1" applyAlignment="1">
      <alignment horizontal="center" vertical="center"/>
    </xf>
    <xf numFmtId="170" fontId="19" fillId="3" borderId="1" xfId="4" applyNumberFormat="1" applyFont="1" applyFill="1" applyBorder="1" applyAlignment="1">
      <alignment horizontal="center" vertical="center"/>
    </xf>
    <xf numFmtId="9" fontId="7" fillId="4" borderId="2" xfId="4" applyFont="1" applyFill="1" applyBorder="1" applyAlignment="1">
      <alignment horizontal="center" vertical="center"/>
    </xf>
    <xf numFmtId="9" fontId="16" fillId="3" borderId="1" xfId="4" applyFont="1" applyFill="1" applyBorder="1" applyAlignment="1">
      <alignment horizontal="center" vertical="center" wrapText="1"/>
    </xf>
    <xf numFmtId="9" fontId="22" fillId="0" borderId="1" xfId="4" applyFont="1" applyFill="1" applyBorder="1" applyAlignment="1">
      <alignment horizontal="center" vertical="center" wrapText="1"/>
    </xf>
    <xf numFmtId="9" fontId="22" fillId="0" borderId="1" xfId="4" applyFont="1" applyBorder="1" applyAlignment="1">
      <alignment horizontal="center" vertical="center" wrapText="1"/>
    </xf>
    <xf numFmtId="0" fontId="24" fillId="9" borderId="1" xfId="0" applyFont="1" applyFill="1" applyBorder="1" applyAlignment="1">
      <alignment horizontal="center" vertical="center" wrapText="1"/>
    </xf>
    <xf numFmtId="9" fontId="24" fillId="9" borderId="1" xfId="0" applyNumberFormat="1" applyFont="1" applyFill="1" applyBorder="1" applyAlignment="1">
      <alignment horizontal="center" vertical="center" wrapText="1"/>
    </xf>
    <xf numFmtId="3" fontId="26" fillId="0" borderId="1" xfId="5" applyNumberFormat="1" applyFont="1" applyFill="1" applyBorder="1" applyAlignment="1">
      <alignment horizontal="center" vertical="center" wrapText="1"/>
    </xf>
    <xf numFmtId="3" fontId="26" fillId="7" borderId="1" xfId="5" applyNumberFormat="1" applyFont="1" applyFill="1" applyBorder="1" applyAlignment="1">
      <alignment horizontal="center" vertical="center" wrapText="1"/>
    </xf>
    <xf numFmtId="3" fontId="24" fillId="9" borderId="1" xfId="0" applyNumberFormat="1" applyFont="1" applyFill="1" applyBorder="1" applyAlignment="1">
      <alignment horizontal="center" vertical="center"/>
    </xf>
    <xf numFmtId="9" fontId="24" fillId="9" borderId="1" xfId="4" applyFont="1" applyFill="1" applyBorder="1" applyAlignment="1">
      <alignment horizontal="center" vertical="center"/>
    </xf>
    <xf numFmtId="9" fontId="24" fillId="9" borderId="1" xfId="4" applyFont="1" applyFill="1" applyBorder="1" applyAlignment="1">
      <alignment horizontal="center" vertical="center" wrapText="1"/>
    </xf>
    <xf numFmtId="3" fontId="24" fillId="3" borderId="1" xfId="0" applyNumberFormat="1" applyFont="1" applyFill="1" applyBorder="1" applyAlignment="1">
      <alignment horizontal="center" vertical="center"/>
    </xf>
    <xf numFmtId="0" fontId="26" fillId="0" borderId="1" xfId="5" applyFont="1" applyFill="1" applyBorder="1" applyAlignment="1">
      <alignment horizontal="center" vertical="center" wrapText="1"/>
    </xf>
    <xf numFmtId="9" fontId="24" fillId="3" borderId="1" xfId="4" applyFont="1" applyFill="1" applyBorder="1" applyAlignment="1">
      <alignment horizontal="center" vertical="center"/>
    </xf>
    <xf numFmtId="3" fontId="4" fillId="15" borderId="1" xfId="0" applyNumberFormat="1" applyFont="1" applyFill="1" applyBorder="1" applyAlignment="1">
      <alignment horizontal="center" vertical="center" wrapText="1"/>
    </xf>
    <xf numFmtId="3" fontId="26" fillId="13" borderId="1" xfId="5" applyNumberFormat="1" applyFont="1" applyFill="1" applyBorder="1" applyAlignment="1">
      <alignment horizontal="center" vertical="center" wrapText="1"/>
    </xf>
    <xf numFmtId="3" fontId="3" fillId="13" borderId="1" xfId="0" applyNumberFormat="1" applyFont="1" applyFill="1" applyBorder="1" applyAlignment="1">
      <alignment horizontal="center" vertical="center" wrapText="1"/>
    </xf>
    <xf numFmtId="3" fontId="3" fillId="13" borderId="1" xfId="5" applyNumberFormat="1" applyFont="1" applyFill="1" applyBorder="1" applyAlignment="1">
      <alignment horizontal="left" vertical="top" wrapText="1"/>
    </xf>
    <xf numFmtId="3" fontId="4" fillId="15" borderId="1" xfId="0" applyNumberFormat="1" applyFont="1" applyFill="1" applyBorder="1" applyAlignment="1">
      <alignment horizontal="center" vertical="center"/>
    </xf>
    <xf numFmtId="170" fontId="24" fillId="3" borderId="1" xfId="4" applyNumberFormat="1" applyFont="1" applyFill="1" applyBorder="1" applyAlignment="1">
      <alignment horizontal="center" vertical="center"/>
    </xf>
    <xf numFmtId="3" fontId="3" fillId="13" borderId="11" xfId="0" applyNumberFormat="1" applyFont="1" applyFill="1" applyBorder="1" applyAlignment="1">
      <alignment horizontal="center" vertical="center"/>
    </xf>
    <xf numFmtId="3" fontId="4" fillId="23" borderId="1" xfId="0" applyNumberFormat="1" applyFont="1" applyFill="1" applyBorder="1" applyAlignment="1">
      <alignment horizontal="center" vertical="center"/>
    </xf>
    <xf numFmtId="3" fontId="3" fillId="13" borderId="11" xfId="0" applyNumberFormat="1" applyFont="1" applyFill="1" applyBorder="1" applyAlignment="1">
      <alignment horizontal="justify" vertical="center" wrapText="1"/>
    </xf>
    <xf numFmtId="3" fontId="4" fillId="23" borderId="1" xfId="0" applyNumberFormat="1" applyFont="1" applyFill="1" applyBorder="1" applyAlignment="1">
      <alignment horizontal="center" vertical="center" wrapText="1"/>
    </xf>
    <xf numFmtId="0" fontId="24" fillId="9" borderId="1" xfId="0" applyFont="1" applyFill="1" applyBorder="1" applyAlignment="1">
      <alignment horizontal="center" vertical="center"/>
    </xf>
    <xf numFmtId="4" fontId="24" fillId="9" borderId="1" xfId="0" applyNumberFormat="1" applyFont="1" applyFill="1" applyBorder="1" applyAlignment="1">
      <alignment horizontal="center" vertical="center"/>
    </xf>
    <xf numFmtId="4" fontId="3" fillId="13" borderId="11" xfId="0" applyNumberFormat="1" applyFont="1" applyFill="1" applyBorder="1" applyAlignment="1">
      <alignment horizontal="justify" vertical="center" wrapText="1"/>
    </xf>
    <xf numFmtId="4" fontId="3" fillId="13" borderId="1" xfId="0" applyNumberFormat="1" applyFont="1" applyFill="1" applyBorder="1" applyAlignment="1">
      <alignment horizontal="center" vertical="center" wrapText="1"/>
    </xf>
    <xf numFmtId="4" fontId="26" fillId="13" borderId="1" xfId="5" applyNumberFormat="1" applyFont="1" applyFill="1" applyBorder="1" applyAlignment="1">
      <alignment horizontal="center" vertical="center" wrapText="1"/>
    </xf>
    <xf numFmtId="3" fontId="3" fillId="13" borderId="12" xfId="0" applyNumberFormat="1" applyFont="1" applyFill="1" applyBorder="1" applyAlignment="1">
      <alignment horizontal="left" vertical="center" wrapText="1"/>
    </xf>
    <xf numFmtId="3" fontId="26" fillId="0" borderId="1" xfId="5" applyNumberFormat="1" applyFont="1" applyBorder="1" applyAlignment="1">
      <alignment horizontal="center" vertical="center" wrapText="1"/>
    </xf>
    <xf numFmtId="3" fontId="3" fillId="0" borderId="1" xfId="0" applyNumberFormat="1" applyFont="1" applyBorder="1" applyAlignment="1">
      <alignment horizontal="left" vertical="center"/>
    </xf>
    <xf numFmtId="3" fontId="3" fillId="0" borderId="1" xfId="0" applyNumberFormat="1" applyFont="1" applyBorder="1" applyAlignment="1">
      <alignment horizontal="center" vertical="center" wrapText="1"/>
    </xf>
    <xf numFmtId="3" fontId="3" fillId="13" borderId="1" xfId="0" applyNumberFormat="1" applyFont="1" applyFill="1" applyBorder="1" applyAlignment="1">
      <alignment horizontal="left" vertical="center"/>
    </xf>
    <xf numFmtId="3" fontId="24" fillId="9" borderId="4" xfId="0" applyNumberFormat="1" applyFont="1" applyFill="1" applyBorder="1" applyAlignment="1">
      <alignment horizontal="center" vertical="center"/>
    </xf>
    <xf numFmtId="9" fontId="24" fillId="9" borderId="4" xfId="4" applyFont="1" applyFill="1" applyBorder="1" applyAlignment="1">
      <alignment horizontal="center" vertical="center"/>
    </xf>
    <xf numFmtId="0" fontId="3" fillId="7" borderId="0" xfId="0" applyFont="1" applyFill="1" applyAlignment="1">
      <alignment horizontal="justify" vertical="center" wrapText="1"/>
    </xf>
    <xf numFmtId="3" fontId="24" fillId="3" borderId="2" xfId="0" applyNumberFormat="1" applyFont="1" applyFill="1" applyBorder="1" applyAlignment="1">
      <alignment horizontal="center" vertical="center"/>
    </xf>
    <xf numFmtId="170" fontId="24" fillId="3" borderId="2" xfId="4" applyNumberFormat="1" applyFont="1" applyFill="1" applyBorder="1" applyAlignment="1">
      <alignment horizontal="center" vertical="center"/>
    </xf>
    <xf numFmtId="3" fontId="4" fillId="17" borderId="1" xfId="0" applyNumberFormat="1" applyFont="1" applyFill="1" applyBorder="1" applyAlignment="1">
      <alignment horizontal="center" vertical="center" wrapText="1"/>
    </xf>
    <xf numFmtId="3" fontId="24" fillId="2" borderId="1" xfId="0" applyNumberFormat="1" applyFont="1" applyFill="1" applyBorder="1" applyAlignment="1">
      <alignment horizontal="center" vertical="center"/>
    </xf>
    <xf numFmtId="3" fontId="3" fillId="13" borderId="13" xfId="0" applyNumberFormat="1" applyFont="1" applyFill="1" applyBorder="1" applyAlignment="1">
      <alignment horizontal="left" vertical="center" wrapText="1"/>
    </xf>
    <xf numFmtId="3" fontId="2" fillId="13" borderId="11" xfId="0" applyNumberFormat="1" applyFont="1" applyFill="1" applyBorder="1" applyAlignment="1">
      <alignment horizontal="left" vertical="center"/>
    </xf>
    <xf numFmtId="3" fontId="4" fillId="17" borderId="1" xfId="0" applyNumberFormat="1" applyFont="1" applyFill="1" applyBorder="1" applyAlignment="1">
      <alignment horizontal="center" vertical="center"/>
    </xf>
    <xf numFmtId="164" fontId="25" fillId="28" borderId="1" xfId="6" applyFont="1" applyFill="1" applyBorder="1" applyAlignment="1">
      <alignment horizontal="center" vertical="center"/>
    </xf>
    <xf numFmtId="4" fontId="3" fillId="13" borderId="11" xfId="0" applyNumberFormat="1" applyFont="1" applyFill="1" applyBorder="1" applyAlignment="1">
      <alignment horizontal="left" vertical="center" wrapText="1"/>
    </xf>
    <xf numFmtId="170" fontId="16" fillId="3" borderId="2" xfId="4" applyNumberFormat="1" applyFont="1" applyFill="1" applyBorder="1" applyAlignment="1">
      <alignment horizontal="center" vertical="center"/>
    </xf>
    <xf numFmtId="3" fontId="4" fillId="19" borderId="1" xfId="0" applyNumberFormat="1" applyFont="1" applyFill="1" applyBorder="1" applyAlignment="1">
      <alignment horizontal="center" vertical="center" wrapText="1"/>
    </xf>
    <xf numFmtId="3" fontId="4" fillId="19" borderId="1" xfId="0" applyNumberFormat="1" applyFont="1" applyFill="1" applyBorder="1" applyAlignment="1">
      <alignment horizontal="center" vertical="center"/>
    </xf>
    <xf numFmtId="0" fontId="26" fillId="7" borderId="1" xfId="5" applyFont="1" applyFill="1" applyBorder="1" applyAlignment="1">
      <alignment horizontal="center" vertical="center" wrapText="1"/>
    </xf>
    <xf numFmtId="0" fontId="26" fillId="0" borderId="1" xfId="5" applyFont="1" applyBorder="1" applyAlignment="1">
      <alignment horizontal="center" vertical="center" wrapText="1"/>
    </xf>
    <xf numFmtId="0" fontId="3" fillId="7" borderId="14" xfId="0" applyFont="1" applyFill="1" applyBorder="1" applyAlignment="1">
      <alignment horizontal="left" vertical="center" wrapText="1"/>
    </xf>
    <xf numFmtId="3" fontId="3" fillId="13" borderId="11" xfId="0" applyNumberFormat="1" applyFont="1" applyFill="1" applyBorder="1" applyAlignment="1">
      <alignment horizontal="left" vertical="center"/>
    </xf>
    <xf numFmtId="170" fontId="24" fillId="3" borderId="1" xfId="0" applyNumberFormat="1" applyFont="1" applyFill="1" applyBorder="1" applyAlignment="1">
      <alignment horizontal="center" vertical="center"/>
    </xf>
    <xf numFmtId="0" fontId="3" fillId="0" borderId="1" xfId="0" applyFont="1" applyBorder="1" applyAlignment="1">
      <alignment wrapText="1"/>
    </xf>
    <xf numFmtId="0" fontId="3" fillId="7" borderId="6" xfId="0" applyFont="1" applyFill="1" applyBorder="1" applyAlignment="1">
      <alignment vertical="center" wrapText="1"/>
    </xf>
    <xf numFmtId="0" fontId="3" fillId="0" borderId="1" xfId="0" applyFont="1" applyBorder="1" applyAlignment="1">
      <alignment horizontal="left" vertical="center"/>
    </xf>
    <xf numFmtId="0" fontId="4" fillId="10" borderId="1" xfId="0" applyFont="1" applyFill="1" applyBorder="1" applyAlignment="1">
      <alignment horizontal="center" vertical="center" wrapText="1"/>
    </xf>
    <xf numFmtId="0" fontId="3" fillId="0" borderId="1" xfId="0" applyFont="1" applyBorder="1" applyAlignment="1">
      <alignment vertical="top" wrapText="1"/>
    </xf>
    <xf numFmtId="0" fontId="3" fillId="0" borderId="6" xfId="0" applyFont="1" applyBorder="1" applyAlignment="1">
      <alignment vertical="center"/>
    </xf>
    <xf numFmtId="0" fontId="4" fillId="10" borderId="1" xfId="0" applyFont="1" applyFill="1" applyBorder="1" applyAlignment="1">
      <alignment horizontal="center" vertical="center"/>
    </xf>
    <xf numFmtId="3" fontId="24" fillId="9" borderId="1" xfId="0" applyNumberFormat="1" applyFont="1" applyFill="1" applyBorder="1" applyAlignment="1">
      <alignment horizontal="center" vertical="center" wrapText="1"/>
    </xf>
    <xf numFmtId="3" fontId="24" fillId="9" borderId="4" xfId="0" applyNumberFormat="1" applyFont="1" applyFill="1" applyBorder="1" applyAlignment="1">
      <alignment horizontal="center" vertical="center" wrapText="1"/>
    </xf>
    <xf numFmtId="9" fontId="24" fillId="9" borderId="4" xfId="4" applyFont="1" applyFill="1" applyBorder="1" applyAlignment="1">
      <alignment horizontal="center" vertical="center" wrapText="1"/>
    </xf>
    <xf numFmtId="0" fontId="2" fillId="6" borderId="1" xfId="0" applyFont="1" applyFill="1" applyBorder="1" applyAlignment="1">
      <alignment horizontal="center" vertical="center"/>
    </xf>
    <xf numFmtId="0" fontId="7" fillId="5" borderId="1" xfId="0" applyFont="1" applyFill="1" applyBorder="1" applyAlignment="1">
      <alignment horizontal="center" vertical="center"/>
    </xf>
    <xf numFmtId="0" fontId="3" fillId="6" borderId="1" xfId="0" applyFont="1" applyFill="1" applyBorder="1" applyAlignment="1">
      <alignment wrapText="1"/>
    </xf>
    <xf numFmtId="0" fontId="3" fillId="6" borderId="6" xfId="0" applyFont="1" applyFill="1" applyBorder="1" applyAlignment="1">
      <alignment vertical="center" wrapText="1"/>
    </xf>
    <xf numFmtId="0" fontId="4" fillId="18" borderId="1" xfId="0" applyFont="1" applyFill="1" applyBorder="1" applyAlignment="1">
      <alignment horizontal="center" vertical="center" wrapText="1"/>
    </xf>
    <xf numFmtId="0" fontId="26" fillId="6" borderId="1" xfId="5" applyFont="1" applyFill="1" applyBorder="1" applyAlignment="1">
      <alignment horizontal="center" vertical="center" wrapText="1"/>
    </xf>
    <xf numFmtId="9" fontId="7" fillId="5" borderId="1" xfId="4" applyFont="1" applyFill="1" applyBorder="1" applyAlignment="1">
      <alignment horizontal="center" vertical="center"/>
    </xf>
    <xf numFmtId="0" fontId="3" fillId="7" borderId="1" xfId="0" applyFont="1" applyFill="1" applyBorder="1" applyAlignment="1">
      <alignment vertical="center" wrapText="1"/>
    </xf>
    <xf numFmtId="0" fontId="3" fillId="6" borderId="1" xfId="0" applyFont="1" applyFill="1" applyBorder="1"/>
    <xf numFmtId="0" fontId="3" fillId="0" borderId="6" xfId="0" applyFont="1" applyFill="1" applyBorder="1" applyAlignment="1">
      <alignment vertical="center" wrapText="1"/>
    </xf>
    <xf numFmtId="0" fontId="24" fillId="9" borderId="4" xfId="0" applyFont="1" applyFill="1" applyBorder="1" applyAlignment="1">
      <alignment horizontal="center" vertical="center"/>
    </xf>
    <xf numFmtId="9" fontId="24" fillId="9" borderId="4" xfId="0" applyNumberFormat="1" applyFont="1" applyFill="1" applyBorder="1" applyAlignment="1">
      <alignment horizontal="center" vertical="center"/>
    </xf>
    <xf numFmtId="3" fontId="3" fillId="13" borderId="7" xfId="0" applyNumberFormat="1" applyFont="1" applyFill="1" applyBorder="1" applyAlignment="1">
      <alignment horizontal="center" vertical="center" wrapText="1"/>
    </xf>
    <xf numFmtId="3" fontId="28" fillId="13" borderId="7" xfId="0" applyNumberFormat="1" applyFont="1" applyFill="1" applyBorder="1" applyAlignment="1">
      <alignment horizontal="center" vertical="center" wrapText="1"/>
    </xf>
    <xf numFmtId="3" fontId="3" fillId="13" borderId="11" xfId="0" applyNumberFormat="1" applyFont="1" applyFill="1" applyBorder="1" applyAlignment="1">
      <alignment horizontal="center" vertical="center" wrapText="1"/>
    </xf>
    <xf numFmtId="3" fontId="4" fillId="20" borderId="1" xfId="0" applyNumberFormat="1" applyFont="1" applyFill="1" applyBorder="1" applyAlignment="1">
      <alignment horizontal="center" vertical="center" wrapText="1"/>
    </xf>
    <xf numFmtId="3" fontId="4" fillId="20" borderId="1" xfId="0" applyNumberFormat="1" applyFont="1" applyFill="1" applyBorder="1" applyAlignment="1">
      <alignment horizontal="center" vertical="center"/>
    </xf>
    <xf numFmtId="3" fontId="4" fillId="21" borderId="1" xfId="0" applyNumberFormat="1" applyFont="1" applyFill="1" applyBorder="1" applyAlignment="1">
      <alignment horizontal="center" vertical="center" wrapText="1"/>
    </xf>
    <xf numFmtId="0" fontId="2" fillId="0" borderId="17" xfId="0" applyFont="1" applyBorder="1" applyAlignment="1">
      <alignment horizontal="center" vertical="center" wrapText="1"/>
    </xf>
    <xf numFmtId="0" fontId="24" fillId="9" borderId="1" xfId="0" applyNumberFormat="1" applyFont="1" applyFill="1" applyBorder="1" applyAlignment="1">
      <alignment horizontal="center" vertical="center" wrapText="1"/>
    </xf>
    <xf numFmtId="0" fontId="24" fillId="9" borderId="1" xfId="1" applyNumberFormat="1" applyFont="1" applyFill="1" applyBorder="1" applyAlignment="1">
      <alignment horizontal="center" vertical="center" wrapText="1"/>
    </xf>
    <xf numFmtId="4" fontId="24" fillId="9" borderId="1" xfId="1" applyNumberFormat="1" applyFont="1" applyFill="1" applyBorder="1" applyAlignment="1">
      <alignment horizontal="center" vertical="center" wrapText="1"/>
    </xf>
    <xf numFmtId="9" fontId="24" fillId="9" borderId="1" xfId="1" applyNumberFormat="1" applyFont="1" applyFill="1" applyBorder="1" applyAlignment="1">
      <alignment horizontal="center" vertical="center" wrapText="1"/>
    </xf>
    <xf numFmtId="4" fontId="24" fillId="3" borderId="1" xfId="0" applyNumberFormat="1" applyFont="1" applyFill="1" applyBorder="1" applyAlignment="1">
      <alignment horizontal="center" vertical="center" wrapText="1"/>
    </xf>
    <xf numFmtId="9" fontId="24" fillId="3" borderId="1" xfId="4" applyFont="1" applyFill="1" applyBorder="1" applyAlignment="1">
      <alignment horizontal="center" vertical="center" wrapText="1"/>
    </xf>
    <xf numFmtId="4" fontId="24" fillId="3" borderId="2" xfId="0" applyNumberFormat="1" applyFont="1" applyFill="1" applyBorder="1" applyAlignment="1">
      <alignment horizontal="center" vertical="center" wrapText="1"/>
    </xf>
    <xf numFmtId="170" fontId="24" fillId="3" borderId="2" xfId="4" applyNumberFormat="1" applyFont="1" applyFill="1" applyBorder="1" applyAlignment="1">
      <alignment horizontal="center" vertical="center" wrapText="1"/>
    </xf>
    <xf numFmtId="170" fontId="24" fillId="3" borderId="1" xfId="4" applyNumberFormat="1" applyFont="1" applyFill="1" applyBorder="1" applyAlignment="1">
      <alignment horizontal="center" vertical="center" wrapText="1"/>
    </xf>
    <xf numFmtId="0" fontId="24" fillId="9" borderId="4" xfId="0" applyNumberFormat="1" applyFont="1" applyFill="1" applyBorder="1" applyAlignment="1">
      <alignment horizontal="center" vertical="center" wrapText="1"/>
    </xf>
    <xf numFmtId="9" fontId="24" fillId="9" borderId="4" xfId="0" applyNumberFormat="1" applyFont="1" applyFill="1" applyBorder="1" applyAlignment="1">
      <alignment horizontal="center" vertical="center" wrapText="1"/>
    </xf>
    <xf numFmtId="4" fontId="24" fillId="9" borderId="1" xfId="0" applyNumberFormat="1" applyFont="1" applyFill="1" applyBorder="1" applyAlignment="1">
      <alignment horizontal="center" vertical="center" wrapText="1"/>
    </xf>
    <xf numFmtId="0" fontId="24" fillId="9" borderId="2" xfId="0" applyFont="1" applyFill="1" applyBorder="1" applyAlignment="1">
      <alignment horizontal="center" vertical="center" wrapText="1"/>
    </xf>
    <xf numFmtId="0" fontId="24" fillId="9" borderId="3" xfId="0" applyFont="1" applyFill="1" applyBorder="1" applyAlignment="1">
      <alignment horizontal="center" vertical="center" wrapText="1"/>
    </xf>
    <xf numFmtId="0" fontId="24" fillId="9" borderId="4" xfId="0" applyFont="1" applyFill="1" applyBorder="1" applyAlignment="1">
      <alignment horizontal="center" vertical="center" wrapText="1"/>
    </xf>
    <xf numFmtId="9" fontId="24" fillId="9" borderId="1" xfId="4" applyFont="1" applyFill="1" applyBorder="1" applyAlignment="1">
      <alignment horizontal="center" vertical="center"/>
    </xf>
    <xf numFmtId="0" fontId="29" fillId="7"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164" fontId="25" fillId="28" borderId="21" xfId="6" applyFont="1" applyFill="1" applyBorder="1" applyAlignment="1">
      <alignment horizontal="center" vertical="center"/>
    </xf>
    <xf numFmtId="164" fontId="25" fillId="28" borderId="22" xfId="6" applyFont="1" applyFill="1" applyBorder="1" applyAlignment="1">
      <alignment horizontal="center" vertical="center"/>
    </xf>
    <xf numFmtId="164" fontId="25" fillId="28" borderId="1" xfId="6" applyFont="1" applyFill="1" applyBorder="1" applyAlignment="1">
      <alignment horizontal="center" vertical="center"/>
    </xf>
    <xf numFmtId="9" fontId="22" fillId="0" borderId="2" xfId="4" applyFont="1" applyBorder="1" applyAlignment="1">
      <alignment horizontal="center" vertical="center" wrapText="1"/>
    </xf>
    <xf numFmtId="9" fontId="22" fillId="0" borderId="3" xfId="4" applyFont="1" applyBorder="1" applyAlignment="1">
      <alignment horizontal="center" vertical="center" wrapText="1"/>
    </xf>
    <xf numFmtId="9" fontId="22" fillId="0" borderId="4" xfId="4" applyFont="1" applyBorder="1" applyAlignment="1">
      <alignment horizontal="center" vertical="center" wrapText="1"/>
    </xf>
    <xf numFmtId="164" fontId="25" fillId="28" borderId="23" xfId="6" applyFont="1" applyFill="1" applyBorder="1" applyAlignment="1">
      <alignment horizontal="center" vertical="center"/>
    </xf>
    <xf numFmtId="164" fontId="25" fillId="28" borderId="24" xfId="6" applyFont="1" applyFill="1" applyBorder="1" applyAlignment="1">
      <alignment horizontal="center" vertical="center"/>
    </xf>
    <xf numFmtId="0" fontId="23" fillId="2" borderId="1" xfId="0" applyFont="1" applyFill="1" applyBorder="1" applyAlignment="1">
      <alignment horizontal="left" vertical="center"/>
    </xf>
    <xf numFmtId="164" fontId="21" fillId="11" borderId="1" xfId="0" applyNumberFormat="1" applyFont="1" applyFill="1" applyBorder="1" applyAlignment="1">
      <alignment horizontal="center" vertical="center"/>
    </xf>
    <xf numFmtId="0" fontId="21" fillId="11" borderId="1" xfId="0" applyFont="1" applyFill="1" applyBorder="1" applyAlignment="1">
      <alignment horizontal="center" vertical="center"/>
    </xf>
    <xf numFmtId="170" fontId="21" fillId="11" borderId="1" xfId="4" applyNumberFormat="1"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164" fontId="25" fillId="28" borderId="2" xfId="6" applyFont="1" applyFill="1" applyBorder="1" applyAlignment="1">
      <alignment horizontal="center" vertical="center"/>
    </xf>
    <xf numFmtId="164" fontId="25" fillId="28" borderId="3" xfId="6" applyFont="1" applyFill="1" applyBorder="1" applyAlignment="1">
      <alignment horizontal="center" vertical="center"/>
    </xf>
    <xf numFmtId="164" fontId="25" fillId="28" borderId="4" xfId="6" applyFont="1" applyFill="1" applyBorder="1" applyAlignment="1">
      <alignment horizontal="center" vertical="center"/>
    </xf>
    <xf numFmtId="9" fontId="22" fillId="0" borderId="2" xfId="4" applyFont="1" applyFill="1" applyBorder="1" applyAlignment="1">
      <alignment horizontal="center" vertical="center" wrapText="1"/>
    </xf>
    <xf numFmtId="9" fontId="22" fillId="0" borderId="3" xfId="4" applyFont="1" applyFill="1" applyBorder="1" applyAlignment="1">
      <alignment horizontal="center" vertical="center" wrapText="1"/>
    </xf>
    <xf numFmtId="9" fontId="22" fillId="0" borderId="4" xfId="4" applyFont="1" applyFill="1" applyBorder="1" applyAlignment="1">
      <alignment horizontal="center" vertical="center" wrapText="1"/>
    </xf>
    <xf numFmtId="164" fontId="25" fillId="28" borderId="5" xfId="6" applyFont="1" applyFill="1" applyBorder="1" applyAlignment="1">
      <alignment horizontal="center" vertical="center"/>
    </xf>
    <xf numFmtId="9" fontId="22" fillId="0" borderId="2" xfId="4" applyFont="1" applyFill="1" applyBorder="1" applyAlignment="1">
      <alignment horizontal="center" vertical="center"/>
    </xf>
    <xf numFmtId="9" fontId="22" fillId="0" borderId="3" xfId="4" applyFont="1" applyFill="1" applyBorder="1" applyAlignment="1">
      <alignment horizontal="center" vertical="center"/>
    </xf>
    <xf numFmtId="9" fontId="22" fillId="0" borderId="4" xfId="4" applyFont="1" applyFill="1" applyBorder="1" applyAlignment="1">
      <alignment horizontal="center" vertical="center"/>
    </xf>
    <xf numFmtId="9" fontId="22" fillId="0" borderId="15" xfId="4" applyFont="1" applyFill="1" applyBorder="1" applyAlignment="1">
      <alignment horizontal="center" vertical="center" wrapText="1"/>
    </xf>
    <xf numFmtId="9" fontId="22" fillId="0" borderId="0" xfId="4" applyFont="1" applyFill="1" applyBorder="1" applyAlignment="1">
      <alignment horizontal="center" vertical="center" wrapText="1"/>
    </xf>
    <xf numFmtId="9" fontId="22" fillId="0" borderId="25" xfId="4"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170" fontId="2" fillId="0" borderId="2" xfId="4" applyNumberFormat="1" applyFont="1" applyFill="1" applyBorder="1" applyAlignment="1">
      <alignment horizontal="center" vertical="center" wrapText="1"/>
    </xf>
    <xf numFmtId="170" fontId="2" fillId="0" borderId="3" xfId="4" applyNumberFormat="1" applyFont="1" applyFill="1" applyBorder="1" applyAlignment="1">
      <alignment horizontal="center" vertical="center" wrapText="1"/>
    </xf>
    <xf numFmtId="170" fontId="2" fillId="0" borderId="4" xfId="4" applyNumberFormat="1" applyFont="1" applyFill="1" applyBorder="1" applyAlignment="1">
      <alignment horizontal="center" vertical="center" wrapText="1"/>
    </xf>
    <xf numFmtId="9" fontId="2" fillId="0" borderId="2" xfId="4" applyFont="1" applyFill="1" applyBorder="1" applyAlignment="1">
      <alignment horizontal="center" vertical="center" wrapText="1"/>
    </xf>
    <xf numFmtId="9" fontId="2" fillId="0" borderId="3" xfId="4" applyFont="1" applyFill="1" applyBorder="1" applyAlignment="1">
      <alignment horizontal="center" vertical="center" wrapText="1"/>
    </xf>
    <xf numFmtId="9" fontId="2" fillId="0" borderId="4" xfId="4" applyFont="1" applyFill="1" applyBorder="1" applyAlignment="1">
      <alignment horizontal="center" vertical="center" wrapText="1"/>
    </xf>
    <xf numFmtId="9" fontId="2" fillId="0" borderId="2" xfId="4" applyFont="1" applyFill="1" applyBorder="1" applyAlignment="1">
      <alignment horizontal="center" vertical="center"/>
    </xf>
    <xf numFmtId="9" fontId="2" fillId="0" borderId="3" xfId="4" applyFont="1" applyFill="1" applyBorder="1" applyAlignment="1">
      <alignment horizontal="center" vertical="center"/>
    </xf>
    <xf numFmtId="9" fontId="2" fillId="0" borderId="4" xfId="4" applyFont="1" applyFill="1" applyBorder="1" applyAlignment="1">
      <alignment horizontal="center" vertical="center"/>
    </xf>
    <xf numFmtId="170" fontId="22" fillId="0" borderId="2" xfId="4" applyNumberFormat="1" applyFont="1" applyFill="1" applyBorder="1" applyAlignment="1">
      <alignment horizontal="center" vertical="center" wrapText="1"/>
    </xf>
    <xf numFmtId="170" fontId="22" fillId="0" borderId="3" xfId="4" applyNumberFormat="1" applyFont="1" applyFill="1" applyBorder="1" applyAlignment="1">
      <alignment horizontal="center" vertical="center" wrapText="1"/>
    </xf>
    <xf numFmtId="170" fontId="22" fillId="0" borderId="4" xfId="4" applyNumberFormat="1" applyFont="1" applyFill="1" applyBorder="1" applyAlignment="1">
      <alignment horizontal="center" vertical="center" wrapText="1"/>
    </xf>
    <xf numFmtId="167" fontId="2" fillId="0" borderId="2" xfId="3" applyNumberFormat="1" applyFont="1" applyFill="1" applyBorder="1" applyAlignment="1">
      <alignment horizontal="center" vertical="center" wrapText="1"/>
    </xf>
    <xf numFmtId="167" fontId="2" fillId="0" borderId="3" xfId="3" applyNumberFormat="1" applyFont="1" applyFill="1" applyBorder="1" applyAlignment="1">
      <alignment horizontal="center" vertical="center" wrapText="1"/>
    </xf>
    <xf numFmtId="167" fontId="2" fillId="0" borderId="4" xfId="3" applyNumberFormat="1" applyFont="1" applyFill="1" applyBorder="1" applyAlignment="1">
      <alignment horizontal="center" vertical="center" wrapText="1"/>
    </xf>
    <xf numFmtId="167" fontId="2" fillId="0" borderId="2" xfId="3" applyNumberFormat="1" applyFont="1" applyFill="1" applyBorder="1" applyAlignment="1">
      <alignment horizontal="center" vertical="center"/>
    </xf>
    <xf numFmtId="167" fontId="2" fillId="0" borderId="3" xfId="3" applyNumberFormat="1" applyFont="1" applyFill="1" applyBorder="1" applyAlignment="1">
      <alignment horizontal="center" vertical="center"/>
    </xf>
    <xf numFmtId="167" fontId="2" fillId="0" borderId="4" xfId="3" applyNumberFormat="1" applyFont="1" applyFill="1" applyBorder="1" applyAlignment="1">
      <alignment horizontal="center" vertical="center"/>
    </xf>
    <xf numFmtId="167" fontId="2" fillId="7" borderId="2" xfId="3" applyNumberFormat="1" applyFont="1" applyFill="1" applyBorder="1" applyAlignment="1">
      <alignment horizontal="center" vertical="center" wrapText="1"/>
    </xf>
    <xf numFmtId="167" fontId="2" fillId="7" borderId="3" xfId="3" applyNumberFormat="1" applyFont="1" applyFill="1" applyBorder="1" applyAlignment="1">
      <alignment horizontal="center" vertical="center" wrapText="1"/>
    </xf>
    <xf numFmtId="167" fontId="2" fillId="7" borderId="4" xfId="3" applyNumberFormat="1" applyFont="1" applyFill="1" applyBorder="1" applyAlignment="1">
      <alignment horizontal="center" vertical="center" wrapText="1"/>
    </xf>
    <xf numFmtId="3" fontId="3" fillId="13" borderId="2" xfId="0" applyNumberFormat="1" applyFont="1" applyFill="1" applyBorder="1" applyAlignment="1">
      <alignment horizontal="left" vertical="center" wrapText="1"/>
    </xf>
    <xf numFmtId="3" fontId="3" fillId="13" borderId="3" xfId="0" applyNumberFormat="1" applyFont="1" applyFill="1" applyBorder="1" applyAlignment="1">
      <alignment horizontal="left" vertical="center" wrapText="1"/>
    </xf>
    <xf numFmtId="3" fontId="3" fillId="13" borderId="4" xfId="0" applyNumberFormat="1"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1" fontId="2" fillId="0" borderId="2" xfId="0" applyNumberFormat="1" applyFont="1" applyBorder="1" applyAlignment="1">
      <alignment horizontal="center" vertical="center" wrapText="1"/>
    </xf>
    <xf numFmtId="1" fontId="2" fillId="0" borderId="3" xfId="0" applyNumberFormat="1" applyFont="1" applyBorder="1" applyAlignment="1">
      <alignment horizontal="center" vertical="center" wrapText="1"/>
    </xf>
    <xf numFmtId="1" fontId="2" fillId="0" borderId="4"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3" fontId="3" fillId="0" borderId="3" xfId="0" applyNumberFormat="1" applyFont="1" applyBorder="1" applyAlignment="1">
      <alignment horizontal="center" vertical="center" wrapText="1"/>
    </xf>
    <xf numFmtId="3" fontId="3" fillId="0" borderId="4" xfId="0" applyNumberFormat="1"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3" fontId="3" fillId="0" borderId="2" xfId="0" applyNumberFormat="1" applyFont="1" applyBorder="1" applyAlignment="1">
      <alignment horizontal="left" vertical="center" wrapText="1"/>
    </xf>
    <xf numFmtId="3" fontId="3" fillId="0" borderId="3" xfId="0" applyNumberFormat="1" applyFont="1" applyBorder="1" applyAlignment="1">
      <alignment horizontal="left" vertical="center" wrapText="1"/>
    </xf>
    <xf numFmtId="3" fontId="3" fillId="0" borderId="4" xfId="0" applyNumberFormat="1" applyFont="1" applyBorder="1" applyAlignment="1">
      <alignment horizontal="left" vertical="center" wrapText="1"/>
    </xf>
    <xf numFmtId="0" fontId="3" fillId="0" borderId="2" xfId="0" applyFont="1" applyBorder="1" applyAlignment="1">
      <alignment horizontal="center" vertical="center" textRotation="90" wrapText="1"/>
    </xf>
    <xf numFmtId="0" fontId="3" fillId="0" borderId="3"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2" fillId="0" borderId="2" xfId="0" applyFont="1" applyBorder="1" applyAlignment="1">
      <alignment horizontal="center" vertical="center" textRotation="90" wrapText="1"/>
    </xf>
    <xf numFmtId="0" fontId="2" fillId="0" borderId="3" xfId="0" applyFont="1" applyBorder="1" applyAlignment="1">
      <alignment horizontal="center" vertical="center" textRotation="90" wrapText="1"/>
    </xf>
    <xf numFmtId="0" fontId="2" fillId="0" borderId="4" xfId="0" applyFont="1" applyBorder="1" applyAlignment="1">
      <alignment horizontal="center" vertical="center" textRotation="90"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3" fontId="3" fillId="0" borderId="2" xfId="0" applyNumberFormat="1" applyFont="1" applyBorder="1" applyAlignment="1">
      <alignment vertical="center" wrapText="1"/>
    </xf>
    <xf numFmtId="3" fontId="3" fillId="0" borderId="3" xfId="0" applyNumberFormat="1" applyFont="1" applyBorder="1" applyAlignment="1">
      <alignment vertical="center" wrapText="1"/>
    </xf>
    <xf numFmtId="3" fontId="3" fillId="0" borderId="4" xfId="0" applyNumberFormat="1" applyFont="1" applyBorder="1" applyAlignment="1">
      <alignment vertical="center" wrapText="1"/>
    </xf>
    <xf numFmtId="166" fontId="3" fillId="0" borderId="2" xfId="0" applyNumberFormat="1" applyFont="1" applyBorder="1" applyAlignment="1">
      <alignment horizontal="center" vertical="center" textRotation="90" wrapText="1"/>
    </xf>
    <xf numFmtId="166" fontId="3" fillId="0" borderId="3" xfId="0" applyNumberFormat="1" applyFont="1" applyBorder="1" applyAlignment="1">
      <alignment horizontal="center" vertical="center" textRotation="90" wrapText="1"/>
    </xf>
    <xf numFmtId="166" fontId="3" fillId="0" borderId="4" xfId="0" applyNumberFormat="1" applyFont="1" applyBorder="1" applyAlignment="1">
      <alignment horizontal="center" vertical="center" textRotation="90" wrapText="1"/>
    </xf>
    <xf numFmtId="166" fontId="3" fillId="0" borderId="2" xfId="0" applyNumberFormat="1" applyFont="1" applyBorder="1" applyAlignment="1">
      <alignment horizontal="center" vertical="center" wrapText="1"/>
    </xf>
    <xf numFmtId="166" fontId="3" fillId="0" borderId="3" xfId="0" applyNumberFormat="1" applyFont="1" applyBorder="1" applyAlignment="1">
      <alignment horizontal="center" vertical="center" wrapText="1"/>
    </xf>
    <xf numFmtId="166" fontId="3" fillId="0" borderId="4" xfId="0" applyNumberFormat="1" applyFont="1" applyBorder="1" applyAlignment="1">
      <alignment horizontal="center" vertical="center" wrapText="1"/>
    </xf>
    <xf numFmtId="166" fontId="15" fillId="0" borderId="2" xfId="0" applyNumberFormat="1" applyFont="1" applyBorder="1" applyAlignment="1">
      <alignment horizontal="center" vertical="center" wrapText="1"/>
    </xf>
    <xf numFmtId="166" fontId="15" fillId="0" borderId="3" xfId="0" applyNumberFormat="1" applyFont="1" applyBorder="1" applyAlignment="1">
      <alignment horizontal="center" vertical="center" wrapText="1"/>
    </xf>
    <xf numFmtId="166" fontId="15" fillId="0" borderId="4"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4" fontId="2" fillId="0" borderId="3"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0" fontId="24" fillId="9" borderId="2" xfId="0" applyNumberFormat="1" applyFont="1" applyFill="1" applyBorder="1" applyAlignment="1">
      <alignment horizontal="center" vertical="center" wrapText="1"/>
    </xf>
    <xf numFmtId="0" fontId="24" fillId="9" borderId="3" xfId="0" applyNumberFormat="1" applyFont="1" applyFill="1" applyBorder="1" applyAlignment="1">
      <alignment horizontal="center" vertical="center" wrapText="1"/>
    </xf>
    <xf numFmtId="0" fontId="24" fillId="9" borderId="4"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3" fontId="2" fillId="0" borderId="2" xfId="0" applyNumberFormat="1" applyFont="1" applyFill="1" applyBorder="1" applyAlignment="1">
      <alignment horizontal="center" vertical="center"/>
    </xf>
    <xf numFmtId="3" fontId="2" fillId="0" borderId="3" xfId="0" applyNumberFormat="1" applyFont="1" applyFill="1" applyBorder="1" applyAlignment="1">
      <alignment horizontal="center" vertical="center"/>
    </xf>
    <xf numFmtId="3" fontId="2" fillId="0" borderId="4" xfId="0" applyNumberFormat="1" applyFont="1" applyFill="1" applyBorder="1" applyAlignment="1">
      <alignment horizontal="center" vertical="center"/>
    </xf>
    <xf numFmtId="3" fontId="3" fillId="0" borderId="2" xfId="0" applyNumberFormat="1" applyFont="1" applyFill="1" applyBorder="1" applyAlignment="1">
      <alignment horizontal="center" vertical="center"/>
    </xf>
    <xf numFmtId="3" fontId="3" fillId="0" borderId="3" xfId="0" applyNumberFormat="1" applyFont="1" applyFill="1" applyBorder="1" applyAlignment="1">
      <alignment horizontal="center" vertical="center"/>
    </xf>
    <xf numFmtId="3" fontId="3" fillId="0" borderId="4" xfId="0" applyNumberFormat="1" applyFont="1" applyFill="1" applyBorder="1" applyAlignment="1">
      <alignment horizontal="center" vertical="center"/>
    </xf>
    <xf numFmtId="4" fontId="2" fillId="7" borderId="2" xfId="0" applyNumberFormat="1" applyFont="1" applyFill="1" applyBorder="1" applyAlignment="1">
      <alignment horizontal="center" vertical="center"/>
    </xf>
    <xf numFmtId="4" fontId="2" fillId="7" borderId="3" xfId="0" applyNumberFormat="1" applyFont="1" applyFill="1" applyBorder="1" applyAlignment="1">
      <alignment horizontal="center" vertical="center"/>
    </xf>
    <xf numFmtId="4" fontId="2" fillId="7" borderId="4"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10" fontId="2" fillId="0" borderId="2" xfId="4" applyNumberFormat="1" applyFont="1" applyFill="1" applyBorder="1" applyAlignment="1">
      <alignment horizontal="center" vertical="center" wrapText="1"/>
    </xf>
    <xf numFmtId="10" fontId="2" fillId="0" borderId="3" xfId="4" applyNumberFormat="1" applyFont="1" applyFill="1" applyBorder="1" applyAlignment="1">
      <alignment horizontal="center" vertical="center" wrapText="1"/>
    </xf>
    <xf numFmtId="10" fontId="2" fillId="0" borderId="4" xfId="4" applyNumberFormat="1" applyFont="1" applyFill="1" applyBorder="1" applyAlignment="1">
      <alignment horizontal="center" vertical="center" wrapText="1"/>
    </xf>
    <xf numFmtId="3" fontId="2" fillId="7" borderId="1" xfId="0" applyNumberFormat="1" applyFont="1" applyFill="1" applyBorder="1" applyAlignment="1">
      <alignment horizontal="center" vertical="center"/>
    </xf>
    <xf numFmtId="3" fontId="24" fillId="9" borderId="1"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4" fillId="9" borderId="2" xfId="0" applyFont="1" applyFill="1" applyBorder="1" applyAlignment="1">
      <alignment horizontal="center" vertical="center"/>
    </xf>
    <xf numFmtId="0" fontId="24" fillId="9" borderId="3" xfId="0" applyFont="1" applyFill="1" applyBorder="1" applyAlignment="1">
      <alignment horizontal="center" vertical="center"/>
    </xf>
    <xf numFmtId="0" fontId="24" fillId="9"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4" fontId="24" fillId="9" borderId="2" xfId="0" applyNumberFormat="1" applyFont="1" applyFill="1" applyBorder="1" applyAlignment="1">
      <alignment horizontal="center" vertical="center"/>
    </xf>
    <xf numFmtId="3" fontId="2" fillId="0" borderId="2" xfId="1" applyNumberFormat="1" applyFont="1" applyFill="1" applyBorder="1" applyAlignment="1">
      <alignment horizontal="center" vertical="center" wrapText="1"/>
    </xf>
    <xf numFmtId="3" fontId="2" fillId="0" borderId="4" xfId="1" applyNumberFormat="1" applyFont="1" applyFill="1" applyBorder="1" applyAlignment="1">
      <alignment horizontal="center" vertical="center" wrapText="1"/>
    </xf>
    <xf numFmtId="3" fontId="2" fillId="7" borderId="1" xfId="1" applyNumberFormat="1" applyFont="1" applyFill="1" applyBorder="1" applyAlignment="1">
      <alignment horizontal="center" vertical="center" wrapText="1"/>
    </xf>
    <xf numFmtId="1" fontId="2" fillId="0" borderId="2" xfId="0" applyNumberFormat="1" applyFont="1" applyFill="1" applyBorder="1" applyAlignment="1">
      <alignment horizontal="center" vertical="center"/>
    </xf>
    <xf numFmtId="1" fontId="2" fillId="0" borderId="3" xfId="0" applyNumberFormat="1" applyFont="1" applyFill="1" applyBorder="1" applyAlignment="1">
      <alignment horizontal="center" vertical="center"/>
    </xf>
    <xf numFmtId="1" fontId="2" fillId="0" borderId="4" xfId="0" applyNumberFormat="1" applyFont="1" applyFill="1" applyBorder="1" applyAlignment="1">
      <alignment horizontal="center" vertical="center"/>
    </xf>
    <xf numFmtId="3" fontId="24" fillId="9" borderId="1" xfId="1" applyNumberFormat="1" applyFont="1" applyFill="1" applyBorder="1" applyAlignment="1">
      <alignment horizontal="center" vertical="center" wrapText="1"/>
    </xf>
    <xf numFmtId="3" fontId="24" fillId="9" borderId="2" xfId="1" applyNumberFormat="1" applyFont="1" applyFill="1" applyBorder="1" applyAlignment="1">
      <alignment horizontal="center" vertical="center" wrapText="1"/>
    </xf>
    <xf numFmtId="3" fontId="24" fillId="9" borderId="4" xfId="1" applyNumberFormat="1" applyFont="1" applyFill="1" applyBorder="1" applyAlignment="1">
      <alignment horizontal="center" vertical="center" wrapText="1"/>
    </xf>
    <xf numFmtId="9" fontId="24" fillId="9" borderId="1" xfId="4" applyFont="1" applyFill="1" applyBorder="1" applyAlignment="1">
      <alignment horizontal="center" vertical="center" wrapText="1"/>
    </xf>
    <xf numFmtId="0" fontId="24" fillId="9" borderId="2" xfId="1" applyNumberFormat="1" applyFont="1" applyFill="1" applyBorder="1" applyAlignment="1">
      <alignment horizontal="center" vertical="center" wrapText="1"/>
    </xf>
    <xf numFmtId="0" fontId="24" fillId="9" borderId="3" xfId="1" applyNumberFormat="1" applyFont="1" applyFill="1" applyBorder="1" applyAlignment="1">
      <alignment horizontal="center" vertical="center" wrapText="1"/>
    </xf>
    <xf numFmtId="0" fontId="24" fillId="9" borderId="4" xfId="1" applyNumberFormat="1" applyFont="1" applyFill="1" applyBorder="1" applyAlignment="1">
      <alignment horizontal="center" vertical="center" wrapText="1"/>
    </xf>
    <xf numFmtId="9" fontId="24" fillId="9" borderId="2" xfId="4" applyFont="1" applyFill="1" applyBorder="1" applyAlignment="1">
      <alignment horizontal="center" vertical="center" wrapText="1"/>
    </xf>
    <xf numFmtId="9" fontId="24" fillId="9" borderId="3" xfId="4" applyFont="1" applyFill="1" applyBorder="1" applyAlignment="1">
      <alignment horizontal="center" vertical="center" wrapText="1"/>
    </xf>
    <xf numFmtId="9" fontId="24" fillId="9" borderId="4" xfId="4" applyFont="1" applyFill="1" applyBorder="1" applyAlignment="1">
      <alignment horizontal="center" vertical="center" wrapText="1"/>
    </xf>
    <xf numFmtId="0" fontId="3" fillId="0" borderId="1" xfId="0" applyFont="1" applyFill="1" applyBorder="1" applyAlignment="1">
      <alignment horizontal="center" vertical="center" textRotation="90"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2" fillId="0" borderId="1" xfId="0" applyFont="1" applyFill="1" applyBorder="1" applyAlignment="1">
      <alignment horizontal="center" vertical="center" textRotation="90" wrapText="1"/>
    </xf>
    <xf numFmtId="0" fontId="3" fillId="0" borderId="3" xfId="0" applyFont="1" applyFill="1" applyBorder="1" applyAlignment="1">
      <alignment horizontal="left" vertical="center" wrapText="1"/>
    </xf>
    <xf numFmtId="0" fontId="3" fillId="0" borderId="2" xfId="0" applyFont="1" applyFill="1" applyBorder="1" applyAlignment="1">
      <alignment horizontal="center" vertical="center" textRotation="90" wrapText="1"/>
    </xf>
    <xf numFmtId="0" fontId="3" fillId="0" borderId="3" xfId="0" applyFont="1" applyFill="1" applyBorder="1" applyAlignment="1">
      <alignment horizontal="center" vertical="center" textRotation="90" wrapText="1"/>
    </xf>
    <xf numFmtId="0" fontId="3" fillId="0" borderId="4" xfId="0" applyFont="1" applyFill="1" applyBorder="1" applyAlignment="1">
      <alignment horizontal="center" vertical="center" textRotation="90" wrapText="1"/>
    </xf>
    <xf numFmtId="0" fontId="15" fillId="7" borderId="2"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2" fillId="0" borderId="2" xfId="0" applyFont="1" applyFill="1" applyBorder="1" applyAlignment="1">
      <alignment horizontal="center" vertical="center" textRotation="90" wrapText="1"/>
    </xf>
    <xf numFmtId="0" fontId="2" fillId="0" borderId="3" xfId="0" applyFont="1" applyFill="1" applyBorder="1" applyAlignment="1">
      <alignment horizontal="center" vertical="center" textRotation="90" wrapText="1"/>
    </xf>
    <xf numFmtId="0" fontId="2" fillId="0" borderId="4" xfId="0" applyFont="1" applyFill="1" applyBorder="1" applyAlignment="1">
      <alignment horizontal="center" vertical="center" textRotation="90" wrapText="1"/>
    </xf>
    <xf numFmtId="9" fontId="24" fillId="9" borderId="2" xfId="0" applyNumberFormat="1" applyFont="1" applyFill="1" applyBorder="1" applyAlignment="1">
      <alignment horizontal="center" vertical="center"/>
    </xf>
    <xf numFmtId="0" fontId="16" fillId="3" borderId="6"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24" fillId="9" borderId="1" xfId="1" applyNumberFormat="1" applyFont="1" applyFill="1" applyBorder="1" applyAlignment="1">
      <alignment horizontal="center" vertical="center" wrapText="1"/>
    </xf>
    <xf numFmtId="3" fontId="3" fillId="0" borderId="2" xfId="1" applyNumberFormat="1" applyFont="1" applyFill="1" applyBorder="1" applyAlignment="1">
      <alignment horizontal="center" vertical="center" wrapText="1"/>
    </xf>
    <xf numFmtId="3" fontId="3" fillId="0" borderId="3" xfId="1" applyNumberFormat="1" applyFont="1" applyFill="1" applyBorder="1" applyAlignment="1">
      <alignment horizontal="center" vertical="center" wrapText="1"/>
    </xf>
    <xf numFmtId="3" fontId="3" fillId="0" borderId="4" xfId="1" applyNumberFormat="1" applyFont="1" applyFill="1" applyBorder="1" applyAlignment="1">
      <alignment horizontal="center" vertical="center" wrapText="1"/>
    </xf>
    <xf numFmtId="4" fontId="2" fillId="0" borderId="2" xfId="1" applyNumberFormat="1" applyFont="1" applyFill="1" applyBorder="1" applyAlignment="1">
      <alignment horizontal="center" vertical="center" wrapText="1"/>
    </xf>
    <xf numFmtId="4" fontId="2" fillId="0" borderId="3" xfId="1" applyNumberFormat="1" applyFont="1" applyFill="1" applyBorder="1" applyAlignment="1">
      <alignment horizontal="center" vertical="center" wrapText="1"/>
    </xf>
    <xf numFmtId="4" fontId="2" fillId="0" borderId="4" xfId="1" applyNumberFormat="1" applyFont="1" applyFill="1" applyBorder="1" applyAlignment="1">
      <alignment horizontal="center" vertical="center" wrapText="1"/>
    </xf>
    <xf numFmtId="3" fontId="2" fillId="0" borderId="3" xfId="1" applyNumberFormat="1" applyFont="1" applyFill="1" applyBorder="1" applyAlignment="1">
      <alignment horizontal="center" vertical="center" wrapText="1"/>
    </xf>
    <xf numFmtId="4" fontId="2" fillId="7" borderId="3" xfId="1" applyNumberFormat="1" applyFont="1" applyFill="1" applyBorder="1" applyAlignment="1">
      <alignment horizontal="center" vertical="center" wrapText="1"/>
    </xf>
    <xf numFmtId="4" fontId="2" fillId="7" borderId="4" xfId="1"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3" fontId="2" fillId="7" borderId="2" xfId="1" applyNumberFormat="1" applyFont="1" applyFill="1" applyBorder="1" applyAlignment="1">
      <alignment horizontal="center" vertical="center" wrapText="1"/>
    </xf>
    <xf numFmtId="3" fontId="2" fillId="7" borderId="3" xfId="1" applyNumberFormat="1" applyFont="1" applyFill="1" applyBorder="1" applyAlignment="1">
      <alignment horizontal="center" vertical="center" wrapText="1"/>
    </xf>
    <xf numFmtId="3" fontId="2" fillId="7" borderId="4" xfId="1" applyNumberFormat="1" applyFont="1" applyFill="1" applyBorder="1" applyAlignment="1">
      <alignment horizontal="center" vertical="center" wrapText="1"/>
    </xf>
    <xf numFmtId="0" fontId="3" fillId="7" borderId="1" xfId="0" applyFont="1" applyFill="1" applyBorder="1" applyAlignment="1">
      <alignment horizontal="center" vertical="center" textRotation="90" wrapText="1"/>
    </xf>
    <xf numFmtId="9" fontId="3" fillId="0" borderId="1" xfId="0" applyNumberFormat="1" applyFont="1" applyFill="1" applyBorder="1" applyAlignment="1">
      <alignment horizontal="center" vertical="center" wrapText="1"/>
    </xf>
    <xf numFmtId="169" fontId="24" fillId="9" borderId="2" xfId="0" applyNumberFormat="1" applyFont="1" applyFill="1" applyBorder="1" applyAlignment="1">
      <alignment horizontal="center" vertical="center"/>
    </xf>
    <xf numFmtId="169" fontId="24" fillId="9" borderId="3" xfId="0" applyNumberFormat="1" applyFont="1" applyFill="1" applyBorder="1" applyAlignment="1">
      <alignment horizontal="center" vertical="center"/>
    </xf>
    <xf numFmtId="169" fontId="24" fillId="9" borderId="4" xfId="0" applyNumberFormat="1" applyFont="1" applyFill="1" applyBorder="1" applyAlignment="1">
      <alignment horizontal="center" vertical="center"/>
    </xf>
    <xf numFmtId="0" fontId="3" fillId="7" borderId="1" xfId="0" applyFont="1" applyFill="1" applyBorder="1" applyAlignment="1">
      <alignment horizontal="left" vertical="center" wrapText="1"/>
    </xf>
    <xf numFmtId="3" fontId="2" fillId="7" borderId="2" xfId="0" applyNumberFormat="1" applyFont="1" applyFill="1" applyBorder="1" applyAlignment="1">
      <alignment horizontal="center" vertical="center"/>
    </xf>
    <xf numFmtId="3" fontId="2" fillId="7" borderId="4" xfId="0" applyNumberFormat="1" applyFont="1" applyFill="1" applyBorder="1" applyAlignment="1">
      <alignment horizontal="center" vertical="center"/>
    </xf>
    <xf numFmtId="169" fontId="2" fillId="0" borderId="1" xfId="0" applyNumberFormat="1" applyFont="1" applyFill="1" applyBorder="1" applyAlignment="1">
      <alignment horizontal="center" vertical="center"/>
    </xf>
    <xf numFmtId="10" fontId="2" fillId="0" borderId="2" xfId="4" applyNumberFormat="1" applyFont="1" applyFill="1" applyBorder="1" applyAlignment="1">
      <alignment horizontal="center" vertical="center"/>
    </xf>
    <xf numFmtId="10" fontId="2" fillId="0" borderId="3" xfId="4" applyNumberFormat="1" applyFont="1" applyFill="1" applyBorder="1" applyAlignment="1">
      <alignment horizontal="center" vertical="center"/>
    </xf>
    <xf numFmtId="10" fontId="2" fillId="0" borderId="4" xfId="4" applyNumberFormat="1" applyFont="1" applyFill="1" applyBorder="1" applyAlignment="1">
      <alignment horizontal="center" vertical="center"/>
    </xf>
    <xf numFmtId="169" fontId="24" fillId="9" borderId="1" xfId="0" applyNumberFormat="1" applyFont="1" applyFill="1" applyBorder="1" applyAlignment="1">
      <alignment horizontal="center" vertical="center"/>
    </xf>
    <xf numFmtId="9" fontId="24" fillId="9" borderId="1" xfId="4" applyFont="1" applyFill="1" applyBorder="1" applyAlignment="1">
      <alignment horizontal="center" vertical="center"/>
    </xf>
    <xf numFmtId="3" fontId="24" fillId="9" borderId="2" xfId="0" applyNumberFormat="1" applyFont="1" applyFill="1" applyBorder="1" applyAlignment="1">
      <alignment horizontal="center" vertical="center"/>
    </xf>
    <xf numFmtId="3" fontId="24" fillId="9" borderId="3" xfId="0" applyNumberFormat="1" applyFont="1" applyFill="1" applyBorder="1" applyAlignment="1">
      <alignment horizontal="center" vertical="center"/>
    </xf>
    <xf numFmtId="3" fontId="24" fillId="9" borderId="4" xfId="0" applyNumberFormat="1" applyFont="1" applyFill="1" applyBorder="1" applyAlignment="1">
      <alignment horizontal="center" vertical="center"/>
    </xf>
    <xf numFmtId="1" fontId="2" fillId="0" borderId="2" xfId="2" applyNumberFormat="1" applyFont="1" applyFill="1" applyBorder="1" applyAlignment="1">
      <alignment horizontal="center" vertical="center" wrapText="1"/>
    </xf>
    <xf numFmtId="1" fontId="2" fillId="0" borderId="3" xfId="2" applyNumberFormat="1" applyFont="1" applyFill="1" applyBorder="1" applyAlignment="1">
      <alignment horizontal="center" vertical="center" wrapText="1"/>
    </xf>
    <xf numFmtId="1" fontId="2" fillId="0" borderId="4" xfId="2" applyNumberFormat="1" applyFont="1" applyFill="1" applyBorder="1" applyAlignment="1">
      <alignment horizontal="center" vertical="center" wrapText="1"/>
    </xf>
    <xf numFmtId="3" fontId="2" fillId="7" borderId="3" xfId="0" applyNumberFormat="1" applyFont="1" applyFill="1" applyBorder="1" applyAlignment="1">
      <alignment horizontal="center" vertical="center"/>
    </xf>
    <xf numFmtId="10" fontId="15" fillId="7" borderId="2"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10" fontId="15" fillId="7" borderId="3" xfId="0" applyNumberFormat="1" applyFont="1" applyFill="1" applyBorder="1" applyAlignment="1">
      <alignment horizontal="center" vertical="center" wrapText="1"/>
    </xf>
    <xf numFmtId="10" fontId="15" fillId="7" borderId="4" xfId="0" applyNumberFormat="1" applyFont="1" applyFill="1" applyBorder="1" applyAlignment="1">
      <alignment horizontal="center" vertical="center" wrapText="1"/>
    </xf>
    <xf numFmtId="3" fontId="3" fillId="0" borderId="1" xfId="0" applyNumberFormat="1" applyFont="1" applyFill="1" applyBorder="1" applyAlignment="1">
      <alignment horizontal="left" vertical="center" wrapText="1"/>
    </xf>
    <xf numFmtId="3" fontId="3" fillId="0" borderId="2"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2" fontId="2" fillId="7" borderId="2" xfId="0" applyNumberFormat="1" applyFont="1" applyFill="1" applyBorder="1" applyAlignment="1">
      <alignment horizontal="center" vertical="center"/>
    </xf>
    <xf numFmtId="2" fontId="2" fillId="7" borderId="4" xfId="0" applyNumberFormat="1" applyFont="1" applyFill="1" applyBorder="1" applyAlignment="1">
      <alignment horizontal="center" vertical="center"/>
    </xf>
    <xf numFmtId="9" fontId="3" fillId="0" borderId="2" xfId="0" applyNumberFormat="1" applyFont="1" applyFill="1" applyBorder="1" applyAlignment="1">
      <alignment horizontal="center" vertical="center" wrapText="1"/>
    </xf>
    <xf numFmtId="9" fontId="3" fillId="0" borderId="3" xfId="0" applyNumberFormat="1" applyFont="1" applyFill="1" applyBorder="1" applyAlignment="1">
      <alignment horizontal="center" vertical="center" wrapText="1"/>
    </xf>
    <xf numFmtId="9" fontId="3" fillId="0" borderId="4" xfId="0" applyNumberFormat="1" applyFont="1" applyFill="1" applyBorder="1" applyAlignment="1">
      <alignment horizontal="center" vertical="center" wrapText="1"/>
    </xf>
    <xf numFmtId="9" fontId="15" fillId="0" borderId="2" xfId="0" applyNumberFormat="1" applyFont="1" applyFill="1" applyBorder="1" applyAlignment="1">
      <alignment horizontal="center" vertical="center" wrapText="1"/>
    </xf>
    <xf numFmtId="9" fontId="15" fillId="0" borderId="3" xfId="0" applyNumberFormat="1" applyFont="1" applyFill="1" applyBorder="1" applyAlignment="1">
      <alignment horizontal="center" vertical="center" wrapText="1"/>
    </xf>
    <xf numFmtId="9" fontId="15" fillId="0" borderId="4" xfId="0" applyNumberFormat="1" applyFont="1" applyFill="1" applyBorder="1" applyAlignment="1">
      <alignment horizontal="center" vertical="center" wrapText="1"/>
    </xf>
    <xf numFmtId="171" fontId="24" fillId="9" borderId="2" xfId="4" applyNumberFormat="1" applyFont="1" applyFill="1" applyBorder="1" applyAlignment="1">
      <alignment horizontal="center" vertical="center"/>
    </xf>
    <xf numFmtId="171" fontId="24" fillId="9" borderId="4" xfId="4" applyNumberFormat="1" applyFont="1" applyFill="1" applyBorder="1" applyAlignment="1">
      <alignment horizontal="center" vertical="center"/>
    </xf>
    <xf numFmtId="9" fontId="24" fillId="9" borderId="2" xfId="4" applyFont="1" applyFill="1" applyBorder="1" applyAlignment="1">
      <alignment horizontal="center" vertical="center"/>
    </xf>
    <xf numFmtId="9" fontId="24" fillId="9" borderId="4" xfId="4" applyFont="1" applyFill="1" applyBorder="1" applyAlignment="1">
      <alignment horizontal="center" vertical="center"/>
    </xf>
    <xf numFmtId="3" fontId="3" fillId="13" borderId="8" xfId="0" applyNumberFormat="1" applyFont="1" applyFill="1" applyBorder="1" applyAlignment="1">
      <alignment horizontal="left" vertical="center" wrapText="1"/>
    </xf>
    <xf numFmtId="3" fontId="3" fillId="13" borderId="9" xfId="0" applyNumberFormat="1" applyFont="1" applyFill="1" applyBorder="1" applyAlignment="1">
      <alignment horizontal="left" vertical="center" wrapText="1"/>
    </xf>
    <xf numFmtId="3" fontId="3" fillId="13" borderId="10" xfId="0" applyNumberFormat="1" applyFont="1" applyFill="1" applyBorder="1" applyAlignment="1">
      <alignment horizontal="left" vertical="center" wrapText="1"/>
    </xf>
    <xf numFmtId="3" fontId="3" fillId="0" borderId="2" xfId="0" applyNumberFormat="1" applyFont="1" applyFill="1" applyBorder="1" applyAlignment="1">
      <alignment horizontal="left" vertical="center" wrapText="1"/>
    </xf>
    <xf numFmtId="3" fontId="3" fillId="0" borderId="3" xfId="0" applyNumberFormat="1" applyFont="1" applyFill="1" applyBorder="1" applyAlignment="1">
      <alignment horizontal="left" vertical="center" wrapText="1"/>
    </xf>
    <xf numFmtId="9" fontId="24" fillId="9" borderId="3" xfId="4" applyFont="1" applyFill="1" applyBorder="1" applyAlignment="1">
      <alignment horizontal="center" vertical="center"/>
    </xf>
    <xf numFmtId="1" fontId="2" fillId="0" borderId="1" xfId="0" applyNumberFormat="1" applyFont="1" applyFill="1" applyBorder="1" applyAlignment="1">
      <alignment horizontal="center" vertical="center" wrapText="1"/>
    </xf>
    <xf numFmtId="3" fontId="3" fillId="0" borderId="4" xfId="0" applyNumberFormat="1" applyFont="1" applyFill="1" applyBorder="1" applyAlignment="1">
      <alignment horizontal="left" vertical="center" wrapText="1"/>
    </xf>
    <xf numFmtId="1" fontId="2" fillId="0" borderId="2" xfId="0" applyNumberFormat="1" applyFont="1" applyFill="1" applyBorder="1" applyAlignment="1">
      <alignment horizontal="center" vertical="center" wrapText="1"/>
    </xf>
    <xf numFmtId="1" fontId="2" fillId="0" borderId="3" xfId="0" applyNumberFormat="1" applyFont="1" applyFill="1" applyBorder="1" applyAlignment="1">
      <alignment horizontal="center" vertical="center" wrapText="1"/>
    </xf>
    <xf numFmtId="1" fontId="2" fillId="0" borderId="4" xfId="0" applyNumberFormat="1" applyFont="1" applyFill="1" applyBorder="1" applyAlignment="1">
      <alignment horizontal="center" vertical="center" wrapText="1"/>
    </xf>
    <xf numFmtId="0" fontId="3" fillId="7" borderId="2" xfId="0" applyFont="1" applyFill="1" applyBorder="1" applyAlignment="1">
      <alignment horizontal="left" vertical="center" wrapText="1"/>
    </xf>
    <xf numFmtId="0" fontId="3" fillId="7" borderId="3" xfId="0" applyFont="1" applyFill="1" applyBorder="1" applyAlignment="1">
      <alignment horizontal="left" vertical="center" wrapText="1"/>
    </xf>
    <xf numFmtId="0" fontId="3" fillId="7" borderId="4" xfId="0" applyFont="1" applyFill="1" applyBorder="1" applyAlignment="1">
      <alignment horizontal="left" vertical="center" wrapText="1"/>
    </xf>
    <xf numFmtId="0" fontId="3" fillId="7" borderId="2"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3" xfId="0" applyFont="1" applyFill="1" applyBorder="1" applyAlignment="1">
      <alignment horizontal="center" vertical="center" wrapText="1"/>
    </xf>
    <xf numFmtId="9" fontId="15" fillId="7" borderId="2"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19" xfId="0" applyFont="1" applyFill="1" applyBorder="1" applyAlignment="1">
      <alignment horizontal="center" vertical="center" wrapText="1"/>
    </xf>
    <xf numFmtId="168" fontId="2" fillId="0" borderId="2" xfId="1" applyNumberFormat="1" applyFont="1" applyFill="1" applyBorder="1" applyAlignment="1">
      <alignment horizontal="center" vertical="center"/>
    </xf>
    <xf numFmtId="168" fontId="2" fillId="0" borderId="3" xfId="1" applyNumberFormat="1" applyFont="1" applyFill="1" applyBorder="1" applyAlignment="1">
      <alignment horizontal="center" vertical="center"/>
    </xf>
    <xf numFmtId="0" fontId="29" fillId="0" borderId="2"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 fillId="7" borderId="2"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4" fillId="9" borderId="2" xfId="0" applyFont="1" applyFill="1" applyBorder="1" applyAlignment="1">
      <alignment horizontal="center" vertical="center" wrapText="1"/>
    </xf>
    <xf numFmtId="0" fontId="24" fillId="9" borderId="4" xfId="0" applyFont="1" applyFill="1" applyBorder="1" applyAlignment="1">
      <alignment horizontal="center" vertical="center" wrapText="1"/>
    </xf>
    <xf numFmtId="0" fontId="29" fillId="0" borderId="1" xfId="0" applyFont="1" applyFill="1" applyBorder="1" applyAlignment="1">
      <alignment horizontal="left" vertical="center" wrapText="1"/>
    </xf>
    <xf numFmtId="9" fontId="24" fillId="9" borderId="2" xfId="0" applyNumberFormat="1" applyFont="1" applyFill="1" applyBorder="1" applyAlignment="1">
      <alignment horizontal="center" vertical="center" wrapText="1"/>
    </xf>
    <xf numFmtId="3" fontId="26" fillId="0" borderId="2" xfId="5" applyNumberFormat="1" applyFont="1" applyBorder="1" applyAlignment="1">
      <alignment horizontal="center" vertical="center" wrapText="1"/>
    </xf>
    <xf numFmtId="0" fontId="24" fillId="9" borderId="3" xfId="0" applyFont="1" applyFill="1" applyBorder="1" applyAlignment="1">
      <alignment horizontal="center" vertical="center" wrapText="1"/>
    </xf>
    <xf numFmtId="3" fontId="2" fillId="0" borderId="2" xfId="0" applyNumberFormat="1" applyFont="1" applyBorder="1" applyAlignment="1">
      <alignment horizontal="center" vertical="center" wrapText="1"/>
    </xf>
    <xf numFmtId="3" fontId="2" fillId="0" borderId="3"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4" fontId="24" fillId="9" borderId="2" xfId="0" applyNumberFormat="1" applyFont="1" applyFill="1" applyBorder="1" applyAlignment="1">
      <alignment horizontal="center" vertical="center" wrapText="1"/>
    </xf>
    <xf numFmtId="0" fontId="26" fillId="6" borderId="2" xfId="5" applyFont="1" applyFill="1" applyBorder="1" applyAlignment="1">
      <alignment horizontal="center" vertical="center" wrapText="1"/>
    </xf>
    <xf numFmtId="0" fontId="26" fillId="6" borderId="4" xfId="5" applyFont="1" applyFill="1" applyBorder="1" applyAlignment="1">
      <alignment horizontal="center" vertical="center" wrapText="1"/>
    </xf>
    <xf numFmtId="4" fontId="24" fillId="9" borderId="3" xfId="0" applyNumberFormat="1" applyFont="1" applyFill="1" applyBorder="1" applyAlignment="1">
      <alignment horizontal="center" vertical="center"/>
    </xf>
    <xf numFmtId="4" fontId="24" fillId="9" borderId="4" xfId="0" applyNumberFormat="1" applyFont="1" applyFill="1" applyBorder="1" applyAlignment="1">
      <alignment horizontal="center" vertical="center"/>
    </xf>
    <xf numFmtId="0" fontId="18" fillId="3" borderId="6" xfId="0" applyFont="1" applyFill="1" applyBorder="1" applyAlignment="1">
      <alignment horizontal="center" vertical="center" wrapText="1"/>
    </xf>
    <xf numFmtId="0" fontId="18" fillId="3" borderId="18" xfId="0" applyFont="1" applyFill="1" applyBorder="1" applyAlignment="1">
      <alignment horizontal="center" vertical="center" wrapText="1"/>
    </xf>
    <xf numFmtId="0" fontId="18" fillId="3" borderId="19"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18"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8"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170" fontId="21" fillId="0" borderId="1" xfId="4" applyNumberFormat="1" applyFont="1" applyBorder="1" applyAlignment="1">
      <alignment horizontal="center" vertical="center"/>
    </xf>
    <xf numFmtId="170" fontId="21" fillId="0" borderId="2" xfId="4" applyNumberFormat="1" applyFont="1" applyBorder="1" applyAlignment="1">
      <alignment horizontal="center" vertical="center"/>
    </xf>
    <xf numFmtId="0" fontId="20" fillId="2" borderId="1" xfId="0" applyFont="1" applyFill="1" applyBorder="1" applyAlignment="1">
      <alignment horizontal="center" vertical="center"/>
    </xf>
    <xf numFmtId="0" fontId="24" fillId="9" borderId="1" xfId="0" applyFont="1" applyFill="1" applyBorder="1" applyAlignment="1">
      <alignment horizontal="center" vertical="center" wrapText="1"/>
    </xf>
    <xf numFmtId="9" fontId="24" fillId="9" borderId="1" xfId="0" applyNumberFormat="1" applyFont="1" applyFill="1" applyBorder="1" applyAlignment="1">
      <alignment horizontal="center" vertical="center" wrapText="1"/>
    </xf>
  </cellXfs>
  <cellStyles count="7">
    <cellStyle name="Hipervínculo" xfId="5" builtinId="8"/>
    <cellStyle name="Millares" xfId="1" builtinId="3"/>
    <cellStyle name="Millares [0]" xfId="2" builtinId="6"/>
    <cellStyle name="Moneda" xfId="3" builtinId="4"/>
    <cellStyle name="Moneda [0]" xfId="6" builtinId="7"/>
    <cellStyle name="Normal" xfId="0" builtinId="0"/>
    <cellStyle name="Porcentaje" xfId="4" builtinId="5"/>
  </cellStyles>
  <dxfs count="0"/>
  <tableStyles count="0" defaultTableStyle="TableStyleMedium2" defaultPivotStyle="PivotStyleLight16"/>
  <colors>
    <mruColors>
      <color rgb="FF00FF00"/>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drive/folders/1_UivEv-atctDRnooQZYGtblF3Ni5Mr1Y?usp=sharing" TargetMode="External"/><Relationship Id="rId21" Type="http://schemas.openxmlformats.org/officeDocument/2006/relationships/hyperlink" Target="https://drive.google.com/drive/folders/1Crv31tHPGuFtfO6qSzmXij8FQ88-gXpi?usp=sharing" TargetMode="External"/><Relationship Id="rId42" Type="http://schemas.openxmlformats.org/officeDocument/2006/relationships/hyperlink" Target="https://drive.google.com/drive/folders/18adsN8zuIlLmYsn5KUymH7B3bgV2Mdbr?usp=sharing" TargetMode="External"/><Relationship Id="rId47" Type="http://schemas.openxmlformats.org/officeDocument/2006/relationships/hyperlink" Target="https://drive.google.com/drive/folders/1zLZz3ruv4IDhxFx-6G30sF1SIVeUnNYO?usp=sharing" TargetMode="External"/><Relationship Id="rId63" Type="http://schemas.openxmlformats.org/officeDocument/2006/relationships/hyperlink" Target="https://drive.google.com/drive/folders/1Kp9NzGyeap0QwcwFDPmsu4zQ5NoykV80?usp=sharing" TargetMode="External"/><Relationship Id="rId68" Type="http://schemas.openxmlformats.org/officeDocument/2006/relationships/hyperlink" Target="https://drive.google.com/drive/folders/1WFYU9c_vpnQ6bXOH2-hdG1pb8tlvD4gp?usp=sharing" TargetMode="External"/><Relationship Id="rId84" Type="http://schemas.openxmlformats.org/officeDocument/2006/relationships/hyperlink" Target="https://drive.google.com/drive/folders/1XEMBz9uZ5o1qbKMJ8ufmNpaSwO2P-P6G?usp=sharing" TargetMode="External"/><Relationship Id="rId89" Type="http://schemas.openxmlformats.org/officeDocument/2006/relationships/hyperlink" Target="https://drive.google.com/drive/folders/1D2p4EQsfhRV7LCb5Ogkma5AwkUvir7_k?usp=sharing" TargetMode="External"/><Relationship Id="rId16" Type="http://schemas.openxmlformats.org/officeDocument/2006/relationships/hyperlink" Target="https://drive.google.com/drive/folders/1sZTELOIW1gRIA33SGEROtO_ZX_hs9___?usp=sharing" TargetMode="External"/><Relationship Id="rId107" Type="http://schemas.openxmlformats.org/officeDocument/2006/relationships/hyperlink" Target="https://drive.google.com/drive/folders/1ogZFmDTH6Hhp4NAuHBzd1fgdZRb1FcFQ?usp=sharing" TargetMode="External"/><Relationship Id="rId11" Type="http://schemas.openxmlformats.org/officeDocument/2006/relationships/hyperlink" Target="https://drive.google.com/drive/folders/1OLaEZNbsJqCOV50-iWpsoPssH5hFWRTM?usp=sharing" TargetMode="External"/><Relationship Id="rId32" Type="http://schemas.openxmlformats.org/officeDocument/2006/relationships/hyperlink" Target="https://drive.google.com/drive/folders/10xQtpcs4HuQ0mben1PvxC1gw1qNnTCtZ?usp=sharing" TargetMode="External"/><Relationship Id="rId37" Type="http://schemas.openxmlformats.org/officeDocument/2006/relationships/hyperlink" Target="https://drive.google.com/drive/folders/1n8M8m3ripQXHXHZH1BsyLYLG0P6oyMuK?usp=sharing" TargetMode="External"/><Relationship Id="rId53" Type="http://schemas.openxmlformats.org/officeDocument/2006/relationships/hyperlink" Target="https://drive.google.com/drive/folders/1Hr9kfoyWTkA7Tujd4ZH7eY02QkNc3XB7?usp=sharing" TargetMode="External"/><Relationship Id="rId58" Type="http://schemas.openxmlformats.org/officeDocument/2006/relationships/hyperlink" Target="https://drive.google.com/drive/folders/1REdKHO3oekO5YO5NSYH_TsHzrtWZCqVQ?usp=sharing" TargetMode="External"/><Relationship Id="rId74" Type="http://schemas.openxmlformats.org/officeDocument/2006/relationships/hyperlink" Target="https://drive.google.com/drive/folders/1QYCZMv1aF9Uo-VFQU3KIanZzkmsOjdWA?usp=sharing" TargetMode="External"/><Relationship Id="rId79" Type="http://schemas.openxmlformats.org/officeDocument/2006/relationships/hyperlink" Target="https://drive.google.com/drive/folders/1v_ZxuPFt4kRNgqnWur3Bght8PeHg8YRJ?usp=sharing" TargetMode="External"/><Relationship Id="rId102" Type="http://schemas.openxmlformats.org/officeDocument/2006/relationships/hyperlink" Target="https://drive.google.com/drive/folders/1NSsrGLVqExigrP8jmiImOoE6Q3apdj8s?usp=sharing" TargetMode="External"/><Relationship Id="rId5" Type="http://schemas.openxmlformats.org/officeDocument/2006/relationships/hyperlink" Target="https://drive.google.com/drive/folders/1m9u870pv_HxLG6_L0VxiOlpVuON0L9Cs?usp=sharing" TargetMode="External"/><Relationship Id="rId90" Type="http://schemas.openxmlformats.org/officeDocument/2006/relationships/hyperlink" Target="https://drive.google.com/drive/folders/1Pvy5Q1C6eVIsiwURdbt2Y-AMCAJr8vvN?usp=sharing" TargetMode="External"/><Relationship Id="rId95" Type="http://schemas.openxmlformats.org/officeDocument/2006/relationships/hyperlink" Target="https://drive.google.com/drive/folders/1Wlpf0hz2z4omA4RMkZlij4_pu9SIpkxo?usp=sharing" TargetMode="External"/><Relationship Id="rId22" Type="http://schemas.openxmlformats.org/officeDocument/2006/relationships/hyperlink" Target="https://drive.google.com/drive/folders/14guptgS4PC-hCFLiEu87Jmtyj72Dg9pM?usp=sharing" TargetMode="External"/><Relationship Id="rId27" Type="http://schemas.openxmlformats.org/officeDocument/2006/relationships/hyperlink" Target="https://drive.google.com/drive/folders/1QSldlkUVknlMCa9ogKcZYP8QisL33IYI?usp=sharing" TargetMode="External"/><Relationship Id="rId43" Type="http://schemas.openxmlformats.org/officeDocument/2006/relationships/hyperlink" Target="https://drive.google.com/drive/folders/1dH6-7KtDQxbT7lQB3ZHR5KNpEAehXBrR?usp=sharing" TargetMode="External"/><Relationship Id="rId48" Type="http://schemas.openxmlformats.org/officeDocument/2006/relationships/hyperlink" Target="https://drive.google.com/drive/folders/1gvDumfbbbrW8vrCT6t6liUtbBFUXbfFs?usp=sharing" TargetMode="External"/><Relationship Id="rId64" Type="http://schemas.openxmlformats.org/officeDocument/2006/relationships/hyperlink" Target="https://drive.google.com/drive/folders/1no3M9noeClWclc341e7X5jetVzNeDzj4?usp=sharing" TargetMode="External"/><Relationship Id="rId69" Type="http://schemas.openxmlformats.org/officeDocument/2006/relationships/hyperlink" Target="https://drive.google.com/drive/folders/1apBkusZrbakAphaFLc0RTjoaGnmipzCC?usp=sharing" TargetMode="External"/><Relationship Id="rId80" Type="http://schemas.openxmlformats.org/officeDocument/2006/relationships/hyperlink" Target="https://drive.google.com/drive/folders/1OLEuDDZ-UFlFHzaYZCxJ4i4nxDW7VS8e?usp=sharing" TargetMode="External"/><Relationship Id="rId85" Type="http://schemas.openxmlformats.org/officeDocument/2006/relationships/hyperlink" Target="https://drive.google.com/drive/folders/1ERVRBD6gBsw553cQlA7Bswl5rOOgvP_u?usp=sharing" TargetMode="External"/><Relationship Id="rId12" Type="http://schemas.openxmlformats.org/officeDocument/2006/relationships/hyperlink" Target="https://drive.google.com/drive/folders/1oHydm9pNG03dIwIq-mWv213AnY6pmOJP?usp=sharing" TargetMode="External"/><Relationship Id="rId17" Type="http://schemas.openxmlformats.org/officeDocument/2006/relationships/hyperlink" Target="https://drive.google.com/drive/folders/1vSvXNyoMtodCc1JaPDxfX5wHPKGoakv3?usp=sharing" TargetMode="External"/><Relationship Id="rId33" Type="http://schemas.openxmlformats.org/officeDocument/2006/relationships/hyperlink" Target="https://drive.google.com/drive/folders/1oQ2W12nK9M0XK0rA3mu5KtinKjaPfGLH?usp=sharing" TargetMode="External"/><Relationship Id="rId38" Type="http://schemas.openxmlformats.org/officeDocument/2006/relationships/hyperlink" Target="https://drive.google.com/drive/folders/16t7fU4PLByEM9QqqDB6EnfdOruyYewqk?usp=sharing" TargetMode="External"/><Relationship Id="rId59" Type="http://schemas.openxmlformats.org/officeDocument/2006/relationships/hyperlink" Target="https://drive.google.com/drive/folders/1zflkRK9_xrviqJu5JMBMQTbN1buCg-WG?usp=sharing" TargetMode="External"/><Relationship Id="rId103" Type="http://schemas.openxmlformats.org/officeDocument/2006/relationships/hyperlink" Target="https://drive.google.com/drive/folders/18bUPJKbw4UKodAKfgw6PkJX8UElrkhAM?usp=sharing" TargetMode="External"/><Relationship Id="rId108" Type="http://schemas.openxmlformats.org/officeDocument/2006/relationships/printerSettings" Target="../printerSettings/printerSettings1.bin"/><Relationship Id="rId54" Type="http://schemas.openxmlformats.org/officeDocument/2006/relationships/hyperlink" Target="https://drive.google.com/drive/folders/1ycdGw0cyr5ruCyE5pQhT94gsI8--8gpP?usp=sharing" TargetMode="External"/><Relationship Id="rId70" Type="http://schemas.openxmlformats.org/officeDocument/2006/relationships/hyperlink" Target="https://drive.google.com/drive/folders/1FxP-T44F6eT0TS3WQzkh6IZJZirsHVn-?usp=sharing" TargetMode="External"/><Relationship Id="rId75" Type="http://schemas.openxmlformats.org/officeDocument/2006/relationships/hyperlink" Target="https://drive.google.com/drive/folders/1zsbXrxtf4kFTIt4KCejWuIr3EPM4vkBZ?usp=sharing" TargetMode="External"/><Relationship Id="rId91" Type="http://schemas.openxmlformats.org/officeDocument/2006/relationships/hyperlink" Target="https://drive.google.com/drive/folders/1XsEHqmOZZWUm_TI-W5BCK4g1t9ACzTYZ?usp=sharing" TargetMode="External"/><Relationship Id="rId96" Type="http://schemas.openxmlformats.org/officeDocument/2006/relationships/hyperlink" Target="https://drive.google.com/drive/folders/1YdZ_HirZxVL3K2YXJaZC7Xx4ZcleuiO3?usp=sharing" TargetMode="External"/><Relationship Id="rId1" Type="http://schemas.openxmlformats.org/officeDocument/2006/relationships/hyperlink" Target="https://drive.google.com/drive/folders/1CWetDMQ5ZoZPaHxWotZ47ikvyNJVAqgi?usp=sharing" TargetMode="External"/><Relationship Id="rId6" Type="http://schemas.openxmlformats.org/officeDocument/2006/relationships/hyperlink" Target="https://drive.google.com/drive/folders/1m9u870pv_HxLG6_L0VxiOlpVuON0L9Cs?usp=sharing" TargetMode="External"/><Relationship Id="rId15" Type="http://schemas.openxmlformats.org/officeDocument/2006/relationships/hyperlink" Target="https://drive.google.com/drive/folders/1y2lqPSSDLY130XzaCEXRO0WnIGd4FgfO?usp=sharing" TargetMode="External"/><Relationship Id="rId23" Type="http://schemas.openxmlformats.org/officeDocument/2006/relationships/hyperlink" Target="https://drive.google.com/drive/folders/1T1xY71K_rky-0DAVwSQyQeHz0r2aEeqe?usp=sharing" TargetMode="External"/><Relationship Id="rId28" Type="http://schemas.openxmlformats.org/officeDocument/2006/relationships/hyperlink" Target="https://drive.google.com/drive/folders/1xgTismav6N3LcdwoC1m3EQQNCAGc2WFK?usp=sharing" TargetMode="External"/><Relationship Id="rId36" Type="http://schemas.openxmlformats.org/officeDocument/2006/relationships/hyperlink" Target="https://drive.google.com/drive/folders/1tVMaGytTRhCV7GjFFX-PYoNycy9CnWOV?usp=sharing" TargetMode="External"/><Relationship Id="rId49" Type="http://schemas.openxmlformats.org/officeDocument/2006/relationships/hyperlink" Target="https://drive.google.com/drive/folders/1B59irEc0NV0u8AbNPoFZDTdKLSlfnDyR?usp=sharing" TargetMode="External"/><Relationship Id="rId57" Type="http://schemas.openxmlformats.org/officeDocument/2006/relationships/hyperlink" Target="https://drive.google.com/drive/folders/1jgy4C_xSobCkPH9UM6UxJR1saSNjfxbq?usp=sharing" TargetMode="External"/><Relationship Id="rId106" Type="http://schemas.openxmlformats.org/officeDocument/2006/relationships/hyperlink" Target="https://drive.google.com/drive/folders/1IUwwKkYED6peHfOYG_0qSYe1Qripx2o8?usp=sharing" TargetMode="External"/><Relationship Id="rId10" Type="http://schemas.openxmlformats.org/officeDocument/2006/relationships/hyperlink" Target="https://drive.google.com/drive/folders/1uecjSrPgLGftyOwGVDLlm1JVMGPOPWCF?usp=sharing" TargetMode="External"/><Relationship Id="rId31" Type="http://schemas.openxmlformats.org/officeDocument/2006/relationships/hyperlink" Target="https://drive.google.com/drive/folders/1keOi-ozQMRN5Tca4Cc3HOJnKXMY0LLJz?usp=sharing" TargetMode="External"/><Relationship Id="rId44" Type="http://schemas.openxmlformats.org/officeDocument/2006/relationships/hyperlink" Target="https://drive.google.com/drive/folders/1PrEW5c2m6c-hWr4rByEZGgmbh_AtNiq5?usp=sharing" TargetMode="External"/><Relationship Id="rId52" Type="http://schemas.openxmlformats.org/officeDocument/2006/relationships/hyperlink" Target="https://drive.google.com/drive/folders/1HCo1MQGPGzQgbFrrQf_EKj6T-8W-Rak0?usp=sharing" TargetMode="External"/><Relationship Id="rId60" Type="http://schemas.openxmlformats.org/officeDocument/2006/relationships/hyperlink" Target="https://drive.google.com/drive/folders/1aPyKi6SNJRU7WzbUqSriKCKPWMZRhqaw?usp=sharing" TargetMode="External"/><Relationship Id="rId65" Type="http://schemas.openxmlformats.org/officeDocument/2006/relationships/hyperlink" Target="https://drive.google.com/drive/folders/1U6E8vo0rX9FR_vMpWeEtF6j0dZFrGK6e?usp=sharing" TargetMode="External"/><Relationship Id="rId73" Type="http://schemas.openxmlformats.org/officeDocument/2006/relationships/hyperlink" Target="https://drive.google.com/drive/folders/1R_qtJuHGP5NWHGFj87kJmIc7N_0fYoC8?usp=sharing" TargetMode="External"/><Relationship Id="rId78" Type="http://schemas.openxmlformats.org/officeDocument/2006/relationships/hyperlink" Target="https://drive.google.com/drive/folders/1x1NhAQKRIbrD_taNuTyxB-N5dNvJ-Ad5?usp=sharing" TargetMode="External"/><Relationship Id="rId81" Type="http://schemas.openxmlformats.org/officeDocument/2006/relationships/hyperlink" Target="https://drive.google.com/drive/folders/1x5Wr5umZsIGpgtrJezS3U_6y1gLArhN7?usp=sharing" TargetMode="External"/><Relationship Id="rId86" Type="http://schemas.openxmlformats.org/officeDocument/2006/relationships/hyperlink" Target="https://drive.google.com/drive/folders/1G1hHw11kQuvgUnXjxfQaE1-vBEDc_7WD?usp=sharing" TargetMode="External"/><Relationship Id="rId94" Type="http://schemas.openxmlformats.org/officeDocument/2006/relationships/hyperlink" Target="https://drive.google.com/drive/folders/1HrP52eM5Oyx8w-RivOKHC-sb9ABe5Cyl?usp=sharing" TargetMode="External"/><Relationship Id="rId99" Type="http://schemas.openxmlformats.org/officeDocument/2006/relationships/hyperlink" Target="https://drive.google.com/drive/folders/1t3dX677J7tfHWcQlRXDPGpHbUZkqsPfi?usp=sharing" TargetMode="External"/><Relationship Id="rId101" Type="http://schemas.openxmlformats.org/officeDocument/2006/relationships/hyperlink" Target="https://drive.google.com/drive/folders/12uOzXpfqZnFU0jbxf3IGNWU9ydbQ-KcE?usp=sharing" TargetMode="External"/><Relationship Id="rId4" Type="http://schemas.openxmlformats.org/officeDocument/2006/relationships/hyperlink" Target="https://drive.google.com/drive/folders/17XmNN2q5nZG4RgOG4ZqQBaUmCAK3Ellj?usp=sharing" TargetMode="External"/><Relationship Id="rId9" Type="http://schemas.openxmlformats.org/officeDocument/2006/relationships/hyperlink" Target="https://drive.google.com/drive/folders/16sRcjvFGfGo7gePA3rK5F-AYnFpW67WK?usp=sharing" TargetMode="External"/><Relationship Id="rId13" Type="http://schemas.openxmlformats.org/officeDocument/2006/relationships/hyperlink" Target="https://drive.google.com/drive/folders/1SlVlf0o6LUar07Tyr1a75-zRF6tb0hA3?usp=sharing" TargetMode="External"/><Relationship Id="rId18" Type="http://schemas.openxmlformats.org/officeDocument/2006/relationships/hyperlink" Target="https://drive.google.com/drive/folders/1yH_QHBkNrzIQHGKcxCHEWVFXig2q2FPk?usp=sharing" TargetMode="External"/><Relationship Id="rId39" Type="http://schemas.openxmlformats.org/officeDocument/2006/relationships/hyperlink" Target="https://drive.google.com/drive/folders/1FSonlWG8kIBH_bCIHn0G9mP7i3X73WL4?usp=sharing" TargetMode="External"/><Relationship Id="rId109" Type="http://schemas.openxmlformats.org/officeDocument/2006/relationships/vmlDrawing" Target="../drawings/vmlDrawing1.vml"/><Relationship Id="rId34" Type="http://schemas.openxmlformats.org/officeDocument/2006/relationships/hyperlink" Target="https://drive.google.com/drive/folders/1JdKG7nkcA0r8jYV8oBuSYLGuknd7TG3Q?usp=sharing" TargetMode="External"/><Relationship Id="rId50" Type="http://schemas.openxmlformats.org/officeDocument/2006/relationships/hyperlink" Target="https://drive.google.com/drive/folders/1FtusoZxJe5hfnK3Js7KxVTixTMYMH9bB?usp=sharing" TargetMode="External"/><Relationship Id="rId55" Type="http://schemas.openxmlformats.org/officeDocument/2006/relationships/hyperlink" Target="https://drive.google.com/drive/folders/11vJUxCY9NzsJfn7x0JHgUtWX820VDXtB?usp=sharing" TargetMode="External"/><Relationship Id="rId76" Type="http://schemas.openxmlformats.org/officeDocument/2006/relationships/hyperlink" Target="https://drive.google.com/drive/folders/1oIw0pSLDlAreCaaUz8ubYWqRi-3eAr2y?usp=sharing" TargetMode="External"/><Relationship Id="rId97" Type="http://schemas.openxmlformats.org/officeDocument/2006/relationships/hyperlink" Target="https://drive.google.com/drive/folders/1LcpxgyVwK9AblMwPlsXlKxcC4yt0qTzL?usp=sharing" TargetMode="External"/><Relationship Id="rId104" Type="http://schemas.openxmlformats.org/officeDocument/2006/relationships/hyperlink" Target="https://drive.google.com/drive/folders/10yA_eXUwOs4WkY9W7WiSDSiOuDBez6fU?usp=sharing" TargetMode="External"/><Relationship Id="rId7" Type="http://schemas.openxmlformats.org/officeDocument/2006/relationships/hyperlink" Target="https://drive.google.com/drive/folders/12HlF2SdQ2l5r31FbYk-LImbLXY-Cjzdz?usp=sharing" TargetMode="External"/><Relationship Id="rId71" Type="http://schemas.openxmlformats.org/officeDocument/2006/relationships/hyperlink" Target="https://drive.google.com/drive/folders/1qY3LzSZDXp3nIy0MwHZwfsReYljjZiJb?usp=sharing" TargetMode="External"/><Relationship Id="rId92" Type="http://schemas.openxmlformats.org/officeDocument/2006/relationships/hyperlink" Target="https://drive.google.com/drive/folders/1Tmo4-x7n7s51UdbAqR2K9m0prDD-hYIx?usp=sharing" TargetMode="External"/><Relationship Id="rId2" Type="http://schemas.openxmlformats.org/officeDocument/2006/relationships/hyperlink" Target="https://drive.google.com/drive/folders/1ijpIJQzlyhSxOMnUtXWVytNBB9WCYdBt?usp=sharing" TargetMode="External"/><Relationship Id="rId29" Type="http://schemas.openxmlformats.org/officeDocument/2006/relationships/hyperlink" Target="https://drive.google.com/drive/folders/1ezM3c9132Y6MlUChpPV5GI4muV1f-Eu0?usp=sharing" TargetMode="External"/><Relationship Id="rId24" Type="http://schemas.openxmlformats.org/officeDocument/2006/relationships/hyperlink" Target="https://drive.google.com/drive/folders/1rQu0jp3gBDzgvEL5DkbDOYSCxGshk5Im?usp=sharing" TargetMode="External"/><Relationship Id="rId40" Type="http://schemas.openxmlformats.org/officeDocument/2006/relationships/hyperlink" Target="https://drive.google.com/drive/folders/1jPHZBkdHLjnZU0MI4hVCHlPHuW93i1_C?usp=sharing" TargetMode="External"/><Relationship Id="rId45" Type="http://schemas.openxmlformats.org/officeDocument/2006/relationships/hyperlink" Target="https://drive.google.com/drive/folders/1f5wsZ1uQER0u5zbkgIswo4JvtCFc-R7C?usp=sharing" TargetMode="External"/><Relationship Id="rId66" Type="http://schemas.openxmlformats.org/officeDocument/2006/relationships/hyperlink" Target="https://drive.google.com/drive/folders/1Ji9RETaHmQ41wfn2q_PyXeZarpBPgXk6?usp=sharing" TargetMode="External"/><Relationship Id="rId87" Type="http://schemas.openxmlformats.org/officeDocument/2006/relationships/hyperlink" Target="https://drive.google.com/drive/folders/1KfgSmycj-c4W1j584epqtrC5yrxiqxWp?usp=sharing" TargetMode="External"/><Relationship Id="rId110" Type="http://schemas.openxmlformats.org/officeDocument/2006/relationships/comments" Target="../comments1.xml"/><Relationship Id="rId61" Type="http://schemas.openxmlformats.org/officeDocument/2006/relationships/hyperlink" Target="https://drive.google.com/drive/folders/1qu9BeMEny92pTmt8eDHAVHGO8ny6hjIc?usp=sharing" TargetMode="External"/><Relationship Id="rId82" Type="http://schemas.openxmlformats.org/officeDocument/2006/relationships/hyperlink" Target="https://drive.google.com/drive/folders/1Rjsb8vEND0VENAbnkmg_pgp5sU02GU37?usp=sharing" TargetMode="External"/><Relationship Id="rId19" Type="http://schemas.openxmlformats.org/officeDocument/2006/relationships/hyperlink" Target="https://drive.google.com/drive/folders/1rGITKMIplucrCMXMiO9bwFPWPGVVJIVV?usp=sharing" TargetMode="External"/><Relationship Id="rId14" Type="http://schemas.openxmlformats.org/officeDocument/2006/relationships/hyperlink" Target="https://drive.google.com/drive/folders/1aLqy7o4z1nE9Fgyx9zYczk4mQWXlFXy_?usp=sharing" TargetMode="External"/><Relationship Id="rId30" Type="http://schemas.openxmlformats.org/officeDocument/2006/relationships/hyperlink" Target="https://drive.google.com/drive/folders/1Gb_ICRTEXaFtHB9LT70pCY1czQ9mTZ13?usp=sharing" TargetMode="External"/><Relationship Id="rId35" Type="http://schemas.openxmlformats.org/officeDocument/2006/relationships/hyperlink" Target="https://drive.google.com/drive/folders/19kdt7lkmXaIyODW__sL3VAWSzzqsVpjV?usp=sharing" TargetMode="External"/><Relationship Id="rId56" Type="http://schemas.openxmlformats.org/officeDocument/2006/relationships/hyperlink" Target="https://drive.google.com/drive/folders/1xMlPcDxmmNZQ28a-iP6fUWnp8E-nq2Pq?usp=sharing" TargetMode="External"/><Relationship Id="rId77" Type="http://schemas.openxmlformats.org/officeDocument/2006/relationships/hyperlink" Target="https://drive.google.com/drive/folders/1ILe58pZdBjux3rEgoQ5H4xzJ7y29Gb0h?usp=sharing" TargetMode="External"/><Relationship Id="rId100" Type="http://schemas.openxmlformats.org/officeDocument/2006/relationships/hyperlink" Target="https://drive.google.com/drive/folders/11Tt_M-JkG4GOl1yZ1vy7gsIitOsMtVpH?usp=sharing" TargetMode="External"/><Relationship Id="rId105" Type="http://schemas.openxmlformats.org/officeDocument/2006/relationships/hyperlink" Target="https://drive.google.com/drive/folders/1rardDRNU07msAsBOee2_4QuAv0rsPnYP?usp=sharing" TargetMode="External"/><Relationship Id="rId8" Type="http://schemas.openxmlformats.org/officeDocument/2006/relationships/hyperlink" Target="https://drive.google.com/drive/folders/14ZKY1SY7JOxF7YWM6zaTwbjqXMqFuFD3?usp=sharing" TargetMode="External"/><Relationship Id="rId51" Type="http://schemas.openxmlformats.org/officeDocument/2006/relationships/hyperlink" Target="https://drive.google.com/drive/folders/1GduRzZPGgBlI3Fi3TlWETqmhl_SqwKKD?usp=sharing" TargetMode="External"/><Relationship Id="rId72" Type="http://schemas.openxmlformats.org/officeDocument/2006/relationships/hyperlink" Target="https://drive.google.com/drive/folders/1DTWpVItxno4ySaFxsa5JyC51pgJzJgPs?usp=sharing" TargetMode="External"/><Relationship Id="rId93" Type="http://schemas.openxmlformats.org/officeDocument/2006/relationships/hyperlink" Target="https://drive.google.com/drive/folders/1FQuohc5FVP6JBp4nIXwUqdby1CpCchY3?usp=sharing" TargetMode="External"/><Relationship Id="rId98" Type="http://schemas.openxmlformats.org/officeDocument/2006/relationships/hyperlink" Target="https://drive.google.com/drive/folders/13YR-853Ay9J1pGUS6WqvjctUPF4DJDjG?usp=sharing" TargetMode="External"/><Relationship Id="rId3" Type="http://schemas.openxmlformats.org/officeDocument/2006/relationships/hyperlink" Target="https://drive.google.com/drive/folders/14IE2KJXxNZGlhEnLcvi0eXUGFN8sHKtT?usp=sharing" TargetMode="External"/><Relationship Id="rId25" Type="http://schemas.openxmlformats.org/officeDocument/2006/relationships/hyperlink" Target="https://drive.google.com/drive/folders/10cAWJwXpNI6FbLXkW1BZZN6XBNw0ZUks?usp=sharing" TargetMode="External"/><Relationship Id="rId46" Type="http://schemas.openxmlformats.org/officeDocument/2006/relationships/hyperlink" Target="https://drive.google.com/drive/folders/1gKPKUhIUxvqfxfEceQuErtaekoqWLvg_?usp=sharing" TargetMode="External"/><Relationship Id="rId67" Type="http://schemas.openxmlformats.org/officeDocument/2006/relationships/hyperlink" Target="https://drive.google.com/drive/folders/1s4MLZZTFgL85p5RRvF9Kc4-WHlqX8cWl?usp=sharing" TargetMode="External"/><Relationship Id="rId20" Type="http://schemas.openxmlformats.org/officeDocument/2006/relationships/hyperlink" Target="https://drive.google.com/drive/folders/1rGITKMIplucrCMXMiO9bwFPWPGVVJIVV?usp=sharing" TargetMode="External"/><Relationship Id="rId41" Type="http://schemas.openxmlformats.org/officeDocument/2006/relationships/hyperlink" Target="https://drive.google.com/drive/folders/1zt-E2O_uNzFUE4Wc0r2sH8lWww21JEbs?usp=sharing" TargetMode="External"/><Relationship Id="rId62" Type="http://schemas.openxmlformats.org/officeDocument/2006/relationships/hyperlink" Target="https://drive.google.com/drive/folders/1WkaE4H3nBnD-rgBxJ2F3RZ7ZJL8-jddW?usp=sharing" TargetMode="External"/><Relationship Id="rId83" Type="http://schemas.openxmlformats.org/officeDocument/2006/relationships/hyperlink" Target="https://drive.google.com/drive/folders/1_lZeMcDYymqVieZIzEWi6jMl2r8fXXI7?usp=sharing" TargetMode="External"/><Relationship Id="rId88" Type="http://schemas.openxmlformats.org/officeDocument/2006/relationships/hyperlink" Target="https://www.facebook.com/1746705428896165/posts/3229038367329523/?d=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587"/>
  <sheetViews>
    <sheetView tabSelected="1" topLeftCell="G1" zoomScale="70" zoomScaleNormal="70" workbookViewId="0">
      <pane ySplit="1" topLeftCell="A201" activePane="bottomLeft" state="frozen"/>
      <selection activeCell="S1" sqref="S1"/>
      <selection pane="bottomLeft" activeCell="N1" sqref="N1"/>
    </sheetView>
  </sheetViews>
  <sheetFormatPr baseColWidth="10" defaultColWidth="11.453125" defaultRowHeight="22.5" x14ac:dyDescent="0.45"/>
  <cols>
    <col min="1" max="1" width="13.54296875" style="9" customWidth="1"/>
    <col min="2" max="2" width="20.7265625" style="9" customWidth="1"/>
    <col min="3" max="3" width="37.54296875" style="9" hidden="1" customWidth="1"/>
    <col min="4" max="4" width="26.1796875" style="9" hidden="1" customWidth="1"/>
    <col min="5" max="5" width="43.453125" style="11" hidden="1" customWidth="1"/>
    <col min="6" max="6" width="28.26953125" style="151" hidden="1" customWidth="1"/>
    <col min="7" max="7" width="16.1796875" style="117" customWidth="1"/>
    <col min="8" max="8" width="0.453125" style="11" customWidth="1"/>
    <col min="9" max="9" width="19.81640625" style="11" customWidth="1"/>
    <col min="10" max="10" width="31.26953125" style="11" customWidth="1"/>
    <col min="11" max="11" width="24.453125" style="9" customWidth="1"/>
    <col min="12" max="12" width="23.54296875" style="9" customWidth="1"/>
    <col min="13" max="15" width="21.26953125" style="9" customWidth="1"/>
    <col min="16" max="17" width="21.81640625" style="9" customWidth="1"/>
    <col min="18" max="18" width="31.1796875" style="9" customWidth="1"/>
    <col min="19" max="19" width="21.81640625" style="9" customWidth="1"/>
    <col min="20" max="20" width="36.453125" style="9" customWidth="1"/>
    <col min="21" max="21" width="40.54296875" style="9" customWidth="1"/>
    <col min="22" max="22" width="23.54296875" style="9" customWidth="1"/>
    <col min="23" max="23" width="48.26953125" style="9" customWidth="1"/>
    <col min="24" max="24" width="60.453125" style="9" customWidth="1"/>
    <col min="25" max="25" width="21.1796875" style="9" customWidth="1"/>
    <col min="26" max="26" width="21" style="9" customWidth="1"/>
    <col min="27" max="30" width="22.26953125" style="36" customWidth="1"/>
    <col min="31" max="31" width="28" style="9" customWidth="1"/>
    <col min="32" max="32" width="41" style="9" customWidth="1"/>
    <col min="33" max="33" width="24.1796875" style="9" customWidth="1"/>
    <col min="34" max="34" width="45.54296875" style="9" customWidth="1"/>
    <col min="35" max="35" width="27" style="9" customWidth="1"/>
    <col min="36" max="36" width="25.453125" style="9" customWidth="1"/>
    <col min="37" max="37" width="26" style="9" customWidth="1"/>
    <col min="38" max="38" width="25.453125" style="9" customWidth="1"/>
    <col min="39" max="40" width="27" style="9" customWidth="1"/>
    <col min="41" max="41" width="37.453125" style="9" customWidth="1"/>
    <col min="42" max="45" width="46.1796875" style="9" customWidth="1"/>
    <col min="46" max="46" width="50" style="9" customWidth="1"/>
    <col min="47" max="47" width="42.26953125" style="48" customWidth="1"/>
    <col min="48" max="48" width="45.453125" style="128" customWidth="1"/>
    <col min="49" max="49" width="18.453125" style="61" customWidth="1"/>
    <col min="50" max="50" width="71" style="138" customWidth="1"/>
    <col min="51" max="16384" width="11.453125" style="9"/>
  </cols>
  <sheetData>
    <row r="1" spans="1:50" ht="294.5" x14ac:dyDescent="0.35">
      <c r="A1" s="180" t="s">
        <v>0</v>
      </c>
      <c r="B1" s="180" t="s">
        <v>1</v>
      </c>
      <c r="C1" s="180" t="s">
        <v>2</v>
      </c>
      <c r="D1" s="180" t="s">
        <v>3</v>
      </c>
      <c r="E1" s="180" t="s">
        <v>4</v>
      </c>
      <c r="F1" s="73" t="s">
        <v>1044</v>
      </c>
      <c r="G1" s="159" t="s">
        <v>5</v>
      </c>
      <c r="H1" s="39" t="s">
        <v>6</v>
      </c>
      <c r="I1" s="39" t="s">
        <v>3</v>
      </c>
      <c r="J1" s="118" t="s">
        <v>7</v>
      </c>
      <c r="K1" s="39" t="s">
        <v>8</v>
      </c>
      <c r="L1" s="118" t="s">
        <v>471</v>
      </c>
      <c r="M1" s="39" t="s">
        <v>603</v>
      </c>
      <c r="N1" s="39" t="s">
        <v>669</v>
      </c>
      <c r="O1" s="39" t="s">
        <v>732</v>
      </c>
      <c r="P1" s="152" t="s">
        <v>903</v>
      </c>
      <c r="Q1" s="192" t="s">
        <v>1068</v>
      </c>
      <c r="R1" s="192" t="s">
        <v>1069</v>
      </c>
      <c r="S1" s="192" t="s">
        <v>1070</v>
      </c>
      <c r="T1" s="192" t="s">
        <v>1071</v>
      </c>
      <c r="U1" s="39" t="s">
        <v>9</v>
      </c>
      <c r="V1" s="180" t="s">
        <v>10</v>
      </c>
      <c r="W1" s="180" t="s">
        <v>11</v>
      </c>
      <c r="X1" s="45" t="s">
        <v>12</v>
      </c>
      <c r="Y1" s="45" t="s">
        <v>801</v>
      </c>
      <c r="Z1" s="39" t="s">
        <v>665</v>
      </c>
      <c r="AA1" s="39" t="s">
        <v>666</v>
      </c>
      <c r="AB1" s="39" t="s">
        <v>733</v>
      </c>
      <c r="AC1" s="152" t="s">
        <v>904</v>
      </c>
      <c r="AD1" s="152" t="s">
        <v>1102</v>
      </c>
      <c r="AE1" s="180" t="s">
        <v>13</v>
      </c>
      <c r="AF1" s="180" t="s">
        <v>14</v>
      </c>
      <c r="AG1" s="180" t="s">
        <v>15</v>
      </c>
      <c r="AH1" s="180" t="s">
        <v>16</v>
      </c>
      <c r="AI1" s="180" t="s">
        <v>19</v>
      </c>
      <c r="AJ1" s="39" t="s">
        <v>606</v>
      </c>
      <c r="AK1" s="39" t="s">
        <v>658</v>
      </c>
      <c r="AL1" s="39" t="s">
        <v>735</v>
      </c>
      <c r="AM1" s="79" t="s">
        <v>1067</v>
      </c>
      <c r="AN1" s="180" t="s">
        <v>664</v>
      </c>
      <c r="AO1" s="180" t="s">
        <v>17</v>
      </c>
      <c r="AP1" s="180" t="s">
        <v>18</v>
      </c>
      <c r="AQ1" s="180" t="s">
        <v>1105</v>
      </c>
      <c r="AR1" s="180" t="s">
        <v>1106</v>
      </c>
      <c r="AS1" s="180" t="s">
        <v>1107</v>
      </c>
      <c r="AT1" s="180" t="s">
        <v>604</v>
      </c>
      <c r="AU1" s="80" t="s">
        <v>736</v>
      </c>
      <c r="AV1" s="81" t="s">
        <v>902</v>
      </c>
      <c r="AW1" s="58"/>
      <c r="AX1" s="81" t="s">
        <v>901</v>
      </c>
    </row>
    <row r="2" spans="1:50" s="21" customFormat="1" ht="23" x14ac:dyDescent="0.35">
      <c r="A2" s="29"/>
      <c r="B2" s="29"/>
      <c r="C2" s="17"/>
      <c r="D2" s="30"/>
      <c r="E2" s="17"/>
      <c r="F2" s="149"/>
      <c r="G2" s="29"/>
      <c r="H2" s="15"/>
      <c r="I2" s="13"/>
      <c r="J2" s="15"/>
      <c r="K2" s="16"/>
      <c r="L2" s="16"/>
      <c r="M2" s="16"/>
      <c r="N2" s="16"/>
      <c r="O2" s="16"/>
      <c r="P2" s="16"/>
      <c r="Q2" s="16"/>
      <c r="R2" s="16"/>
      <c r="S2" s="16"/>
      <c r="T2" s="16"/>
      <c r="U2" s="17"/>
      <c r="V2" s="18"/>
      <c r="W2" s="17"/>
      <c r="X2" s="13"/>
      <c r="Y2" s="16"/>
      <c r="Z2" s="16"/>
      <c r="AA2" s="16"/>
      <c r="AB2" s="43"/>
      <c r="AC2" s="43"/>
      <c r="AD2" s="43"/>
      <c r="AF2" s="13"/>
      <c r="AG2" s="19"/>
      <c r="AH2" s="17"/>
      <c r="AI2" s="20"/>
      <c r="AJ2" s="20"/>
      <c r="AK2" s="20"/>
      <c r="AL2" s="20"/>
      <c r="AM2" s="20"/>
      <c r="AN2" s="20"/>
      <c r="AO2" s="17"/>
      <c r="AP2" s="18"/>
      <c r="AQ2" s="18"/>
      <c r="AR2" s="18"/>
      <c r="AS2" s="18"/>
      <c r="AT2" s="16"/>
      <c r="AU2" s="50"/>
      <c r="AV2" s="123"/>
      <c r="AW2" s="59"/>
      <c r="AX2" s="134"/>
    </row>
    <row r="3" spans="1:50" ht="409.5" x14ac:dyDescent="0.35">
      <c r="A3" s="483" t="s">
        <v>47</v>
      </c>
      <c r="B3" s="483" t="s">
        <v>48</v>
      </c>
      <c r="C3" s="451" t="s">
        <v>49</v>
      </c>
      <c r="D3" s="451" t="s">
        <v>50</v>
      </c>
      <c r="E3" s="451" t="s">
        <v>51</v>
      </c>
      <c r="F3" s="478">
        <v>0</v>
      </c>
      <c r="G3" s="489" t="s">
        <v>52</v>
      </c>
      <c r="H3" s="173" t="s">
        <v>53</v>
      </c>
      <c r="I3" s="174" t="s">
        <v>54</v>
      </c>
      <c r="J3" s="329" t="s">
        <v>55</v>
      </c>
      <c r="K3" s="184">
        <v>1</v>
      </c>
      <c r="L3" s="180">
        <v>0.9</v>
      </c>
      <c r="M3" s="180">
        <v>0</v>
      </c>
      <c r="N3" s="39">
        <v>0</v>
      </c>
      <c r="O3" s="39">
        <v>1</v>
      </c>
      <c r="P3" s="234">
        <v>0</v>
      </c>
      <c r="Q3" s="234">
        <v>1</v>
      </c>
      <c r="R3" s="235">
        <v>1</v>
      </c>
      <c r="S3" s="234">
        <v>1</v>
      </c>
      <c r="T3" s="235">
        <v>1</v>
      </c>
      <c r="U3" s="428" t="s">
        <v>284</v>
      </c>
      <c r="V3" s="572">
        <v>2020130010103</v>
      </c>
      <c r="W3" s="451" t="s">
        <v>285</v>
      </c>
      <c r="X3" s="173" t="s">
        <v>286</v>
      </c>
      <c r="Y3" s="184">
        <v>1</v>
      </c>
      <c r="Z3" s="184">
        <v>0</v>
      </c>
      <c r="AA3" s="39">
        <v>0</v>
      </c>
      <c r="AB3" s="39">
        <v>1</v>
      </c>
      <c r="AC3" s="82">
        <v>0</v>
      </c>
      <c r="AD3" s="225">
        <f>+(Z3+AA3+AB3+AC3)/Y3</f>
        <v>1</v>
      </c>
      <c r="AE3" s="174" t="s">
        <v>734</v>
      </c>
      <c r="AF3" s="451" t="s">
        <v>643</v>
      </c>
      <c r="AG3" s="451" t="s">
        <v>526</v>
      </c>
      <c r="AH3" s="428" t="s">
        <v>433</v>
      </c>
      <c r="AI3" s="374">
        <v>400000000</v>
      </c>
      <c r="AJ3" s="374">
        <v>169600000</v>
      </c>
      <c r="AK3" s="374">
        <v>169600000</v>
      </c>
      <c r="AL3" s="374">
        <v>142480000</v>
      </c>
      <c r="AM3" s="374"/>
      <c r="AN3" s="445">
        <f>+AK3/AI3</f>
        <v>0.42399999999999999</v>
      </c>
      <c r="AO3" s="428" t="s">
        <v>574</v>
      </c>
      <c r="AP3" s="428" t="s">
        <v>575</v>
      </c>
      <c r="AQ3" s="352">
        <v>400000000</v>
      </c>
      <c r="AR3" s="352">
        <v>390320000</v>
      </c>
      <c r="AS3" s="362">
        <f>+AR3/AQ3</f>
        <v>0.9758</v>
      </c>
      <c r="AT3" s="3"/>
      <c r="AU3" s="51"/>
      <c r="AV3" s="143" t="s">
        <v>962</v>
      </c>
      <c r="AW3" s="62">
        <v>1</v>
      </c>
      <c r="AX3" s="236"/>
    </row>
    <row r="4" spans="1:50" ht="62" x14ac:dyDescent="0.35">
      <c r="A4" s="484"/>
      <c r="B4" s="484"/>
      <c r="C4" s="452"/>
      <c r="D4" s="452"/>
      <c r="E4" s="452"/>
      <c r="F4" s="479"/>
      <c r="G4" s="490"/>
      <c r="H4" s="431" t="s">
        <v>56</v>
      </c>
      <c r="I4" s="432" t="s">
        <v>57</v>
      </c>
      <c r="J4" s="580" t="s">
        <v>58</v>
      </c>
      <c r="K4" s="506">
        <v>15000</v>
      </c>
      <c r="L4" s="506">
        <v>5150</v>
      </c>
      <c r="M4" s="506">
        <v>117</v>
      </c>
      <c r="N4" s="448">
        <v>479</v>
      </c>
      <c r="O4" s="516">
        <v>2553</v>
      </c>
      <c r="P4" s="524">
        <v>1707</v>
      </c>
      <c r="Q4" s="524">
        <f>+M4+N4+O4+P4</f>
        <v>4856</v>
      </c>
      <c r="R4" s="548">
        <f>+Q4/L4</f>
        <v>0.94291262135922327</v>
      </c>
      <c r="S4" s="524">
        <f>+Q4+700</f>
        <v>5556</v>
      </c>
      <c r="T4" s="548">
        <f>+S4/K4</f>
        <v>0.37040000000000001</v>
      </c>
      <c r="U4" s="429"/>
      <c r="V4" s="573"/>
      <c r="W4" s="452"/>
      <c r="X4" s="173" t="s">
        <v>287</v>
      </c>
      <c r="Y4" s="184">
        <v>20</v>
      </c>
      <c r="Z4" s="184">
        <v>7</v>
      </c>
      <c r="AA4" s="177">
        <v>18</v>
      </c>
      <c r="AB4" s="177">
        <v>41</v>
      </c>
      <c r="AC4" s="83">
        <v>23</v>
      </c>
      <c r="AD4" s="225">
        <v>1</v>
      </c>
      <c r="AE4" s="174" t="s">
        <v>734</v>
      </c>
      <c r="AF4" s="452"/>
      <c r="AG4" s="452"/>
      <c r="AH4" s="429"/>
      <c r="AI4" s="375"/>
      <c r="AJ4" s="375"/>
      <c r="AK4" s="375"/>
      <c r="AL4" s="375"/>
      <c r="AM4" s="375"/>
      <c r="AN4" s="446"/>
      <c r="AO4" s="429"/>
      <c r="AP4" s="429"/>
      <c r="AQ4" s="331"/>
      <c r="AR4" s="331"/>
      <c r="AS4" s="363"/>
      <c r="AT4" s="3"/>
      <c r="AU4" s="51"/>
      <c r="AV4" s="143" t="s">
        <v>950</v>
      </c>
      <c r="AW4" s="62">
        <v>2</v>
      </c>
      <c r="AX4" s="236" t="s">
        <v>815</v>
      </c>
    </row>
    <row r="5" spans="1:50" ht="32.5" customHeight="1" x14ac:dyDescent="0.35">
      <c r="A5" s="484"/>
      <c r="B5" s="484"/>
      <c r="C5" s="452"/>
      <c r="D5" s="452"/>
      <c r="E5" s="452"/>
      <c r="F5" s="479"/>
      <c r="G5" s="490"/>
      <c r="H5" s="431"/>
      <c r="I5" s="432"/>
      <c r="J5" s="580"/>
      <c r="K5" s="506"/>
      <c r="L5" s="506"/>
      <c r="M5" s="506"/>
      <c r="N5" s="448"/>
      <c r="O5" s="517"/>
      <c r="P5" s="526"/>
      <c r="Q5" s="526"/>
      <c r="R5" s="549"/>
      <c r="S5" s="526"/>
      <c r="T5" s="549"/>
      <c r="U5" s="429"/>
      <c r="V5" s="573"/>
      <c r="W5" s="452"/>
      <c r="X5" s="173" t="s">
        <v>288</v>
      </c>
      <c r="Y5" s="184">
        <v>20</v>
      </c>
      <c r="Z5" s="184">
        <v>7</v>
      </c>
      <c r="AA5" s="177">
        <v>479</v>
      </c>
      <c r="AB5" s="177">
        <v>2663</v>
      </c>
      <c r="AC5" s="83">
        <v>1707</v>
      </c>
      <c r="AD5" s="225"/>
      <c r="AE5" s="174" t="s">
        <v>734</v>
      </c>
      <c r="AF5" s="452"/>
      <c r="AG5" s="452"/>
      <c r="AH5" s="429"/>
      <c r="AI5" s="375"/>
      <c r="AJ5" s="375"/>
      <c r="AK5" s="375"/>
      <c r="AL5" s="375"/>
      <c r="AM5" s="375"/>
      <c r="AN5" s="446"/>
      <c r="AO5" s="429"/>
      <c r="AP5" s="429"/>
      <c r="AQ5" s="331"/>
      <c r="AR5" s="331"/>
      <c r="AS5" s="363"/>
      <c r="AT5" s="3"/>
      <c r="AU5" s="51"/>
      <c r="AV5" s="143" t="s">
        <v>951</v>
      </c>
      <c r="AW5" s="62">
        <v>3</v>
      </c>
      <c r="AX5" s="236" t="s">
        <v>816</v>
      </c>
    </row>
    <row r="6" spans="1:50" ht="38.25" customHeight="1" x14ac:dyDescent="0.35">
      <c r="A6" s="484"/>
      <c r="B6" s="484"/>
      <c r="C6" s="452"/>
      <c r="D6" s="452"/>
      <c r="E6" s="452"/>
      <c r="F6" s="479"/>
      <c r="G6" s="490"/>
      <c r="H6" s="431" t="s">
        <v>59</v>
      </c>
      <c r="I6" s="432" t="s">
        <v>60</v>
      </c>
      <c r="J6" s="431" t="s">
        <v>61</v>
      </c>
      <c r="K6" s="506">
        <v>5000</v>
      </c>
      <c r="L6" s="506">
        <v>1700</v>
      </c>
      <c r="M6" s="506">
        <v>0</v>
      </c>
      <c r="N6" s="448">
        <v>65</v>
      </c>
      <c r="O6" s="516">
        <v>325</v>
      </c>
      <c r="P6" s="524">
        <v>80</v>
      </c>
      <c r="Q6" s="524">
        <f>+M6+N6+P6+O6</f>
        <v>470</v>
      </c>
      <c r="R6" s="548">
        <f>+Q6/L6</f>
        <v>0.27647058823529413</v>
      </c>
      <c r="S6" s="524">
        <f>+Q6+100</f>
        <v>570</v>
      </c>
      <c r="T6" s="548">
        <f>+S6/K6</f>
        <v>0.114</v>
      </c>
      <c r="U6" s="429"/>
      <c r="V6" s="573"/>
      <c r="W6" s="452"/>
      <c r="X6" s="173" t="s">
        <v>289</v>
      </c>
      <c r="Y6" s="184">
        <v>1</v>
      </c>
      <c r="Z6" s="184">
        <v>95</v>
      </c>
      <c r="AA6" s="177">
        <v>133</v>
      </c>
      <c r="AB6" s="177">
        <v>190</v>
      </c>
      <c r="AC6" s="83">
        <v>712</v>
      </c>
      <c r="AD6" s="225"/>
      <c r="AE6" s="174" t="s">
        <v>734</v>
      </c>
      <c r="AF6" s="452"/>
      <c r="AG6" s="452"/>
      <c r="AH6" s="429"/>
      <c r="AI6" s="375"/>
      <c r="AJ6" s="375"/>
      <c r="AK6" s="375"/>
      <c r="AL6" s="375"/>
      <c r="AM6" s="375"/>
      <c r="AN6" s="446"/>
      <c r="AO6" s="429"/>
      <c r="AP6" s="429"/>
      <c r="AQ6" s="331"/>
      <c r="AR6" s="331"/>
      <c r="AS6" s="363"/>
      <c r="AT6" s="3"/>
      <c r="AU6" s="51"/>
      <c r="AV6" s="143" t="s">
        <v>952</v>
      </c>
      <c r="AW6" s="62">
        <v>4</v>
      </c>
      <c r="AX6" s="237" t="s">
        <v>817</v>
      </c>
    </row>
    <row r="7" spans="1:50" ht="32.5" customHeight="1" x14ac:dyDescent="0.35">
      <c r="A7" s="484"/>
      <c r="B7" s="484"/>
      <c r="C7" s="452"/>
      <c r="D7" s="452"/>
      <c r="E7" s="452"/>
      <c r="F7" s="479"/>
      <c r="G7" s="490"/>
      <c r="H7" s="431"/>
      <c r="I7" s="432"/>
      <c r="J7" s="431"/>
      <c r="K7" s="506"/>
      <c r="L7" s="506"/>
      <c r="M7" s="506"/>
      <c r="N7" s="448"/>
      <c r="O7" s="530"/>
      <c r="P7" s="525"/>
      <c r="Q7" s="525"/>
      <c r="R7" s="555"/>
      <c r="S7" s="525"/>
      <c r="T7" s="555"/>
      <c r="U7" s="429"/>
      <c r="V7" s="573"/>
      <c r="W7" s="452"/>
      <c r="X7" s="173" t="s">
        <v>290</v>
      </c>
      <c r="Y7" s="184">
        <v>1700</v>
      </c>
      <c r="Z7" s="184">
        <v>0</v>
      </c>
      <c r="AA7" s="177">
        <v>75</v>
      </c>
      <c r="AB7" s="177">
        <v>141</v>
      </c>
      <c r="AC7" s="83">
        <v>501</v>
      </c>
      <c r="AD7" s="225">
        <f t="shared" ref="AD7:AD16" si="0">+(Z7+AA7+AB7+AC7)/Y7</f>
        <v>0.42176470588235293</v>
      </c>
      <c r="AE7" s="174" t="s">
        <v>734</v>
      </c>
      <c r="AF7" s="452"/>
      <c r="AG7" s="452"/>
      <c r="AH7" s="429"/>
      <c r="AI7" s="375"/>
      <c r="AJ7" s="375"/>
      <c r="AK7" s="375"/>
      <c r="AL7" s="375"/>
      <c r="AM7" s="375"/>
      <c r="AN7" s="446"/>
      <c r="AO7" s="429"/>
      <c r="AP7" s="429"/>
      <c r="AQ7" s="331"/>
      <c r="AR7" s="331"/>
      <c r="AS7" s="363"/>
      <c r="AT7" s="3"/>
      <c r="AU7" s="51"/>
      <c r="AV7" s="143" t="s">
        <v>953</v>
      </c>
      <c r="AW7" s="62">
        <v>5</v>
      </c>
      <c r="AX7" s="236" t="s">
        <v>818</v>
      </c>
    </row>
    <row r="8" spans="1:50" ht="32.5" customHeight="1" x14ac:dyDescent="0.35">
      <c r="A8" s="484"/>
      <c r="B8" s="484"/>
      <c r="C8" s="452"/>
      <c r="D8" s="452"/>
      <c r="E8" s="452"/>
      <c r="F8" s="479"/>
      <c r="G8" s="490"/>
      <c r="H8" s="431"/>
      <c r="I8" s="432"/>
      <c r="J8" s="431"/>
      <c r="K8" s="506"/>
      <c r="L8" s="506"/>
      <c r="M8" s="506"/>
      <c r="N8" s="448"/>
      <c r="O8" s="517"/>
      <c r="P8" s="526"/>
      <c r="Q8" s="526"/>
      <c r="R8" s="549"/>
      <c r="S8" s="526"/>
      <c r="T8" s="549"/>
      <c r="U8" s="429"/>
      <c r="V8" s="573"/>
      <c r="W8" s="452"/>
      <c r="X8" s="173" t="s">
        <v>291</v>
      </c>
      <c r="Y8" s="184">
        <v>1700</v>
      </c>
      <c r="Z8" s="184">
        <v>0</v>
      </c>
      <c r="AA8" s="177">
        <v>65</v>
      </c>
      <c r="AB8" s="177">
        <v>325</v>
      </c>
      <c r="AC8" s="83">
        <v>80</v>
      </c>
      <c r="AD8" s="225">
        <f t="shared" si="0"/>
        <v>0.27647058823529413</v>
      </c>
      <c r="AE8" s="174" t="s">
        <v>734</v>
      </c>
      <c r="AF8" s="452"/>
      <c r="AG8" s="452"/>
      <c r="AH8" s="429"/>
      <c r="AI8" s="375"/>
      <c r="AJ8" s="375"/>
      <c r="AK8" s="375"/>
      <c r="AL8" s="375"/>
      <c r="AM8" s="375"/>
      <c r="AN8" s="446"/>
      <c r="AO8" s="429"/>
      <c r="AP8" s="429"/>
      <c r="AQ8" s="331"/>
      <c r="AR8" s="331"/>
      <c r="AS8" s="363"/>
      <c r="AT8" s="3"/>
      <c r="AU8" s="51"/>
      <c r="AV8" s="143" t="s">
        <v>954</v>
      </c>
      <c r="AW8" s="62">
        <v>6</v>
      </c>
      <c r="AX8" s="236" t="s">
        <v>819</v>
      </c>
    </row>
    <row r="9" spans="1:50" ht="32.5" customHeight="1" x14ac:dyDescent="0.35">
      <c r="A9" s="484"/>
      <c r="B9" s="484"/>
      <c r="C9" s="452"/>
      <c r="D9" s="452"/>
      <c r="E9" s="452"/>
      <c r="F9" s="479"/>
      <c r="G9" s="490"/>
      <c r="H9" s="431" t="s">
        <v>62</v>
      </c>
      <c r="I9" s="432" t="s">
        <v>60</v>
      </c>
      <c r="J9" s="580" t="s">
        <v>63</v>
      </c>
      <c r="K9" s="506">
        <v>2500</v>
      </c>
      <c r="L9" s="506">
        <v>850</v>
      </c>
      <c r="M9" s="506">
        <v>0</v>
      </c>
      <c r="N9" s="448">
        <v>325</v>
      </c>
      <c r="O9" s="516">
        <v>495</v>
      </c>
      <c r="P9" s="524">
        <v>80</v>
      </c>
      <c r="Q9" s="524">
        <f>+N9+O9+P9</f>
        <v>900</v>
      </c>
      <c r="R9" s="548">
        <v>1</v>
      </c>
      <c r="S9" s="524">
        <f>+Q9+46</f>
        <v>946</v>
      </c>
      <c r="T9" s="548">
        <f>+S9/K9</f>
        <v>0.37840000000000001</v>
      </c>
      <c r="U9" s="429"/>
      <c r="V9" s="573"/>
      <c r="W9" s="452"/>
      <c r="X9" s="173" t="s">
        <v>520</v>
      </c>
      <c r="Y9" s="184">
        <v>850</v>
      </c>
      <c r="Z9" s="184">
        <v>0</v>
      </c>
      <c r="AA9" s="177">
        <v>349</v>
      </c>
      <c r="AB9" s="177">
        <v>341</v>
      </c>
      <c r="AC9" s="83">
        <f>1225+26</f>
        <v>1251</v>
      </c>
      <c r="AD9" s="225">
        <v>1</v>
      </c>
      <c r="AE9" s="174" t="s">
        <v>734</v>
      </c>
      <c r="AF9" s="452"/>
      <c r="AG9" s="452"/>
      <c r="AH9" s="429"/>
      <c r="AI9" s="375"/>
      <c r="AJ9" s="375"/>
      <c r="AK9" s="375"/>
      <c r="AL9" s="375"/>
      <c r="AM9" s="375"/>
      <c r="AN9" s="446"/>
      <c r="AO9" s="429"/>
      <c r="AP9" s="429"/>
      <c r="AQ9" s="331"/>
      <c r="AR9" s="331"/>
      <c r="AS9" s="363"/>
      <c r="AT9" s="3"/>
      <c r="AU9" s="51"/>
      <c r="AV9" s="143" t="s">
        <v>955</v>
      </c>
      <c r="AW9" s="62">
        <v>7</v>
      </c>
      <c r="AX9" s="236" t="s">
        <v>819</v>
      </c>
    </row>
    <row r="10" spans="1:50" ht="32.5" customHeight="1" x14ac:dyDescent="0.35">
      <c r="A10" s="484"/>
      <c r="B10" s="484"/>
      <c r="C10" s="452"/>
      <c r="D10" s="452"/>
      <c r="E10" s="452"/>
      <c r="F10" s="479"/>
      <c r="G10" s="490"/>
      <c r="H10" s="431"/>
      <c r="I10" s="432"/>
      <c r="J10" s="580"/>
      <c r="K10" s="506"/>
      <c r="L10" s="506"/>
      <c r="M10" s="506"/>
      <c r="N10" s="448"/>
      <c r="O10" s="517"/>
      <c r="P10" s="526"/>
      <c r="Q10" s="526"/>
      <c r="R10" s="549"/>
      <c r="S10" s="526"/>
      <c r="T10" s="549"/>
      <c r="U10" s="429"/>
      <c r="V10" s="573"/>
      <c r="W10" s="452"/>
      <c r="X10" s="173" t="s">
        <v>292</v>
      </c>
      <c r="Y10" s="184">
        <v>1</v>
      </c>
      <c r="Z10" s="184">
        <v>0</v>
      </c>
      <c r="AA10" s="177">
        <v>2</v>
      </c>
      <c r="AB10" s="177">
        <v>0</v>
      </c>
      <c r="AC10" s="83">
        <v>0</v>
      </c>
      <c r="AD10" s="225">
        <v>1</v>
      </c>
      <c r="AE10" s="174" t="s">
        <v>734</v>
      </c>
      <c r="AF10" s="452"/>
      <c r="AG10" s="452"/>
      <c r="AH10" s="429"/>
      <c r="AI10" s="375"/>
      <c r="AJ10" s="375"/>
      <c r="AK10" s="375"/>
      <c r="AL10" s="375"/>
      <c r="AM10" s="375"/>
      <c r="AN10" s="446"/>
      <c r="AO10" s="429"/>
      <c r="AP10" s="429"/>
      <c r="AQ10" s="331"/>
      <c r="AR10" s="331"/>
      <c r="AS10" s="363"/>
      <c r="AT10" s="3"/>
      <c r="AU10" s="51"/>
      <c r="AV10" s="185" t="s">
        <v>956</v>
      </c>
      <c r="AW10" s="62">
        <v>8</v>
      </c>
      <c r="AX10" s="76"/>
    </row>
    <row r="11" spans="1:50" ht="100.5" customHeight="1" x14ac:dyDescent="0.35">
      <c r="A11" s="484"/>
      <c r="B11" s="484"/>
      <c r="C11" s="452"/>
      <c r="D11" s="452"/>
      <c r="E11" s="452"/>
      <c r="F11" s="479"/>
      <c r="G11" s="490"/>
      <c r="H11" s="173" t="s">
        <v>64</v>
      </c>
      <c r="I11" s="174" t="s">
        <v>29</v>
      </c>
      <c r="J11" s="330" t="s">
        <v>65</v>
      </c>
      <c r="K11" s="184">
        <v>1500</v>
      </c>
      <c r="L11" s="184">
        <v>483</v>
      </c>
      <c r="M11" s="184">
        <v>0</v>
      </c>
      <c r="N11" s="177">
        <v>35</v>
      </c>
      <c r="O11" s="177">
        <v>30</v>
      </c>
      <c r="P11" s="238">
        <v>33</v>
      </c>
      <c r="Q11" s="238">
        <f>+N11+P11+O11</f>
        <v>98</v>
      </c>
      <c r="R11" s="239">
        <f>+Q11/L11</f>
        <v>0.20289855072463769</v>
      </c>
      <c r="S11" s="238">
        <f>50+Q11</f>
        <v>148</v>
      </c>
      <c r="T11" s="239">
        <f>+S11/K11</f>
        <v>9.8666666666666666E-2</v>
      </c>
      <c r="U11" s="429"/>
      <c r="V11" s="573"/>
      <c r="W11" s="452"/>
      <c r="X11" s="173" t="s">
        <v>293</v>
      </c>
      <c r="Y11" s="184">
        <v>5</v>
      </c>
      <c r="Z11" s="184">
        <v>0</v>
      </c>
      <c r="AA11" s="177">
        <v>1</v>
      </c>
      <c r="AB11" s="177">
        <v>0</v>
      </c>
      <c r="AC11" s="83">
        <v>0</v>
      </c>
      <c r="AD11" s="225">
        <f t="shared" si="0"/>
        <v>0.2</v>
      </c>
      <c r="AE11" s="174" t="s">
        <v>734</v>
      </c>
      <c r="AF11" s="452"/>
      <c r="AG11" s="452"/>
      <c r="AH11" s="429"/>
      <c r="AI11" s="375"/>
      <c r="AJ11" s="375"/>
      <c r="AK11" s="375"/>
      <c r="AL11" s="375"/>
      <c r="AM11" s="375"/>
      <c r="AN11" s="446"/>
      <c r="AO11" s="429"/>
      <c r="AP11" s="429"/>
      <c r="AQ11" s="331"/>
      <c r="AR11" s="331"/>
      <c r="AS11" s="363"/>
      <c r="AT11" s="189" t="s">
        <v>670</v>
      </c>
      <c r="AU11" s="52"/>
      <c r="AV11" s="144" t="s">
        <v>963</v>
      </c>
      <c r="AW11" s="63">
        <v>9</v>
      </c>
      <c r="AX11" s="41"/>
    </row>
    <row r="12" spans="1:50" ht="51" customHeight="1" x14ac:dyDescent="0.35">
      <c r="A12" s="484"/>
      <c r="B12" s="484"/>
      <c r="C12" s="452"/>
      <c r="D12" s="452"/>
      <c r="E12" s="452"/>
      <c r="F12" s="479"/>
      <c r="G12" s="490"/>
      <c r="H12" s="458" t="s">
        <v>476</v>
      </c>
      <c r="I12" s="497">
        <v>0</v>
      </c>
      <c r="J12" s="574" t="s">
        <v>472</v>
      </c>
      <c r="K12" s="433">
        <v>4</v>
      </c>
      <c r="L12" s="428">
        <v>1</v>
      </c>
      <c r="M12" s="428">
        <v>0</v>
      </c>
      <c r="N12" s="576">
        <v>1</v>
      </c>
      <c r="O12" s="576">
        <v>1</v>
      </c>
      <c r="P12" s="578">
        <v>0</v>
      </c>
      <c r="Q12" s="578">
        <v>2</v>
      </c>
      <c r="R12" s="581">
        <v>1</v>
      </c>
      <c r="S12" s="578">
        <v>2</v>
      </c>
      <c r="T12" s="581">
        <v>0.5</v>
      </c>
      <c r="U12" s="429"/>
      <c r="V12" s="573"/>
      <c r="W12" s="452"/>
      <c r="X12" s="173" t="s">
        <v>525</v>
      </c>
      <c r="Y12" s="184">
        <v>1</v>
      </c>
      <c r="Z12" s="184">
        <v>0</v>
      </c>
      <c r="AA12" s="39">
        <v>1</v>
      </c>
      <c r="AB12" s="39">
        <v>1</v>
      </c>
      <c r="AC12" s="82">
        <v>0</v>
      </c>
      <c r="AD12" s="225">
        <v>1</v>
      </c>
      <c r="AE12" s="174" t="s">
        <v>734</v>
      </c>
      <c r="AF12" s="452"/>
      <c r="AG12" s="452"/>
      <c r="AH12" s="429"/>
      <c r="AI12" s="375"/>
      <c r="AJ12" s="375"/>
      <c r="AK12" s="375"/>
      <c r="AL12" s="375"/>
      <c r="AM12" s="375"/>
      <c r="AN12" s="446"/>
      <c r="AO12" s="429"/>
      <c r="AP12" s="429"/>
      <c r="AQ12" s="331"/>
      <c r="AR12" s="331"/>
      <c r="AS12" s="363"/>
      <c r="AT12" s="189" t="s">
        <v>964</v>
      </c>
      <c r="AU12" s="52"/>
      <c r="AV12" s="144" t="s">
        <v>957</v>
      </c>
      <c r="AW12" s="63">
        <v>10</v>
      </c>
      <c r="AX12" s="76"/>
    </row>
    <row r="13" spans="1:50" ht="46.5" customHeight="1" x14ac:dyDescent="0.35">
      <c r="A13" s="484"/>
      <c r="B13" s="484"/>
      <c r="C13" s="452"/>
      <c r="D13" s="452"/>
      <c r="E13" s="452"/>
      <c r="F13" s="479"/>
      <c r="G13" s="490"/>
      <c r="H13" s="459"/>
      <c r="I13" s="499"/>
      <c r="J13" s="575"/>
      <c r="K13" s="435"/>
      <c r="L13" s="430"/>
      <c r="M13" s="430"/>
      <c r="N13" s="577"/>
      <c r="O13" s="577"/>
      <c r="P13" s="579"/>
      <c r="Q13" s="579"/>
      <c r="R13" s="579"/>
      <c r="S13" s="579"/>
      <c r="T13" s="579"/>
      <c r="U13" s="429"/>
      <c r="V13" s="573"/>
      <c r="W13" s="452"/>
      <c r="X13" s="173" t="s">
        <v>527</v>
      </c>
      <c r="Y13" s="184">
        <v>25</v>
      </c>
      <c r="Z13" s="184">
        <v>0</v>
      </c>
      <c r="AA13" s="39">
        <v>20</v>
      </c>
      <c r="AB13" s="39">
        <v>88</v>
      </c>
      <c r="AC13" s="82">
        <v>35</v>
      </c>
      <c r="AD13" s="225"/>
      <c r="AE13" s="174" t="s">
        <v>734</v>
      </c>
      <c r="AF13" s="452"/>
      <c r="AG13" s="452"/>
      <c r="AH13" s="429"/>
      <c r="AI13" s="375"/>
      <c r="AJ13" s="375"/>
      <c r="AK13" s="375"/>
      <c r="AL13" s="375"/>
      <c r="AM13" s="375"/>
      <c r="AN13" s="446"/>
      <c r="AO13" s="429"/>
      <c r="AP13" s="429"/>
      <c r="AQ13" s="331"/>
      <c r="AR13" s="331"/>
      <c r="AS13" s="363"/>
      <c r="AT13" s="189" t="s">
        <v>671</v>
      </c>
      <c r="AU13" s="52"/>
      <c r="AV13" s="144" t="s">
        <v>958</v>
      </c>
      <c r="AW13" s="63">
        <v>11</v>
      </c>
      <c r="AX13" s="236" t="s">
        <v>820</v>
      </c>
    </row>
    <row r="14" spans="1:50" ht="94.5" customHeight="1" x14ac:dyDescent="0.35">
      <c r="A14" s="484"/>
      <c r="B14" s="484"/>
      <c r="C14" s="452"/>
      <c r="D14" s="452"/>
      <c r="E14" s="452"/>
      <c r="F14" s="479"/>
      <c r="G14" s="490"/>
      <c r="H14" s="173" t="s">
        <v>477</v>
      </c>
      <c r="I14" s="10">
        <v>522</v>
      </c>
      <c r="J14" s="330" t="s">
        <v>473</v>
      </c>
      <c r="K14" s="184">
        <v>800</v>
      </c>
      <c r="L14" s="180">
        <v>300</v>
      </c>
      <c r="M14" s="180">
        <v>0</v>
      </c>
      <c r="N14" s="39">
        <v>20</v>
      </c>
      <c r="O14" s="39">
        <v>88</v>
      </c>
      <c r="P14" s="234">
        <v>35</v>
      </c>
      <c r="Q14" s="234">
        <f>+N14+P14+O14</f>
        <v>143</v>
      </c>
      <c r="R14" s="240">
        <f>+Q14/L14</f>
        <v>0.47666666666666668</v>
      </c>
      <c r="S14" s="234">
        <f>+Q14</f>
        <v>143</v>
      </c>
      <c r="T14" s="240">
        <f>+S14/K14</f>
        <v>0.17874999999999999</v>
      </c>
      <c r="U14" s="429"/>
      <c r="V14" s="573"/>
      <c r="W14" s="452"/>
      <c r="X14" s="173" t="s">
        <v>528</v>
      </c>
      <c r="Y14" s="184">
        <v>3</v>
      </c>
      <c r="Z14" s="184">
        <v>0</v>
      </c>
      <c r="AA14" s="39">
        <v>0</v>
      </c>
      <c r="AB14" s="39">
        <v>0</v>
      </c>
      <c r="AC14" s="82">
        <v>0</v>
      </c>
      <c r="AD14" s="225">
        <f t="shared" si="0"/>
        <v>0</v>
      </c>
      <c r="AE14" s="174" t="s">
        <v>734</v>
      </c>
      <c r="AF14" s="452"/>
      <c r="AG14" s="452"/>
      <c r="AH14" s="429"/>
      <c r="AI14" s="375"/>
      <c r="AJ14" s="375"/>
      <c r="AK14" s="375"/>
      <c r="AL14" s="375"/>
      <c r="AM14" s="375"/>
      <c r="AN14" s="446"/>
      <c r="AO14" s="429"/>
      <c r="AP14" s="429"/>
      <c r="AQ14" s="331"/>
      <c r="AR14" s="331"/>
      <c r="AS14" s="363"/>
      <c r="AT14" s="3"/>
      <c r="AU14" s="51"/>
      <c r="AV14" s="144" t="s">
        <v>959</v>
      </c>
      <c r="AW14" s="62">
        <v>12</v>
      </c>
      <c r="AX14" s="41"/>
    </row>
    <row r="15" spans="1:50" ht="409.5" x14ac:dyDescent="0.35">
      <c r="A15" s="484"/>
      <c r="B15" s="484"/>
      <c r="C15" s="452"/>
      <c r="D15" s="452"/>
      <c r="E15" s="452"/>
      <c r="F15" s="479"/>
      <c r="G15" s="490"/>
      <c r="H15" s="173" t="s">
        <v>478</v>
      </c>
      <c r="I15" s="10" t="s">
        <v>29</v>
      </c>
      <c r="J15" s="330" t="s">
        <v>474</v>
      </c>
      <c r="K15" s="184">
        <v>100</v>
      </c>
      <c r="L15" s="180">
        <v>25</v>
      </c>
      <c r="M15" s="180">
        <v>0</v>
      </c>
      <c r="N15" s="39">
        <v>0</v>
      </c>
      <c r="O15" s="39">
        <v>0</v>
      </c>
      <c r="P15" s="234">
        <v>0</v>
      </c>
      <c r="Q15" s="234">
        <v>0</v>
      </c>
      <c r="R15" s="240">
        <v>0</v>
      </c>
      <c r="S15" s="234">
        <v>0</v>
      </c>
      <c r="T15" s="240">
        <v>0</v>
      </c>
      <c r="U15" s="429"/>
      <c r="V15" s="573"/>
      <c r="W15" s="452"/>
      <c r="X15" s="173" t="s">
        <v>529</v>
      </c>
      <c r="Y15" s="184">
        <v>1</v>
      </c>
      <c r="Z15" s="184">
        <v>0</v>
      </c>
      <c r="AA15" s="39">
        <v>0</v>
      </c>
      <c r="AB15" s="39">
        <v>0</v>
      </c>
      <c r="AC15" s="82">
        <v>0</v>
      </c>
      <c r="AD15" s="225">
        <f t="shared" si="0"/>
        <v>0</v>
      </c>
      <c r="AE15" s="174" t="s">
        <v>734</v>
      </c>
      <c r="AF15" s="452"/>
      <c r="AG15" s="452"/>
      <c r="AH15" s="429"/>
      <c r="AI15" s="375"/>
      <c r="AJ15" s="375"/>
      <c r="AK15" s="375"/>
      <c r="AL15" s="375"/>
      <c r="AM15" s="375"/>
      <c r="AN15" s="446"/>
      <c r="AO15" s="429"/>
      <c r="AP15" s="429"/>
      <c r="AQ15" s="331"/>
      <c r="AR15" s="331"/>
      <c r="AS15" s="363"/>
      <c r="AT15" s="3"/>
      <c r="AU15" s="51"/>
      <c r="AV15" s="144" t="s">
        <v>960</v>
      </c>
      <c r="AW15" s="62">
        <v>13</v>
      </c>
      <c r="AX15" s="237" t="s">
        <v>821</v>
      </c>
    </row>
    <row r="16" spans="1:50" ht="409.5" x14ac:dyDescent="0.35">
      <c r="A16" s="484"/>
      <c r="B16" s="484"/>
      <c r="C16" s="452"/>
      <c r="D16" s="452"/>
      <c r="E16" s="452"/>
      <c r="F16" s="480"/>
      <c r="G16" s="490"/>
      <c r="H16" s="173" t="s">
        <v>479</v>
      </c>
      <c r="I16" s="10">
        <v>0</v>
      </c>
      <c r="J16" s="330" t="s">
        <v>475</v>
      </c>
      <c r="K16" s="184">
        <v>1</v>
      </c>
      <c r="L16" s="180">
        <v>1</v>
      </c>
      <c r="M16" s="180">
        <v>0</v>
      </c>
      <c r="N16" s="39">
        <v>0</v>
      </c>
      <c r="O16" s="39">
        <v>0</v>
      </c>
      <c r="P16" s="234">
        <v>0</v>
      </c>
      <c r="Q16" s="234">
        <v>0</v>
      </c>
      <c r="R16" s="240">
        <v>0</v>
      </c>
      <c r="S16" s="234">
        <v>0</v>
      </c>
      <c r="T16" s="240">
        <v>0</v>
      </c>
      <c r="U16" s="429"/>
      <c r="V16" s="573"/>
      <c r="W16" s="453"/>
      <c r="X16" s="173" t="s">
        <v>530</v>
      </c>
      <c r="Y16" s="184">
        <v>1</v>
      </c>
      <c r="Z16" s="184">
        <v>0</v>
      </c>
      <c r="AA16" s="39">
        <v>0</v>
      </c>
      <c r="AB16" s="39">
        <v>0</v>
      </c>
      <c r="AC16" s="82">
        <v>0</v>
      </c>
      <c r="AD16" s="225">
        <f t="shared" si="0"/>
        <v>0</v>
      </c>
      <c r="AE16" s="174" t="s">
        <v>734</v>
      </c>
      <c r="AF16" s="453"/>
      <c r="AG16" s="453"/>
      <c r="AH16" s="430"/>
      <c r="AI16" s="376"/>
      <c r="AJ16" s="376"/>
      <c r="AK16" s="376"/>
      <c r="AL16" s="376"/>
      <c r="AM16" s="376"/>
      <c r="AN16" s="447"/>
      <c r="AO16" s="430"/>
      <c r="AP16" s="430"/>
      <c r="AQ16" s="332"/>
      <c r="AR16" s="332"/>
      <c r="AS16" s="364"/>
      <c r="AT16" s="3"/>
      <c r="AU16" s="51"/>
      <c r="AV16" s="144" t="s">
        <v>961</v>
      </c>
      <c r="AW16" s="62">
        <v>14</v>
      </c>
      <c r="AX16" s="237" t="s">
        <v>822</v>
      </c>
    </row>
    <row r="17" spans="1:51" s="21" customFormat="1" ht="37.5" x14ac:dyDescent="0.35">
      <c r="A17" s="12"/>
      <c r="B17" s="12"/>
      <c r="C17" s="13"/>
      <c r="D17" s="14"/>
      <c r="E17" s="13"/>
      <c r="F17" s="153"/>
      <c r="G17" s="569" t="s">
        <v>1072</v>
      </c>
      <c r="H17" s="570"/>
      <c r="I17" s="570"/>
      <c r="J17" s="570"/>
      <c r="K17" s="570"/>
      <c r="L17" s="570"/>
      <c r="M17" s="570"/>
      <c r="N17" s="570"/>
      <c r="O17" s="570"/>
      <c r="P17" s="571"/>
      <c r="Q17" s="241"/>
      <c r="R17" s="227">
        <f>AVERAGE(R3:R16)</f>
        <v>0.54432760299842464</v>
      </c>
      <c r="S17" s="227"/>
      <c r="T17" s="227">
        <f>AVERAGE(T3:T16)</f>
        <v>0.29335740740740746</v>
      </c>
      <c r="U17" s="17"/>
      <c r="V17" s="18"/>
      <c r="W17" s="13"/>
      <c r="X17" s="13"/>
      <c r="Y17" s="16"/>
      <c r="Z17" s="16"/>
      <c r="AA17" s="16"/>
      <c r="AB17" s="16"/>
      <c r="AC17" s="84"/>
      <c r="AD17" s="227">
        <f>AVERAGE(AD3:AD16)</f>
        <v>0.53620320855614978</v>
      </c>
      <c r="AE17" s="16"/>
      <c r="AF17" s="13"/>
      <c r="AG17" s="19"/>
      <c r="AH17" s="17"/>
      <c r="AI17" s="20"/>
      <c r="AJ17" s="20"/>
      <c r="AK17" s="20"/>
      <c r="AL17" s="20"/>
      <c r="AM17" s="20"/>
      <c r="AN17" s="33"/>
      <c r="AO17" s="17"/>
      <c r="AP17" s="18"/>
      <c r="AQ17" s="18"/>
      <c r="AR17" s="18"/>
      <c r="AS17" s="18"/>
      <c r="AT17" s="31"/>
      <c r="AU17" s="53"/>
      <c r="AV17" s="123"/>
      <c r="AW17" s="59"/>
      <c r="AX17" s="22"/>
    </row>
    <row r="18" spans="1:51" ht="81" customHeight="1" x14ac:dyDescent="0.35">
      <c r="A18" s="477" t="s">
        <v>47</v>
      </c>
      <c r="B18" s="477" t="s">
        <v>642</v>
      </c>
      <c r="C18" s="432" t="s">
        <v>49</v>
      </c>
      <c r="D18" s="432" t="s">
        <v>50</v>
      </c>
      <c r="E18" s="432" t="s">
        <v>51</v>
      </c>
      <c r="F18" s="478">
        <v>0</v>
      </c>
      <c r="G18" s="481" t="s">
        <v>66</v>
      </c>
      <c r="H18" s="431" t="s">
        <v>67</v>
      </c>
      <c r="I18" s="432" t="s">
        <v>68</v>
      </c>
      <c r="J18" s="431" t="s">
        <v>69</v>
      </c>
      <c r="K18" s="506">
        <v>1010</v>
      </c>
      <c r="L18" s="506">
        <v>300</v>
      </c>
      <c r="M18" s="506">
        <v>45</v>
      </c>
      <c r="N18" s="448">
        <f>44+123</f>
        <v>167</v>
      </c>
      <c r="O18" s="516"/>
      <c r="P18" s="524">
        <v>42</v>
      </c>
      <c r="Q18" s="524">
        <f>+M18+N18+P18</f>
        <v>254</v>
      </c>
      <c r="R18" s="548">
        <f>+Q18/L18</f>
        <v>0.84666666666666668</v>
      </c>
      <c r="S18" s="524">
        <f>127+Q18</f>
        <v>381</v>
      </c>
      <c r="T18" s="548">
        <f>+S18/K18</f>
        <v>0.37722772277227723</v>
      </c>
      <c r="U18" s="457" t="s">
        <v>294</v>
      </c>
      <c r="V18" s="450">
        <v>2020130010102</v>
      </c>
      <c r="W18" s="451" t="s">
        <v>295</v>
      </c>
      <c r="X18" s="173" t="s">
        <v>296</v>
      </c>
      <c r="Y18" s="184">
        <v>300</v>
      </c>
      <c r="Z18" s="184">
        <v>45</v>
      </c>
      <c r="AA18" s="177"/>
      <c r="AB18" s="177">
        <v>54</v>
      </c>
      <c r="AC18" s="83">
        <v>38</v>
      </c>
      <c r="AD18" s="228">
        <f>+(Z18+AA18+AB18+AC18)/Y18</f>
        <v>0.45666666666666667</v>
      </c>
      <c r="AE18" s="174" t="s">
        <v>734</v>
      </c>
      <c r="AF18" s="451" t="s">
        <v>644</v>
      </c>
      <c r="AG18" s="451" t="s">
        <v>434</v>
      </c>
      <c r="AH18" s="428" t="s">
        <v>433</v>
      </c>
      <c r="AI18" s="374">
        <v>99516733</v>
      </c>
      <c r="AJ18" s="374">
        <v>30000000</v>
      </c>
      <c r="AK18" s="374">
        <v>30000000</v>
      </c>
      <c r="AL18" s="374">
        <v>30000000</v>
      </c>
      <c r="AM18" s="374"/>
      <c r="AN18" s="445">
        <f>+AK18/AI18</f>
        <v>0.30145684143389234</v>
      </c>
      <c r="AO18" s="428" t="s">
        <v>576</v>
      </c>
      <c r="AP18" s="428" t="s">
        <v>435</v>
      </c>
      <c r="AQ18" s="352">
        <v>99516733</v>
      </c>
      <c r="AR18" s="352">
        <v>35000000</v>
      </c>
      <c r="AS18" s="365">
        <f>+AR18/AQ18</f>
        <v>0.35169964833954104</v>
      </c>
      <c r="AT18" s="3"/>
      <c r="AU18" s="51"/>
      <c r="AV18" s="90" t="s">
        <v>989</v>
      </c>
      <c r="AW18" s="64">
        <v>1</v>
      </c>
      <c r="AX18" s="236" t="s">
        <v>829</v>
      </c>
    </row>
    <row r="19" spans="1:51" ht="67.5" customHeight="1" x14ac:dyDescent="0.35">
      <c r="A19" s="477"/>
      <c r="B19" s="477"/>
      <c r="C19" s="432"/>
      <c r="D19" s="432"/>
      <c r="E19" s="432"/>
      <c r="F19" s="479"/>
      <c r="G19" s="481"/>
      <c r="H19" s="431"/>
      <c r="I19" s="432"/>
      <c r="J19" s="431"/>
      <c r="K19" s="506"/>
      <c r="L19" s="506"/>
      <c r="M19" s="506"/>
      <c r="N19" s="448"/>
      <c r="O19" s="517"/>
      <c r="P19" s="526"/>
      <c r="Q19" s="526"/>
      <c r="R19" s="549"/>
      <c r="S19" s="526"/>
      <c r="T19" s="549"/>
      <c r="U19" s="457"/>
      <c r="V19" s="450"/>
      <c r="W19" s="452"/>
      <c r="X19" s="173" t="s">
        <v>297</v>
      </c>
      <c r="Y19" s="184">
        <v>300</v>
      </c>
      <c r="Z19" s="184">
        <v>45</v>
      </c>
      <c r="AA19" s="177"/>
      <c r="AB19" s="177">
        <v>8</v>
      </c>
      <c r="AC19" s="83">
        <v>4</v>
      </c>
      <c r="AD19" s="228">
        <f>+(Z19+AA19+AB19+AC19)/Y19</f>
        <v>0.19</v>
      </c>
      <c r="AE19" s="174" t="s">
        <v>734</v>
      </c>
      <c r="AF19" s="452"/>
      <c r="AG19" s="452"/>
      <c r="AH19" s="429"/>
      <c r="AI19" s="375"/>
      <c r="AJ19" s="375"/>
      <c r="AK19" s="375"/>
      <c r="AL19" s="375"/>
      <c r="AM19" s="375"/>
      <c r="AN19" s="446"/>
      <c r="AO19" s="429"/>
      <c r="AP19" s="429"/>
      <c r="AQ19" s="331"/>
      <c r="AR19" s="331"/>
      <c r="AS19" s="366"/>
      <c r="AT19" s="3"/>
      <c r="AU19" s="51"/>
      <c r="AV19" s="89" t="s">
        <v>990</v>
      </c>
      <c r="AW19" s="64">
        <v>2</v>
      </c>
      <c r="AX19" s="236" t="s">
        <v>830</v>
      </c>
    </row>
    <row r="20" spans="1:51" ht="77.5" x14ac:dyDescent="0.35">
      <c r="A20" s="477"/>
      <c r="B20" s="477"/>
      <c r="C20" s="432"/>
      <c r="D20" s="432"/>
      <c r="E20" s="432"/>
      <c r="F20" s="479"/>
      <c r="G20" s="481"/>
      <c r="H20" s="431" t="s">
        <v>70</v>
      </c>
      <c r="I20" s="432" t="s">
        <v>71</v>
      </c>
      <c r="J20" s="431" t="s">
        <v>72</v>
      </c>
      <c r="K20" s="506">
        <v>600</v>
      </c>
      <c r="L20" s="506">
        <v>190</v>
      </c>
      <c r="M20" s="506">
        <v>32</v>
      </c>
      <c r="N20" s="448">
        <f>15+116</f>
        <v>131</v>
      </c>
      <c r="O20" s="516"/>
      <c r="P20" s="524">
        <v>0</v>
      </c>
      <c r="Q20" s="524">
        <f>+M20+N20+P20</f>
        <v>163</v>
      </c>
      <c r="R20" s="548">
        <f>+Q20/L20</f>
        <v>0.85789473684210527</v>
      </c>
      <c r="S20" s="524">
        <f>25+Q20</f>
        <v>188</v>
      </c>
      <c r="T20" s="548">
        <f>+S20/K20</f>
        <v>0.31333333333333335</v>
      </c>
      <c r="U20" s="457"/>
      <c r="V20" s="450"/>
      <c r="W20" s="452"/>
      <c r="X20" s="173" t="s">
        <v>298</v>
      </c>
      <c r="Y20" s="184">
        <v>30</v>
      </c>
      <c r="Z20" s="184">
        <v>3</v>
      </c>
      <c r="AA20" s="177"/>
      <c r="AB20" s="177">
        <v>0</v>
      </c>
      <c r="AC20" s="83">
        <v>0</v>
      </c>
      <c r="AD20" s="228">
        <f t="shared" ref="AD20:AD22" si="1">+(Z20+AA20+AB20+AC20)/Y20</f>
        <v>0.1</v>
      </c>
      <c r="AE20" s="174" t="s">
        <v>734</v>
      </c>
      <c r="AF20" s="452"/>
      <c r="AG20" s="452"/>
      <c r="AH20" s="429"/>
      <c r="AI20" s="375"/>
      <c r="AJ20" s="375"/>
      <c r="AK20" s="375"/>
      <c r="AL20" s="375"/>
      <c r="AM20" s="375"/>
      <c r="AN20" s="446"/>
      <c r="AO20" s="429"/>
      <c r="AP20" s="429"/>
      <c r="AQ20" s="331"/>
      <c r="AR20" s="331"/>
      <c r="AS20" s="366"/>
      <c r="AT20" s="3"/>
      <c r="AU20" s="51"/>
      <c r="AV20" s="89" t="s">
        <v>991</v>
      </c>
      <c r="AW20" s="64">
        <v>3</v>
      </c>
      <c r="AX20" s="236"/>
    </row>
    <row r="21" spans="1:51" ht="96.65" customHeight="1" x14ac:dyDescent="0.35">
      <c r="A21" s="477"/>
      <c r="B21" s="477"/>
      <c r="C21" s="432"/>
      <c r="D21" s="432"/>
      <c r="E21" s="432"/>
      <c r="F21" s="479"/>
      <c r="G21" s="481"/>
      <c r="H21" s="431"/>
      <c r="I21" s="432"/>
      <c r="J21" s="431"/>
      <c r="K21" s="506"/>
      <c r="L21" s="506"/>
      <c r="M21" s="506"/>
      <c r="N21" s="448"/>
      <c r="O21" s="517"/>
      <c r="P21" s="526"/>
      <c r="Q21" s="526"/>
      <c r="R21" s="549"/>
      <c r="S21" s="526"/>
      <c r="T21" s="549"/>
      <c r="U21" s="457"/>
      <c r="V21" s="450"/>
      <c r="W21" s="452"/>
      <c r="X21" s="173" t="s">
        <v>299</v>
      </c>
      <c r="Y21" s="184">
        <v>1</v>
      </c>
      <c r="Z21" s="184">
        <v>0</v>
      </c>
      <c r="AA21" s="177"/>
      <c r="AB21" s="177">
        <v>0</v>
      </c>
      <c r="AC21" s="83">
        <v>0</v>
      </c>
      <c r="AD21" s="228">
        <f t="shared" si="1"/>
        <v>0</v>
      </c>
      <c r="AE21" s="174" t="s">
        <v>734</v>
      </c>
      <c r="AF21" s="452"/>
      <c r="AG21" s="452"/>
      <c r="AH21" s="429"/>
      <c r="AI21" s="375"/>
      <c r="AJ21" s="375"/>
      <c r="AK21" s="375"/>
      <c r="AL21" s="375"/>
      <c r="AM21" s="375"/>
      <c r="AN21" s="446"/>
      <c r="AO21" s="429"/>
      <c r="AP21" s="429"/>
      <c r="AQ21" s="331"/>
      <c r="AR21" s="331"/>
      <c r="AS21" s="366"/>
      <c r="AT21" s="173" t="s">
        <v>607</v>
      </c>
      <c r="AU21" s="54"/>
      <c r="AV21" s="91" t="s">
        <v>992</v>
      </c>
      <c r="AW21" s="65">
        <v>4</v>
      </c>
      <c r="AX21" s="242" t="s">
        <v>995</v>
      </c>
    </row>
    <row r="22" spans="1:51" ht="170.5" x14ac:dyDescent="0.35">
      <c r="A22" s="477"/>
      <c r="B22" s="477"/>
      <c r="C22" s="432"/>
      <c r="D22" s="432"/>
      <c r="E22" s="432"/>
      <c r="F22" s="479"/>
      <c r="G22" s="481"/>
      <c r="H22" s="431" t="s">
        <v>73</v>
      </c>
      <c r="I22" s="432" t="s">
        <v>74</v>
      </c>
      <c r="J22" s="431" t="s">
        <v>75</v>
      </c>
      <c r="K22" s="506">
        <v>100</v>
      </c>
      <c r="L22" s="506">
        <v>30</v>
      </c>
      <c r="M22" s="506">
        <v>0</v>
      </c>
      <c r="N22" s="448">
        <v>30</v>
      </c>
      <c r="O22" s="516"/>
      <c r="P22" s="524">
        <v>25</v>
      </c>
      <c r="Q22" s="524">
        <f>+M22+N22+P22</f>
        <v>55</v>
      </c>
      <c r="R22" s="548">
        <v>1</v>
      </c>
      <c r="S22" s="524">
        <f>5+Q22</f>
        <v>60</v>
      </c>
      <c r="T22" s="548">
        <f>+S22/K22</f>
        <v>0.6</v>
      </c>
      <c r="U22" s="457"/>
      <c r="V22" s="450"/>
      <c r="W22" s="452"/>
      <c r="X22" s="173" t="s">
        <v>300</v>
      </c>
      <c r="Y22" s="184">
        <v>30</v>
      </c>
      <c r="Z22" s="184">
        <v>0</v>
      </c>
      <c r="AA22" s="177"/>
      <c r="AB22" s="177">
        <v>0</v>
      </c>
      <c r="AC22" s="83">
        <v>25</v>
      </c>
      <c r="AD22" s="228">
        <f t="shared" si="1"/>
        <v>0.83333333333333337</v>
      </c>
      <c r="AE22" s="174" t="s">
        <v>734</v>
      </c>
      <c r="AF22" s="452"/>
      <c r="AG22" s="452"/>
      <c r="AH22" s="429"/>
      <c r="AI22" s="375"/>
      <c r="AJ22" s="375"/>
      <c r="AK22" s="375"/>
      <c r="AL22" s="375"/>
      <c r="AM22" s="375"/>
      <c r="AN22" s="446"/>
      <c r="AO22" s="429"/>
      <c r="AP22" s="429"/>
      <c r="AQ22" s="331"/>
      <c r="AR22" s="331"/>
      <c r="AS22" s="366"/>
      <c r="AT22" s="3"/>
      <c r="AU22" s="51"/>
      <c r="AV22" s="91" t="s">
        <v>993</v>
      </c>
      <c r="AW22" s="64">
        <v>5</v>
      </c>
      <c r="AX22" s="236" t="s">
        <v>996</v>
      </c>
    </row>
    <row r="23" spans="1:51" ht="62" x14ac:dyDescent="0.35">
      <c r="A23" s="477"/>
      <c r="B23" s="477"/>
      <c r="C23" s="432"/>
      <c r="D23" s="432"/>
      <c r="E23" s="432"/>
      <c r="F23" s="480"/>
      <c r="G23" s="481"/>
      <c r="H23" s="431"/>
      <c r="I23" s="432"/>
      <c r="J23" s="431"/>
      <c r="K23" s="506"/>
      <c r="L23" s="506"/>
      <c r="M23" s="506"/>
      <c r="N23" s="448"/>
      <c r="O23" s="517"/>
      <c r="P23" s="526"/>
      <c r="Q23" s="526"/>
      <c r="R23" s="549"/>
      <c r="S23" s="526"/>
      <c r="T23" s="549"/>
      <c r="U23" s="457"/>
      <c r="V23" s="450"/>
      <c r="W23" s="453"/>
      <c r="X23" s="173" t="s">
        <v>301</v>
      </c>
      <c r="Y23" s="184">
        <v>30</v>
      </c>
      <c r="Z23" s="184">
        <v>0</v>
      </c>
      <c r="AA23" s="177"/>
      <c r="AB23" s="177">
        <v>0</v>
      </c>
      <c r="AC23" s="83">
        <v>0</v>
      </c>
      <c r="AD23" s="228">
        <f>+(Z23+AA23+AB23+AC23)/Y23</f>
        <v>0</v>
      </c>
      <c r="AE23" s="174" t="s">
        <v>734</v>
      </c>
      <c r="AF23" s="453"/>
      <c r="AG23" s="453"/>
      <c r="AH23" s="430"/>
      <c r="AI23" s="376"/>
      <c r="AJ23" s="376"/>
      <c r="AK23" s="376"/>
      <c r="AL23" s="376"/>
      <c r="AM23" s="376"/>
      <c r="AN23" s="447"/>
      <c r="AO23" s="430"/>
      <c r="AP23" s="430"/>
      <c r="AQ23" s="332"/>
      <c r="AR23" s="332"/>
      <c r="AS23" s="367"/>
      <c r="AT23" s="3"/>
      <c r="AU23" s="51"/>
      <c r="AV23" s="89" t="s">
        <v>994</v>
      </c>
      <c r="AW23" s="64">
        <v>6</v>
      </c>
      <c r="AX23" s="76"/>
    </row>
    <row r="24" spans="1:51" s="21" customFormat="1" ht="42.75" customHeight="1" x14ac:dyDescent="0.35">
      <c r="A24" s="12"/>
      <c r="B24" s="12"/>
      <c r="C24" s="13"/>
      <c r="D24" s="14"/>
      <c r="E24" s="13"/>
      <c r="F24" s="153"/>
      <c r="G24" s="493" t="s">
        <v>1073</v>
      </c>
      <c r="H24" s="494"/>
      <c r="I24" s="494"/>
      <c r="J24" s="494"/>
      <c r="K24" s="494"/>
      <c r="L24" s="494"/>
      <c r="M24" s="494"/>
      <c r="N24" s="494"/>
      <c r="O24" s="494"/>
      <c r="P24" s="495"/>
      <c r="Q24" s="241"/>
      <c r="R24" s="243">
        <f>AVERAGE(R18:R23)</f>
        <v>0.90152046783625739</v>
      </c>
      <c r="S24" s="243"/>
      <c r="T24" s="243">
        <f>AVERAGE(T18:T23)</f>
        <v>0.43018701870187021</v>
      </c>
      <c r="U24" s="17"/>
      <c r="V24" s="18"/>
      <c r="W24" s="13"/>
      <c r="X24" s="13"/>
      <c r="Y24" s="16"/>
      <c r="Z24" s="16"/>
      <c r="AA24" s="16"/>
      <c r="AB24" s="16"/>
      <c r="AC24" s="84"/>
      <c r="AD24" s="227">
        <f>AVERAGE(AD18:AD23)</f>
        <v>0.26333333333333336</v>
      </c>
      <c r="AE24" s="16"/>
      <c r="AF24" s="13"/>
      <c r="AG24" s="19"/>
      <c r="AH24" s="17"/>
      <c r="AI24" s="20"/>
      <c r="AJ24" s="20"/>
      <c r="AK24" s="20"/>
      <c r="AL24" s="20"/>
      <c r="AM24" s="20"/>
      <c r="AN24" s="33"/>
      <c r="AO24" s="17"/>
      <c r="AP24" s="18"/>
      <c r="AQ24" s="18"/>
      <c r="AR24" s="18"/>
      <c r="AS24" s="18"/>
      <c r="AT24" s="31"/>
      <c r="AU24" s="53"/>
      <c r="AV24" s="123"/>
      <c r="AW24" s="59"/>
      <c r="AX24" s="22"/>
    </row>
    <row r="25" spans="1:51" ht="93" customHeight="1" x14ac:dyDescent="0.35">
      <c r="A25" s="477" t="s">
        <v>47</v>
      </c>
      <c r="B25" s="477" t="s">
        <v>48</v>
      </c>
      <c r="C25" s="432" t="s">
        <v>76</v>
      </c>
      <c r="D25" s="432" t="s">
        <v>77</v>
      </c>
      <c r="E25" s="432" t="s">
        <v>78</v>
      </c>
      <c r="F25" s="486" t="s">
        <v>812</v>
      </c>
      <c r="G25" s="481" t="s">
        <v>79</v>
      </c>
      <c r="H25" s="431" t="s">
        <v>80</v>
      </c>
      <c r="I25" s="568" t="s">
        <v>81</v>
      </c>
      <c r="J25" s="431" t="s">
        <v>82</v>
      </c>
      <c r="K25" s="506">
        <v>800</v>
      </c>
      <c r="L25" s="506">
        <v>250</v>
      </c>
      <c r="M25" s="506">
        <v>0</v>
      </c>
      <c r="N25" s="448">
        <v>0</v>
      </c>
      <c r="O25" s="516">
        <v>0</v>
      </c>
      <c r="P25" s="524">
        <v>15</v>
      </c>
      <c r="Q25" s="524">
        <f>+P25</f>
        <v>15</v>
      </c>
      <c r="R25" s="548">
        <f>+Q25/L25</f>
        <v>0.06</v>
      </c>
      <c r="S25" s="524">
        <f>20+Q25</f>
        <v>35</v>
      </c>
      <c r="T25" s="548">
        <f>+S25/800</f>
        <v>4.3749999999999997E-2</v>
      </c>
      <c r="U25" s="457" t="s">
        <v>302</v>
      </c>
      <c r="V25" s="450">
        <v>2020130010101</v>
      </c>
      <c r="W25" s="451" t="s">
        <v>303</v>
      </c>
      <c r="X25" s="173" t="s">
        <v>304</v>
      </c>
      <c r="Y25" s="184">
        <v>250</v>
      </c>
      <c r="Z25" s="184">
        <v>0</v>
      </c>
      <c r="AA25" s="177">
        <v>0</v>
      </c>
      <c r="AB25" s="177">
        <v>0</v>
      </c>
      <c r="AC25" s="83">
        <v>1029</v>
      </c>
      <c r="AD25" s="228">
        <v>1</v>
      </c>
      <c r="AE25" s="174" t="s">
        <v>734</v>
      </c>
      <c r="AF25" s="451" t="s">
        <v>645</v>
      </c>
      <c r="AG25" s="451" t="s">
        <v>646</v>
      </c>
      <c r="AH25" s="428" t="s">
        <v>433</v>
      </c>
      <c r="AI25" s="374">
        <v>73051562</v>
      </c>
      <c r="AJ25" s="374">
        <v>0</v>
      </c>
      <c r="AK25" s="374">
        <v>0</v>
      </c>
      <c r="AL25" s="374"/>
      <c r="AM25" s="374"/>
      <c r="AN25" s="445">
        <f>+AK25/AI25</f>
        <v>0</v>
      </c>
      <c r="AO25" s="374" t="s">
        <v>577</v>
      </c>
      <c r="AP25" s="374" t="s">
        <v>578</v>
      </c>
      <c r="AQ25" s="352">
        <v>73051562</v>
      </c>
      <c r="AR25" s="352">
        <v>73000000</v>
      </c>
      <c r="AS25" s="365">
        <f>+AR25/AQ25</f>
        <v>0.999294169781065</v>
      </c>
      <c r="AT25" s="189" t="s">
        <v>629</v>
      </c>
      <c r="AU25" s="119" t="s">
        <v>750</v>
      </c>
      <c r="AV25" s="139" t="s">
        <v>1045</v>
      </c>
      <c r="AW25" s="244">
        <v>1</v>
      </c>
      <c r="AX25" s="245" t="s">
        <v>854</v>
      </c>
    </row>
    <row r="26" spans="1:51" ht="76.5" customHeight="1" x14ac:dyDescent="0.35">
      <c r="A26" s="477"/>
      <c r="B26" s="477"/>
      <c r="C26" s="432"/>
      <c r="D26" s="432"/>
      <c r="E26" s="432"/>
      <c r="F26" s="487"/>
      <c r="G26" s="481"/>
      <c r="H26" s="431"/>
      <c r="I26" s="568"/>
      <c r="J26" s="431"/>
      <c r="K26" s="506"/>
      <c r="L26" s="506"/>
      <c r="M26" s="506"/>
      <c r="N26" s="448"/>
      <c r="O26" s="530"/>
      <c r="P26" s="525"/>
      <c r="Q26" s="525"/>
      <c r="R26" s="555"/>
      <c r="S26" s="525"/>
      <c r="T26" s="555"/>
      <c r="U26" s="457"/>
      <c r="V26" s="450"/>
      <c r="W26" s="452"/>
      <c r="X26" s="173" t="s">
        <v>305</v>
      </c>
      <c r="Y26" s="184">
        <v>30</v>
      </c>
      <c r="Z26" s="184">
        <v>0</v>
      </c>
      <c r="AA26" s="177">
        <v>0</v>
      </c>
      <c r="AB26" s="177">
        <v>0</v>
      </c>
      <c r="AC26" s="83">
        <v>0</v>
      </c>
      <c r="AD26" s="228">
        <f t="shared" ref="AD26:AD30" si="2">+(Z26+AA26+AB26+AC26)/Y26</f>
        <v>0</v>
      </c>
      <c r="AE26" s="174" t="s">
        <v>734</v>
      </c>
      <c r="AF26" s="452"/>
      <c r="AG26" s="452"/>
      <c r="AH26" s="429"/>
      <c r="AI26" s="375"/>
      <c r="AJ26" s="375"/>
      <c r="AK26" s="375"/>
      <c r="AL26" s="375"/>
      <c r="AM26" s="375"/>
      <c r="AN26" s="446"/>
      <c r="AO26" s="375"/>
      <c r="AP26" s="375"/>
      <c r="AQ26" s="331"/>
      <c r="AR26" s="331"/>
      <c r="AS26" s="366"/>
      <c r="AT26" s="189" t="s">
        <v>629</v>
      </c>
      <c r="AU26" s="119" t="s">
        <v>750</v>
      </c>
      <c r="AV26" s="139"/>
      <c r="AW26" s="244">
        <v>2</v>
      </c>
      <c r="AX26" s="246"/>
    </row>
    <row r="27" spans="1:51" ht="201.5" x14ac:dyDescent="0.35">
      <c r="A27" s="477"/>
      <c r="B27" s="477"/>
      <c r="C27" s="432"/>
      <c r="D27" s="432"/>
      <c r="E27" s="432"/>
      <c r="F27" s="487"/>
      <c r="G27" s="481"/>
      <c r="H27" s="431"/>
      <c r="I27" s="568"/>
      <c r="J27" s="431"/>
      <c r="K27" s="506"/>
      <c r="L27" s="506"/>
      <c r="M27" s="506"/>
      <c r="N27" s="448"/>
      <c r="O27" s="517"/>
      <c r="P27" s="526"/>
      <c r="Q27" s="526"/>
      <c r="R27" s="549"/>
      <c r="S27" s="526"/>
      <c r="T27" s="549"/>
      <c r="U27" s="457"/>
      <c r="V27" s="450"/>
      <c r="W27" s="452"/>
      <c r="X27" s="173" t="s">
        <v>306</v>
      </c>
      <c r="Y27" s="184">
        <v>50</v>
      </c>
      <c r="Z27" s="184">
        <v>0</v>
      </c>
      <c r="AA27" s="177">
        <v>0</v>
      </c>
      <c r="AB27" s="177">
        <v>0</v>
      </c>
      <c r="AC27" s="83">
        <v>15</v>
      </c>
      <c r="AD27" s="228">
        <f t="shared" si="2"/>
        <v>0.3</v>
      </c>
      <c r="AE27" s="174" t="s">
        <v>734</v>
      </c>
      <c r="AF27" s="452"/>
      <c r="AG27" s="452"/>
      <c r="AH27" s="429"/>
      <c r="AI27" s="375"/>
      <c r="AJ27" s="375"/>
      <c r="AK27" s="375"/>
      <c r="AL27" s="375"/>
      <c r="AM27" s="375"/>
      <c r="AN27" s="446"/>
      <c r="AO27" s="375"/>
      <c r="AP27" s="375"/>
      <c r="AQ27" s="331"/>
      <c r="AR27" s="331"/>
      <c r="AS27" s="366"/>
      <c r="AT27" s="189" t="s">
        <v>629</v>
      </c>
      <c r="AU27" s="119" t="s">
        <v>750</v>
      </c>
      <c r="AV27" s="247" t="s">
        <v>1046</v>
      </c>
      <c r="AW27" s="244">
        <v>3</v>
      </c>
      <c r="AX27" s="245" t="s">
        <v>1054</v>
      </c>
      <c r="AY27" s="158"/>
    </row>
    <row r="28" spans="1:51" ht="186" x14ac:dyDescent="0.35">
      <c r="A28" s="477"/>
      <c r="B28" s="477"/>
      <c r="C28" s="432"/>
      <c r="D28" s="432"/>
      <c r="E28" s="432"/>
      <c r="F28" s="487"/>
      <c r="G28" s="481"/>
      <c r="H28" s="431" t="s">
        <v>83</v>
      </c>
      <c r="I28" s="432" t="s">
        <v>84</v>
      </c>
      <c r="J28" s="431" t="s">
        <v>85</v>
      </c>
      <c r="K28" s="506">
        <v>500</v>
      </c>
      <c r="L28" s="506">
        <v>150</v>
      </c>
      <c r="M28" s="506">
        <v>0</v>
      </c>
      <c r="N28" s="448">
        <v>10</v>
      </c>
      <c r="O28" s="516">
        <v>0</v>
      </c>
      <c r="P28" s="524">
        <v>80</v>
      </c>
      <c r="Q28" s="524">
        <f>+N28+P28</f>
        <v>90</v>
      </c>
      <c r="R28" s="548">
        <f>+Q28/L28</f>
        <v>0.6</v>
      </c>
      <c r="S28" s="524">
        <f>10+P28+10</f>
        <v>100</v>
      </c>
      <c r="T28" s="548">
        <f>+S28/K28</f>
        <v>0.2</v>
      </c>
      <c r="U28" s="457"/>
      <c r="V28" s="450"/>
      <c r="W28" s="452"/>
      <c r="X28" s="173" t="s">
        <v>307</v>
      </c>
      <c r="Y28" s="184">
        <v>10</v>
      </c>
      <c r="Z28" s="184">
        <v>0</v>
      </c>
      <c r="AA28" s="177">
        <v>10</v>
      </c>
      <c r="AB28" s="177">
        <v>0</v>
      </c>
      <c r="AC28" s="83">
        <v>90</v>
      </c>
      <c r="AD28" s="228">
        <v>1</v>
      </c>
      <c r="AE28" s="174" t="s">
        <v>734</v>
      </c>
      <c r="AF28" s="452"/>
      <c r="AG28" s="452"/>
      <c r="AH28" s="429"/>
      <c r="AI28" s="375"/>
      <c r="AJ28" s="375"/>
      <c r="AK28" s="375"/>
      <c r="AL28" s="375"/>
      <c r="AM28" s="375"/>
      <c r="AN28" s="446"/>
      <c r="AO28" s="375"/>
      <c r="AP28" s="375"/>
      <c r="AQ28" s="331"/>
      <c r="AR28" s="331"/>
      <c r="AS28" s="366"/>
      <c r="AT28" s="46" t="s">
        <v>728</v>
      </c>
      <c r="AU28" s="119" t="s">
        <v>751</v>
      </c>
      <c r="AV28" s="139" t="s">
        <v>1047</v>
      </c>
      <c r="AW28" s="244">
        <v>4</v>
      </c>
      <c r="AX28" s="245" t="s">
        <v>855</v>
      </c>
    </row>
    <row r="29" spans="1:51" ht="124" x14ac:dyDescent="0.35">
      <c r="A29" s="477"/>
      <c r="B29" s="477"/>
      <c r="C29" s="432"/>
      <c r="D29" s="432"/>
      <c r="E29" s="432"/>
      <c r="F29" s="487"/>
      <c r="G29" s="481"/>
      <c r="H29" s="431"/>
      <c r="I29" s="432"/>
      <c r="J29" s="431"/>
      <c r="K29" s="506"/>
      <c r="L29" s="506"/>
      <c r="M29" s="506"/>
      <c r="N29" s="448"/>
      <c r="O29" s="517"/>
      <c r="P29" s="526"/>
      <c r="Q29" s="526"/>
      <c r="R29" s="549"/>
      <c r="S29" s="526"/>
      <c r="T29" s="549"/>
      <c r="U29" s="457"/>
      <c r="V29" s="450"/>
      <c r="W29" s="452"/>
      <c r="X29" s="173" t="s">
        <v>308</v>
      </c>
      <c r="Y29" s="184">
        <v>10</v>
      </c>
      <c r="Z29" s="184">
        <v>0</v>
      </c>
      <c r="AA29" s="177">
        <v>10</v>
      </c>
      <c r="AB29" s="177">
        <v>0</v>
      </c>
      <c r="AC29" s="83">
        <v>80</v>
      </c>
      <c r="AD29" s="228">
        <v>1</v>
      </c>
      <c r="AE29" s="174" t="s">
        <v>734</v>
      </c>
      <c r="AF29" s="452"/>
      <c r="AG29" s="452"/>
      <c r="AH29" s="429"/>
      <c r="AI29" s="375"/>
      <c r="AJ29" s="375"/>
      <c r="AK29" s="375"/>
      <c r="AL29" s="375"/>
      <c r="AM29" s="375"/>
      <c r="AN29" s="446"/>
      <c r="AO29" s="375"/>
      <c r="AP29" s="375"/>
      <c r="AQ29" s="331"/>
      <c r="AR29" s="331"/>
      <c r="AS29" s="366"/>
      <c r="AT29" s="46" t="s">
        <v>729</v>
      </c>
      <c r="AU29" s="119" t="s">
        <v>751</v>
      </c>
      <c r="AV29" s="139" t="s">
        <v>1064</v>
      </c>
      <c r="AW29" s="244">
        <v>5</v>
      </c>
      <c r="AX29" s="245" t="s">
        <v>1058</v>
      </c>
    </row>
    <row r="30" spans="1:51" ht="80.25" customHeight="1" x14ac:dyDescent="0.35">
      <c r="A30" s="477"/>
      <c r="B30" s="477"/>
      <c r="C30" s="432"/>
      <c r="D30" s="432"/>
      <c r="E30" s="432"/>
      <c r="F30" s="487"/>
      <c r="G30" s="481"/>
      <c r="H30" s="431" t="s">
        <v>86</v>
      </c>
      <c r="I30" s="432" t="s">
        <v>87</v>
      </c>
      <c r="J30" s="431" t="s">
        <v>88</v>
      </c>
      <c r="K30" s="506">
        <v>2200</v>
      </c>
      <c r="L30" s="506">
        <v>500</v>
      </c>
      <c r="M30" s="506">
        <v>0</v>
      </c>
      <c r="N30" s="448">
        <v>21</v>
      </c>
      <c r="O30" s="516">
        <v>109</v>
      </c>
      <c r="P30" s="524">
        <v>100</v>
      </c>
      <c r="Q30" s="524">
        <f>+M30+P30+O30+N30</f>
        <v>230</v>
      </c>
      <c r="R30" s="548">
        <f>+Q30/L30</f>
        <v>0.46</v>
      </c>
      <c r="S30" s="524">
        <f>100+Q30</f>
        <v>330</v>
      </c>
      <c r="T30" s="548">
        <f>+S30/K30</f>
        <v>0.15</v>
      </c>
      <c r="U30" s="457"/>
      <c r="V30" s="450"/>
      <c r="W30" s="452"/>
      <c r="X30" s="173" t="s">
        <v>309</v>
      </c>
      <c r="Y30" s="184">
        <v>500</v>
      </c>
      <c r="Z30" s="184">
        <v>0</v>
      </c>
      <c r="AA30" s="177">
        <v>21</v>
      </c>
      <c r="AB30" s="177">
        <v>0</v>
      </c>
      <c r="AC30" s="83">
        <v>100</v>
      </c>
      <c r="AD30" s="228">
        <f t="shared" si="2"/>
        <v>0.24199999999999999</v>
      </c>
      <c r="AE30" s="174" t="s">
        <v>734</v>
      </c>
      <c r="AF30" s="452"/>
      <c r="AG30" s="452"/>
      <c r="AH30" s="429"/>
      <c r="AI30" s="375"/>
      <c r="AJ30" s="375"/>
      <c r="AK30" s="375"/>
      <c r="AL30" s="375"/>
      <c r="AM30" s="375"/>
      <c r="AN30" s="446"/>
      <c r="AO30" s="375"/>
      <c r="AP30" s="375"/>
      <c r="AQ30" s="331"/>
      <c r="AR30" s="331"/>
      <c r="AS30" s="366"/>
      <c r="AT30" s="189" t="s">
        <v>730</v>
      </c>
      <c r="AU30" s="119" t="s">
        <v>751</v>
      </c>
      <c r="AV30" s="139" t="s">
        <v>1048</v>
      </c>
      <c r="AW30" s="248">
        <v>6</v>
      </c>
      <c r="AX30" s="245" t="s">
        <v>856</v>
      </c>
    </row>
    <row r="31" spans="1:51" ht="409.5" x14ac:dyDescent="0.35">
      <c r="A31" s="477"/>
      <c r="B31" s="477"/>
      <c r="C31" s="432"/>
      <c r="D31" s="432"/>
      <c r="E31" s="432"/>
      <c r="F31" s="488"/>
      <c r="G31" s="481"/>
      <c r="H31" s="431"/>
      <c r="I31" s="432"/>
      <c r="J31" s="431"/>
      <c r="K31" s="506"/>
      <c r="L31" s="506"/>
      <c r="M31" s="506"/>
      <c r="N31" s="448"/>
      <c r="O31" s="517"/>
      <c r="P31" s="526"/>
      <c r="Q31" s="526"/>
      <c r="R31" s="549"/>
      <c r="S31" s="526"/>
      <c r="T31" s="549"/>
      <c r="U31" s="457"/>
      <c r="V31" s="450"/>
      <c r="W31" s="453"/>
      <c r="X31" s="173" t="s">
        <v>521</v>
      </c>
      <c r="Y31" s="184">
        <v>5</v>
      </c>
      <c r="Z31" s="184">
        <v>0</v>
      </c>
      <c r="AA31" s="177">
        <v>0</v>
      </c>
      <c r="AB31" s="177">
        <v>3</v>
      </c>
      <c r="AC31" s="83">
        <v>27</v>
      </c>
      <c r="AD31" s="228">
        <v>1</v>
      </c>
      <c r="AE31" s="174" t="s">
        <v>734</v>
      </c>
      <c r="AF31" s="453"/>
      <c r="AG31" s="453"/>
      <c r="AH31" s="430"/>
      <c r="AI31" s="376"/>
      <c r="AJ31" s="376"/>
      <c r="AK31" s="376"/>
      <c r="AL31" s="376"/>
      <c r="AM31" s="376"/>
      <c r="AN31" s="447"/>
      <c r="AO31" s="376"/>
      <c r="AP31" s="376"/>
      <c r="AQ31" s="332"/>
      <c r="AR31" s="332"/>
      <c r="AS31" s="367"/>
      <c r="AT31" s="189" t="s">
        <v>629</v>
      </c>
      <c r="AU31" s="119"/>
      <c r="AV31" s="139" t="s">
        <v>1049</v>
      </c>
      <c r="AW31" s="244">
        <v>7</v>
      </c>
      <c r="AX31" s="245" t="s">
        <v>857</v>
      </c>
    </row>
    <row r="32" spans="1:51" s="21" customFormat="1" ht="68.25" customHeight="1" x14ac:dyDescent="0.35">
      <c r="A32" s="12"/>
      <c r="B32" s="12"/>
      <c r="C32" s="13"/>
      <c r="D32" s="14"/>
      <c r="E32" s="13"/>
      <c r="F32" s="153"/>
      <c r="G32" s="493" t="s">
        <v>1103</v>
      </c>
      <c r="H32" s="494"/>
      <c r="I32" s="494"/>
      <c r="J32" s="494"/>
      <c r="K32" s="494"/>
      <c r="L32" s="494"/>
      <c r="M32" s="494"/>
      <c r="N32" s="494"/>
      <c r="O32" s="495"/>
      <c r="P32" s="241"/>
      <c r="Q32" s="241"/>
      <c r="R32" s="243">
        <f>AVERAGE(R25:R31)</f>
        <v>0.37333333333333329</v>
      </c>
      <c r="S32" s="243"/>
      <c r="T32" s="243">
        <f>AVERAGE(T25:T31)</f>
        <v>0.13125000000000001</v>
      </c>
      <c r="U32" s="17"/>
      <c r="V32" s="18"/>
      <c r="W32" s="13"/>
      <c r="X32" s="13"/>
      <c r="Y32" s="16"/>
      <c r="Z32" s="16"/>
      <c r="AA32" s="16"/>
      <c r="AB32" s="16"/>
      <c r="AC32" s="84"/>
      <c r="AD32" s="229">
        <f>AVERAGE(AD25:AD31)</f>
        <v>0.6488571428571428</v>
      </c>
      <c r="AE32" s="16"/>
      <c r="AF32" s="13"/>
      <c r="AG32" s="19"/>
      <c r="AH32" s="17"/>
      <c r="AI32" s="20"/>
      <c r="AJ32" s="20"/>
      <c r="AK32" s="20"/>
      <c r="AL32" s="20"/>
      <c r="AM32" s="20"/>
      <c r="AN32" s="33"/>
      <c r="AO32" s="17"/>
      <c r="AP32" s="18"/>
      <c r="AQ32" s="18"/>
      <c r="AR32" s="18"/>
      <c r="AS32" s="18"/>
      <c r="AT32" s="31"/>
      <c r="AU32" s="53"/>
      <c r="AV32" s="123"/>
      <c r="AW32" s="59"/>
      <c r="AX32" s="22"/>
    </row>
    <row r="33" spans="1:50" s="21" customFormat="1" ht="68.25" customHeight="1" x14ac:dyDescent="0.35">
      <c r="A33" s="12"/>
      <c r="B33" s="493" t="s">
        <v>1074</v>
      </c>
      <c r="C33" s="494"/>
      <c r="D33" s="494"/>
      <c r="E33" s="494"/>
      <c r="F33" s="494"/>
      <c r="G33" s="494"/>
      <c r="H33" s="494"/>
      <c r="I33" s="494"/>
      <c r="J33" s="494"/>
      <c r="K33" s="494"/>
      <c r="L33" s="494"/>
      <c r="M33" s="494"/>
      <c r="N33" s="494"/>
      <c r="O33" s="495"/>
      <c r="P33" s="241"/>
      <c r="Q33" s="241"/>
      <c r="R33" s="249">
        <f>+(R32+R24+R17)/3</f>
        <v>0.60639380138933852</v>
      </c>
      <c r="S33" s="241"/>
      <c r="T33" s="249">
        <f>+(T32+T24+T17)/3</f>
        <v>0.28493147536975921</v>
      </c>
      <c r="U33" s="17"/>
      <c r="V33" s="18"/>
      <c r="W33" s="194"/>
      <c r="X33" s="13"/>
      <c r="Y33" s="16"/>
      <c r="Z33" s="16"/>
      <c r="AA33" s="16"/>
      <c r="AB33" s="16"/>
      <c r="AC33" s="84"/>
      <c r="AD33" s="84"/>
      <c r="AE33" s="16"/>
      <c r="AF33" s="194"/>
      <c r="AG33" s="195"/>
      <c r="AH33" s="196"/>
      <c r="AI33" s="197"/>
      <c r="AJ33" s="197"/>
      <c r="AK33" s="197"/>
      <c r="AL33" s="197"/>
      <c r="AM33" s="197"/>
      <c r="AN33" s="198"/>
      <c r="AO33" s="196"/>
      <c r="AP33" s="199"/>
      <c r="AQ33" s="199"/>
      <c r="AR33" s="199"/>
      <c r="AS33" s="199"/>
      <c r="AT33" s="31"/>
      <c r="AU33" s="47"/>
      <c r="AV33" s="123"/>
      <c r="AW33" s="59"/>
      <c r="AX33" s="22"/>
    </row>
    <row r="34" spans="1:50" ht="75.75" customHeight="1" x14ac:dyDescent="0.35">
      <c r="A34" s="477" t="s">
        <v>103</v>
      </c>
      <c r="B34" s="477" t="s">
        <v>104</v>
      </c>
      <c r="C34" s="564" t="s">
        <v>105</v>
      </c>
      <c r="D34" s="432" t="s">
        <v>106</v>
      </c>
      <c r="E34" s="75" t="s">
        <v>107</v>
      </c>
      <c r="F34" s="154">
        <v>0.529274004683841</v>
      </c>
      <c r="G34" s="481" t="s">
        <v>108</v>
      </c>
      <c r="H34" s="431" t="s">
        <v>109</v>
      </c>
      <c r="I34" s="432" t="s">
        <v>110</v>
      </c>
      <c r="J34" s="185" t="s">
        <v>111</v>
      </c>
      <c r="K34" s="177">
        <v>427</v>
      </c>
      <c r="L34" s="177">
        <v>120</v>
      </c>
      <c r="M34" s="177">
        <v>54</v>
      </c>
      <c r="N34" s="177">
        <v>36</v>
      </c>
      <c r="O34" s="177">
        <v>14</v>
      </c>
      <c r="P34" s="238">
        <v>22</v>
      </c>
      <c r="Q34" s="238">
        <f>+M34+N34+O34+P34</f>
        <v>126</v>
      </c>
      <c r="R34" s="239">
        <v>1</v>
      </c>
      <c r="S34" s="238">
        <f>100+Q34</f>
        <v>226</v>
      </c>
      <c r="T34" s="239">
        <f>+S34/K34</f>
        <v>0.52927400468384078</v>
      </c>
      <c r="U34" s="457" t="s">
        <v>318</v>
      </c>
      <c r="V34" s="556">
        <v>2020130010093</v>
      </c>
      <c r="W34" s="451" t="s">
        <v>319</v>
      </c>
      <c r="X34" s="173" t="s">
        <v>320</v>
      </c>
      <c r="Y34" s="184">
        <v>120</v>
      </c>
      <c r="Z34" s="184">
        <v>54</v>
      </c>
      <c r="AA34" s="177">
        <v>36</v>
      </c>
      <c r="AB34" s="177">
        <v>14</v>
      </c>
      <c r="AC34" s="83">
        <v>22</v>
      </c>
      <c r="AD34" s="228">
        <v>1</v>
      </c>
      <c r="AE34" s="174" t="s">
        <v>734</v>
      </c>
      <c r="AF34" s="451" t="s">
        <v>647</v>
      </c>
      <c r="AG34" s="451" t="s">
        <v>648</v>
      </c>
      <c r="AH34" s="428" t="s">
        <v>41</v>
      </c>
      <c r="AI34" s="377">
        <v>334849037</v>
      </c>
      <c r="AJ34" s="377">
        <v>202500000</v>
      </c>
      <c r="AK34" s="377">
        <v>217500000</v>
      </c>
      <c r="AL34" s="377">
        <v>247500000</v>
      </c>
      <c r="AM34" s="377"/>
      <c r="AN34" s="519">
        <f>+AK34/AI34</f>
        <v>0.64954644023658936</v>
      </c>
      <c r="AO34" s="428" t="s">
        <v>579</v>
      </c>
      <c r="AP34" s="359" t="s">
        <v>442</v>
      </c>
      <c r="AQ34" s="331">
        <v>375849037</v>
      </c>
      <c r="AR34" s="333">
        <v>319305210</v>
      </c>
      <c r="AS34" s="368">
        <f>+AR34/AQ34</f>
        <v>0.84955707895029142</v>
      </c>
      <c r="AT34" s="189" t="s">
        <v>672</v>
      </c>
      <c r="AU34" s="250"/>
      <c r="AV34" s="139" t="s">
        <v>905</v>
      </c>
      <c r="AW34" s="251">
        <v>1</v>
      </c>
      <c r="AX34" s="245" t="s">
        <v>823</v>
      </c>
    </row>
    <row r="35" spans="1:50" ht="45" customHeight="1" x14ac:dyDescent="0.35">
      <c r="A35" s="477"/>
      <c r="B35" s="477"/>
      <c r="C35" s="566"/>
      <c r="D35" s="432"/>
      <c r="E35" s="564" t="s">
        <v>112</v>
      </c>
      <c r="F35" s="531">
        <v>0.68227424749163879</v>
      </c>
      <c r="G35" s="481"/>
      <c r="H35" s="431"/>
      <c r="I35" s="432"/>
      <c r="J35" s="173" t="s">
        <v>113</v>
      </c>
      <c r="K35" s="184">
        <v>299</v>
      </c>
      <c r="L35" s="184">
        <v>99</v>
      </c>
      <c r="M35" s="184">
        <v>31</v>
      </c>
      <c r="N35" s="177">
        <v>47</v>
      </c>
      <c r="O35" s="177">
        <v>12</v>
      </c>
      <c r="P35" s="238">
        <v>14</v>
      </c>
      <c r="Q35" s="238">
        <f>+M35+N35+P35+O35</f>
        <v>104</v>
      </c>
      <c r="R35" s="239">
        <v>1</v>
      </c>
      <c r="S35" s="238">
        <f>100+Q35</f>
        <v>204</v>
      </c>
      <c r="T35" s="239">
        <f>+S35/K35</f>
        <v>0.68227424749163879</v>
      </c>
      <c r="U35" s="457"/>
      <c r="V35" s="556"/>
      <c r="W35" s="452"/>
      <c r="X35" s="173" t="s">
        <v>321</v>
      </c>
      <c r="Y35" s="184">
        <v>99</v>
      </c>
      <c r="Z35" s="184">
        <v>31</v>
      </c>
      <c r="AA35" s="177">
        <v>47</v>
      </c>
      <c r="AB35" s="177">
        <v>12</v>
      </c>
      <c r="AC35" s="83">
        <v>14</v>
      </c>
      <c r="AD35" s="228">
        <v>1</v>
      </c>
      <c r="AE35" s="174" t="s">
        <v>734</v>
      </c>
      <c r="AF35" s="452"/>
      <c r="AG35" s="452"/>
      <c r="AH35" s="429"/>
      <c r="AI35" s="378"/>
      <c r="AJ35" s="378"/>
      <c r="AK35" s="378"/>
      <c r="AL35" s="378"/>
      <c r="AM35" s="378"/>
      <c r="AN35" s="520"/>
      <c r="AO35" s="429"/>
      <c r="AP35" s="360"/>
      <c r="AQ35" s="331"/>
      <c r="AR35" s="333"/>
      <c r="AS35" s="369"/>
      <c r="AT35" s="189" t="s">
        <v>673</v>
      </c>
      <c r="AU35" s="250"/>
      <c r="AV35" s="139" t="s">
        <v>906</v>
      </c>
      <c r="AW35" s="251">
        <v>2</v>
      </c>
      <c r="AX35" s="245" t="s">
        <v>824</v>
      </c>
    </row>
    <row r="36" spans="1:50" ht="108.65" customHeight="1" x14ac:dyDescent="0.35">
      <c r="A36" s="477"/>
      <c r="B36" s="477"/>
      <c r="C36" s="566"/>
      <c r="D36" s="432"/>
      <c r="E36" s="565"/>
      <c r="F36" s="534"/>
      <c r="G36" s="481"/>
      <c r="H36" s="431"/>
      <c r="I36" s="432"/>
      <c r="J36" s="173" t="s">
        <v>480</v>
      </c>
      <c r="K36" s="184">
        <v>256</v>
      </c>
      <c r="L36" s="184">
        <v>74</v>
      </c>
      <c r="M36" s="184">
        <v>0</v>
      </c>
      <c r="N36" s="177">
        <v>0</v>
      </c>
      <c r="O36" s="177">
        <v>0</v>
      </c>
      <c r="P36" s="238">
        <v>0</v>
      </c>
      <c r="Q36" s="238">
        <f t="shared" ref="Q36:Q37" si="3">+M36+N36+P36+O36</f>
        <v>0</v>
      </c>
      <c r="R36" s="239">
        <f t="shared" ref="R36:R37" si="4">+Q36/L36</f>
        <v>0</v>
      </c>
      <c r="S36" s="238">
        <v>0</v>
      </c>
      <c r="T36" s="238">
        <v>0</v>
      </c>
      <c r="U36" s="457"/>
      <c r="V36" s="556"/>
      <c r="W36" s="452"/>
      <c r="X36" s="173" t="s">
        <v>628</v>
      </c>
      <c r="Y36" s="184">
        <v>74</v>
      </c>
      <c r="Z36" s="184">
        <v>0</v>
      </c>
      <c r="AA36" s="177">
        <v>0</v>
      </c>
      <c r="AB36" s="177">
        <v>0</v>
      </c>
      <c r="AC36" s="83">
        <v>0</v>
      </c>
      <c r="AD36" s="228">
        <f t="shared" ref="AD36:AD43" si="5">+(AC36+AB36+AA36+Z36)/Y36</f>
        <v>0</v>
      </c>
      <c r="AE36" s="174" t="s">
        <v>734</v>
      </c>
      <c r="AF36" s="452"/>
      <c r="AG36" s="452"/>
      <c r="AH36" s="429"/>
      <c r="AI36" s="378"/>
      <c r="AJ36" s="378"/>
      <c r="AK36" s="378"/>
      <c r="AL36" s="378"/>
      <c r="AM36" s="378"/>
      <c r="AN36" s="520"/>
      <c r="AO36" s="429"/>
      <c r="AP36" s="360"/>
      <c r="AQ36" s="331"/>
      <c r="AR36" s="333"/>
      <c r="AS36" s="369"/>
      <c r="AT36" s="189" t="s">
        <v>674</v>
      </c>
      <c r="AU36" s="252" t="s">
        <v>783</v>
      </c>
      <c r="AV36" s="139" t="s">
        <v>907</v>
      </c>
      <c r="AW36" s="253">
        <v>3</v>
      </c>
      <c r="AX36" s="246"/>
    </row>
    <row r="37" spans="1:50" ht="403" x14ac:dyDescent="0.35">
      <c r="A37" s="477"/>
      <c r="B37" s="477"/>
      <c r="C37" s="566"/>
      <c r="D37" s="432"/>
      <c r="E37" s="75" t="s">
        <v>114</v>
      </c>
      <c r="F37" s="154">
        <v>0.61403508771929827</v>
      </c>
      <c r="G37" s="481"/>
      <c r="H37" s="431"/>
      <c r="I37" s="432"/>
      <c r="J37" s="173" t="s">
        <v>115</v>
      </c>
      <c r="K37" s="184">
        <v>171</v>
      </c>
      <c r="L37" s="184">
        <v>55</v>
      </c>
      <c r="M37" s="184">
        <v>12</v>
      </c>
      <c r="N37" s="177">
        <v>19</v>
      </c>
      <c r="O37" s="177">
        <v>8</v>
      </c>
      <c r="P37" s="238">
        <v>16</v>
      </c>
      <c r="Q37" s="238">
        <f t="shared" si="3"/>
        <v>55</v>
      </c>
      <c r="R37" s="239">
        <f t="shared" si="4"/>
        <v>1</v>
      </c>
      <c r="S37" s="238">
        <f>50+Q37</f>
        <v>105</v>
      </c>
      <c r="T37" s="239">
        <f>+S37/K37</f>
        <v>0.61403508771929827</v>
      </c>
      <c r="U37" s="457"/>
      <c r="V37" s="556"/>
      <c r="W37" s="452"/>
      <c r="X37" s="173" t="s">
        <v>322</v>
      </c>
      <c r="Y37" s="184">
        <v>55</v>
      </c>
      <c r="Z37" s="184">
        <v>12</v>
      </c>
      <c r="AA37" s="177">
        <v>19</v>
      </c>
      <c r="AB37" s="177">
        <v>8</v>
      </c>
      <c r="AC37" s="83">
        <v>16</v>
      </c>
      <c r="AD37" s="228">
        <f t="shared" si="5"/>
        <v>1</v>
      </c>
      <c r="AE37" s="174" t="s">
        <v>734</v>
      </c>
      <c r="AF37" s="452"/>
      <c r="AG37" s="452"/>
      <c r="AH37" s="429"/>
      <c r="AI37" s="378"/>
      <c r="AJ37" s="378"/>
      <c r="AK37" s="378"/>
      <c r="AL37" s="378"/>
      <c r="AM37" s="378"/>
      <c r="AN37" s="520"/>
      <c r="AO37" s="429"/>
      <c r="AP37" s="360"/>
      <c r="AQ37" s="331"/>
      <c r="AR37" s="333"/>
      <c r="AS37" s="369"/>
      <c r="AT37" s="189" t="s">
        <v>675</v>
      </c>
      <c r="AU37" s="250"/>
      <c r="AV37" s="139" t="s">
        <v>908</v>
      </c>
      <c r="AW37" s="251">
        <v>4</v>
      </c>
      <c r="AX37" s="245" t="s">
        <v>825</v>
      </c>
    </row>
    <row r="38" spans="1:50" ht="409.5" x14ac:dyDescent="0.35">
      <c r="A38" s="477"/>
      <c r="B38" s="477"/>
      <c r="C38" s="566"/>
      <c r="D38" s="432"/>
      <c r="E38" s="75" t="s">
        <v>116</v>
      </c>
      <c r="F38" s="154">
        <v>0.32552693208430911</v>
      </c>
      <c r="G38" s="481"/>
      <c r="H38" s="431"/>
      <c r="I38" s="432"/>
      <c r="J38" s="173" t="s">
        <v>117</v>
      </c>
      <c r="K38" s="184">
        <v>427</v>
      </c>
      <c r="L38" s="184">
        <v>120</v>
      </c>
      <c r="M38" s="184">
        <v>20</v>
      </c>
      <c r="N38" s="177">
        <v>18</v>
      </c>
      <c r="O38" s="177">
        <v>5</v>
      </c>
      <c r="P38" s="238">
        <v>0</v>
      </c>
      <c r="Q38" s="238">
        <f>+M38+P38+O38+N38</f>
        <v>43</v>
      </c>
      <c r="R38" s="238">
        <f>+Q38/L38</f>
        <v>0.35833333333333334</v>
      </c>
      <c r="S38" s="270">
        <f>+Q38+96</f>
        <v>139</v>
      </c>
      <c r="T38" s="239">
        <f>+S38/K38</f>
        <v>0.32552693208430911</v>
      </c>
      <c r="U38" s="457"/>
      <c r="V38" s="556"/>
      <c r="W38" s="452"/>
      <c r="X38" s="173" t="s">
        <v>323</v>
      </c>
      <c r="Y38" s="184">
        <v>120</v>
      </c>
      <c r="Z38" s="184">
        <v>20</v>
      </c>
      <c r="AA38" s="177">
        <v>18</v>
      </c>
      <c r="AB38" s="177">
        <v>5</v>
      </c>
      <c r="AC38" s="83">
        <v>64</v>
      </c>
      <c r="AD38" s="228">
        <f t="shared" si="5"/>
        <v>0.89166666666666672</v>
      </c>
      <c r="AE38" s="174" t="s">
        <v>734</v>
      </c>
      <c r="AF38" s="452"/>
      <c r="AG38" s="452"/>
      <c r="AH38" s="429"/>
      <c r="AI38" s="378"/>
      <c r="AJ38" s="378"/>
      <c r="AK38" s="378"/>
      <c r="AL38" s="378"/>
      <c r="AM38" s="378"/>
      <c r="AN38" s="520"/>
      <c r="AO38" s="429"/>
      <c r="AP38" s="360"/>
      <c r="AQ38" s="331"/>
      <c r="AR38" s="333"/>
      <c r="AS38" s="369"/>
      <c r="AT38" s="189" t="s">
        <v>676</v>
      </c>
      <c r="AU38" s="252" t="s">
        <v>784</v>
      </c>
      <c r="AV38" s="139" t="s">
        <v>909</v>
      </c>
      <c r="AW38" s="253">
        <v>5</v>
      </c>
      <c r="AX38" s="245" t="s">
        <v>826</v>
      </c>
    </row>
    <row r="39" spans="1:50" ht="403" x14ac:dyDescent="0.35">
      <c r="A39" s="477"/>
      <c r="B39" s="477"/>
      <c r="C39" s="566"/>
      <c r="D39" s="451" t="s">
        <v>118</v>
      </c>
      <c r="E39" s="564" t="s">
        <v>119</v>
      </c>
      <c r="F39" s="531">
        <v>0.5</v>
      </c>
      <c r="G39" s="481"/>
      <c r="H39" s="431"/>
      <c r="I39" s="174" t="s">
        <v>120</v>
      </c>
      <c r="J39" s="173" t="s">
        <v>121</v>
      </c>
      <c r="K39" s="184">
        <v>36</v>
      </c>
      <c r="L39" s="184">
        <v>9</v>
      </c>
      <c r="M39" s="184">
        <v>0</v>
      </c>
      <c r="N39" s="177">
        <v>1</v>
      </c>
      <c r="O39" s="177">
        <v>0</v>
      </c>
      <c r="P39" s="238">
        <v>8</v>
      </c>
      <c r="Q39" s="238">
        <f>+P39+O39+N39+M39</f>
        <v>9</v>
      </c>
      <c r="R39" s="239">
        <f>+Q39/L39</f>
        <v>1</v>
      </c>
      <c r="S39" s="238">
        <f>9+Q39</f>
        <v>18</v>
      </c>
      <c r="T39" s="239">
        <f>+S39/K39</f>
        <v>0.5</v>
      </c>
      <c r="U39" s="457"/>
      <c r="V39" s="556"/>
      <c r="W39" s="452"/>
      <c r="X39" s="173" t="s">
        <v>324</v>
      </c>
      <c r="Y39" s="184">
        <v>9</v>
      </c>
      <c r="Z39" s="184">
        <v>0</v>
      </c>
      <c r="AA39" s="177">
        <v>1</v>
      </c>
      <c r="AB39" s="177">
        <v>0</v>
      </c>
      <c r="AC39" s="83">
        <v>8</v>
      </c>
      <c r="AD39" s="228">
        <f t="shared" si="5"/>
        <v>1</v>
      </c>
      <c r="AE39" s="174" t="s">
        <v>734</v>
      </c>
      <c r="AF39" s="452"/>
      <c r="AG39" s="452"/>
      <c r="AH39" s="429"/>
      <c r="AI39" s="378"/>
      <c r="AJ39" s="378"/>
      <c r="AK39" s="378"/>
      <c r="AL39" s="378"/>
      <c r="AM39" s="378"/>
      <c r="AN39" s="520"/>
      <c r="AO39" s="429"/>
      <c r="AP39" s="360"/>
      <c r="AQ39" s="331"/>
      <c r="AR39" s="333"/>
      <c r="AS39" s="369"/>
      <c r="AT39" s="189" t="s">
        <v>677</v>
      </c>
      <c r="AU39" s="252" t="s">
        <v>785</v>
      </c>
      <c r="AV39" s="139" t="s">
        <v>910</v>
      </c>
      <c r="AW39" s="253">
        <v>6</v>
      </c>
      <c r="AX39" s="245" t="s">
        <v>827</v>
      </c>
    </row>
    <row r="40" spans="1:50" ht="92.5" customHeight="1" x14ac:dyDescent="0.35">
      <c r="A40" s="477"/>
      <c r="B40" s="477"/>
      <c r="C40" s="566"/>
      <c r="D40" s="453"/>
      <c r="E40" s="565"/>
      <c r="F40" s="534"/>
      <c r="G40" s="481"/>
      <c r="H40" s="431"/>
      <c r="I40" s="451" t="s">
        <v>123</v>
      </c>
      <c r="J40" s="185" t="s">
        <v>668</v>
      </c>
      <c r="K40" s="184">
        <v>1</v>
      </c>
      <c r="L40" s="44">
        <v>0.25</v>
      </c>
      <c r="M40" s="184">
        <v>0</v>
      </c>
      <c r="N40" s="177">
        <v>0</v>
      </c>
      <c r="O40" s="177">
        <v>0</v>
      </c>
      <c r="P40" s="238">
        <v>0</v>
      </c>
      <c r="Q40" s="255">
        <v>0</v>
      </c>
      <c r="R40" s="239">
        <f>+Q40/L40</f>
        <v>0</v>
      </c>
      <c r="S40" s="328">
        <v>1</v>
      </c>
      <c r="T40" s="239">
        <f>+S40</f>
        <v>1</v>
      </c>
      <c r="U40" s="457"/>
      <c r="V40" s="556"/>
      <c r="W40" s="452"/>
      <c r="X40" s="173" t="s">
        <v>531</v>
      </c>
      <c r="Y40" s="44">
        <v>0.25</v>
      </c>
      <c r="Z40" s="184">
        <v>0</v>
      </c>
      <c r="AA40" s="177">
        <v>0</v>
      </c>
      <c r="AB40" s="177">
        <v>0</v>
      </c>
      <c r="AC40" s="83">
        <v>0</v>
      </c>
      <c r="AD40" s="228">
        <f t="shared" si="5"/>
        <v>0</v>
      </c>
      <c r="AE40" s="174" t="s">
        <v>734</v>
      </c>
      <c r="AF40" s="452"/>
      <c r="AG40" s="452"/>
      <c r="AH40" s="429"/>
      <c r="AI40" s="378"/>
      <c r="AJ40" s="378"/>
      <c r="AK40" s="378"/>
      <c r="AL40" s="378"/>
      <c r="AM40" s="378"/>
      <c r="AN40" s="520"/>
      <c r="AO40" s="429"/>
      <c r="AP40" s="360"/>
      <c r="AQ40" s="331"/>
      <c r="AR40" s="333"/>
      <c r="AS40" s="369"/>
      <c r="AT40" s="189" t="s">
        <v>678</v>
      </c>
      <c r="AU40" s="252" t="s">
        <v>786</v>
      </c>
      <c r="AV40" s="139" t="s">
        <v>911</v>
      </c>
      <c r="AW40" s="253">
        <v>7</v>
      </c>
      <c r="AX40" s="245"/>
    </row>
    <row r="41" spans="1:50" ht="155" x14ac:dyDescent="0.35">
      <c r="A41" s="477"/>
      <c r="B41" s="477"/>
      <c r="C41" s="566"/>
      <c r="D41" s="451">
        <v>0</v>
      </c>
      <c r="E41" s="564" t="s">
        <v>122</v>
      </c>
      <c r="F41" s="567">
        <v>0</v>
      </c>
      <c r="G41" s="481"/>
      <c r="H41" s="431"/>
      <c r="I41" s="453"/>
      <c r="J41" s="173" t="s">
        <v>667</v>
      </c>
      <c r="K41" s="184">
        <v>1</v>
      </c>
      <c r="L41" s="44">
        <v>0.3</v>
      </c>
      <c r="M41" s="184">
        <v>0</v>
      </c>
      <c r="N41" s="40">
        <v>0.05</v>
      </c>
      <c r="O41" s="177">
        <v>0</v>
      </c>
      <c r="P41" s="254">
        <v>0</v>
      </c>
      <c r="Q41" s="255">
        <f>+N41</f>
        <v>0.05</v>
      </c>
      <c r="R41" s="239">
        <f>+Q41/L41</f>
        <v>0.16666666666666669</v>
      </c>
      <c r="S41" s="255">
        <f>0.15+Q41</f>
        <v>0.2</v>
      </c>
      <c r="T41" s="239">
        <f>+S41/K41</f>
        <v>0.2</v>
      </c>
      <c r="U41" s="457"/>
      <c r="V41" s="556"/>
      <c r="W41" s="452"/>
      <c r="X41" s="173" t="s">
        <v>325</v>
      </c>
      <c r="Y41" s="44">
        <v>0.3</v>
      </c>
      <c r="Z41" s="184">
        <v>0</v>
      </c>
      <c r="AA41" s="177">
        <v>0.05</v>
      </c>
      <c r="AB41" s="177">
        <v>0</v>
      </c>
      <c r="AC41" s="83">
        <v>0</v>
      </c>
      <c r="AD41" s="228">
        <f t="shared" si="5"/>
        <v>0.16666666666666669</v>
      </c>
      <c r="AE41" s="174" t="s">
        <v>734</v>
      </c>
      <c r="AF41" s="452"/>
      <c r="AG41" s="452"/>
      <c r="AH41" s="429"/>
      <c r="AI41" s="378"/>
      <c r="AJ41" s="378"/>
      <c r="AK41" s="378"/>
      <c r="AL41" s="378"/>
      <c r="AM41" s="378"/>
      <c r="AN41" s="520"/>
      <c r="AO41" s="429"/>
      <c r="AP41" s="360"/>
      <c r="AQ41" s="331"/>
      <c r="AR41" s="333"/>
      <c r="AS41" s="369"/>
      <c r="AT41" s="189" t="s">
        <v>679</v>
      </c>
      <c r="AU41" s="256" t="s">
        <v>787</v>
      </c>
      <c r="AV41" s="141" t="s">
        <v>912</v>
      </c>
      <c r="AW41" s="253">
        <v>8</v>
      </c>
      <c r="AX41" s="257"/>
    </row>
    <row r="42" spans="1:50" ht="73" customHeight="1" x14ac:dyDescent="0.35">
      <c r="A42" s="477"/>
      <c r="B42" s="477"/>
      <c r="C42" s="566"/>
      <c r="D42" s="452"/>
      <c r="E42" s="566"/>
      <c r="F42" s="487"/>
      <c r="G42" s="481"/>
      <c r="H42" s="4" t="s">
        <v>483</v>
      </c>
      <c r="I42" s="174">
        <v>0</v>
      </c>
      <c r="J42" s="173" t="s">
        <v>481</v>
      </c>
      <c r="K42" s="184">
        <v>1</v>
      </c>
      <c r="L42" s="44">
        <v>0.34</v>
      </c>
      <c r="M42" s="184">
        <v>0</v>
      </c>
      <c r="N42" s="40">
        <v>0.15</v>
      </c>
      <c r="O42" s="177">
        <v>0</v>
      </c>
      <c r="P42" s="254">
        <v>0</v>
      </c>
      <c r="Q42" s="255">
        <f>+N42</f>
        <v>0.15</v>
      </c>
      <c r="R42" s="239">
        <f>+Q42/L42</f>
        <v>0.44117647058823523</v>
      </c>
      <c r="S42" s="255">
        <f>+Q42</f>
        <v>0.15</v>
      </c>
      <c r="T42" s="239">
        <f>+S42/K42</f>
        <v>0.15</v>
      </c>
      <c r="U42" s="457"/>
      <c r="V42" s="556"/>
      <c r="W42" s="452"/>
      <c r="X42" s="173" t="s">
        <v>532</v>
      </c>
      <c r="Y42" s="44">
        <v>1</v>
      </c>
      <c r="Z42" s="184">
        <v>0</v>
      </c>
      <c r="AA42" s="177">
        <v>0.15</v>
      </c>
      <c r="AB42" s="177">
        <v>0</v>
      </c>
      <c r="AC42" s="83">
        <v>0</v>
      </c>
      <c r="AD42" s="228">
        <f t="shared" si="5"/>
        <v>0.15</v>
      </c>
      <c r="AE42" s="174" t="s">
        <v>734</v>
      </c>
      <c r="AF42" s="452"/>
      <c r="AG42" s="452"/>
      <c r="AH42" s="429"/>
      <c r="AI42" s="378"/>
      <c r="AJ42" s="378"/>
      <c r="AK42" s="378"/>
      <c r="AL42" s="378"/>
      <c r="AM42" s="378"/>
      <c r="AN42" s="520"/>
      <c r="AO42" s="429"/>
      <c r="AP42" s="360"/>
      <c r="AQ42" s="331"/>
      <c r="AR42" s="333"/>
      <c r="AS42" s="369"/>
      <c r="AT42" s="189" t="s">
        <v>680</v>
      </c>
      <c r="AU42" s="256" t="s">
        <v>788</v>
      </c>
      <c r="AV42" s="141" t="s">
        <v>912</v>
      </c>
      <c r="AW42" s="253">
        <v>9</v>
      </c>
      <c r="AX42" s="257"/>
    </row>
    <row r="43" spans="1:50" ht="409.5" x14ac:dyDescent="0.35">
      <c r="A43" s="477"/>
      <c r="B43" s="477"/>
      <c r="C43" s="565"/>
      <c r="D43" s="453"/>
      <c r="E43" s="565"/>
      <c r="F43" s="488"/>
      <c r="G43" s="481"/>
      <c r="H43" s="4" t="s">
        <v>484</v>
      </c>
      <c r="I43" s="174">
        <v>0</v>
      </c>
      <c r="J43" s="173" t="s">
        <v>482</v>
      </c>
      <c r="K43" s="184">
        <v>1</v>
      </c>
      <c r="L43" s="44">
        <v>0.2</v>
      </c>
      <c r="M43" s="184">
        <v>0</v>
      </c>
      <c r="N43" s="177">
        <v>0</v>
      </c>
      <c r="O43" s="177">
        <v>0</v>
      </c>
      <c r="P43" s="238">
        <v>0</v>
      </c>
      <c r="Q43" s="238">
        <v>0</v>
      </c>
      <c r="R43" s="239">
        <v>0</v>
      </c>
      <c r="S43" s="238">
        <v>0</v>
      </c>
      <c r="T43" s="239">
        <v>0</v>
      </c>
      <c r="U43" s="457"/>
      <c r="V43" s="556"/>
      <c r="W43" s="452"/>
      <c r="X43" s="173" t="s">
        <v>533</v>
      </c>
      <c r="Y43" s="44">
        <v>0.2</v>
      </c>
      <c r="Z43" s="184">
        <v>0</v>
      </c>
      <c r="AA43" s="177">
        <v>0</v>
      </c>
      <c r="AB43" s="177">
        <v>0</v>
      </c>
      <c r="AC43" s="83">
        <v>0</v>
      </c>
      <c r="AD43" s="228">
        <f t="shared" si="5"/>
        <v>0</v>
      </c>
      <c r="AE43" s="174" t="s">
        <v>734</v>
      </c>
      <c r="AF43" s="452"/>
      <c r="AG43" s="452"/>
      <c r="AH43" s="429"/>
      <c r="AI43" s="378"/>
      <c r="AJ43" s="378"/>
      <c r="AK43" s="378"/>
      <c r="AL43" s="378"/>
      <c r="AM43" s="378"/>
      <c r="AN43" s="520"/>
      <c r="AO43" s="429"/>
      <c r="AP43" s="360"/>
      <c r="AQ43" s="331"/>
      <c r="AR43" s="333"/>
      <c r="AS43" s="369"/>
      <c r="AT43" s="189" t="s">
        <v>681</v>
      </c>
      <c r="AU43" s="256" t="s">
        <v>789</v>
      </c>
      <c r="AV43" s="141" t="s">
        <v>804</v>
      </c>
      <c r="AW43" s="253">
        <v>10</v>
      </c>
      <c r="AX43" s="258" t="s">
        <v>914</v>
      </c>
    </row>
    <row r="44" spans="1:50" ht="75" customHeight="1" x14ac:dyDescent="0.35">
      <c r="A44" s="477"/>
      <c r="B44" s="477"/>
      <c r="C44" s="174" t="s">
        <v>124</v>
      </c>
      <c r="D44" s="174" t="s">
        <v>29</v>
      </c>
      <c r="E44" s="174" t="s">
        <v>125</v>
      </c>
      <c r="F44" s="154">
        <f>27922/82059</f>
        <v>0.340267368600641</v>
      </c>
      <c r="G44" s="481"/>
      <c r="H44" s="4" t="s">
        <v>126</v>
      </c>
      <c r="I44" s="4" t="s">
        <v>127</v>
      </c>
      <c r="J44" s="173" t="s">
        <v>128</v>
      </c>
      <c r="K44" s="184">
        <v>82059</v>
      </c>
      <c r="L44" s="184">
        <v>20000</v>
      </c>
      <c r="M44" s="184">
        <v>6000</v>
      </c>
      <c r="N44" s="177">
        <v>5884</v>
      </c>
      <c r="O44" s="177">
        <v>584</v>
      </c>
      <c r="P44" s="238">
        <v>7704</v>
      </c>
      <c r="Q44" s="238">
        <f>+P44+O44+N44+M44</f>
        <v>20172</v>
      </c>
      <c r="R44" s="239">
        <v>1</v>
      </c>
      <c r="S44" s="238">
        <f>7750+Q44</f>
        <v>27922</v>
      </c>
      <c r="T44" s="239">
        <f>+S44/K44</f>
        <v>0.340267368600641</v>
      </c>
      <c r="U44" s="457"/>
      <c r="V44" s="556"/>
      <c r="W44" s="453"/>
      <c r="X44" s="4" t="s">
        <v>326</v>
      </c>
      <c r="Y44" s="184">
        <v>20000</v>
      </c>
      <c r="Z44" s="184">
        <v>6000</v>
      </c>
      <c r="AA44" s="177">
        <v>5884</v>
      </c>
      <c r="AB44" s="177">
        <v>584</v>
      </c>
      <c r="AC44" s="83">
        <v>7704</v>
      </c>
      <c r="AD44" s="228">
        <v>1</v>
      </c>
      <c r="AE44" s="174" t="s">
        <v>734</v>
      </c>
      <c r="AF44" s="453"/>
      <c r="AG44" s="453"/>
      <c r="AH44" s="430"/>
      <c r="AI44" s="379"/>
      <c r="AJ44" s="379"/>
      <c r="AK44" s="379"/>
      <c r="AL44" s="379"/>
      <c r="AM44" s="379"/>
      <c r="AN44" s="521"/>
      <c r="AO44" s="430"/>
      <c r="AP44" s="361"/>
      <c r="AQ44" s="332"/>
      <c r="AR44" s="333"/>
      <c r="AS44" s="370"/>
      <c r="AT44" s="189" t="s">
        <v>682</v>
      </c>
      <c r="AU44" s="250"/>
      <c r="AV44" s="139" t="s">
        <v>913</v>
      </c>
      <c r="AW44" s="251">
        <v>11</v>
      </c>
      <c r="AX44" s="245" t="s">
        <v>828</v>
      </c>
    </row>
    <row r="45" spans="1:50" s="21" customFormat="1" ht="68.25" customHeight="1" x14ac:dyDescent="0.35">
      <c r="A45" s="12"/>
      <c r="B45" s="12"/>
      <c r="C45" s="13"/>
      <c r="D45" s="14"/>
      <c r="E45" s="13"/>
      <c r="F45" s="153"/>
      <c r="G45" s="592" t="s">
        <v>1075</v>
      </c>
      <c r="H45" s="593"/>
      <c r="I45" s="593"/>
      <c r="J45" s="593"/>
      <c r="K45" s="593"/>
      <c r="L45" s="593"/>
      <c r="M45" s="593"/>
      <c r="N45" s="593"/>
      <c r="O45" s="594"/>
      <c r="P45" s="241"/>
      <c r="Q45" s="241"/>
      <c r="R45" s="249">
        <f>AVERAGE(R34:R44)</f>
        <v>0.54237967914438512</v>
      </c>
      <c r="S45" s="249"/>
      <c r="T45" s="249">
        <f>AVERAGE(T34:T44)</f>
        <v>0.39467069459815723</v>
      </c>
      <c r="U45" s="17"/>
      <c r="V45" s="18"/>
      <c r="W45" s="13"/>
      <c r="X45" s="13"/>
      <c r="Y45" s="16"/>
      <c r="Z45" s="16"/>
      <c r="AA45" s="16"/>
      <c r="AB45" s="16"/>
      <c r="AC45" s="84"/>
      <c r="AD45" s="227">
        <f>AVERAGE(AD34:AD44)</f>
        <v>0.56439393939393945</v>
      </c>
      <c r="AE45" s="16"/>
      <c r="AF45" s="13"/>
      <c r="AG45" s="19"/>
      <c r="AH45" s="17"/>
      <c r="AI45" s="20"/>
      <c r="AJ45" s="20"/>
      <c r="AK45" s="20"/>
      <c r="AL45" s="20"/>
      <c r="AM45" s="20"/>
      <c r="AN45" s="33"/>
      <c r="AO45" s="17"/>
      <c r="AP45" s="18"/>
      <c r="AQ45" s="18"/>
      <c r="AR45" s="18"/>
      <c r="AS45" s="18"/>
      <c r="AT45" s="31"/>
      <c r="AU45" s="53"/>
      <c r="AV45" s="123"/>
      <c r="AW45" s="59"/>
      <c r="AX45" s="22"/>
    </row>
    <row r="46" spans="1:50" s="21" customFormat="1" ht="60.75" customHeight="1" x14ac:dyDescent="0.35">
      <c r="A46" s="200"/>
      <c r="B46" s="493" t="s">
        <v>1076</v>
      </c>
      <c r="C46" s="494"/>
      <c r="D46" s="494"/>
      <c r="E46" s="494"/>
      <c r="F46" s="494"/>
      <c r="G46" s="494"/>
      <c r="H46" s="494"/>
      <c r="I46" s="494"/>
      <c r="J46" s="494"/>
      <c r="K46" s="494"/>
      <c r="L46" s="494"/>
      <c r="M46" s="494"/>
      <c r="N46" s="494"/>
      <c r="O46" s="495"/>
      <c r="P46" s="241"/>
      <c r="Q46" s="241"/>
      <c r="R46" s="249">
        <f>+R45</f>
        <v>0.54237967914438512</v>
      </c>
      <c r="S46" s="249"/>
      <c r="T46" s="249">
        <f>+T45</f>
        <v>0.39467069459815723</v>
      </c>
      <c r="U46" s="17"/>
      <c r="V46" s="18"/>
      <c r="W46" s="194"/>
      <c r="X46" s="13"/>
      <c r="Y46" s="16"/>
      <c r="Z46" s="16"/>
      <c r="AA46" s="16"/>
      <c r="AB46" s="16"/>
      <c r="AC46" s="84"/>
      <c r="AD46" s="84"/>
      <c r="AE46" s="16"/>
      <c r="AF46" s="194"/>
      <c r="AG46" s="195"/>
      <c r="AH46" s="196"/>
      <c r="AI46" s="197"/>
      <c r="AJ46" s="197"/>
      <c r="AK46" s="197"/>
      <c r="AL46" s="197"/>
      <c r="AM46" s="197"/>
      <c r="AN46" s="198"/>
      <c r="AO46" s="196"/>
      <c r="AP46" s="199"/>
      <c r="AQ46" s="199"/>
      <c r="AR46" s="199"/>
      <c r="AS46" s="199"/>
      <c r="AT46" s="31"/>
      <c r="AU46" s="47"/>
      <c r="AV46" s="123"/>
      <c r="AW46" s="59"/>
      <c r="AX46" s="22"/>
    </row>
    <row r="47" spans="1:50" ht="409.5" x14ac:dyDescent="0.35">
      <c r="A47" s="483" t="s">
        <v>129</v>
      </c>
      <c r="B47" s="483" t="s">
        <v>139</v>
      </c>
      <c r="C47" s="451" t="s">
        <v>140</v>
      </c>
      <c r="D47" s="451" t="s">
        <v>29</v>
      </c>
      <c r="E47" s="451" t="s">
        <v>141</v>
      </c>
      <c r="F47" s="486" t="s">
        <v>29</v>
      </c>
      <c r="G47" s="489" t="s">
        <v>142</v>
      </c>
      <c r="H47" s="173" t="s">
        <v>143</v>
      </c>
      <c r="I47" s="174" t="s">
        <v>144</v>
      </c>
      <c r="J47" s="173" t="s">
        <v>145</v>
      </c>
      <c r="K47" s="184">
        <v>1000</v>
      </c>
      <c r="L47" s="184">
        <v>300</v>
      </c>
      <c r="M47" s="184">
        <v>125</v>
      </c>
      <c r="N47" s="177">
        <f>300-M47</f>
        <v>175</v>
      </c>
      <c r="O47" s="177">
        <v>150</v>
      </c>
      <c r="P47" s="238">
        <v>59</v>
      </c>
      <c r="Q47" s="238">
        <f>+M47+N47+P47+O47</f>
        <v>509</v>
      </c>
      <c r="R47" s="239">
        <v>1</v>
      </c>
      <c r="S47" s="238">
        <f>100+Q47</f>
        <v>609</v>
      </c>
      <c r="T47" s="239">
        <f>+S47/K47</f>
        <v>0.60899999999999999</v>
      </c>
      <c r="U47" s="457" t="s">
        <v>332</v>
      </c>
      <c r="V47" s="450">
        <v>2020130010104</v>
      </c>
      <c r="W47" s="451" t="s">
        <v>333</v>
      </c>
      <c r="X47" s="173" t="s">
        <v>608</v>
      </c>
      <c r="Y47" s="184">
        <v>300</v>
      </c>
      <c r="Z47" s="184">
        <v>125</v>
      </c>
      <c r="AA47" s="177"/>
      <c r="AB47" s="177">
        <v>150</v>
      </c>
      <c r="AC47" s="83">
        <v>59</v>
      </c>
      <c r="AD47" s="228">
        <v>1</v>
      </c>
      <c r="AE47" s="174" t="s">
        <v>734</v>
      </c>
      <c r="AF47" s="451" t="s">
        <v>649</v>
      </c>
      <c r="AG47" s="442" t="s">
        <v>450</v>
      </c>
      <c r="AH47" s="428" t="s">
        <v>41</v>
      </c>
      <c r="AI47" s="374">
        <v>115344572</v>
      </c>
      <c r="AJ47" s="374">
        <v>54000000</v>
      </c>
      <c r="AK47" s="374">
        <v>54000000</v>
      </c>
      <c r="AL47" s="374">
        <v>54000000</v>
      </c>
      <c r="AM47" s="374"/>
      <c r="AN47" s="445">
        <f>+AK47/AI47</f>
        <v>0.46816247235283859</v>
      </c>
      <c r="AO47" s="428" t="s">
        <v>580</v>
      </c>
      <c r="AP47" s="428" t="s">
        <v>451</v>
      </c>
      <c r="AQ47" s="331">
        <v>115344572</v>
      </c>
      <c r="AR47" s="333">
        <v>111672286</v>
      </c>
      <c r="AS47" s="349">
        <f>+AR47/AQ47</f>
        <v>0.96816247235283859</v>
      </c>
      <c r="AT47" s="3"/>
      <c r="AU47" s="119" t="s">
        <v>796</v>
      </c>
      <c r="AV47" s="139" t="s">
        <v>997</v>
      </c>
      <c r="AW47" s="64">
        <v>7</v>
      </c>
      <c r="AX47" s="236" t="s">
        <v>831</v>
      </c>
    </row>
    <row r="48" spans="1:50" ht="31" customHeight="1" x14ac:dyDescent="0.35">
      <c r="A48" s="484"/>
      <c r="B48" s="484"/>
      <c r="C48" s="452"/>
      <c r="D48" s="452"/>
      <c r="E48" s="452"/>
      <c r="F48" s="487"/>
      <c r="G48" s="490"/>
      <c r="H48" s="431" t="s">
        <v>146</v>
      </c>
      <c r="I48" s="432">
        <v>0</v>
      </c>
      <c r="J48" s="431" t="s">
        <v>147</v>
      </c>
      <c r="K48" s="506">
        <v>10</v>
      </c>
      <c r="L48" s="506">
        <v>3</v>
      </c>
      <c r="M48" s="506">
        <v>3</v>
      </c>
      <c r="N48" s="448">
        <v>0</v>
      </c>
      <c r="O48" s="516">
        <v>11</v>
      </c>
      <c r="P48" s="524">
        <v>0</v>
      </c>
      <c r="Q48" s="524">
        <f>+M48+N48+O48</f>
        <v>14</v>
      </c>
      <c r="R48" s="548">
        <v>1</v>
      </c>
      <c r="S48" s="524">
        <v>15</v>
      </c>
      <c r="T48" s="548">
        <v>1</v>
      </c>
      <c r="U48" s="457"/>
      <c r="V48" s="450"/>
      <c r="W48" s="452"/>
      <c r="X48" s="173" t="s">
        <v>334</v>
      </c>
      <c r="Y48" s="184">
        <v>1</v>
      </c>
      <c r="Z48" s="184">
        <v>1</v>
      </c>
      <c r="AA48" s="177"/>
      <c r="AB48" s="177">
        <v>11</v>
      </c>
      <c r="AC48" s="83">
        <v>1</v>
      </c>
      <c r="AD48" s="228">
        <v>1</v>
      </c>
      <c r="AE48" s="174" t="s">
        <v>734</v>
      </c>
      <c r="AF48" s="452"/>
      <c r="AG48" s="443"/>
      <c r="AH48" s="429"/>
      <c r="AI48" s="375"/>
      <c r="AJ48" s="375"/>
      <c r="AK48" s="375"/>
      <c r="AL48" s="375"/>
      <c r="AM48" s="375"/>
      <c r="AN48" s="446"/>
      <c r="AO48" s="429"/>
      <c r="AP48" s="429"/>
      <c r="AQ48" s="331"/>
      <c r="AR48" s="333"/>
      <c r="AS48" s="350"/>
      <c r="AT48" s="5"/>
      <c r="AU48" s="119" t="s">
        <v>797</v>
      </c>
      <c r="AV48" s="139" t="s">
        <v>998</v>
      </c>
      <c r="AW48" s="64">
        <v>8</v>
      </c>
      <c r="AX48" s="245" t="s">
        <v>832</v>
      </c>
    </row>
    <row r="49" spans="1:50" ht="63.75" customHeight="1" x14ac:dyDescent="0.35">
      <c r="A49" s="484"/>
      <c r="B49" s="484"/>
      <c r="C49" s="452"/>
      <c r="D49" s="452"/>
      <c r="E49" s="452"/>
      <c r="F49" s="487"/>
      <c r="G49" s="490"/>
      <c r="H49" s="431"/>
      <c r="I49" s="432"/>
      <c r="J49" s="431"/>
      <c r="K49" s="506"/>
      <c r="L49" s="506"/>
      <c r="M49" s="506"/>
      <c r="N49" s="448"/>
      <c r="O49" s="517"/>
      <c r="P49" s="526"/>
      <c r="Q49" s="526"/>
      <c r="R49" s="549"/>
      <c r="S49" s="526"/>
      <c r="T49" s="549"/>
      <c r="U49" s="457"/>
      <c r="V49" s="450"/>
      <c r="W49" s="453"/>
      <c r="X49" s="173" t="s">
        <v>335</v>
      </c>
      <c r="Y49" s="184">
        <v>1</v>
      </c>
      <c r="Z49" s="184">
        <v>0</v>
      </c>
      <c r="AA49" s="177"/>
      <c r="AB49" s="177">
        <v>1</v>
      </c>
      <c r="AC49" s="83">
        <v>0</v>
      </c>
      <c r="AD49" s="228">
        <f t="shared" ref="AD49" si="6">+(Z49+AA49+AB49+AC49)/Y49</f>
        <v>1</v>
      </c>
      <c r="AE49" s="174" t="s">
        <v>734</v>
      </c>
      <c r="AF49" s="452"/>
      <c r="AG49" s="443"/>
      <c r="AH49" s="429"/>
      <c r="AI49" s="375"/>
      <c r="AJ49" s="375"/>
      <c r="AK49" s="375"/>
      <c r="AL49" s="375"/>
      <c r="AM49" s="375"/>
      <c r="AN49" s="446"/>
      <c r="AO49" s="429"/>
      <c r="AP49" s="429"/>
      <c r="AQ49" s="331"/>
      <c r="AR49" s="333"/>
      <c r="AS49" s="350"/>
      <c r="AT49" s="3"/>
      <c r="AU49" s="259" t="s">
        <v>798</v>
      </c>
      <c r="AV49" s="139" t="s">
        <v>999</v>
      </c>
      <c r="AW49" s="64">
        <v>9</v>
      </c>
      <c r="AX49" s="245" t="s">
        <v>1005</v>
      </c>
    </row>
    <row r="50" spans="1:50" ht="409.5" x14ac:dyDescent="0.35">
      <c r="A50" s="484"/>
      <c r="B50" s="484"/>
      <c r="C50" s="452"/>
      <c r="D50" s="452"/>
      <c r="E50" s="452"/>
      <c r="F50" s="487"/>
      <c r="G50" s="490"/>
      <c r="H50" s="451" t="s">
        <v>487</v>
      </c>
      <c r="I50" s="451">
        <v>1</v>
      </c>
      <c r="J50" s="561" t="s">
        <v>485</v>
      </c>
      <c r="K50" s="516">
        <v>1</v>
      </c>
      <c r="L50" s="439">
        <v>0.5</v>
      </c>
      <c r="M50" s="439">
        <v>0</v>
      </c>
      <c r="N50" s="439">
        <v>0</v>
      </c>
      <c r="O50" s="439">
        <v>0.25</v>
      </c>
      <c r="P50" s="460">
        <v>0.25</v>
      </c>
      <c r="Q50" s="460">
        <v>0.5</v>
      </c>
      <c r="R50" s="548">
        <v>1</v>
      </c>
      <c r="S50" s="460">
        <f>+Q50</f>
        <v>0.5</v>
      </c>
      <c r="T50" s="460">
        <v>0.5</v>
      </c>
      <c r="U50" s="428" t="s">
        <v>522</v>
      </c>
      <c r="V50" s="464">
        <v>2020130010108</v>
      </c>
      <c r="W50" s="451" t="s">
        <v>536</v>
      </c>
      <c r="X50" s="173" t="s">
        <v>534</v>
      </c>
      <c r="Y50" s="184">
        <v>1</v>
      </c>
      <c r="Z50" s="184">
        <v>0</v>
      </c>
      <c r="AA50" s="40"/>
      <c r="AB50" s="40">
        <v>1</v>
      </c>
      <c r="AC50" s="85">
        <v>0.5</v>
      </c>
      <c r="AD50" s="228">
        <v>1</v>
      </c>
      <c r="AE50" s="174" t="s">
        <v>734</v>
      </c>
      <c r="AF50" s="452"/>
      <c r="AG50" s="443"/>
      <c r="AH50" s="429"/>
      <c r="AI50" s="375"/>
      <c r="AJ50" s="375"/>
      <c r="AK50" s="375"/>
      <c r="AL50" s="375"/>
      <c r="AM50" s="375"/>
      <c r="AN50" s="446"/>
      <c r="AO50" s="429"/>
      <c r="AP50" s="429"/>
      <c r="AQ50" s="331"/>
      <c r="AR50" s="333"/>
      <c r="AS50" s="350"/>
      <c r="AT50" s="189" t="s">
        <v>610</v>
      </c>
      <c r="AU50" s="89" t="s">
        <v>799</v>
      </c>
      <c r="AV50" s="89" t="s">
        <v>1000</v>
      </c>
      <c r="AW50" s="68">
        <v>10</v>
      </c>
      <c r="AX50" s="260" t="s">
        <v>832</v>
      </c>
    </row>
    <row r="51" spans="1:50" ht="32.5" customHeight="1" x14ac:dyDescent="0.35">
      <c r="A51" s="484"/>
      <c r="B51" s="484"/>
      <c r="C51" s="452"/>
      <c r="D51" s="452"/>
      <c r="E51" s="452"/>
      <c r="F51" s="487"/>
      <c r="G51" s="490"/>
      <c r="H51" s="452"/>
      <c r="I51" s="452"/>
      <c r="J51" s="562"/>
      <c r="K51" s="530"/>
      <c r="L51" s="440"/>
      <c r="M51" s="440"/>
      <c r="N51" s="440"/>
      <c r="O51" s="440"/>
      <c r="P51" s="590"/>
      <c r="Q51" s="590"/>
      <c r="R51" s="555"/>
      <c r="S51" s="590"/>
      <c r="T51" s="590"/>
      <c r="U51" s="429"/>
      <c r="V51" s="465"/>
      <c r="W51" s="452"/>
      <c r="X51" s="185" t="s">
        <v>535</v>
      </c>
      <c r="Y51" s="184">
        <v>1</v>
      </c>
      <c r="Z51" s="184">
        <v>0</v>
      </c>
      <c r="AA51" s="40"/>
      <c r="AB51" s="130">
        <v>0</v>
      </c>
      <c r="AC51" s="82">
        <v>0</v>
      </c>
      <c r="AD51" s="228">
        <f>+(Z51+AA51+AB51+AC51)/Y51</f>
        <v>0</v>
      </c>
      <c r="AE51" s="174" t="s">
        <v>734</v>
      </c>
      <c r="AF51" s="452"/>
      <c r="AG51" s="443"/>
      <c r="AH51" s="429"/>
      <c r="AI51" s="375"/>
      <c r="AJ51" s="375"/>
      <c r="AK51" s="375"/>
      <c r="AL51" s="375"/>
      <c r="AM51" s="375"/>
      <c r="AN51" s="446"/>
      <c r="AO51" s="429"/>
      <c r="AP51" s="429"/>
      <c r="AQ51" s="331"/>
      <c r="AR51" s="333"/>
      <c r="AS51" s="350"/>
      <c r="AT51" s="3"/>
      <c r="AU51" s="261"/>
      <c r="AV51" s="89" t="s">
        <v>1001</v>
      </c>
      <c r="AW51" s="64">
        <v>11</v>
      </c>
      <c r="AX51" s="262"/>
    </row>
    <row r="52" spans="1:50" ht="32.5" customHeight="1" x14ac:dyDescent="0.35">
      <c r="A52" s="484"/>
      <c r="B52" s="484"/>
      <c r="C52" s="452"/>
      <c r="D52" s="452"/>
      <c r="E52" s="452"/>
      <c r="F52" s="487"/>
      <c r="G52" s="490"/>
      <c r="H52" s="452"/>
      <c r="I52" s="452"/>
      <c r="J52" s="562"/>
      <c r="K52" s="530"/>
      <c r="L52" s="440"/>
      <c r="M52" s="440"/>
      <c r="N52" s="440"/>
      <c r="O52" s="440"/>
      <c r="P52" s="590"/>
      <c r="Q52" s="590"/>
      <c r="R52" s="555"/>
      <c r="S52" s="590"/>
      <c r="T52" s="590"/>
      <c r="U52" s="429"/>
      <c r="V52" s="465"/>
      <c r="W52" s="452"/>
      <c r="X52" s="185" t="s">
        <v>537</v>
      </c>
      <c r="Y52" s="184">
        <v>1</v>
      </c>
      <c r="Z52" s="184">
        <v>0</v>
      </c>
      <c r="AA52" s="40"/>
      <c r="AB52" s="130">
        <v>0</v>
      </c>
      <c r="AC52" s="82">
        <v>0</v>
      </c>
      <c r="AD52" s="228">
        <f t="shared" ref="AD52:AD53" si="7">+(Z52+AA52+AB52+AC52)/Y52</f>
        <v>0</v>
      </c>
      <c r="AE52" s="174" t="s">
        <v>734</v>
      </c>
      <c r="AF52" s="452"/>
      <c r="AG52" s="443"/>
      <c r="AH52" s="429"/>
      <c r="AI52" s="375"/>
      <c r="AJ52" s="375"/>
      <c r="AK52" s="375"/>
      <c r="AL52" s="375"/>
      <c r="AM52" s="375"/>
      <c r="AN52" s="446"/>
      <c r="AO52" s="429"/>
      <c r="AP52" s="429"/>
      <c r="AQ52" s="331"/>
      <c r="AR52" s="333"/>
      <c r="AS52" s="350"/>
      <c r="AT52" s="3"/>
      <c r="AU52" s="261"/>
      <c r="AV52" s="89" t="s">
        <v>1002</v>
      </c>
      <c r="AW52" s="64">
        <v>12</v>
      </c>
      <c r="AX52" s="262"/>
    </row>
    <row r="53" spans="1:50" ht="32.5" customHeight="1" x14ac:dyDescent="0.35">
      <c r="A53" s="484"/>
      <c r="B53" s="484"/>
      <c r="C53" s="452"/>
      <c r="D53" s="452"/>
      <c r="E53" s="452"/>
      <c r="F53" s="487"/>
      <c r="G53" s="490"/>
      <c r="H53" s="453"/>
      <c r="I53" s="453"/>
      <c r="J53" s="563"/>
      <c r="K53" s="517"/>
      <c r="L53" s="441"/>
      <c r="M53" s="441"/>
      <c r="N53" s="441"/>
      <c r="O53" s="441"/>
      <c r="P53" s="591"/>
      <c r="Q53" s="591"/>
      <c r="R53" s="549"/>
      <c r="S53" s="591"/>
      <c r="T53" s="591"/>
      <c r="U53" s="430"/>
      <c r="V53" s="466"/>
      <c r="W53" s="453"/>
      <c r="X53" s="185" t="s">
        <v>538</v>
      </c>
      <c r="Y53" s="184">
        <v>1</v>
      </c>
      <c r="Z53" s="184">
        <v>0</v>
      </c>
      <c r="AA53" s="40"/>
      <c r="AB53" s="130">
        <v>0</v>
      </c>
      <c r="AC53" s="82">
        <v>0</v>
      </c>
      <c r="AD53" s="228">
        <f t="shared" si="7"/>
        <v>0</v>
      </c>
      <c r="AE53" s="174" t="s">
        <v>734</v>
      </c>
      <c r="AF53" s="452"/>
      <c r="AG53" s="443"/>
      <c r="AH53" s="429"/>
      <c r="AI53" s="375"/>
      <c r="AJ53" s="375"/>
      <c r="AK53" s="375"/>
      <c r="AL53" s="375"/>
      <c r="AM53" s="375"/>
      <c r="AN53" s="446"/>
      <c r="AO53" s="429"/>
      <c r="AP53" s="429"/>
      <c r="AQ53" s="331"/>
      <c r="AR53" s="333"/>
      <c r="AS53" s="350"/>
      <c r="AT53" s="3"/>
      <c r="AU53" s="261"/>
      <c r="AV53" s="89" t="s">
        <v>1003</v>
      </c>
      <c r="AW53" s="64">
        <v>13</v>
      </c>
      <c r="AX53" s="262"/>
    </row>
    <row r="54" spans="1:50" ht="409.5" x14ac:dyDescent="0.35">
      <c r="A54" s="485"/>
      <c r="B54" s="485"/>
      <c r="C54" s="453"/>
      <c r="D54" s="453"/>
      <c r="E54" s="453"/>
      <c r="F54" s="488"/>
      <c r="G54" s="491"/>
      <c r="H54" s="173" t="s">
        <v>488</v>
      </c>
      <c r="I54" s="174">
        <v>0</v>
      </c>
      <c r="J54" s="173" t="s">
        <v>486</v>
      </c>
      <c r="K54" s="184">
        <v>1</v>
      </c>
      <c r="L54" s="184">
        <v>1</v>
      </c>
      <c r="M54" s="184">
        <v>0</v>
      </c>
      <c r="N54" s="177">
        <v>0</v>
      </c>
      <c r="O54" s="177">
        <v>0</v>
      </c>
      <c r="P54" s="238">
        <v>0</v>
      </c>
      <c r="Q54" s="238">
        <v>0</v>
      </c>
      <c r="R54" s="239">
        <v>0</v>
      </c>
      <c r="S54" s="238">
        <v>0</v>
      </c>
      <c r="T54" s="239">
        <v>1</v>
      </c>
      <c r="U54" s="180" t="s">
        <v>523</v>
      </c>
      <c r="V54" s="178">
        <v>2020130010107</v>
      </c>
      <c r="W54" s="174" t="s">
        <v>540</v>
      </c>
      <c r="X54" s="173" t="s">
        <v>539</v>
      </c>
      <c r="Y54" s="184">
        <v>1</v>
      </c>
      <c r="Z54" s="184">
        <v>0</v>
      </c>
      <c r="AA54" s="177"/>
      <c r="AB54" s="177">
        <v>1</v>
      </c>
      <c r="AC54" s="83">
        <v>0</v>
      </c>
      <c r="AD54" s="228">
        <f>+(Z54+AA54+AB54+AC54)/Y54</f>
        <v>1</v>
      </c>
      <c r="AE54" s="174" t="s">
        <v>734</v>
      </c>
      <c r="AF54" s="453"/>
      <c r="AG54" s="444"/>
      <c r="AH54" s="430"/>
      <c r="AI54" s="376"/>
      <c r="AJ54" s="376"/>
      <c r="AK54" s="376"/>
      <c r="AL54" s="376"/>
      <c r="AM54" s="376"/>
      <c r="AN54" s="447"/>
      <c r="AO54" s="430"/>
      <c r="AP54" s="430"/>
      <c r="AQ54" s="332"/>
      <c r="AR54" s="333"/>
      <c r="AS54" s="351"/>
      <c r="AT54" s="3"/>
      <c r="AU54" s="263"/>
      <c r="AV54" s="89" t="s">
        <v>1004</v>
      </c>
      <c r="AW54" s="64">
        <v>14</v>
      </c>
      <c r="AX54" s="246"/>
    </row>
    <row r="55" spans="1:50" s="21" customFormat="1" ht="97.5" customHeight="1" x14ac:dyDescent="0.35">
      <c r="A55" s="12"/>
      <c r="B55" s="12"/>
      <c r="C55" s="13"/>
      <c r="D55" s="14"/>
      <c r="E55" s="13"/>
      <c r="F55" s="153"/>
      <c r="G55" s="493" t="s">
        <v>1077</v>
      </c>
      <c r="H55" s="494"/>
      <c r="I55" s="494"/>
      <c r="J55" s="494"/>
      <c r="K55" s="494"/>
      <c r="L55" s="494"/>
      <c r="M55" s="494"/>
      <c r="N55" s="494"/>
      <c r="O55" s="494"/>
      <c r="P55" s="495"/>
      <c r="Q55" s="241"/>
      <c r="R55" s="243">
        <f>AVERAGE(R47:R54)</f>
        <v>0.75</v>
      </c>
      <c r="S55" s="243"/>
      <c r="T55" s="243">
        <f>AVERAGE(T47:T54)</f>
        <v>0.77725</v>
      </c>
      <c r="U55" s="17"/>
      <c r="V55" s="18"/>
      <c r="W55" s="13"/>
      <c r="X55" s="13"/>
      <c r="Y55" s="16"/>
      <c r="Z55" s="16"/>
      <c r="AA55" s="16"/>
      <c r="AB55" s="16"/>
      <c r="AC55" s="84"/>
      <c r="AD55" s="227">
        <f>AVERAGE(AD47:AD54)</f>
        <v>0.625</v>
      </c>
      <c r="AE55" s="16"/>
      <c r="AF55" s="13"/>
      <c r="AG55" s="19"/>
      <c r="AH55" s="17"/>
      <c r="AI55" s="20"/>
      <c r="AJ55" s="20"/>
      <c r="AK55" s="20"/>
      <c r="AL55" s="20"/>
      <c r="AM55" s="20"/>
      <c r="AN55" s="33"/>
      <c r="AO55" s="17"/>
      <c r="AP55" s="18"/>
      <c r="AQ55" s="18"/>
      <c r="AR55" s="18"/>
      <c r="AS55" s="18"/>
      <c r="AT55" s="31"/>
      <c r="AU55" s="53"/>
      <c r="AV55" s="123"/>
      <c r="AW55" s="59"/>
      <c r="AX55" s="22"/>
    </row>
    <row r="56" spans="1:50" ht="192" customHeight="1" x14ac:dyDescent="0.35">
      <c r="A56" s="477" t="s">
        <v>129</v>
      </c>
      <c r="B56" s="477" t="s">
        <v>139</v>
      </c>
      <c r="C56" s="432" t="s">
        <v>140</v>
      </c>
      <c r="D56" s="432" t="s">
        <v>29</v>
      </c>
      <c r="E56" s="432" t="s">
        <v>141</v>
      </c>
      <c r="F56" s="486" t="s">
        <v>29</v>
      </c>
      <c r="G56" s="481" t="s">
        <v>148</v>
      </c>
      <c r="H56" s="173" t="s">
        <v>149</v>
      </c>
      <c r="I56" s="191" t="s">
        <v>150</v>
      </c>
      <c r="J56" s="173" t="s">
        <v>151</v>
      </c>
      <c r="K56" s="184">
        <v>4900</v>
      </c>
      <c r="L56" s="184">
        <v>1400</v>
      </c>
      <c r="M56" s="184">
        <v>130</v>
      </c>
      <c r="N56" s="177">
        <f>548+305</f>
        <v>853</v>
      </c>
      <c r="O56" s="177">
        <v>320</v>
      </c>
      <c r="P56" s="238">
        <v>261</v>
      </c>
      <c r="Q56" s="238">
        <f>+M56+P56+O56+N56</f>
        <v>1564</v>
      </c>
      <c r="R56" s="239">
        <v>1</v>
      </c>
      <c r="S56" s="238">
        <f>700+Q56</f>
        <v>2264</v>
      </c>
      <c r="T56" s="239">
        <f>+S56/K56</f>
        <v>0.4620408163265306</v>
      </c>
      <c r="U56" s="428" t="s">
        <v>336</v>
      </c>
      <c r="V56" s="558">
        <v>2020130010105</v>
      </c>
      <c r="W56" s="451" t="s">
        <v>337</v>
      </c>
      <c r="X56" s="173" t="s">
        <v>338</v>
      </c>
      <c r="Y56" s="184">
        <v>1</v>
      </c>
      <c r="Z56" s="184">
        <v>1</v>
      </c>
      <c r="AA56" s="177"/>
      <c r="AB56" s="177">
        <v>320</v>
      </c>
      <c r="AC56" s="83">
        <v>11</v>
      </c>
      <c r="AD56" s="83"/>
      <c r="AE56" s="174" t="s">
        <v>734</v>
      </c>
      <c r="AF56" s="451" t="s">
        <v>649</v>
      </c>
      <c r="AG56" s="442" t="s">
        <v>450</v>
      </c>
      <c r="AH56" s="428" t="s">
        <v>41</v>
      </c>
      <c r="AI56" s="374">
        <v>270611182</v>
      </c>
      <c r="AJ56" s="374">
        <v>0</v>
      </c>
      <c r="AK56" s="374">
        <v>257413333</v>
      </c>
      <c r="AL56" s="374">
        <v>257413333</v>
      </c>
      <c r="AM56" s="374"/>
      <c r="AN56" s="445">
        <f>+AK56/AI56</f>
        <v>0.95122947654099521</v>
      </c>
      <c r="AO56" s="428" t="s">
        <v>581</v>
      </c>
      <c r="AP56" s="428" t="s">
        <v>452</v>
      </c>
      <c r="AQ56" s="333">
        <v>270611182</v>
      </c>
      <c r="AR56" s="333">
        <v>257413333</v>
      </c>
      <c r="AS56" s="371">
        <f>+AR56/AQ56</f>
        <v>0.95122947654099521</v>
      </c>
      <c r="AT56" s="189" t="s">
        <v>609</v>
      </c>
      <c r="AU56" s="56"/>
      <c r="AV56" s="89" t="s">
        <v>1006</v>
      </c>
      <c r="AW56" s="68">
        <v>15</v>
      </c>
      <c r="AX56" s="236" t="s">
        <v>833</v>
      </c>
    </row>
    <row r="57" spans="1:50" ht="115" customHeight="1" x14ac:dyDescent="0.35">
      <c r="A57" s="477"/>
      <c r="B57" s="477"/>
      <c r="C57" s="432"/>
      <c r="D57" s="432"/>
      <c r="E57" s="432"/>
      <c r="F57" s="487"/>
      <c r="G57" s="481"/>
      <c r="H57" s="459" t="s">
        <v>152</v>
      </c>
      <c r="I57" s="453" t="s">
        <v>153</v>
      </c>
      <c r="J57" s="459" t="s">
        <v>154</v>
      </c>
      <c r="K57" s="435">
        <v>175</v>
      </c>
      <c r="L57" s="435">
        <v>47</v>
      </c>
      <c r="M57" s="435">
        <v>25</v>
      </c>
      <c r="N57" s="517">
        <f>47-25</f>
        <v>22</v>
      </c>
      <c r="O57" s="530">
        <v>8</v>
      </c>
      <c r="P57" s="525">
        <v>8</v>
      </c>
      <c r="Q57" s="524">
        <f>+M57+P57+O57+N57</f>
        <v>63</v>
      </c>
      <c r="R57" s="548">
        <v>1</v>
      </c>
      <c r="S57" s="524">
        <f>35+Q57</f>
        <v>98</v>
      </c>
      <c r="T57" s="548">
        <f>+S57/K57</f>
        <v>0.56000000000000005</v>
      </c>
      <c r="U57" s="429"/>
      <c r="V57" s="559"/>
      <c r="W57" s="452"/>
      <c r="X57" s="173" t="s">
        <v>339</v>
      </c>
      <c r="Y57" s="184">
        <v>1</v>
      </c>
      <c r="Z57" s="184">
        <v>0</v>
      </c>
      <c r="AA57" s="177"/>
      <c r="AB57" s="177">
        <v>8</v>
      </c>
      <c r="AC57" s="83">
        <v>3</v>
      </c>
      <c r="AD57" s="228">
        <v>1</v>
      </c>
      <c r="AE57" s="174" t="s">
        <v>734</v>
      </c>
      <c r="AF57" s="452"/>
      <c r="AG57" s="443"/>
      <c r="AH57" s="429"/>
      <c r="AI57" s="375"/>
      <c r="AJ57" s="375"/>
      <c r="AK57" s="375"/>
      <c r="AL57" s="375"/>
      <c r="AM57" s="375"/>
      <c r="AN57" s="446"/>
      <c r="AO57" s="429"/>
      <c r="AP57" s="429"/>
      <c r="AQ57" s="333"/>
      <c r="AR57" s="333"/>
      <c r="AS57" s="372"/>
      <c r="AT57" s="3"/>
      <c r="AU57" s="51"/>
      <c r="AV57" s="89" t="s">
        <v>1007</v>
      </c>
      <c r="AW57" s="64">
        <v>16</v>
      </c>
      <c r="AX57" s="236" t="s">
        <v>834</v>
      </c>
    </row>
    <row r="58" spans="1:50" ht="31" customHeight="1" x14ac:dyDescent="0.35">
      <c r="A58" s="477"/>
      <c r="B58" s="477"/>
      <c r="C58" s="432"/>
      <c r="D58" s="432"/>
      <c r="E58" s="432"/>
      <c r="F58" s="487"/>
      <c r="G58" s="481"/>
      <c r="H58" s="458"/>
      <c r="I58" s="451"/>
      <c r="J58" s="458"/>
      <c r="K58" s="433"/>
      <c r="L58" s="433"/>
      <c r="M58" s="433"/>
      <c r="N58" s="516"/>
      <c r="O58" s="530"/>
      <c r="P58" s="525"/>
      <c r="Q58" s="526"/>
      <c r="R58" s="549"/>
      <c r="S58" s="526"/>
      <c r="T58" s="549"/>
      <c r="U58" s="429"/>
      <c r="V58" s="559"/>
      <c r="W58" s="452"/>
      <c r="X58" s="173" t="s">
        <v>340</v>
      </c>
      <c r="Y58" s="184">
        <v>1</v>
      </c>
      <c r="Z58" s="184">
        <v>0</v>
      </c>
      <c r="AA58" s="177"/>
      <c r="AB58" s="177">
        <v>5</v>
      </c>
      <c r="AC58" s="83">
        <v>0</v>
      </c>
      <c r="AD58" s="228">
        <v>1</v>
      </c>
      <c r="AE58" s="174" t="s">
        <v>734</v>
      </c>
      <c r="AF58" s="452"/>
      <c r="AG58" s="443"/>
      <c r="AH58" s="429"/>
      <c r="AI58" s="375"/>
      <c r="AJ58" s="375"/>
      <c r="AK58" s="375"/>
      <c r="AL58" s="375"/>
      <c r="AM58" s="375"/>
      <c r="AN58" s="446"/>
      <c r="AO58" s="429"/>
      <c r="AP58" s="429"/>
      <c r="AQ58" s="333"/>
      <c r="AR58" s="333"/>
      <c r="AS58" s="372"/>
      <c r="AT58" s="3"/>
      <c r="AU58" s="51"/>
      <c r="AV58" s="144" t="s">
        <v>1008</v>
      </c>
      <c r="AW58" s="64">
        <v>17</v>
      </c>
      <c r="AX58" s="236" t="s">
        <v>1017</v>
      </c>
    </row>
    <row r="59" spans="1:50" ht="45" customHeight="1" x14ac:dyDescent="0.35">
      <c r="A59" s="477"/>
      <c r="B59" s="477"/>
      <c r="C59" s="432"/>
      <c r="D59" s="432"/>
      <c r="E59" s="432"/>
      <c r="F59" s="487"/>
      <c r="G59" s="481"/>
      <c r="H59" s="431" t="s">
        <v>490</v>
      </c>
      <c r="I59" s="432">
        <v>4</v>
      </c>
      <c r="J59" s="432" t="s">
        <v>489</v>
      </c>
      <c r="K59" s="506">
        <v>14</v>
      </c>
      <c r="L59" s="506">
        <v>5</v>
      </c>
      <c r="M59" s="506">
        <v>6</v>
      </c>
      <c r="N59" s="448">
        <v>5</v>
      </c>
      <c r="O59" s="448">
        <v>5</v>
      </c>
      <c r="P59" s="449">
        <v>5</v>
      </c>
      <c r="Q59" s="524">
        <f>+M59+P59+O59+N59</f>
        <v>21</v>
      </c>
      <c r="R59" s="548">
        <v>1</v>
      </c>
      <c r="S59" s="524">
        <f>+Q59</f>
        <v>21</v>
      </c>
      <c r="T59" s="548">
        <v>1</v>
      </c>
      <c r="U59" s="429"/>
      <c r="V59" s="559"/>
      <c r="W59" s="452"/>
      <c r="X59" s="173" t="s">
        <v>614</v>
      </c>
      <c r="Y59" s="184">
        <v>1</v>
      </c>
      <c r="Z59" s="184">
        <v>0</v>
      </c>
      <c r="AA59" s="177"/>
      <c r="AB59" s="177"/>
      <c r="AC59" s="83">
        <v>0</v>
      </c>
      <c r="AD59" s="228">
        <f t="shared" ref="AD59:AD62" si="8">+(Z59+AC59+AB59+AA59)/Y59</f>
        <v>0</v>
      </c>
      <c r="AE59" s="174" t="s">
        <v>734</v>
      </c>
      <c r="AF59" s="452"/>
      <c r="AG59" s="443"/>
      <c r="AH59" s="429"/>
      <c r="AI59" s="375"/>
      <c r="AJ59" s="375"/>
      <c r="AK59" s="375"/>
      <c r="AL59" s="375"/>
      <c r="AM59" s="375"/>
      <c r="AN59" s="446"/>
      <c r="AO59" s="429"/>
      <c r="AP59" s="429"/>
      <c r="AQ59" s="333"/>
      <c r="AR59" s="333"/>
      <c r="AS59" s="372"/>
      <c r="AT59" s="553" t="s">
        <v>615</v>
      </c>
      <c r="AU59" s="57"/>
      <c r="AV59" s="89" t="s">
        <v>1009</v>
      </c>
      <c r="AW59" s="68">
        <v>18</v>
      </c>
      <c r="AX59" s="191"/>
    </row>
    <row r="60" spans="1:50" ht="217" x14ac:dyDescent="0.35">
      <c r="A60" s="477"/>
      <c r="B60" s="477"/>
      <c r="C60" s="432"/>
      <c r="D60" s="432"/>
      <c r="E60" s="432"/>
      <c r="F60" s="487"/>
      <c r="G60" s="481"/>
      <c r="H60" s="431"/>
      <c r="I60" s="432"/>
      <c r="J60" s="432"/>
      <c r="K60" s="506"/>
      <c r="L60" s="506"/>
      <c r="M60" s="506"/>
      <c r="N60" s="448"/>
      <c r="O60" s="448"/>
      <c r="P60" s="449"/>
      <c r="Q60" s="525"/>
      <c r="R60" s="555"/>
      <c r="S60" s="525"/>
      <c r="T60" s="555"/>
      <c r="U60" s="429"/>
      <c r="V60" s="559"/>
      <c r="W60" s="452"/>
      <c r="X60" s="173" t="s">
        <v>613</v>
      </c>
      <c r="Y60" s="184">
        <v>1</v>
      </c>
      <c r="Z60" s="184">
        <v>0</v>
      </c>
      <c r="AA60" s="177"/>
      <c r="AB60" s="177"/>
      <c r="AC60" s="83">
        <v>1</v>
      </c>
      <c r="AD60" s="228">
        <f t="shared" si="8"/>
        <v>1</v>
      </c>
      <c r="AE60" s="174" t="s">
        <v>734</v>
      </c>
      <c r="AF60" s="452"/>
      <c r="AG60" s="443"/>
      <c r="AH60" s="429"/>
      <c r="AI60" s="375"/>
      <c r="AJ60" s="375"/>
      <c r="AK60" s="375"/>
      <c r="AL60" s="375"/>
      <c r="AM60" s="375"/>
      <c r="AN60" s="446"/>
      <c r="AO60" s="429"/>
      <c r="AP60" s="429"/>
      <c r="AQ60" s="333"/>
      <c r="AR60" s="333"/>
      <c r="AS60" s="372"/>
      <c r="AT60" s="554"/>
      <c r="AU60" s="56"/>
      <c r="AV60" s="89" t="s">
        <v>1010</v>
      </c>
      <c r="AW60" s="68">
        <v>19</v>
      </c>
      <c r="AX60" s="236" t="s">
        <v>1018</v>
      </c>
    </row>
    <row r="61" spans="1:50" ht="170.5" x14ac:dyDescent="0.35">
      <c r="A61" s="477"/>
      <c r="B61" s="477"/>
      <c r="C61" s="432"/>
      <c r="D61" s="432"/>
      <c r="E61" s="432"/>
      <c r="F61" s="487"/>
      <c r="G61" s="481"/>
      <c r="H61" s="431"/>
      <c r="I61" s="432"/>
      <c r="J61" s="432"/>
      <c r="K61" s="506"/>
      <c r="L61" s="506"/>
      <c r="M61" s="506"/>
      <c r="N61" s="448"/>
      <c r="O61" s="448"/>
      <c r="P61" s="449"/>
      <c r="Q61" s="525"/>
      <c r="R61" s="555"/>
      <c r="S61" s="525"/>
      <c r="T61" s="555"/>
      <c r="U61" s="429"/>
      <c r="V61" s="559"/>
      <c r="W61" s="452"/>
      <c r="X61" s="173" t="s">
        <v>612</v>
      </c>
      <c r="Y61" s="184">
        <v>3</v>
      </c>
      <c r="Z61" s="184">
        <v>0</v>
      </c>
      <c r="AA61" s="177"/>
      <c r="AB61" s="177"/>
      <c r="AC61" s="83">
        <v>3</v>
      </c>
      <c r="AD61" s="228">
        <f t="shared" si="8"/>
        <v>1</v>
      </c>
      <c r="AE61" s="174" t="s">
        <v>734</v>
      </c>
      <c r="AF61" s="452"/>
      <c r="AG61" s="443"/>
      <c r="AH61" s="429"/>
      <c r="AI61" s="375"/>
      <c r="AJ61" s="375"/>
      <c r="AK61" s="375"/>
      <c r="AL61" s="375"/>
      <c r="AM61" s="375"/>
      <c r="AN61" s="446"/>
      <c r="AO61" s="429"/>
      <c r="AP61" s="429"/>
      <c r="AQ61" s="333"/>
      <c r="AR61" s="333"/>
      <c r="AS61" s="372"/>
      <c r="AT61" s="554"/>
      <c r="AU61" s="56"/>
      <c r="AV61" s="189" t="s">
        <v>1011</v>
      </c>
      <c r="AW61" s="68">
        <v>20</v>
      </c>
      <c r="AX61" s="236" t="s">
        <v>1056</v>
      </c>
    </row>
    <row r="62" spans="1:50" ht="108.5" x14ac:dyDescent="0.35">
      <c r="A62" s="477"/>
      <c r="B62" s="477"/>
      <c r="C62" s="432"/>
      <c r="D62" s="432"/>
      <c r="E62" s="432"/>
      <c r="F62" s="487"/>
      <c r="G62" s="481"/>
      <c r="H62" s="431"/>
      <c r="I62" s="432"/>
      <c r="J62" s="432"/>
      <c r="K62" s="506"/>
      <c r="L62" s="506"/>
      <c r="M62" s="506"/>
      <c r="N62" s="448"/>
      <c r="O62" s="448"/>
      <c r="P62" s="449"/>
      <c r="Q62" s="526"/>
      <c r="R62" s="549"/>
      <c r="S62" s="526"/>
      <c r="T62" s="549"/>
      <c r="U62" s="429"/>
      <c r="V62" s="559"/>
      <c r="W62" s="452"/>
      <c r="X62" s="173" t="s">
        <v>611</v>
      </c>
      <c r="Y62" s="184">
        <v>1</v>
      </c>
      <c r="Z62" s="184">
        <v>0</v>
      </c>
      <c r="AA62" s="177"/>
      <c r="AB62" s="177"/>
      <c r="AC62" s="83">
        <v>1</v>
      </c>
      <c r="AD62" s="228">
        <f t="shared" si="8"/>
        <v>1</v>
      </c>
      <c r="AE62" s="174" t="s">
        <v>734</v>
      </c>
      <c r="AF62" s="452"/>
      <c r="AG62" s="443"/>
      <c r="AH62" s="429"/>
      <c r="AI62" s="375"/>
      <c r="AJ62" s="375"/>
      <c r="AK62" s="375"/>
      <c r="AL62" s="375"/>
      <c r="AM62" s="375"/>
      <c r="AN62" s="446"/>
      <c r="AO62" s="429"/>
      <c r="AP62" s="429"/>
      <c r="AQ62" s="333"/>
      <c r="AR62" s="333"/>
      <c r="AS62" s="372"/>
      <c r="AT62" s="557"/>
      <c r="AU62" s="56"/>
      <c r="AV62" s="189" t="s">
        <v>1012</v>
      </c>
      <c r="AW62" s="68">
        <v>21</v>
      </c>
      <c r="AX62" s="236" t="s">
        <v>1057</v>
      </c>
    </row>
    <row r="63" spans="1:50" ht="126.75" customHeight="1" x14ac:dyDescent="0.35">
      <c r="A63" s="477"/>
      <c r="B63" s="477"/>
      <c r="C63" s="432"/>
      <c r="D63" s="432"/>
      <c r="E63" s="432"/>
      <c r="F63" s="488"/>
      <c r="G63" s="481"/>
      <c r="H63" s="181" t="s">
        <v>155</v>
      </c>
      <c r="I63" s="179" t="s">
        <v>156</v>
      </c>
      <c r="J63" s="181" t="s">
        <v>157</v>
      </c>
      <c r="K63" s="175">
        <v>700</v>
      </c>
      <c r="L63" s="175">
        <v>183</v>
      </c>
      <c r="M63" s="175">
        <v>58</v>
      </c>
      <c r="N63" s="187">
        <f>64+38</f>
        <v>102</v>
      </c>
      <c r="O63" s="187">
        <v>147</v>
      </c>
      <c r="P63" s="264">
        <v>96</v>
      </c>
      <c r="Q63" s="264">
        <f>+P63+O63+N63+M63</f>
        <v>403</v>
      </c>
      <c r="R63" s="265">
        <v>1</v>
      </c>
      <c r="S63" s="264">
        <f>150+Q63</f>
        <v>553</v>
      </c>
      <c r="T63" s="265">
        <f>+S63/K63</f>
        <v>0.79</v>
      </c>
      <c r="U63" s="430"/>
      <c r="V63" s="560"/>
      <c r="W63" s="453"/>
      <c r="X63" s="173" t="s">
        <v>341</v>
      </c>
      <c r="Y63" s="184">
        <v>1</v>
      </c>
      <c r="Z63" s="184">
        <v>0</v>
      </c>
      <c r="AA63" s="177"/>
      <c r="AB63" s="177">
        <v>147</v>
      </c>
      <c r="AC63" s="83">
        <v>0</v>
      </c>
      <c r="AD63" s="83"/>
      <c r="AE63" s="174" t="s">
        <v>734</v>
      </c>
      <c r="AF63" s="453"/>
      <c r="AG63" s="444"/>
      <c r="AH63" s="430"/>
      <c r="AI63" s="376"/>
      <c r="AJ63" s="376"/>
      <c r="AK63" s="376"/>
      <c r="AL63" s="376"/>
      <c r="AM63" s="376"/>
      <c r="AN63" s="447"/>
      <c r="AO63" s="430"/>
      <c r="AP63" s="430"/>
      <c r="AQ63" s="333"/>
      <c r="AR63" s="333"/>
      <c r="AS63" s="373"/>
      <c r="AT63" s="3"/>
      <c r="AU63" s="51"/>
      <c r="AV63" s="144" t="s">
        <v>1013</v>
      </c>
      <c r="AW63" s="64">
        <v>22</v>
      </c>
      <c r="AX63" s="236" t="s">
        <v>835</v>
      </c>
    </row>
    <row r="64" spans="1:50" s="21" customFormat="1" ht="86.25" customHeight="1" x14ac:dyDescent="0.35">
      <c r="A64" s="12"/>
      <c r="B64" s="12"/>
      <c r="C64" s="13"/>
      <c r="D64" s="14"/>
      <c r="E64" s="13"/>
      <c r="F64" s="153"/>
      <c r="G64" s="493" t="s">
        <v>1078</v>
      </c>
      <c r="H64" s="494"/>
      <c r="I64" s="494"/>
      <c r="J64" s="494"/>
      <c r="K64" s="494"/>
      <c r="L64" s="494"/>
      <c r="M64" s="494"/>
      <c r="N64" s="494"/>
      <c r="O64" s="494"/>
      <c r="P64" s="494"/>
      <c r="Q64" s="494"/>
      <c r="R64" s="205">
        <f>AVERAGE(R56:R63)</f>
        <v>1</v>
      </c>
      <c r="S64" s="204"/>
      <c r="T64" s="205">
        <f>AVERAGE(T56:T63)</f>
        <v>0.70301020408163262</v>
      </c>
      <c r="U64" s="17"/>
      <c r="V64" s="18"/>
      <c r="W64" s="13"/>
      <c r="X64" s="13"/>
      <c r="Y64" s="16"/>
      <c r="Z64" s="16"/>
      <c r="AA64" s="16"/>
      <c r="AB64" s="16"/>
      <c r="AC64" s="84"/>
      <c r="AD64" s="227">
        <f>AVERAGE(AD56:AD63)</f>
        <v>0.83333333333333337</v>
      </c>
      <c r="AE64" s="16"/>
      <c r="AF64" s="13"/>
      <c r="AG64" s="19"/>
      <c r="AH64" s="17"/>
      <c r="AI64" s="20"/>
      <c r="AJ64" s="20"/>
      <c r="AK64" s="20"/>
      <c r="AL64" s="20"/>
      <c r="AM64" s="20"/>
      <c r="AN64" s="33"/>
      <c r="AO64" s="17"/>
      <c r="AP64" s="18"/>
      <c r="AQ64" s="18"/>
      <c r="AR64" s="18"/>
      <c r="AS64" s="18"/>
      <c r="AT64" s="31"/>
      <c r="AU64" s="53"/>
      <c r="AV64" s="123"/>
      <c r="AW64" s="59"/>
      <c r="AX64" s="22"/>
    </row>
    <row r="65" spans="1:50" ht="170.5" x14ac:dyDescent="0.35">
      <c r="A65" s="477" t="s">
        <v>129</v>
      </c>
      <c r="B65" s="477" t="s">
        <v>139</v>
      </c>
      <c r="C65" s="432" t="s">
        <v>140</v>
      </c>
      <c r="D65" s="432" t="s">
        <v>29</v>
      </c>
      <c r="E65" s="432" t="s">
        <v>141</v>
      </c>
      <c r="F65" s="486" t="s">
        <v>29</v>
      </c>
      <c r="G65" s="481" t="s">
        <v>158</v>
      </c>
      <c r="H65" s="431" t="s">
        <v>159</v>
      </c>
      <c r="I65" s="432">
        <v>0</v>
      </c>
      <c r="J65" s="515" t="s">
        <v>160</v>
      </c>
      <c r="K65" s="506">
        <v>1</v>
      </c>
      <c r="L65" s="506">
        <v>1</v>
      </c>
      <c r="M65" s="506">
        <v>1</v>
      </c>
      <c r="N65" s="448">
        <v>0</v>
      </c>
      <c r="O65" s="516">
        <v>0.25</v>
      </c>
      <c r="P65" s="524">
        <v>1</v>
      </c>
      <c r="Q65" s="524">
        <v>1</v>
      </c>
      <c r="R65" s="548">
        <v>1</v>
      </c>
      <c r="S65" s="524">
        <v>1</v>
      </c>
      <c r="T65" s="548">
        <v>1</v>
      </c>
      <c r="U65" s="457" t="s">
        <v>342</v>
      </c>
      <c r="V65" s="556">
        <v>2020130010109</v>
      </c>
      <c r="W65" s="451" t="s">
        <v>343</v>
      </c>
      <c r="X65" s="173" t="s">
        <v>344</v>
      </c>
      <c r="Y65" s="184">
        <v>1</v>
      </c>
      <c r="Z65" s="184">
        <v>1</v>
      </c>
      <c r="AA65" s="177"/>
      <c r="AB65" s="177"/>
      <c r="AC65" s="83">
        <v>1</v>
      </c>
      <c r="AD65" s="228">
        <v>1</v>
      </c>
      <c r="AE65" s="174" t="s">
        <v>734</v>
      </c>
      <c r="AF65" s="451" t="s">
        <v>649</v>
      </c>
      <c r="AG65" s="442" t="s">
        <v>450</v>
      </c>
      <c r="AH65" s="428" t="s">
        <v>41</v>
      </c>
      <c r="AI65" s="374">
        <v>91698934</v>
      </c>
      <c r="AJ65" s="374">
        <v>40600000</v>
      </c>
      <c r="AK65" s="374">
        <v>40600000</v>
      </c>
      <c r="AL65" s="374">
        <v>40600000</v>
      </c>
      <c r="AM65" s="374"/>
      <c r="AN65" s="445">
        <f>+AK65/AI65</f>
        <v>0.44275323854909809</v>
      </c>
      <c r="AO65" s="428" t="s">
        <v>582</v>
      </c>
      <c r="AP65" s="428" t="s">
        <v>453</v>
      </c>
      <c r="AQ65" s="346">
        <v>91698934</v>
      </c>
      <c r="AR65" s="346">
        <v>87012000</v>
      </c>
      <c r="AS65" s="371">
        <f>+AR65/AQ65</f>
        <v>0.94888780277423945</v>
      </c>
      <c r="AT65" s="5" t="s">
        <v>616</v>
      </c>
      <c r="AU65" s="55"/>
      <c r="AV65" s="189" t="s">
        <v>1014</v>
      </c>
      <c r="AW65" s="64">
        <v>23</v>
      </c>
      <c r="AX65" s="236" t="s">
        <v>836</v>
      </c>
    </row>
    <row r="66" spans="1:50" ht="409.5" x14ac:dyDescent="0.35">
      <c r="A66" s="477"/>
      <c r="B66" s="477"/>
      <c r="C66" s="432"/>
      <c r="D66" s="432"/>
      <c r="E66" s="432"/>
      <c r="F66" s="488"/>
      <c r="G66" s="481"/>
      <c r="H66" s="431"/>
      <c r="I66" s="432"/>
      <c r="J66" s="515"/>
      <c r="K66" s="506"/>
      <c r="L66" s="506"/>
      <c r="M66" s="506"/>
      <c r="N66" s="448"/>
      <c r="O66" s="517"/>
      <c r="P66" s="526"/>
      <c r="Q66" s="526"/>
      <c r="R66" s="549"/>
      <c r="S66" s="526"/>
      <c r="T66" s="549"/>
      <c r="U66" s="457"/>
      <c r="V66" s="556"/>
      <c r="W66" s="453"/>
      <c r="X66" s="173" t="s">
        <v>345</v>
      </c>
      <c r="Y66" s="184">
        <v>1</v>
      </c>
      <c r="Z66" s="184">
        <v>0</v>
      </c>
      <c r="AA66" s="177"/>
      <c r="AB66" s="177"/>
      <c r="AC66" s="83">
        <v>1</v>
      </c>
      <c r="AD66" s="228">
        <v>1</v>
      </c>
      <c r="AE66" s="174" t="s">
        <v>734</v>
      </c>
      <c r="AF66" s="453"/>
      <c r="AG66" s="444"/>
      <c r="AH66" s="430"/>
      <c r="AI66" s="376"/>
      <c r="AJ66" s="376"/>
      <c r="AK66" s="376"/>
      <c r="AL66" s="376"/>
      <c r="AM66" s="376"/>
      <c r="AN66" s="447"/>
      <c r="AO66" s="430"/>
      <c r="AP66" s="430"/>
      <c r="AQ66" s="348"/>
      <c r="AR66" s="348"/>
      <c r="AS66" s="373"/>
      <c r="AT66" s="3"/>
      <c r="AU66" s="51"/>
      <c r="AV66" s="145" t="s">
        <v>1015</v>
      </c>
      <c r="AW66" s="64">
        <v>24</v>
      </c>
      <c r="AX66" s="236" t="s">
        <v>837</v>
      </c>
    </row>
    <row r="67" spans="1:50" s="21" customFormat="1" ht="37.5" x14ac:dyDescent="0.35">
      <c r="A67" s="12"/>
      <c r="B67" s="12"/>
      <c r="C67" s="13"/>
      <c r="D67" s="14"/>
      <c r="E67" s="13"/>
      <c r="F67" s="153"/>
      <c r="G67" s="493" t="s">
        <v>1079</v>
      </c>
      <c r="H67" s="494"/>
      <c r="I67" s="494"/>
      <c r="J67" s="494"/>
      <c r="K67" s="494"/>
      <c r="L67" s="494"/>
      <c r="M67" s="494"/>
      <c r="N67" s="494"/>
      <c r="O67" s="494"/>
      <c r="P67" s="495"/>
      <c r="Q67" s="241"/>
      <c r="R67" s="243">
        <f>SUM(R65)</f>
        <v>1</v>
      </c>
      <c r="S67" s="241"/>
      <c r="T67" s="243">
        <f>SUM(T65)</f>
        <v>1</v>
      </c>
      <c r="U67" s="17"/>
      <c r="V67" s="18"/>
      <c r="W67" s="13"/>
      <c r="X67" s="13"/>
      <c r="Y67" s="16"/>
      <c r="Z67" s="16"/>
      <c r="AA67" s="16"/>
      <c r="AB67" s="16"/>
      <c r="AC67" s="84"/>
      <c r="AD67" s="226">
        <v>1</v>
      </c>
      <c r="AE67" s="16"/>
      <c r="AF67" s="13"/>
      <c r="AG67" s="19"/>
      <c r="AH67" s="17"/>
      <c r="AI67" s="20"/>
      <c r="AJ67" s="20"/>
      <c r="AK67" s="20"/>
      <c r="AL67" s="20"/>
      <c r="AM67" s="20"/>
      <c r="AN67" s="33"/>
      <c r="AO67" s="17"/>
      <c r="AP67" s="18"/>
      <c r="AQ67" s="18"/>
      <c r="AR67" s="18"/>
      <c r="AS67" s="18"/>
      <c r="AT67" s="31"/>
      <c r="AU67" s="53"/>
      <c r="AV67" s="124"/>
      <c r="AW67" s="59"/>
      <c r="AX67" s="22"/>
    </row>
    <row r="68" spans="1:50" ht="93" customHeight="1" x14ac:dyDescent="0.35">
      <c r="A68" s="477" t="s">
        <v>129</v>
      </c>
      <c r="B68" s="477" t="s">
        <v>139</v>
      </c>
      <c r="C68" s="432" t="s">
        <v>140</v>
      </c>
      <c r="D68" s="432" t="s">
        <v>29</v>
      </c>
      <c r="E68" s="432" t="s">
        <v>141</v>
      </c>
      <c r="F68" s="486" t="s">
        <v>29</v>
      </c>
      <c r="G68" s="481" t="s">
        <v>161</v>
      </c>
      <c r="H68" s="173" t="s">
        <v>162</v>
      </c>
      <c r="I68" s="174" t="s">
        <v>163</v>
      </c>
      <c r="J68" s="173" t="s">
        <v>164</v>
      </c>
      <c r="K68" s="184">
        <v>55</v>
      </c>
      <c r="L68" s="184">
        <v>17</v>
      </c>
      <c r="M68" s="184">
        <v>0</v>
      </c>
      <c r="N68" s="177">
        <v>0</v>
      </c>
      <c r="O68" s="177">
        <v>0</v>
      </c>
      <c r="P68" s="238">
        <v>5</v>
      </c>
      <c r="Q68" s="238">
        <f>+P68</f>
        <v>5</v>
      </c>
      <c r="R68" s="239">
        <f>+Q68/L68</f>
        <v>0.29411764705882354</v>
      </c>
      <c r="S68" s="238">
        <f>+Q68</f>
        <v>5</v>
      </c>
      <c r="T68" s="239">
        <f>+S68/K68</f>
        <v>9.0909090909090912E-2</v>
      </c>
      <c r="U68" s="457" t="s">
        <v>346</v>
      </c>
      <c r="V68" s="556">
        <v>2020130010106</v>
      </c>
      <c r="W68" s="451" t="s">
        <v>347</v>
      </c>
      <c r="X68" s="173" t="s">
        <v>348</v>
      </c>
      <c r="Y68" s="184">
        <v>5</v>
      </c>
      <c r="Z68" s="184">
        <v>1</v>
      </c>
      <c r="AA68" s="177"/>
      <c r="AB68" s="177">
        <v>0</v>
      </c>
      <c r="AC68" s="83">
        <v>5</v>
      </c>
      <c r="AD68" s="228">
        <v>1</v>
      </c>
      <c r="AE68" s="174" t="s">
        <v>734</v>
      </c>
      <c r="AF68" s="451" t="s">
        <v>649</v>
      </c>
      <c r="AG68" s="442" t="s">
        <v>450</v>
      </c>
      <c r="AH68" s="428" t="s">
        <v>41</v>
      </c>
      <c r="AI68" s="374">
        <v>68309618</v>
      </c>
      <c r="AJ68" s="374">
        <v>31500000</v>
      </c>
      <c r="AK68" s="374">
        <v>31500000</v>
      </c>
      <c r="AL68" s="374">
        <v>31500000</v>
      </c>
      <c r="AM68" s="374"/>
      <c r="AN68" s="445">
        <f>+AK68/AI68</f>
        <v>0.46113564857001543</v>
      </c>
      <c r="AO68" s="428" t="s">
        <v>583</v>
      </c>
      <c r="AP68" s="428" t="s">
        <v>454</v>
      </c>
      <c r="AQ68" s="333">
        <v>68309618</v>
      </c>
      <c r="AR68" s="333">
        <v>65654809</v>
      </c>
      <c r="AS68" s="349">
        <f>+AR68/AQ68</f>
        <v>0.96113564857001543</v>
      </c>
      <c r="AT68" s="5" t="s">
        <v>617</v>
      </c>
      <c r="AU68" s="55"/>
      <c r="AV68" s="89" t="s">
        <v>1016</v>
      </c>
      <c r="AW68" s="64">
        <v>25</v>
      </c>
      <c r="AX68" s="236" t="s">
        <v>838</v>
      </c>
    </row>
    <row r="69" spans="1:50" ht="409.5" x14ac:dyDescent="0.35">
      <c r="A69" s="477"/>
      <c r="B69" s="477"/>
      <c r="C69" s="432"/>
      <c r="D69" s="432"/>
      <c r="E69" s="432"/>
      <c r="F69" s="488"/>
      <c r="G69" s="481"/>
      <c r="H69" s="173" t="s">
        <v>165</v>
      </c>
      <c r="I69" s="174">
        <v>0</v>
      </c>
      <c r="J69" s="185" t="s">
        <v>166</v>
      </c>
      <c r="K69" s="184">
        <v>4</v>
      </c>
      <c r="L69" s="184">
        <v>1</v>
      </c>
      <c r="M69" s="184">
        <v>0</v>
      </c>
      <c r="N69" s="177">
        <v>1</v>
      </c>
      <c r="O69" s="177">
        <v>0</v>
      </c>
      <c r="P69" s="238">
        <v>1</v>
      </c>
      <c r="Q69" s="238">
        <f>+P69</f>
        <v>1</v>
      </c>
      <c r="R69" s="239">
        <v>1</v>
      </c>
      <c r="S69" s="238">
        <f>2+P69</f>
        <v>3</v>
      </c>
      <c r="T69" s="239">
        <f>+S69/K69</f>
        <v>0.75</v>
      </c>
      <c r="U69" s="457"/>
      <c r="V69" s="556"/>
      <c r="W69" s="453"/>
      <c r="X69" s="173" t="s">
        <v>349</v>
      </c>
      <c r="Y69" s="184">
        <v>1</v>
      </c>
      <c r="Z69" s="184">
        <v>1</v>
      </c>
      <c r="AA69" s="177"/>
      <c r="AB69" s="177">
        <v>2</v>
      </c>
      <c r="AC69" s="83">
        <v>1</v>
      </c>
      <c r="AD69" s="228">
        <v>1</v>
      </c>
      <c r="AE69" s="174" t="s">
        <v>734</v>
      </c>
      <c r="AF69" s="453"/>
      <c r="AG69" s="444"/>
      <c r="AH69" s="430"/>
      <c r="AI69" s="376"/>
      <c r="AJ69" s="376"/>
      <c r="AK69" s="376"/>
      <c r="AL69" s="376"/>
      <c r="AM69" s="376"/>
      <c r="AN69" s="447"/>
      <c r="AO69" s="430"/>
      <c r="AP69" s="430"/>
      <c r="AQ69" s="333"/>
      <c r="AR69" s="333"/>
      <c r="AS69" s="351"/>
      <c r="AT69" s="3"/>
      <c r="AU69" s="51"/>
      <c r="AV69" s="266" t="s">
        <v>1111</v>
      </c>
      <c r="AW69" s="64">
        <v>26</v>
      </c>
      <c r="AX69" s="236" t="s">
        <v>839</v>
      </c>
    </row>
    <row r="70" spans="1:50" s="21" customFormat="1" ht="57.75" customHeight="1" x14ac:dyDescent="0.35">
      <c r="A70" s="12"/>
      <c r="B70" s="493" t="s">
        <v>1081</v>
      </c>
      <c r="C70" s="494"/>
      <c r="D70" s="494"/>
      <c r="E70" s="494"/>
      <c r="F70" s="494"/>
      <c r="G70" s="494"/>
      <c r="H70" s="494"/>
      <c r="I70" s="494"/>
      <c r="J70" s="494"/>
      <c r="K70" s="494"/>
      <c r="L70" s="494"/>
      <c r="M70" s="494"/>
      <c r="N70" s="494"/>
      <c r="O70" s="494"/>
      <c r="P70" s="495"/>
      <c r="Q70" s="241"/>
      <c r="R70" s="249">
        <f>AVERAGE(R68:R69)</f>
        <v>0.6470588235294118</v>
      </c>
      <c r="S70" s="249"/>
      <c r="T70" s="249">
        <f>AVERAGE(T68:T69)</f>
        <v>0.42045454545454547</v>
      </c>
      <c r="U70" s="17"/>
      <c r="V70" s="18"/>
      <c r="W70" s="13"/>
      <c r="X70" s="13"/>
      <c r="Y70" s="16"/>
      <c r="Z70" s="16"/>
      <c r="AA70" s="16"/>
      <c r="AB70" s="16"/>
      <c r="AC70" s="84"/>
      <c r="AD70" s="226">
        <v>1</v>
      </c>
      <c r="AE70" s="16"/>
      <c r="AF70" s="13"/>
      <c r="AG70" s="19"/>
      <c r="AH70" s="17"/>
      <c r="AI70" s="20"/>
      <c r="AJ70" s="20"/>
      <c r="AK70" s="20"/>
      <c r="AL70" s="20"/>
      <c r="AM70" s="20"/>
      <c r="AN70" s="33"/>
      <c r="AO70" s="17"/>
      <c r="AP70" s="18"/>
      <c r="AQ70" s="18"/>
      <c r="AR70" s="18"/>
      <c r="AS70" s="18"/>
      <c r="AT70" s="31"/>
      <c r="AU70" s="53"/>
      <c r="AV70" s="123"/>
      <c r="AW70" s="59"/>
      <c r="AX70" s="22"/>
    </row>
    <row r="71" spans="1:50" s="21" customFormat="1" ht="59.25" customHeight="1" x14ac:dyDescent="0.35">
      <c r="A71" s="12"/>
      <c r="B71" s="493" t="s">
        <v>1080</v>
      </c>
      <c r="C71" s="494"/>
      <c r="D71" s="494"/>
      <c r="E71" s="494"/>
      <c r="F71" s="494"/>
      <c r="G71" s="494"/>
      <c r="H71" s="494"/>
      <c r="I71" s="494"/>
      <c r="J71" s="494"/>
      <c r="K71" s="494"/>
      <c r="L71" s="494"/>
      <c r="M71" s="494"/>
      <c r="N71" s="494"/>
      <c r="O71" s="494"/>
      <c r="P71" s="495"/>
      <c r="Q71" s="267"/>
      <c r="R71" s="268">
        <f>+(R55+R64+R67+R70)/4</f>
        <v>0.84926470588235292</v>
      </c>
      <c r="S71" s="268"/>
      <c r="T71" s="268">
        <f>+(T55+T64+T67+T70)/4</f>
        <v>0.72517868738404456</v>
      </c>
      <c r="U71" s="196"/>
      <c r="V71" s="199"/>
      <c r="W71" s="194"/>
      <c r="X71" s="13"/>
      <c r="Y71" s="16"/>
      <c r="Z71" s="16"/>
      <c r="AA71" s="16"/>
      <c r="AB71" s="16"/>
      <c r="AC71" s="84"/>
      <c r="AD71" s="84"/>
      <c r="AE71" s="16"/>
      <c r="AF71" s="194"/>
      <c r="AG71" s="195"/>
      <c r="AH71" s="196"/>
      <c r="AI71" s="197"/>
      <c r="AJ71" s="197"/>
      <c r="AK71" s="197"/>
      <c r="AL71" s="197"/>
      <c r="AM71" s="197"/>
      <c r="AN71" s="198"/>
      <c r="AO71" s="196"/>
      <c r="AP71" s="199"/>
      <c r="AQ71" s="199"/>
      <c r="AR71" s="199"/>
      <c r="AS71" s="199"/>
      <c r="AT71" s="206"/>
      <c r="AU71" s="207"/>
      <c r="AV71" s="208"/>
      <c r="AW71" s="59"/>
      <c r="AX71" s="22"/>
    </row>
    <row r="72" spans="1:50" ht="60" customHeight="1" x14ac:dyDescent="0.35">
      <c r="A72" s="477" t="s">
        <v>129</v>
      </c>
      <c r="B72" s="477" t="s">
        <v>167</v>
      </c>
      <c r="C72" s="432" t="s">
        <v>168</v>
      </c>
      <c r="D72" s="432" t="s">
        <v>169</v>
      </c>
      <c r="E72" s="432" t="s">
        <v>170</v>
      </c>
      <c r="F72" s="531">
        <v>0.41664285714285715</v>
      </c>
      <c r="G72" s="481" t="s">
        <v>171</v>
      </c>
      <c r="H72" s="431" t="s">
        <v>172</v>
      </c>
      <c r="I72" s="432" t="s">
        <v>173</v>
      </c>
      <c r="J72" s="431" t="s">
        <v>174</v>
      </c>
      <c r="K72" s="506">
        <v>14000</v>
      </c>
      <c r="L72" s="506">
        <v>4500</v>
      </c>
      <c r="M72" s="506">
        <v>819</v>
      </c>
      <c r="N72" s="448">
        <v>2614</v>
      </c>
      <c r="O72" s="516">
        <v>1238</v>
      </c>
      <c r="P72" s="524">
        <v>162</v>
      </c>
      <c r="Q72" s="524">
        <f>+M72+P72+O72+N72</f>
        <v>4833</v>
      </c>
      <c r="R72" s="548">
        <v>1</v>
      </c>
      <c r="S72" s="524">
        <f>1000+Q72</f>
        <v>5833</v>
      </c>
      <c r="T72" s="548">
        <f>+S72/K72</f>
        <v>0.41664285714285715</v>
      </c>
      <c r="U72" s="428" t="s">
        <v>350</v>
      </c>
      <c r="V72" s="464">
        <v>2020130010119</v>
      </c>
      <c r="W72" s="451" t="s">
        <v>351</v>
      </c>
      <c r="X72" s="173" t="s">
        <v>352</v>
      </c>
      <c r="Y72" s="184">
        <v>50</v>
      </c>
      <c r="Z72" s="184">
        <v>23</v>
      </c>
      <c r="AA72" s="177">
        <v>41</v>
      </c>
      <c r="AB72" s="177">
        <v>47</v>
      </c>
      <c r="AC72" s="83">
        <v>4</v>
      </c>
      <c r="AD72" s="228">
        <v>1</v>
      </c>
      <c r="AE72" s="174" t="s">
        <v>734</v>
      </c>
      <c r="AF72" s="451" t="s">
        <v>650</v>
      </c>
      <c r="AG72" s="451" t="s">
        <v>651</v>
      </c>
      <c r="AH72" s="428" t="s">
        <v>41</v>
      </c>
      <c r="AI72" s="374">
        <v>310148738</v>
      </c>
      <c r="AJ72" s="374">
        <v>183050000</v>
      </c>
      <c r="AK72" s="374">
        <v>183050000</v>
      </c>
      <c r="AL72" s="374">
        <v>198350000</v>
      </c>
      <c r="AM72" s="374"/>
      <c r="AN72" s="445">
        <f>+AK72/AI72</f>
        <v>0.59020069267539632</v>
      </c>
      <c r="AO72" s="374" t="s">
        <v>584</v>
      </c>
      <c r="AP72" s="428" t="s">
        <v>455</v>
      </c>
      <c r="AQ72" s="331">
        <v>469887592.62</v>
      </c>
      <c r="AR72" s="333">
        <v>303633134</v>
      </c>
      <c r="AS72" s="349">
        <f>+AR72/AQ72</f>
        <v>0.6461824886820311</v>
      </c>
      <c r="AT72" s="553" t="s">
        <v>683</v>
      </c>
      <c r="AU72" s="550" t="s">
        <v>737</v>
      </c>
      <c r="AV72" s="383" t="s">
        <v>948</v>
      </c>
      <c r="AW72" s="269">
        <v>1</v>
      </c>
      <c r="AX72" s="245" t="s">
        <v>840</v>
      </c>
    </row>
    <row r="73" spans="1:50" ht="23.25" customHeight="1" x14ac:dyDescent="0.35">
      <c r="A73" s="477"/>
      <c r="B73" s="477"/>
      <c r="C73" s="432"/>
      <c r="D73" s="432"/>
      <c r="E73" s="432"/>
      <c r="F73" s="533"/>
      <c r="G73" s="481"/>
      <c r="H73" s="431"/>
      <c r="I73" s="432"/>
      <c r="J73" s="431"/>
      <c r="K73" s="506"/>
      <c r="L73" s="506"/>
      <c r="M73" s="506"/>
      <c r="N73" s="448"/>
      <c r="O73" s="530"/>
      <c r="P73" s="525"/>
      <c r="Q73" s="525"/>
      <c r="R73" s="555"/>
      <c r="S73" s="525"/>
      <c r="T73" s="555"/>
      <c r="U73" s="429"/>
      <c r="V73" s="465"/>
      <c r="W73" s="452"/>
      <c r="X73" s="173" t="s">
        <v>353</v>
      </c>
      <c r="Y73" s="184">
        <v>1</v>
      </c>
      <c r="Z73" s="184">
        <v>0</v>
      </c>
      <c r="AA73" s="177">
        <v>0</v>
      </c>
      <c r="AB73" s="177">
        <v>1</v>
      </c>
      <c r="AC73" s="83">
        <v>0</v>
      </c>
      <c r="AD73" s="228">
        <v>1</v>
      </c>
      <c r="AE73" s="174" t="s">
        <v>734</v>
      </c>
      <c r="AF73" s="452"/>
      <c r="AG73" s="452"/>
      <c r="AH73" s="429"/>
      <c r="AI73" s="375"/>
      <c r="AJ73" s="375"/>
      <c r="AK73" s="375"/>
      <c r="AL73" s="375"/>
      <c r="AM73" s="375"/>
      <c r="AN73" s="446"/>
      <c r="AO73" s="375"/>
      <c r="AP73" s="429"/>
      <c r="AQ73" s="331"/>
      <c r="AR73" s="333"/>
      <c r="AS73" s="350"/>
      <c r="AT73" s="554"/>
      <c r="AU73" s="551"/>
      <c r="AV73" s="384"/>
      <c r="AW73" s="269">
        <v>2</v>
      </c>
      <c r="AX73" s="245" t="s">
        <v>841</v>
      </c>
    </row>
    <row r="74" spans="1:50" ht="31" customHeight="1" x14ac:dyDescent="0.35">
      <c r="A74" s="477"/>
      <c r="B74" s="477"/>
      <c r="C74" s="432"/>
      <c r="D74" s="432"/>
      <c r="E74" s="432"/>
      <c r="F74" s="533"/>
      <c r="G74" s="481"/>
      <c r="H74" s="431"/>
      <c r="I74" s="432"/>
      <c r="J74" s="431"/>
      <c r="K74" s="506"/>
      <c r="L74" s="506"/>
      <c r="M74" s="506"/>
      <c r="N74" s="448"/>
      <c r="O74" s="530"/>
      <c r="P74" s="525"/>
      <c r="Q74" s="525"/>
      <c r="R74" s="555"/>
      <c r="S74" s="525"/>
      <c r="T74" s="555"/>
      <c r="U74" s="429"/>
      <c r="V74" s="465"/>
      <c r="W74" s="452"/>
      <c r="X74" s="173" t="s">
        <v>354</v>
      </c>
      <c r="Y74" s="184">
        <v>1</v>
      </c>
      <c r="Z74" s="184">
        <v>0</v>
      </c>
      <c r="AA74" s="177">
        <v>1</v>
      </c>
      <c r="AB74" s="177">
        <v>1</v>
      </c>
      <c r="AC74" s="83">
        <v>1</v>
      </c>
      <c r="AD74" s="228">
        <v>1</v>
      </c>
      <c r="AE74" s="174" t="s">
        <v>734</v>
      </c>
      <c r="AF74" s="452"/>
      <c r="AG74" s="452"/>
      <c r="AH74" s="429"/>
      <c r="AI74" s="375"/>
      <c r="AJ74" s="375"/>
      <c r="AK74" s="375"/>
      <c r="AL74" s="375"/>
      <c r="AM74" s="375"/>
      <c r="AN74" s="446"/>
      <c r="AO74" s="375"/>
      <c r="AP74" s="429"/>
      <c r="AQ74" s="331"/>
      <c r="AR74" s="333"/>
      <c r="AS74" s="350"/>
      <c r="AT74" s="554"/>
      <c r="AU74" s="551"/>
      <c r="AV74" s="384"/>
      <c r="AW74" s="269">
        <v>3</v>
      </c>
      <c r="AX74" s="245" t="s">
        <v>925</v>
      </c>
    </row>
    <row r="75" spans="1:50" ht="25.5" customHeight="1" x14ac:dyDescent="0.35">
      <c r="A75" s="477"/>
      <c r="B75" s="477"/>
      <c r="C75" s="432"/>
      <c r="D75" s="432"/>
      <c r="E75" s="432"/>
      <c r="F75" s="533"/>
      <c r="G75" s="481"/>
      <c r="H75" s="431"/>
      <c r="I75" s="432"/>
      <c r="J75" s="431"/>
      <c r="K75" s="506"/>
      <c r="L75" s="506"/>
      <c r="M75" s="506"/>
      <c r="N75" s="448"/>
      <c r="O75" s="517"/>
      <c r="P75" s="526"/>
      <c r="Q75" s="525"/>
      <c r="R75" s="555"/>
      <c r="S75" s="525"/>
      <c r="T75" s="555"/>
      <c r="U75" s="429"/>
      <c r="V75" s="465"/>
      <c r="W75" s="452"/>
      <c r="X75" s="173" t="s">
        <v>355</v>
      </c>
      <c r="Y75" s="184">
        <v>3</v>
      </c>
      <c r="Z75" s="184">
        <v>0</v>
      </c>
      <c r="AA75" s="177">
        <v>3</v>
      </c>
      <c r="AB75" s="177">
        <v>0</v>
      </c>
      <c r="AC75" s="83">
        <v>0</v>
      </c>
      <c r="AD75" s="228">
        <v>1</v>
      </c>
      <c r="AE75" s="174" t="s">
        <v>734</v>
      </c>
      <c r="AF75" s="452"/>
      <c r="AG75" s="452"/>
      <c r="AH75" s="429"/>
      <c r="AI75" s="375"/>
      <c r="AJ75" s="375"/>
      <c r="AK75" s="375"/>
      <c r="AL75" s="375"/>
      <c r="AM75" s="375"/>
      <c r="AN75" s="446"/>
      <c r="AO75" s="375"/>
      <c r="AP75" s="429"/>
      <c r="AQ75" s="331"/>
      <c r="AR75" s="333"/>
      <c r="AS75" s="350"/>
      <c r="AT75" s="554"/>
      <c r="AU75" s="552"/>
      <c r="AV75" s="385"/>
      <c r="AW75" s="269">
        <v>4</v>
      </c>
      <c r="AX75" s="246"/>
    </row>
    <row r="76" spans="1:50" ht="409.5" x14ac:dyDescent="0.35">
      <c r="A76" s="477"/>
      <c r="B76" s="477"/>
      <c r="C76" s="432"/>
      <c r="D76" s="432"/>
      <c r="E76" s="432"/>
      <c r="F76" s="534"/>
      <c r="G76" s="481"/>
      <c r="H76" s="173" t="s">
        <v>175</v>
      </c>
      <c r="I76" s="174">
        <v>0</v>
      </c>
      <c r="J76" s="173" t="s">
        <v>176</v>
      </c>
      <c r="K76" s="184">
        <v>1</v>
      </c>
      <c r="L76" s="184">
        <v>1</v>
      </c>
      <c r="M76" s="184">
        <v>1</v>
      </c>
      <c r="N76" s="177">
        <v>1</v>
      </c>
      <c r="O76" s="177">
        <v>1</v>
      </c>
      <c r="P76" s="238">
        <v>1</v>
      </c>
      <c r="Q76" s="238">
        <v>1</v>
      </c>
      <c r="R76" s="239">
        <v>1</v>
      </c>
      <c r="S76" s="238">
        <v>1</v>
      </c>
      <c r="T76" s="239">
        <v>1</v>
      </c>
      <c r="U76" s="430"/>
      <c r="V76" s="466"/>
      <c r="W76" s="453"/>
      <c r="X76" s="173" t="s">
        <v>356</v>
      </c>
      <c r="Y76" s="184">
        <v>1</v>
      </c>
      <c r="Z76" s="184">
        <v>1</v>
      </c>
      <c r="AA76" s="177">
        <v>1</v>
      </c>
      <c r="AB76" s="177">
        <v>1</v>
      </c>
      <c r="AC76" s="83">
        <v>2</v>
      </c>
      <c r="AD76" s="228">
        <v>1</v>
      </c>
      <c r="AE76" s="174" t="s">
        <v>734</v>
      </c>
      <c r="AF76" s="453"/>
      <c r="AG76" s="453"/>
      <c r="AH76" s="430"/>
      <c r="AI76" s="376"/>
      <c r="AJ76" s="376"/>
      <c r="AK76" s="376"/>
      <c r="AL76" s="376"/>
      <c r="AM76" s="376"/>
      <c r="AN76" s="447"/>
      <c r="AO76" s="376"/>
      <c r="AP76" s="430"/>
      <c r="AQ76" s="332"/>
      <c r="AR76" s="333"/>
      <c r="AS76" s="351"/>
      <c r="AT76" s="77" t="s">
        <v>618</v>
      </c>
      <c r="AU76" s="120" t="s">
        <v>738</v>
      </c>
      <c r="AV76" s="139" t="s">
        <v>915</v>
      </c>
      <c r="AW76" s="269">
        <v>5</v>
      </c>
      <c r="AX76" s="245" t="s">
        <v>947</v>
      </c>
    </row>
    <row r="77" spans="1:50" s="21" customFormat="1" ht="37.5" x14ac:dyDescent="0.35">
      <c r="A77" s="12"/>
      <c r="B77" s="12"/>
      <c r="C77" s="13"/>
      <c r="D77" s="14"/>
      <c r="E77" s="13"/>
      <c r="F77" s="153"/>
      <c r="G77" s="493" t="s">
        <v>1082</v>
      </c>
      <c r="H77" s="494"/>
      <c r="I77" s="494"/>
      <c r="J77" s="494"/>
      <c r="K77" s="494"/>
      <c r="L77" s="494"/>
      <c r="M77" s="494"/>
      <c r="N77" s="494"/>
      <c r="O77" s="494"/>
      <c r="P77" s="495"/>
      <c r="Q77" s="241"/>
      <c r="R77" s="243">
        <f>AVERAGE(R72:R76)</f>
        <v>1</v>
      </c>
      <c r="S77" s="243"/>
      <c r="T77" s="243">
        <f>AVERAGE(T72:T76)</f>
        <v>0.70832142857142855</v>
      </c>
      <c r="U77" s="17"/>
      <c r="V77" s="18"/>
      <c r="W77" s="13"/>
      <c r="X77" s="13"/>
      <c r="Y77" s="16"/>
      <c r="Z77" s="16"/>
      <c r="AA77" s="16"/>
      <c r="AB77" s="16"/>
      <c r="AC77" s="84"/>
      <c r="AD77" s="226">
        <v>1</v>
      </c>
      <c r="AE77" s="16"/>
      <c r="AF77" s="13"/>
      <c r="AG77" s="19"/>
      <c r="AH77" s="17"/>
      <c r="AI77" s="20"/>
      <c r="AJ77" s="20"/>
      <c r="AK77" s="20"/>
      <c r="AL77" s="20"/>
      <c r="AM77" s="20"/>
      <c r="AN77" s="33"/>
      <c r="AO77" s="17"/>
      <c r="AP77" s="18"/>
      <c r="AQ77" s="18"/>
      <c r="AR77" s="18"/>
      <c r="AS77" s="18"/>
      <c r="AT77" s="31"/>
      <c r="AU77" s="53"/>
      <c r="AV77" s="124"/>
      <c r="AW77" s="59"/>
      <c r="AX77" s="22"/>
    </row>
    <row r="78" spans="1:50" ht="89.25" customHeight="1" x14ac:dyDescent="0.35">
      <c r="A78" s="477" t="s">
        <v>129</v>
      </c>
      <c r="B78" s="477" t="s">
        <v>167</v>
      </c>
      <c r="C78" s="451" t="s">
        <v>177</v>
      </c>
      <c r="D78" s="451" t="s">
        <v>178</v>
      </c>
      <c r="E78" s="451" t="s">
        <v>179</v>
      </c>
      <c r="F78" s="531">
        <v>1.3599999999999999E-2</v>
      </c>
      <c r="G78" s="481" t="s">
        <v>180</v>
      </c>
      <c r="H78" s="173" t="s">
        <v>181</v>
      </c>
      <c r="I78" s="174">
        <v>475</v>
      </c>
      <c r="J78" s="173" t="s">
        <v>182</v>
      </c>
      <c r="K78" s="184">
        <v>700</v>
      </c>
      <c r="L78" s="184">
        <v>200</v>
      </c>
      <c r="M78" s="184">
        <v>0</v>
      </c>
      <c r="N78" s="177">
        <v>0</v>
      </c>
      <c r="O78" s="177">
        <v>102</v>
      </c>
      <c r="P78" s="238">
        <v>54</v>
      </c>
      <c r="Q78" s="238">
        <f>+P78+O78+N78+M78</f>
        <v>156</v>
      </c>
      <c r="R78" s="239">
        <f>+Q78/L78</f>
        <v>0.78</v>
      </c>
      <c r="S78" s="184">
        <f>62+Q78</f>
        <v>218</v>
      </c>
      <c r="T78" s="239">
        <f>+S78/K78</f>
        <v>0.31142857142857144</v>
      </c>
      <c r="U78" s="428" t="s">
        <v>357</v>
      </c>
      <c r="V78" s="464">
        <v>2020130010112</v>
      </c>
      <c r="W78" s="451" t="s">
        <v>358</v>
      </c>
      <c r="X78" s="173" t="s">
        <v>359</v>
      </c>
      <c r="Y78" s="184">
        <v>1</v>
      </c>
      <c r="Z78" s="184">
        <v>0</v>
      </c>
      <c r="AA78" s="177">
        <v>0</v>
      </c>
      <c r="AB78" s="177">
        <v>1</v>
      </c>
      <c r="AC78" s="83">
        <v>2</v>
      </c>
      <c r="AD78" s="228">
        <v>1</v>
      </c>
      <c r="AE78" s="174" t="s">
        <v>734</v>
      </c>
      <c r="AF78" s="451" t="s">
        <v>650</v>
      </c>
      <c r="AG78" s="451" t="s">
        <v>651</v>
      </c>
      <c r="AH78" s="428" t="s">
        <v>41</v>
      </c>
      <c r="AI78" s="374">
        <v>538959908</v>
      </c>
      <c r="AJ78" s="374">
        <v>136150000</v>
      </c>
      <c r="AK78" s="374">
        <v>136150000</v>
      </c>
      <c r="AL78" s="374">
        <v>420550011</v>
      </c>
      <c r="AM78" s="374"/>
      <c r="AN78" s="445">
        <f>+AK78/AI78</f>
        <v>0.25261619274285613</v>
      </c>
      <c r="AO78" s="428" t="s">
        <v>585</v>
      </c>
      <c r="AP78" s="428" t="s">
        <v>456</v>
      </c>
      <c r="AQ78" s="169"/>
      <c r="AR78" s="169"/>
      <c r="AS78" s="169"/>
      <c r="AT78" s="189" t="s">
        <v>684</v>
      </c>
      <c r="AU78" s="119" t="s">
        <v>739</v>
      </c>
      <c r="AV78" s="139" t="s">
        <v>916</v>
      </c>
      <c r="AW78" s="269">
        <v>6</v>
      </c>
      <c r="AX78" s="245" t="s">
        <v>842</v>
      </c>
    </row>
    <row r="79" spans="1:50" ht="127.5" customHeight="1" x14ac:dyDescent="0.35">
      <c r="A79" s="477"/>
      <c r="B79" s="477"/>
      <c r="C79" s="453"/>
      <c r="D79" s="453"/>
      <c r="E79" s="453"/>
      <c r="F79" s="488"/>
      <c r="G79" s="481"/>
      <c r="H79" s="173" t="s">
        <v>494</v>
      </c>
      <c r="I79" s="174">
        <v>440</v>
      </c>
      <c r="J79" s="173" t="s">
        <v>493</v>
      </c>
      <c r="K79" s="184">
        <v>800</v>
      </c>
      <c r="L79" s="184">
        <v>100</v>
      </c>
      <c r="M79" s="184">
        <v>0</v>
      </c>
      <c r="N79" s="177">
        <v>0</v>
      </c>
      <c r="O79" s="177">
        <v>0</v>
      </c>
      <c r="P79" s="238">
        <v>0</v>
      </c>
      <c r="Q79" s="238">
        <f t="shared" ref="Q79:Q82" si="9">+P79+O79+N79+M79</f>
        <v>0</v>
      </c>
      <c r="R79" s="239">
        <f>+Q79/L79</f>
        <v>0</v>
      </c>
      <c r="S79" s="184">
        <v>0</v>
      </c>
      <c r="T79" s="239">
        <f t="shared" ref="T79:T82" si="10">+S79/K79</f>
        <v>0</v>
      </c>
      <c r="U79" s="429"/>
      <c r="V79" s="465"/>
      <c r="W79" s="452"/>
      <c r="X79" s="173" t="s">
        <v>495</v>
      </c>
      <c r="Y79" s="184">
        <f>3*10</f>
        <v>30</v>
      </c>
      <c r="Z79" s="184">
        <v>0</v>
      </c>
      <c r="AA79" s="177">
        <v>0</v>
      </c>
      <c r="AB79" s="177">
        <v>0</v>
      </c>
      <c r="AC79" s="83">
        <v>0</v>
      </c>
      <c r="AD79" s="228">
        <v>0</v>
      </c>
      <c r="AE79" s="174" t="s">
        <v>734</v>
      </c>
      <c r="AF79" s="452"/>
      <c r="AG79" s="452"/>
      <c r="AH79" s="429"/>
      <c r="AI79" s="375"/>
      <c r="AJ79" s="375"/>
      <c r="AK79" s="375"/>
      <c r="AL79" s="375"/>
      <c r="AM79" s="375"/>
      <c r="AN79" s="446"/>
      <c r="AO79" s="429"/>
      <c r="AP79" s="429"/>
      <c r="AQ79" s="331">
        <v>631043324</v>
      </c>
      <c r="AR79" s="331">
        <v>520952396</v>
      </c>
      <c r="AS79" s="350">
        <f>+AR79/AQ79</f>
        <v>0.82554141084614341</v>
      </c>
      <c r="AT79" s="189" t="s">
        <v>685</v>
      </c>
      <c r="AU79" s="119" t="s">
        <v>740</v>
      </c>
      <c r="AV79" s="139" t="s">
        <v>805</v>
      </c>
      <c r="AW79" s="269">
        <v>7</v>
      </c>
      <c r="AX79" s="245" t="s">
        <v>843</v>
      </c>
    </row>
    <row r="80" spans="1:50" ht="145.5" customHeight="1" x14ac:dyDescent="0.35">
      <c r="A80" s="477"/>
      <c r="B80" s="477"/>
      <c r="C80" s="432" t="s">
        <v>491</v>
      </c>
      <c r="D80" s="432" t="s">
        <v>492</v>
      </c>
      <c r="E80" s="511" t="s">
        <v>491</v>
      </c>
      <c r="F80" s="543">
        <v>0</v>
      </c>
      <c r="G80" s="481"/>
      <c r="H80" s="173" t="s">
        <v>183</v>
      </c>
      <c r="I80" s="191">
        <v>22423</v>
      </c>
      <c r="J80" s="173" t="s">
        <v>184</v>
      </c>
      <c r="K80" s="184">
        <v>23000</v>
      </c>
      <c r="L80" s="184">
        <v>7000</v>
      </c>
      <c r="M80" s="184">
        <v>603</v>
      </c>
      <c r="N80" s="177">
        <v>2949</v>
      </c>
      <c r="O80" s="177">
        <v>991</v>
      </c>
      <c r="P80" s="238">
        <v>2462</v>
      </c>
      <c r="Q80" s="238">
        <f t="shared" si="9"/>
        <v>7005</v>
      </c>
      <c r="R80" s="239">
        <f t="shared" ref="R80:R81" si="11">+Q80/L80</f>
        <v>1.0007142857142857</v>
      </c>
      <c r="S80" s="184">
        <f>2000+Q80</f>
        <v>9005</v>
      </c>
      <c r="T80" s="239">
        <f t="shared" si="10"/>
        <v>0.39152173913043481</v>
      </c>
      <c r="U80" s="429"/>
      <c r="V80" s="465"/>
      <c r="W80" s="452"/>
      <c r="X80" s="173" t="s">
        <v>360</v>
      </c>
      <c r="Y80" s="76">
        <v>75</v>
      </c>
      <c r="Z80" s="76">
        <v>10</v>
      </c>
      <c r="AA80" s="177">
        <v>31</v>
      </c>
      <c r="AB80" s="177">
        <v>39</v>
      </c>
      <c r="AC80" s="83">
        <v>56</v>
      </c>
      <c r="AD80" s="228">
        <v>1</v>
      </c>
      <c r="AE80" s="174" t="s">
        <v>734</v>
      </c>
      <c r="AF80" s="452"/>
      <c r="AG80" s="452"/>
      <c r="AH80" s="429"/>
      <c r="AI80" s="375"/>
      <c r="AJ80" s="375"/>
      <c r="AK80" s="375"/>
      <c r="AL80" s="375"/>
      <c r="AM80" s="375"/>
      <c r="AN80" s="446"/>
      <c r="AO80" s="429"/>
      <c r="AP80" s="429"/>
      <c r="AQ80" s="331"/>
      <c r="AR80" s="331"/>
      <c r="AS80" s="350"/>
      <c r="AT80" s="189" t="s">
        <v>686</v>
      </c>
      <c r="AU80" s="119" t="s">
        <v>802</v>
      </c>
      <c r="AV80" s="139" t="s">
        <v>917</v>
      </c>
      <c r="AW80" s="269">
        <v>8</v>
      </c>
      <c r="AX80" s="245" t="s">
        <v>943</v>
      </c>
    </row>
    <row r="81" spans="1:50" ht="180" customHeight="1" x14ac:dyDescent="0.35">
      <c r="A81" s="477"/>
      <c r="B81" s="477"/>
      <c r="C81" s="432"/>
      <c r="D81" s="432"/>
      <c r="E81" s="432"/>
      <c r="F81" s="544"/>
      <c r="G81" s="481"/>
      <c r="H81" s="173" t="s">
        <v>185</v>
      </c>
      <c r="I81" s="174">
        <v>4</v>
      </c>
      <c r="J81" s="173" t="s">
        <v>186</v>
      </c>
      <c r="K81" s="184">
        <v>4</v>
      </c>
      <c r="L81" s="184">
        <v>1</v>
      </c>
      <c r="M81" s="184">
        <v>0</v>
      </c>
      <c r="N81" s="177">
        <v>0</v>
      </c>
      <c r="O81" s="177">
        <v>0</v>
      </c>
      <c r="P81" s="238">
        <v>1</v>
      </c>
      <c r="Q81" s="238">
        <f>+P81+O81+N81+M81</f>
        <v>1</v>
      </c>
      <c r="R81" s="239">
        <f t="shared" si="11"/>
        <v>1</v>
      </c>
      <c r="S81" s="184">
        <f>+Q81+1</f>
        <v>2</v>
      </c>
      <c r="T81" s="239">
        <f>+S81/K81</f>
        <v>0.5</v>
      </c>
      <c r="U81" s="429"/>
      <c r="V81" s="465"/>
      <c r="W81" s="452"/>
      <c r="X81" s="185" t="s">
        <v>361</v>
      </c>
      <c r="Y81" s="76">
        <v>1</v>
      </c>
      <c r="Z81" s="76">
        <v>0</v>
      </c>
      <c r="AA81" s="177">
        <v>0</v>
      </c>
      <c r="AB81" s="177">
        <v>0</v>
      </c>
      <c r="AC81" s="83">
        <v>1</v>
      </c>
      <c r="AD81" s="228">
        <v>1</v>
      </c>
      <c r="AE81" s="174" t="s">
        <v>734</v>
      </c>
      <c r="AF81" s="452"/>
      <c r="AG81" s="452"/>
      <c r="AH81" s="429"/>
      <c r="AI81" s="375"/>
      <c r="AJ81" s="375"/>
      <c r="AK81" s="375"/>
      <c r="AL81" s="375"/>
      <c r="AM81" s="375"/>
      <c r="AN81" s="446"/>
      <c r="AO81" s="429"/>
      <c r="AP81" s="429"/>
      <c r="AQ81" s="331"/>
      <c r="AR81" s="331"/>
      <c r="AS81" s="350"/>
      <c r="AT81" s="189" t="s">
        <v>687</v>
      </c>
      <c r="AU81" s="119" t="s">
        <v>741</v>
      </c>
      <c r="AV81" s="139" t="s">
        <v>918</v>
      </c>
      <c r="AW81" s="269">
        <v>9</v>
      </c>
      <c r="AX81" s="245" t="s">
        <v>844</v>
      </c>
    </row>
    <row r="82" spans="1:50" ht="108" customHeight="1" x14ac:dyDescent="0.35">
      <c r="A82" s="477"/>
      <c r="B82" s="477"/>
      <c r="C82" s="432"/>
      <c r="D82" s="432"/>
      <c r="E82" s="432"/>
      <c r="F82" s="545"/>
      <c r="G82" s="481"/>
      <c r="H82" s="173" t="s">
        <v>187</v>
      </c>
      <c r="I82" s="174">
        <v>4</v>
      </c>
      <c r="J82" s="173" t="s">
        <v>188</v>
      </c>
      <c r="K82" s="184">
        <v>4</v>
      </c>
      <c r="L82" s="184">
        <v>1</v>
      </c>
      <c r="M82" s="184">
        <v>0</v>
      </c>
      <c r="N82" s="177">
        <v>1</v>
      </c>
      <c r="O82" s="177">
        <v>2</v>
      </c>
      <c r="P82" s="238">
        <v>1</v>
      </c>
      <c r="Q82" s="270">
        <f t="shared" si="9"/>
        <v>4</v>
      </c>
      <c r="R82" s="239">
        <v>1</v>
      </c>
      <c r="S82" s="209">
        <f>+Q82</f>
        <v>4</v>
      </c>
      <c r="T82" s="239">
        <f t="shared" si="10"/>
        <v>1</v>
      </c>
      <c r="U82" s="430"/>
      <c r="V82" s="466"/>
      <c r="W82" s="453"/>
      <c r="X82" s="173" t="s">
        <v>362</v>
      </c>
      <c r="Y82" s="184">
        <v>4</v>
      </c>
      <c r="Z82" s="184">
        <v>0</v>
      </c>
      <c r="AA82" s="177">
        <v>1</v>
      </c>
      <c r="AB82" s="177">
        <v>2</v>
      </c>
      <c r="AC82" s="83">
        <v>1</v>
      </c>
      <c r="AD82" s="228">
        <v>1</v>
      </c>
      <c r="AE82" s="174" t="s">
        <v>734</v>
      </c>
      <c r="AF82" s="453"/>
      <c r="AG82" s="453"/>
      <c r="AH82" s="430"/>
      <c r="AI82" s="376"/>
      <c r="AJ82" s="376"/>
      <c r="AK82" s="376"/>
      <c r="AL82" s="376"/>
      <c r="AM82" s="376"/>
      <c r="AN82" s="447"/>
      <c r="AO82" s="430"/>
      <c r="AP82" s="430"/>
      <c r="AQ82" s="332"/>
      <c r="AR82" s="332"/>
      <c r="AS82" s="351"/>
      <c r="AT82" s="189" t="s">
        <v>688</v>
      </c>
      <c r="AU82" s="119" t="s">
        <v>742</v>
      </c>
      <c r="AV82" s="139" t="s">
        <v>806</v>
      </c>
      <c r="AW82" s="269">
        <v>10</v>
      </c>
      <c r="AX82" s="245" t="s">
        <v>845</v>
      </c>
    </row>
    <row r="83" spans="1:50" s="21" customFormat="1" ht="69.75" customHeight="1" x14ac:dyDescent="0.35">
      <c r="A83" s="12"/>
      <c r="B83" s="12"/>
      <c r="C83" s="13"/>
      <c r="D83" s="14"/>
      <c r="E83" s="13"/>
      <c r="F83" s="153"/>
      <c r="G83" s="493" t="s">
        <v>180</v>
      </c>
      <c r="H83" s="494"/>
      <c r="I83" s="494"/>
      <c r="J83" s="494"/>
      <c r="K83" s="494"/>
      <c r="L83" s="494"/>
      <c r="M83" s="494"/>
      <c r="N83" s="494"/>
      <c r="O83" s="494"/>
      <c r="P83" s="495"/>
      <c r="Q83" s="241"/>
      <c r="R83" s="243">
        <f>AVERAGE(R78:R82)</f>
        <v>0.75614285714285712</v>
      </c>
      <c r="S83" s="241"/>
      <c r="T83" s="243">
        <f>AVERAGE(T78:T82)</f>
        <v>0.44059006211180129</v>
      </c>
      <c r="U83" s="17"/>
      <c r="V83" s="18"/>
      <c r="W83" s="13"/>
      <c r="X83" s="13"/>
      <c r="Y83" s="16"/>
      <c r="Z83" s="16"/>
      <c r="AA83" s="16"/>
      <c r="AB83" s="16"/>
      <c r="AC83" s="84"/>
      <c r="AD83" s="227">
        <f>AVERAGE(AD78:AD82)</f>
        <v>0.8</v>
      </c>
      <c r="AE83" s="16"/>
      <c r="AF83" s="13"/>
      <c r="AG83" s="19"/>
      <c r="AH83" s="17"/>
      <c r="AI83" s="20"/>
      <c r="AJ83" s="20"/>
      <c r="AK83" s="20"/>
      <c r="AL83" s="20"/>
      <c r="AM83" s="20"/>
      <c r="AN83" s="33"/>
      <c r="AO83" s="17"/>
      <c r="AP83" s="18"/>
      <c r="AQ83" s="18"/>
      <c r="AR83" s="18"/>
      <c r="AS83" s="18"/>
      <c r="AT83" s="31"/>
      <c r="AU83" s="53"/>
      <c r="AV83" s="124"/>
      <c r="AW83" s="59"/>
      <c r="AX83" s="22"/>
    </row>
    <row r="84" spans="1:50" ht="93" customHeight="1" x14ac:dyDescent="0.35">
      <c r="A84" s="483" t="s">
        <v>129</v>
      </c>
      <c r="B84" s="483" t="s">
        <v>167</v>
      </c>
      <c r="C84" s="451" t="s">
        <v>189</v>
      </c>
      <c r="D84" s="540" t="s">
        <v>190</v>
      </c>
      <c r="E84" s="451" t="s">
        <v>191</v>
      </c>
      <c r="F84" s="531">
        <f>17984/47000</f>
        <v>0.38263829787234044</v>
      </c>
      <c r="G84" s="489" t="s">
        <v>192</v>
      </c>
      <c r="H84" s="173" t="s">
        <v>193</v>
      </c>
      <c r="I84" s="190">
        <v>46553</v>
      </c>
      <c r="J84" s="173" t="s">
        <v>194</v>
      </c>
      <c r="K84" s="184">
        <v>47000</v>
      </c>
      <c r="L84" s="184">
        <v>15000</v>
      </c>
      <c r="M84" s="184">
        <v>830</v>
      </c>
      <c r="N84" s="177">
        <v>7428</v>
      </c>
      <c r="O84" s="177">
        <v>4402</v>
      </c>
      <c r="P84" s="238">
        <v>3324</v>
      </c>
      <c r="Q84" s="238">
        <f>+P84+O84+N84+M84</f>
        <v>15984</v>
      </c>
      <c r="R84" s="239">
        <v>1</v>
      </c>
      <c r="S84" s="238">
        <f>2000+Q84</f>
        <v>17984</v>
      </c>
      <c r="T84" s="239">
        <f>+S84/K84</f>
        <v>0.38263829787234044</v>
      </c>
      <c r="U84" s="428" t="s">
        <v>363</v>
      </c>
      <c r="V84" s="464">
        <v>2020130010120</v>
      </c>
      <c r="W84" s="451" t="s">
        <v>364</v>
      </c>
      <c r="X84" s="173" t="s">
        <v>365</v>
      </c>
      <c r="Y84" s="184">
        <v>100</v>
      </c>
      <c r="Z84" s="184">
        <v>25</v>
      </c>
      <c r="AA84" s="177">
        <v>66</v>
      </c>
      <c r="AB84" s="177">
        <v>15</v>
      </c>
      <c r="AC84" s="83">
        <v>55</v>
      </c>
      <c r="AD84" s="228">
        <v>1</v>
      </c>
      <c r="AE84" s="174" t="s">
        <v>734</v>
      </c>
      <c r="AF84" s="451" t="s">
        <v>650</v>
      </c>
      <c r="AG84" s="451" t="s">
        <v>651</v>
      </c>
      <c r="AH84" s="428" t="s">
        <v>41</v>
      </c>
      <c r="AI84" s="377">
        <v>92083416</v>
      </c>
      <c r="AJ84" s="377">
        <v>45000000</v>
      </c>
      <c r="AK84" s="377">
        <v>45000000</v>
      </c>
      <c r="AL84" s="377">
        <v>22746000</v>
      </c>
      <c r="AM84" s="377"/>
      <c r="AN84" s="519">
        <f>+AK84/AI84</f>
        <v>0.48868734409244763</v>
      </c>
      <c r="AO84" s="428" t="s">
        <v>586</v>
      </c>
      <c r="AP84" s="359" t="s">
        <v>457</v>
      </c>
      <c r="AQ84" s="352">
        <v>68245538</v>
      </c>
      <c r="AR84" s="352">
        <v>66413559</v>
      </c>
      <c r="AS84" s="353">
        <f>+AR84/AQ84</f>
        <v>0.97315606186590542</v>
      </c>
      <c r="AT84" s="189" t="s">
        <v>689</v>
      </c>
      <c r="AU84" s="119" t="s">
        <v>743</v>
      </c>
      <c r="AV84" s="139" t="s">
        <v>919</v>
      </c>
      <c r="AW84" s="269">
        <v>11</v>
      </c>
      <c r="AX84" s="245" t="s">
        <v>846</v>
      </c>
    </row>
    <row r="85" spans="1:50" ht="75.650000000000006" customHeight="1" x14ac:dyDescent="0.35">
      <c r="A85" s="484"/>
      <c r="B85" s="484"/>
      <c r="C85" s="452"/>
      <c r="D85" s="541"/>
      <c r="E85" s="452"/>
      <c r="F85" s="487"/>
      <c r="G85" s="490"/>
      <c r="H85" s="173" t="s">
        <v>195</v>
      </c>
      <c r="I85" s="191">
        <v>1594</v>
      </c>
      <c r="J85" s="173" t="s">
        <v>541</v>
      </c>
      <c r="K85" s="184">
        <v>1600</v>
      </c>
      <c r="L85" s="184">
        <v>500</v>
      </c>
      <c r="M85" s="184">
        <v>0</v>
      </c>
      <c r="N85" s="177">
        <v>39</v>
      </c>
      <c r="O85" s="177">
        <v>212</v>
      </c>
      <c r="P85" s="238">
        <v>178</v>
      </c>
      <c r="Q85" s="238">
        <f>+P85+O85+N85+M85</f>
        <v>429</v>
      </c>
      <c r="R85" s="239">
        <f>+Q85/L85</f>
        <v>0.85799999999999998</v>
      </c>
      <c r="S85" s="238">
        <f>100+Q85</f>
        <v>529</v>
      </c>
      <c r="T85" s="239">
        <f>+S85/K85</f>
        <v>0.330625</v>
      </c>
      <c r="U85" s="429"/>
      <c r="V85" s="465"/>
      <c r="W85" s="452"/>
      <c r="X85" s="173" t="s">
        <v>366</v>
      </c>
      <c r="Y85" s="184">
        <v>3</v>
      </c>
      <c r="Z85" s="184">
        <v>0</v>
      </c>
      <c r="AA85" s="177">
        <v>3</v>
      </c>
      <c r="AB85" s="177">
        <v>2</v>
      </c>
      <c r="AC85" s="83">
        <v>2</v>
      </c>
      <c r="AD85" s="228">
        <v>1</v>
      </c>
      <c r="AE85" s="174" t="s">
        <v>734</v>
      </c>
      <c r="AF85" s="452"/>
      <c r="AG85" s="452"/>
      <c r="AH85" s="429"/>
      <c r="AI85" s="378"/>
      <c r="AJ85" s="378"/>
      <c r="AK85" s="378"/>
      <c r="AL85" s="378"/>
      <c r="AM85" s="378"/>
      <c r="AN85" s="520"/>
      <c r="AO85" s="429"/>
      <c r="AP85" s="360"/>
      <c r="AQ85" s="331"/>
      <c r="AR85" s="331"/>
      <c r="AS85" s="354"/>
      <c r="AT85" s="189" t="s">
        <v>690</v>
      </c>
      <c r="AU85" s="119" t="s">
        <v>803</v>
      </c>
      <c r="AV85" s="139" t="s">
        <v>949</v>
      </c>
      <c r="AW85" s="269">
        <v>12</v>
      </c>
      <c r="AX85" s="245" t="s">
        <v>847</v>
      </c>
    </row>
    <row r="86" spans="1:50" ht="84" customHeight="1" x14ac:dyDescent="0.35">
      <c r="A86" s="484"/>
      <c r="B86" s="484"/>
      <c r="C86" s="452"/>
      <c r="D86" s="541"/>
      <c r="E86" s="452"/>
      <c r="F86" s="487"/>
      <c r="G86" s="490"/>
      <c r="H86" s="458" t="s">
        <v>498</v>
      </c>
      <c r="I86" s="536">
        <v>1</v>
      </c>
      <c r="J86" s="458" t="s">
        <v>496</v>
      </c>
      <c r="K86" s="433">
        <v>1</v>
      </c>
      <c r="L86" s="433">
        <v>1</v>
      </c>
      <c r="M86" s="433">
        <v>0</v>
      </c>
      <c r="N86" s="516">
        <v>0</v>
      </c>
      <c r="O86" s="538">
        <v>0.7</v>
      </c>
      <c r="P86" s="524">
        <v>0</v>
      </c>
      <c r="Q86" s="546">
        <v>0.7</v>
      </c>
      <c r="R86" s="524">
        <v>0.7</v>
      </c>
      <c r="S86" s="512">
        <f>+Q86</f>
        <v>0.7</v>
      </c>
      <c r="T86" s="548">
        <f>+S86/K86</f>
        <v>0.7</v>
      </c>
      <c r="U86" s="429"/>
      <c r="V86" s="465"/>
      <c r="W86" s="452"/>
      <c r="X86" s="173" t="s">
        <v>524</v>
      </c>
      <c r="Y86" s="184">
        <v>1</v>
      </c>
      <c r="Z86" s="184">
        <v>0</v>
      </c>
      <c r="AA86" s="177">
        <v>0</v>
      </c>
      <c r="AB86" s="186">
        <v>1</v>
      </c>
      <c r="AC86" s="86">
        <v>2</v>
      </c>
      <c r="AD86" s="230">
        <v>1</v>
      </c>
      <c r="AE86" s="174" t="s">
        <v>734</v>
      </c>
      <c r="AF86" s="452"/>
      <c r="AG86" s="452"/>
      <c r="AH86" s="429"/>
      <c r="AI86" s="378"/>
      <c r="AJ86" s="378"/>
      <c r="AK86" s="378"/>
      <c r="AL86" s="378"/>
      <c r="AM86" s="378"/>
      <c r="AN86" s="520"/>
      <c r="AO86" s="429"/>
      <c r="AP86" s="360"/>
      <c r="AQ86" s="331"/>
      <c r="AR86" s="331"/>
      <c r="AS86" s="354"/>
      <c r="AT86" s="535" t="s">
        <v>691</v>
      </c>
      <c r="AU86" s="259" t="s">
        <v>744</v>
      </c>
      <c r="AV86" s="139" t="s">
        <v>920</v>
      </c>
      <c r="AW86" s="269">
        <v>13</v>
      </c>
      <c r="AX86" s="245" t="s">
        <v>848</v>
      </c>
    </row>
    <row r="87" spans="1:50" ht="92.15" customHeight="1" x14ac:dyDescent="0.35">
      <c r="A87" s="484"/>
      <c r="B87" s="484"/>
      <c r="C87" s="452"/>
      <c r="D87" s="541"/>
      <c r="E87" s="452"/>
      <c r="F87" s="487"/>
      <c r="G87" s="490"/>
      <c r="H87" s="459"/>
      <c r="I87" s="537"/>
      <c r="J87" s="459"/>
      <c r="K87" s="435"/>
      <c r="L87" s="435"/>
      <c r="M87" s="435"/>
      <c r="N87" s="517"/>
      <c r="O87" s="539"/>
      <c r="P87" s="526"/>
      <c r="Q87" s="547"/>
      <c r="R87" s="526"/>
      <c r="S87" s="514"/>
      <c r="T87" s="549"/>
      <c r="U87" s="429"/>
      <c r="V87" s="465"/>
      <c r="W87" s="452"/>
      <c r="X87" s="173" t="s">
        <v>500</v>
      </c>
      <c r="Y87" s="184">
        <v>1</v>
      </c>
      <c r="Z87" s="184">
        <v>1</v>
      </c>
      <c r="AA87" s="177">
        <v>2</v>
      </c>
      <c r="AB87" s="177">
        <v>1</v>
      </c>
      <c r="AC87" s="83">
        <v>4</v>
      </c>
      <c r="AD87" s="228">
        <v>1</v>
      </c>
      <c r="AE87" s="174" t="s">
        <v>734</v>
      </c>
      <c r="AF87" s="452"/>
      <c r="AG87" s="452"/>
      <c r="AH87" s="429"/>
      <c r="AI87" s="378"/>
      <c r="AJ87" s="378"/>
      <c r="AK87" s="378"/>
      <c r="AL87" s="378"/>
      <c r="AM87" s="378"/>
      <c r="AN87" s="520"/>
      <c r="AO87" s="429"/>
      <c r="AP87" s="360"/>
      <c r="AQ87" s="331"/>
      <c r="AR87" s="331"/>
      <c r="AS87" s="354"/>
      <c r="AT87" s="535"/>
      <c r="AU87" s="120" t="s">
        <v>745</v>
      </c>
      <c r="AV87" s="139" t="s">
        <v>921</v>
      </c>
      <c r="AW87" s="269">
        <v>14</v>
      </c>
      <c r="AX87" s="245" t="s">
        <v>849</v>
      </c>
    </row>
    <row r="88" spans="1:50" ht="409.5" x14ac:dyDescent="0.35">
      <c r="A88" s="485"/>
      <c r="B88" s="485"/>
      <c r="C88" s="453"/>
      <c r="D88" s="542"/>
      <c r="E88" s="453"/>
      <c r="F88" s="488"/>
      <c r="G88" s="491"/>
      <c r="H88" s="173" t="s">
        <v>499</v>
      </c>
      <c r="I88" s="191">
        <v>0</v>
      </c>
      <c r="J88" s="185" t="s">
        <v>497</v>
      </c>
      <c r="K88" s="184">
        <v>1</v>
      </c>
      <c r="L88" s="184">
        <v>1</v>
      </c>
      <c r="M88" s="184">
        <v>1</v>
      </c>
      <c r="N88" s="177">
        <v>1</v>
      </c>
      <c r="O88" s="187">
        <v>0</v>
      </c>
      <c r="P88" s="238">
        <v>0</v>
      </c>
      <c r="Q88" s="238">
        <v>1</v>
      </c>
      <c r="R88" s="239">
        <v>1</v>
      </c>
      <c r="S88" s="238">
        <v>1</v>
      </c>
      <c r="T88" s="239">
        <v>1</v>
      </c>
      <c r="U88" s="430"/>
      <c r="V88" s="466"/>
      <c r="W88" s="453"/>
      <c r="X88" s="173" t="s">
        <v>501</v>
      </c>
      <c r="Y88" s="184">
        <v>1</v>
      </c>
      <c r="Z88" s="184">
        <v>0</v>
      </c>
      <c r="AA88" s="177">
        <v>0</v>
      </c>
      <c r="AB88" s="177">
        <v>1</v>
      </c>
      <c r="AC88" s="83">
        <v>0</v>
      </c>
      <c r="AD88" s="228">
        <v>1</v>
      </c>
      <c r="AE88" s="174" t="s">
        <v>734</v>
      </c>
      <c r="AF88" s="453"/>
      <c r="AG88" s="453"/>
      <c r="AH88" s="430"/>
      <c r="AI88" s="379"/>
      <c r="AJ88" s="379"/>
      <c r="AK88" s="379"/>
      <c r="AL88" s="379"/>
      <c r="AM88" s="379"/>
      <c r="AN88" s="521"/>
      <c r="AO88" s="430"/>
      <c r="AP88" s="361"/>
      <c r="AQ88" s="332"/>
      <c r="AR88" s="332"/>
      <c r="AS88" s="355"/>
      <c r="AT88" s="6" t="s">
        <v>692</v>
      </c>
      <c r="AU88" s="271" t="s">
        <v>746</v>
      </c>
      <c r="AV88" s="139" t="s">
        <v>807</v>
      </c>
      <c r="AW88" s="269">
        <v>15</v>
      </c>
      <c r="AX88" s="245" t="s">
        <v>850</v>
      </c>
    </row>
    <row r="89" spans="1:50" s="21" customFormat="1" ht="84" customHeight="1" x14ac:dyDescent="0.35">
      <c r="A89" s="12"/>
      <c r="B89" s="12"/>
      <c r="C89" s="13"/>
      <c r="D89" s="14"/>
      <c r="E89" s="13"/>
      <c r="F89" s="153"/>
      <c r="G89" s="493" t="s">
        <v>192</v>
      </c>
      <c r="H89" s="494"/>
      <c r="I89" s="494"/>
      <c r="J89" s="494"/>
      <c r="K89" s="494"/>
      <c r="L89" s="494"/>
      <c r="M89" s="494"/>
      <c r="N89" s="494"/>
      <c r="O89" s="494"/>
      <c r="P89" s="495"/>
      <c r="Q89" s="241"/>
      <c r="R89" s="243">
        <f>AVERAGE(R84:R88)</f>
        <v>0.88949999999999996</v>
      </c>
      <c r="S89" s="243"/>
      <c r="T89" s="243">
        <f>AVERAGE(T84:T88)</f>
        <v>0.60331582446808507</v>
      </c>
      <c r="U89" s="17"/>
      <c r="V89" s="18"/>
      <c r="W89" s="13"/>
      <c r="X89" s="13"/>
      <c r="Y89" s="16"/>
      <c r="Z89" s="16"/>
      <c r="AA89" s="16"/>
      <c r="AB89" s="16"/>
      <c r="AC89" s="84"/>
      <c r="AD89" s="226">
        <v>1</v>
      </c>
      <c r="AE89" s="16"/>
      <c r="AF89" s="13"/>
      <c r="AG89" s="19"/>
      <c r="AH89" s="17"/>
      <c r="AI89" s="20"/>
      <c r="AJ89" s="20"/>
      <c r="AK89" s="20"/>
      <c r="AL89" s="20"/>
      <c r="AM89" s="20"/>
      <c r="AN89" s="33"/>
      <c r="AO89" s="17"/>
      <c r="AP89" s="18"/>
      <c r="AQ89" s="18"/>
      <c r="AR89" s="18"/>
      <c r="AS89" s="18"/>
      <c r="AT89" s="31"/>
      <c r="AU89" s="53"/>
      <c r="AV89" s="124"/>
      <c r="AW89" s="59"/>
      <c r="AX89" s="22"/>
    </row>
    <row r="90" spans="1:50" ht="120" customHeight="1" x14ac:dyDescent="0.35">
      <c r="A90" s="477" t="s">
        <v>196</v>
      </c>
      <c r="B90" s="477" t="s">
        <v>167</v>
      </c>
      <c r="C90" s="432" t="s">
        <v>197</v>
      </c>
      <c r="D90" s="532" t="s">
        <v>198</v>
      </c>
      <c r="E90" s="432" t="s">
        <v>199</v>
      </c>
      <c r="F90" s="531">
        <v>0.91358463726884775</v>
      </c>
      <c r="G90" s="481" t="s">
        <v>200</v>
      </c>
      <c r="H90" s="173" t="s">
        <v>201</v>
      </c>
      <c r="I90" s="191" t="s">
        <v>202</v>
      </c>
      <c r="J90" s="173" t="s">
        <v>203</v>
      </c>
      <c r="K90" s="184">
        <v>2812</v>
      </c>
      <c r="L90" s="184">
        <v>950</v>
      </c>
      <c r="M90" s="184">
        <v>459</v>
      </c>
      <c r="N90" s="177">
        <v>491</v>
      </c>
      <c r="O90" s="177">
        <v>0</v>
      </c>
      <c r="P90" s="238">
        <v>158</v>
      </c>
      <c r="Q90" s="238">
        <f>+P90+O90+N90+M90</f>
        <v>1108</v>
      </c>
      <c r="R90" s="239">
        <v>1</v>
      </c>
      <c r="S90" s="238">
        <f>1461+Q90</f>
        <v>2569</v>
      </c>
      <c r="T90" s="239">
        <f>+S90/K90</f>
        <v>0.91358463726884775</v>
      </c>
      <c r="U90" s="428" t="s">
        <v>367</v>
      </c>
      <c r="V90" s="464">
        <v>2020130010110</v>
      </c>
      <c r="W90" s="451" t="s">
        <v>368</v>
      </c>
      <c r="X90" s="173" t="s">
        <v>369</v>
      </c>
      <c r="Y90" s="184">
        <v>50</v>
      </c>
      <c r="Z90" s="184">
        <v>14</v>
      </c>
      <c r="AA90" s="177">
        <v>25</v>
      </c>
      <c r="AB90" s="177">
        <v>18</v>
      </c>
      <c r="AC90" s="83">
        <v>4</v>
      </c>
      <c r="AD90" s="228">
        <v>1</v>
      </c>
      <c r="AE90" s="174" t="s">
        <v>734</v>
      </c>
      <c r="AF90" s="451" t="s">
        <v>650</v>
      </c>
      <c r="AG90" s="451" t="s">
        <v>651</v>
      </c>
      <c r="AH90" s="428" t="s">
        <v>41</v>
      </c>
      <c r="AI90" s="374">
        <v>68245538</v>
      </c>
      <c r="AJ90" s="374">
        <v>22746000</v>
      </c>
      <c r="AK90" s="374">
        <v>22746000</v>
      </c>
      <c r="AL90" s="380"/>
      <c r="AM90" s="374"/>
      <c r="AN90" s="445">
        <f>+AK90/AI90</f>
        <v>0.3332965152974543</v>
      </c>
      <c r="AO90" s="428" t="s">
        <v>587</v>
      </c>
      <c r="AP90" s="359" t="s">
        <v>458</v>
      </c>
      <c r="AQ90" s="359"/>
      <c r="AR90" s="359"/>
      <c r="AS90" s="170"/>
      <c r="AT90" s="189" t="s">
        <v>693</v>
      </c>
      <c r="AU90" s="272" t="s">
        <v>747</v>
      </c>
      <c r="AV90" s="139" t="s">
        <v>747</v>
      </c>
      <c r="AW90" s="273">
        <v>16</v>
      </c>
      <c r="AX90" s="245" t="s">
        <v>851</v>
      </c>
    </row>
    <row r="91" spans="1:50" ht="409.5" x14ac:dyDescent="0.35">
      <c r="A91" s="477"/>
      <c r="B91" s="477"/>
      <c r="C91" s="432"/>
      <c r="D91" s="532"/>
      <c r="E91" s="432"/>
      <c r="F91" s="533"/>
      <c r="G91" s="481"/>
      <c r="H91" s="173" t="s">
        <v>204</v>
      </c>
      <c r="I91" s="174" t="s">
        <v>205</v>
      </c>
      <c r="J91" s="173" t="s">
        <v>206</v>
      </c>
      <c r="K91" s="184">
        <v>15</v>
      </c>
      <c r="L91" s="184">
        <v>6</v>
      </c>
      <c r="M91" s="184">
        <v>3</v>
      </c>
      <c r="N91" s="177">
        <v>3</v>
      </c>
      <c r="O91" s="177">
        <v>4</v>
      </c>
      <c r="P91" s="238">
        <v>0</v>
      </c>
      <c r="Q91" s="238">
        <f t="shared" ref="Q91:Q92" si="12">+P91+O91+N91+M91</f>
        <v>10</v>
      </c>
      <c r="R91" s="239">
        <v>1</v>
      </c>
      <c r="S91" s="238">
        <f>2+Q91</f>
        <v>12</v>
      </c>
      <c r="T91" s="239">
        <f>+S91/K91</f>
        <v>0.8</v>
      </c>
      <c r="U91" s="429"/>
      <c r="V91" s="465"/>
      <c r="W91" s="452"/>
      <c r="X91" s="173" t="s">
        <v>370</v>
      </c>
      <c r="Y91" s="184">
        <v>6</v>
      </c>
      <c r="Z91" s="184">
        <v>3</v>
      </c>
      <c r="AA91" s="177">
        <v>7</v>
      </c>
      <c r="AB91" s="177">
        <v>0</v>
      </c>
      <c r="AC91" s="83">
        <v>1</v>
      </c>
      <c r="AD91" s="228">
        <v>1</v>
      </c>
      <c r="AE91" s="174" t="s">
        <v>734</v>
      </c>
      <c r="AF91" s="452"/>
      <c r="AG91" s="452"/>
      <c r="AH91" s="429"/>
      <c r="AI91" s="375"/>
      <c r="AJ91" s="375"/>
      <c r="AK91" s="375"/>
      <c r="AL91" s="381"/>
      <c r="AM91" s="375"/>
      <c r="AN91" s="446"/>
      <c r="AO91" s="429"/>
      <c r="AP91" s="360"/>
      <c r="AQ91" s="360"/>
      <c r="AR91" s="360"/>
      <c r="AS91" s="171"/>
      <c r="AT91" s="189" t="s">
        <v>694</v>
      </c>
      <c r="AU91" s="272" t="s">
        <v>747</v>
      </c>
      <c r="AV91" s="139" t="s">
        <v>922</v>
      </c>
      <c r="AW91" s="273">
        <v>17</v>
      </c>
      <c r="AX91" s="245" t="s">
        <v>926</v>
      </c>
    </row>
    <row r="92" spans="1:50" ht="116.25" customHeight="1" x14ac:dyDescent="0.35">
      <c r="A92" s="477"/>
      <c r="B92" s="477"/>
      <c r="C92" s="432"/>
      <c r="D92" s="532"/>
      <c r="E92" s="432"/>
      <c r="F92" s="533"/>
      <c r="G92" s="481"/>
      <c r="H92" s="173" t="s">
        <v>207</v>
      </c>
      <c r="I92" s="174" t="s">
        <v>208</v>
      </c>
      <c r="J92" s="173" t="s">
        <v>209</v>
      </c>
      <c r="K92" s="184">
        <v>200</v>
      </c>
      <c r="L92" s="184">
        <v>60</v>
      </c>
      <c r="M92" s="184">
        <v>0</v>
      </c>
      <c r="N92" s="177">
        <v>0</v>
      </c>
      <c r="O92" s="188">
        <v>60</v>
      </c>
      <c r="P92" s="238">
        <v>0</v>
      </c>
      <c r="Q92" s="238">
        <f t="shared" si="12"/>
        <v>60</v>
      </c>
      <c r="R92" s="239">
        <f>+Q92/L92</f>
        <v>1</v>
      </c>
      <c r="S92" s="238">
        <f>30+Q92</f>
        <v>90</v>
      </c>
      <c r="T92" s="239">
        <f>+S92/K92</f>
        <v>0.45</v>
      </c>
      <c r="U92" s="429"/>
      <c r="V92" s="465"/>
      <c r="W92" s="452"/>
      <c r="X92" s="173" t="s">
        <v>371</v>
      </c>
      <c r="Y92" s="184">
        <v>1</v>
      </c>
      <c r="Z92" s="184">
        <v>0</v>
      </c>
      <c r="AA92" s="177">
        <v>0</v>
      </c>
      <c r="AB92" s="177">
        <v>1</v>
      </c>
      <c r="AC92" s="83">
        <v>2</v>
      </c>
      <c r="AD92" s="228">
        <v>1</v>
      </c>
      <c r="AE92" s="174" t="s">
        <v>734</v>
      </c>
      <c r="AF92" s="452"/>
      <c r="AG92" s="452"/>
      <c r="AH92" s="429"/>
      <c r="AI92" s="375"/>
      <c r="AJ92" s="375"/>
      <c r="AK92" s="375"/>
      <c r="AL92" s="381"/>
      <c r="AM92" s="375"/>
      <c r="AN92" s="446"/>
      <c r="AO92" s="429"/>
      <c r="AP92" s="360"/>
      <c r="AQ92" s="360"/>
      <c r="AR92" s="360"/>
      <c r="AS92" s="171"/>
      <c r="AT92" s="189" t="s">
        <v>695</v>
      </c>
      <c r="AU92" s="259" t="s">
        <v>748</v>
      </c>
      <c r="AV92" s="139" t="s">
        <v>923</v>
      </c>
      <c r="AW92" s="269">
        <v>18</v>
      </c>
      <c r="AX92" s="245" t="s">
        <v>852</v>
      </c>
    </row>
    <row r="93" spans="1:50" ht="121.5" customHeight="1" x14ac:dyDescent="0.35">
      <c r="A93" s="477"/>
      <c r="B93" s="477"/>
      <c r="C93" s="432"/>
      <c r="D93" s="532"/>
      <c r="E93" s="432"/>
      <c r="F93" s="534"/>
      <c r="G93" s="481"/>
      <c r="H93" s="173" t="s">
        <v>210</v>
      </c>
      <c r="I93" s="174" t="s">
        <v>208</v>
      </c>
      <c r="J93" s="173" t="s">
        <v>211</v>
      </c>
      <c r="K93" s="184">
        <v>1</v>
      </c>
      <c r="L93" s="184">
        <v>1</v>
      </c>
      <c r="M93" s="184">
        <v>1</v>
      </c>
      <c r="N93" s="177">
        <v>1</v>
      </c>
      <c r="O93" s="177">
        <v>1</v>
      </c>
      <c r="P93" s="238">
        <v>1</v>
      </c>
      <c r="Q93" s="238">
        <v>1</v>
      </c>
      <c r="R93" s="239">
        <v>1</v>
      </c>
      <c r="S93" s="238">
        <v>1</v>
      </c>
      <c r="T93" s="239">
        <v>1</v>
      </c>
      <c r="U93" s="430"/>
      <c r="V93" s="466"/>
      <c r="W93" s="453"/>
      <c r="X93" s="173" t="s">
        <v>372</v>
      </c>
      <c r="Y93" s="184">
        <v>1</v>
      </c>
      <c r="Z93" s="184">
        <v>1</v>
      </c>
      <c r="AA93" s="177">
        <v>1</v>
      </c>
      <c r="AB93" s="177">
        <v>1</v>
      </c>
      <c r="AC93" s="83">
        <v>2</v>
      </c>
      <c r="AD93" s="228">
        <v>1</v>
      </c>
      <c r="AE93" s="174" t="s">
        <v>734</v>
      </c>
      <c r="AF93" s="453"/>
      <c r="AG93" s="453"/>
      <c r="AH93" s="430"/>
      <c r="AI93" s="376"/>
      <c r="AJ93" s="376"/>
      <c r="AK93" s="376"/>
      <c r="AL93" s="382"/>
      <c r="AM93" s="376"/>
      <c r="AN93" s="447"/>
      <c r="AO93" s="430"/>
      <c r="AP93" s="361"/>
      <c r="AQ93" s="361"/>
      <c r="AR93" s="361"/>
      <c r="AS93" s="172"/>
      <c r="AT93" s="189" t="s">
        <v>696</v>
      </c>
      <c r="AU93" s="120" t="s">
        <v>749</v>
      </c>
      <c r="AV93" s="139" t="s">
        <v>924</v>
      </c>
      <c r="AW93" s="269">
        <v>19</v>
      </c>
      <c r="AX93" s="245" t="s">
        <v>853</v>
      </c>
    </row>
    <row r="94" spans="1:50" s="21" customFormat="1" ht="84" customHeight="1" x14ac:dyDescent="0.35">
      <c r="A94" s="12"/>
      <c r="B94" s="12"/>
      <c r="C94" s="13"/>
      <c r="D94" s="14"/>
      <c r="E94" s="13"/>
      <c r="F94" s="153"/>
      <c r="G94" s="493" t="s">
        <v>1084</v>
      </c>
      <c r="H94" s="494"/>
      <c r="I94" s="494"/>
      <c r="J94" s="494"/>
      <c r="K94" s="494"/>
      <c r="L94" s="494"/>
      <c r="M94" s="494"/>
      <c r="N94" s="494"/>
      <c r="O94" s="494"/>
      <c r="P94" s="495"/>
      <c r="Q94" s="241"/>
      <c r="R94" s="243">
        <f>AVERAGE(R90:R93)</f>
        <v>1</v>
      </c>
      <c r="S94" s="241"/>
      <c r="T94" s="249">
        <f>AVERAGE(T90:T93)</f>
        <v>0.79089615931721202</v>
      </c>
      <c r="U94" s="17"/>
      <c r="V94" s="18"/>
      <c r="W94" s="13"/>
      <c r="X94" s="13"/>
      <c r="Y94" s="16"/>
      <c r="Z94" s="16"/>
      <c r="AA94" s="16"/>
      <c r="AB94" s="16"/>
      <c r="AC94" s="84"/>
      <c r="AD94" s="226">
        <v>1</v>
      </c>
      <c r="AE94" s="16"/>
      <c r="AF94" s="13"/>
      <c r="AG94" s="19"/>
      <c r="AH94" s="17"/>
      <c r="AI94" s="20"/>
      <c r="AJ94" s="20"/>
      <c r="AK94" s="20"/>
      <c r="AL94" s="20"/>
      <c r="AM94" s="20"/>
      <c r="AN94" s="33"/>
      <c r="AO94" s="17"/>
      <c r="AP94" s="18"/>
      <c r="AQ94" s="18"/>
      <c r="AR94" s="18"/>
      <c r="AS94" s="18"/>
      <c r="AT94" s="16"/>
      <c r="AU94" s="53"/>
      <c r="AV94" s="123"/>
      <c r="AW94" s="59"/>
      <c r="AX94" s="22"/>
    </row>
    <row r="95" spans="1:50" s="21" customFormat="1" ht="84" customHeight="1" x14ac:dyDescent="0.35">
      <c r="A95" s="12"/>
      <c r="B95" s="493" t="s">
        <v>1083</v>
      </c>
      <c r="C95" s="494"/>
      <c r="D95" s="494"/>
      <c r="E95" s="494"/>
      <c r="F95" s="494"/>
      <c r="G95" s="494"/>
      <c r="H95" s="494"/>
      <c r="I95" s="494"/>
      <c r="J95" s="494"/>
      <c r="K95" s="494"/>
      <c r="L95" s="494"/>
      <c r="M95" s="494"/>
      <c r="N95" s="494"/>
      <c r="O95" s="494"/>
      <c r="P95" s="494"/>
      <c r="Q95" s="202"/>
      <c r="R95" s="210">
        <f>+(R94+R89+R83+R77)/4</f>
        <v>0.9114107142857143</v>
      </c>
      <c r="S95" s="211"/>
      <c r="T95" s="210">
        <f>+(T94+T89+T83+T77)/4</f>
        <v>0.63578086861713179</v>
      </c>
      <c r="U95" s="203"/>
      <c r="V95" s="267"/>
      <c r="W95" s="268">
        <f>+(R89+R83+R77)/3</f>
        <v>0.88188095238095243</v>
      </c>
      <c r="X95" s="267"/>
      <c r="Y95" s="268">
        <f>+(T89+T83+T77)/3</f>
        <v>0.58407577171710501</v>
      </c>
      <c r="Z95" s="16"/>
      <c r="AA95" s="16"/>
      <c r="AB95" s="16"/>
      <c r="AC95" s="84"/>
      <c r="AD95" s="84"/>
      <c r="AE95" s="16"/>
      <c r="AF95" s="194"/>
      <c r="AG95" s="195"/>
      <c r="AH95" s="196"/>
      <c r="AI95" s="197"/>
      <c r="AJ95" s="197"/>
      <c r="AK95" s="197"/>
      <c r="AL95" s="197"/>
      <c r="AM95" s="197"/>
      <c r="AN95" s="198"/>
      <c r="AO95" s="196"/>
      <c r="AP95" s="199"/>
      <c r="AQ95" s="199"/>
      <c r="AR95" s="199"/>
      <c r="AS95" s="199"/>
      <c r="AT95" s="16"/>
      <c r="AU95" s="53"/>
      <c r="AV95" s="123"/>
      <c r="AW95" s="59"/>
      <c r="AX95" s="22"/>
    </row>
    <row r="96" spans="1:50" ht="409.5" x14ac:dyDescent="0.35">
      <c r="A96" s="477" t="s">
        <v>129</v>
      </c>
      <c r="B96" s="477" t="s">
        <v>212</v>
      </c>
      <c r="C96" s="432" t="s">
        <v>213</v>
      </c>
      <c r="D96" s="432" t="s">
        <v>214</v>
      </c>
      <c r="E96" s="432" t="s">
        <v>215</v>
      </c>
      <c r="F96" s="531" t="s">
        <v>813</v>
      </c>
      <c r="G96" s="481" t="s">
        <v>216</v>
      </c>
      <c r="H96" s="173" t="s">
        <v>217</v>
      </c>
      <c r="I96" s="191" t="s">
        <v>218</v>
      </c>
      <c r="J96" s="173" t="s">
        <v>219</v>
      </c>
      <c r="K96" s="184">
        <v>9000</v>
      </c>
      <c r="L96" s="184">
        <v>2000</v>
      </c>
      <c r="M96" s="184">
        <v>38</v>
      </c>
      <c r="N96" s="177">
        <v>498</v>
      </c>
      <c r="O96" s="177">
        <v>301</v>
      </c>
      <c r="P96" s="238">
        <v>3</v>
      </c>
      <c r="Q96" s="238">
        <f>+P96+O96+N96+M96</f>
        <v>840</v>
      </c>
      <c r="R96" s="239">
        <f>+Q96/L96</f>
        <v>0.42</v>
      </c>
      <c r="S96" s="238">
        <f>1500+Q96</f>
        <v>2340</v>
      </c>
      <c r="T96" s="239">
        <f>+S96/K96</f>
        <v>0.26</v>
      </c>
      <c r="U96" s="428" t="s">
        <v>373</v>
      </c>
      <c r="V96" s="464">
        <v>2020130010170</v>
      </c>
      <c r="W96" s="451" t="s">
        <v>374</v>
      </c>
      <c r="X96" s="173" t="s">
        <v>375</v>
      </c>
      <c r="Y96" s="184">
        <v>15</v>
      </c>
      <c r="Z96" s="184">
        <v>2</v>
      </c>
      <c r="AA96" s="177">
        <v>18</v>
      </c>
      <c r="AB96" s="177">
        <v>14</v>
      </c>
      <c r="AC96" s="83">
        <v>1</v>
      </c>
      <c r="AD96" s="228">
        <v>1</v>
      </c>
      <c r="AE96" s="174" t="s">
        <v>734</v>
      </c>
      <c r="AF96" s="451" t="s">
        <v>652</v>
      </c>
      <c r="AG96" s="451" t="s">
        <v>646</v>
      </c>
      <c r="AH96" s="428" t="s">
        <v>41</v>
      </c>
      <c r="AI96" s="374">
        <v>187178608</v>
      </c>
      <c r="AJ96" s="374">
        <v>93510000</v>
      </c>
      <c r="AK96" s="374">
        <v>93510000</v>
      </c>
      <c r="AL96" s="374">
        <v>93510000</v>
      </c>
      <c r="AM96" s="374"/>
      <c r="AN96" s="445">
        <f>+AK96/AI96</f>
        <v>0.49957631910586703</v>
      </c>
      <c r="AO96" s="428" t="s">
        <v>588</v>
      </c>
      <c r="AP96" s="428" t="s">
        <v>459</v>
      </c>
      <c r="AQ96" s="331">
        <v>187178608</v>
      </c>
      <c r="AR96" s="331">
        <v>179975000</v>
      </c>
      <c r="AS96" s="349">
        <f>+AR96/AQ96</f>
        <v>0.96151479019440089</v>
      </c>
      <c r="AT96" s="184"/>
      <c r="AU96" s="51"/>
      <c r="AV96" s="144" t="s">
        <v>1062</v>
      </c>
      <c r="AW96" s="66">
        <v>8</v>
      </c>
      <c r="AX96" s="236" t="s">
        <v>858</v>
      </c>
    </row>
    <row r="97" spans="1:50" ht="157.5" customHeight="1" x14ac:dyDescent="0.35">
      <c r="A97" s="477"/>
      <c r="B97" s="477"/>
      <c r="C97" s="432"/>
      <c r="D97" s="432"/>
      <c r="E97" s="432"/>
      <c r="F97" s="487"/>
      <c r="G97" s="481"/>
      <c r="H97" s="173" t="s">
        <v>220</v>
      </c>
      <c r="I97" s="7" t="s">
        <v>221</v>
      </c>
      <c r="J97" s="173" t="s">
        <v>222</v>
      </c>
      <c r="K97" s="184">
        <v>10000</v>
      </c>
      <c r="L97" s="184">
        <v>2000</v>
      </c>
      <c r="M97" s="184">
        <v>1508</v>
      </c>
      <c r="N97" s="177">
        <v>0</v>
      </c>
      <c r="O97" s="177">
        <v>452</v>
      </c>
      <c r="P97" s="238">
        <v>7524</v>
      </c>
      <c r="Q97" s="238">
        <f t="shared" ref="Q97:Q99" si="13">+P97+O97+N97+M97</f>
        <v>9484</v>
      </c>
      <c r="R97" s="239">
        <v>1</v>
      </c>
      <c r="S97" s="238">
        <f>865+Q97</f>
        <v>10349</v>
      </c>
      <c r="T97" s="239">
        <v>1</v>
      </c>
      <c r="U97" s="429"/>
      <c r="V97" s="465"/>
      <c r="W97" s="452"/>
      <c r="X97" s="173" t="s">
        <v>376</v>
      </c>
      <c r="Y97" s="184">
        <v>35</v>
      </c>
      <c r="Z97" s="184">
        <v>16</v>
      </c>
      <c r="AA97" s="177">
        <v>0</v>
      </c>
      <c r="AB97" s="177">
        <v>32</v>
      </c>
      <c r="AC97" s="83">
        <v>98</v>
      </c>
      <c r="AD97" s="228">
        <v>1</v>
      </c>
      <c r="AE97" s="174" t="s">
        <v>734</v>
      </c>
      <c r="AF97" s="452"/>
      <c r="AG97" s="452"/>
      <c r="AH97" s="429"/>
      <c r="AI97" s="375"/>
      <c r="AJ97" s="375"/>
      <c r="AK97" s="375"/>
      <c r="AL97" s="375"/>
      <c r="AM97" s="375"/>
      <c r="AN97" s="446"/>
      <c r="AO97" s="429"/>
      <c r="AP97" s="429"/>
      <c r="AQ97" s="331"/>
      <c r="AR97" s="331"/>
      <c r="AS97" s="350"/>
      <c r="AT97" s="184"/>
      <c r="AU97" s="51"/>
      <c r="AV97" s="89" t="s">
        <v>1050</v>
      </c>
      <c r="AW97" s="66">
        <v>9</v>
      </c>
      <c r="AX97" s="236" t="s">
        <v>859</v>
      </c>
    </row>
    <row r="98" spans="1:50" ht="409.5" x14ac:dyDescent="0.35">
      <c r="A98" s="477"/>
      <c r="B98" s="477"/>
      <c r="C98" s="432"/>
      <c r="D98" s="432"/>
      <c r="E98" s="432"/>
      <c r="F98" s="487"/>
      <c r="G98" s="481"/>
      <c r="H98" s="173" t="s">
        <v>223</v>
      </c>
      <c r="I98" s="191" t="s">
        <v>224</v>
      </c>
      <c r="J98" s="173" t="s">
        <v>225</v>
      </c>
      <c r="K98" s="184">
        <v>10000</v>
      </c>
      <c r="L98" s="184">
        <v>2000</v>
      </c>
      <c r="M98" s="184">
        <v>677</v>
      </c>
      <c r="N98" s="177">
        <v>898</v>
      </c>
      <c r="O98" s="177">
        <v>0</v>
      </c>
      <c r="P98" s="238">
        <v>12825</v>
      </c>
      <c r="Q98" s="238">
        <f t="shared" si="13"/>
        <v>14400</v>
      </c>
      <c r="R98" s="239">
        <v>1</v>
      </c>
      <c r="S98" s="238">
        <f>2000+Q98</f>
        <v>16400</v>
      </c>
      <c r="T98" s="239">
        <v>1</v>
      </c>
      <c r="U98" s="429"/>
      <c r="V98" s="465"/>
      <c r="W98" s="452"/>
      <c r="X98" s="173" t="s">
        <v>377</v>
      </c>
      <c r="Y98" s="184">
        <v>40</v>
      </c>
      <c r="Z98" s="184">
        <v>27</v>
      </c>
      <c r="AA98" s="177">
        <v>66</v>
      </c>
      <c r="AB98" s="177">
        <v>0</v>
      </c>
      <c r="AC98" s="83">
        <v>0</v>
      </c>
      <c r="AD98" s="228">
        <v>1</v>
      </c>
      <c r="AE98" s="174" t="s">
        <v>734</v>
      </c>
      <c r="AF98" s="452"/>
      <c r="AG98" s="452"/>
      <c r="AH98" s="429"/>
      <c r="AI98" s="375"/>
      <c r="AJ98" s="375"/>
      <c r="AK98" s="375"/>
      <c r="AL98" s="375"/>
      <c r="AM98" s="375"/>
      <c r="AN98" s="446"/>
      <c r="AO98" s="429"/>
      <c r="AP98" s="429"/>
      <c r="AQ98" s="331"/>
      <c r="AR98" s="331"/>
      <c r="AS98" s="350"/>
      <c r="AT98" s="184"/>
      <c r="AU98" s="119" t="s">
        <v>752</v>
      </c>
      <c r="AV98" s="139" t="s">
        <v>1051</v>
      </c>
      <c r="AW98" s="244">
        <v>10</v>
      </c>
      <c r="AX98" s="245" t="s">
        <v>860</v>
      </c>
    </row>
    <row r="99" spans="1:50" ht="156" customHeight="1" x14ac:dyDescent="0.35">
      <c r="A99" s="477"/>
      <c r="B99" s="477"/>
      <c r="C99" s="432"/>
      <c r="D99" s="432"/>
      <c r="E99" s="432"/>
      <c r="F99" s="487"/>
      <c r="G99" s="481"/>
      <c r="H99" s="173" t="s">
        <v>226</v>
      </c>
      <c r="I99" s="191" t="s">
        <v>227</v>
      </c>
      <c r="J99" s="173" t="s">
        <v>228</v>
      </c>
      <c r="K99" s="184">
        <v>20000</v>
      </c>
      <c r="L99" s="184">
        <v>5800</v>
      </c>
      <c r="M99" s="184">
        <v>0</v>
      </c>
      <c r="N99" s="177">
        <v>440</v>
      </c>
      <c r="O99" s="187">
        <v>162</v>
      </c>
      <c r="P99" s="238">
        <v>650</v>
      </c>
      <c r="Q99" s="238">
        <f t="shared" si="13"/>
        <v>1252</v>
      </c>
      <c r="R99" s="239">
        <f t="shared" ref="R99" si="14">+Q99/L99</f>
        <v>0.21586206896551724</v>
      </c>
      <c r="S99" s="238">
        <f>21+Q99</f>
        <v>1273</v>
      </c>
      <c r="T99" s="239">
        <f t="shared" ref="T99" si="15">+S99/K99</f>
        <v>6.3649999999999998E-2</v>
      </c>
      <c r="U99" s="430"/>
      <c r="V99" s="466"/>
      <c r="W99" s="453"/>
      <c r="X99" s="173" t="s">
        <v>378</v>
      </c>
      <c r="Y99" s="184">
        <v>2</v>
      </c>
      <c r="Z99" s="184">
        <v>0</v>
      </c>
      <c r="AA99" s="177">
        <v>22</v>
      </c>
      <c r="AB99" s="177">
        <v>7</v>
      </c>
      <c r="AC99" s="83">
        <v>22</v>
      </c>
      <c r="AD99" s="228"/>
      <c r="AE99" s="174" t="s">
        <v>734</v>
      </c>
      <c r="AF99" s="453"/>
      <c r="AG99" s="453"/>
      <c r="AH99" s="430"/>
      <c r="AI99" s="376"/>
      <c r="AJ99" s="376"/>
      <c r="AK99" s="376"/>
      <c r="AL99" s="376"/>
      <c r="AM99" s="376"/>
      <c r="AN99" s="447"/>
      <c r="AO99" s="430"/>
      <c r="AP99" s="430"/>
      <c r="AQ99" s="332"/>
      <c r="AR99" s="332"/>
      <c r="AS99" s="351"/>
      <c r="AT99" s="189" t="s">
        <v>621</v>
      </c>
      <c r="AU99" s="56"/>
      <c r="AV99" s="89" t="s">
        <v>1052</v>
      </c>
      <c r="AW99" s="67">
        <v>11</v>
      </c>
      <c r="AX99" s="236" t="s">
        <v>861</v>
      </c>
    </row>
    <row r="100" spans="1:50" s="21" customFormat="1" ht="37.5" x14ac:dyDescent="0.35">
      <c r="A100" s="477"/>
      <c r="B100" s="477"/>
      <c r="C100" s="432"/>
      <c r="D100" s="432"/>
      <c r="E100" s="432"/>
      <c r="F100" s="487"/>
      <c r="G100" s="493" t="s">
        <v>1085</v>
      </c>
      <c r="H100" s="494"/>
      <c r="I100" s="494"/>
      <c r="J100" s="494"/>
      <c r="K100" s="494"/>
      <c r="L100" s="494"/>
      <c r="M100" s="494"/>
      <c r="N100" s="494"/>
      <c r="O100" s="495"/>
      <c r="P100" s="241"/>
      <c r="Q100" s="241"/>
      <c r="R100" s="249">
        <f>AVERAGE(R96:R99)</f>
        <v>0.65896551724137931</v>
      </c>
      <c r="S100" s="249"/>
      <c r="T100" s="249">
        <f>AVERAGE(T96:T99)</f>
        <v>0.58091249999999994</v>
      </c>
      <c r="U100" s="17"/>
      <c r="V100" s="32"/>
      <c r="W100" s="13"/>
      <c r="X100" s="15"/>
      <c r="Y100" s="16"/>
      <c r="Z100" s="16"/>
      <c r="AA100" s="16"/>
      <c r="AB100" s="16"/>
      <c r="AC100" s="84"/>
      <c r="AD100" s="226">
        <v>1</v>
      </c>
      <c r="AE100" s="16"/>
      <c r="AF100" s="13"/>
      <c r="AG100" s="13"/>
      <c r="AH100" s="17"/>
      <c r="AI100" s="25"/>
      <c r="AJ100" s="25"/>
      <c r="AK100" s="25"/>
      <c r="AL100" s="25"/>
      <c r="AM100" s="25"/>
      <c r="AN100" s="34"/>
      <c r="AO100" s="17"/>
      <c r="AP100" s="17"/>
      <c r="AQ100" s="17"/>
      <c r="AR100" s="17"/>
      <c r="AS100" s="17"/>
      <c r="AT100" s="16"/>
      <c r="AU100" s="53"/>
      <c r="AV100" s="124"/>
      <c r="AW100" s="59"/>
      <c r="AX100" s="22"/>
    </row>
    <row r="101" spans="1:50" ht="409.5" x14ac:dyDescent="0.35">
      <c r="A101" s="477"/>
      <c r="B101" s="477"/>
      <c r="C101" s="432"/>
      <c r="D101" s="432"/>
      <c r="E101" s="432"/>
      <c r="F101" s="488"/>
      <c r="G101" s="182" t="s">
        <v>229</v>
      </c>
      <c r="H101" s="173" t="s">
        <v>230</v>
      </c>
      <c r="I101" s="174">
        <v>0</v>
      </c>
      <c r="J101" s="185" t="s">
        <v>231</v>
      </c>
      <c r="K101" s="184">
        <v>1</v>
      </c>
      <c r="L101" s="74">
        <v>0.75</v>
      </c>
      <c r="M101" s="44">
        <v>0.2</v>
      </c>
      <c r="N101" s="40">
        <v>0</v>
      </c>
      <c r="O101" s="40">
        <v>0.15</v>
      </c>
      <c r="P101" s="254">
        <v>0</v>
      </c>
      <c r="Q101" s="255">
        <f>+M101+O101</f>
        <v>0.35</v>
      </c>
      <c r="R101" s="239">
        <f>+Q101/L101</f>
        <v>0.46666666666666662</v>
      </c>
      <c r="S101" s="255">
        <f>+Q101+0.25</f>
        <v>0.6</v>
      </c>
      <c r="T101" s="239">
        <f>+S101</f>
        <v>0.6</v>
      </c>
      <c r="U101" s="180" t="s">
        <v>379</v>
      </c>
      <c r="V101" s="178">
        <v>2020130010168</v>
      </c>
      <c r="W101" s="174" t="s">
        <v>380</v>
      </c>
      <c r="X101" s="173" t="s">
        <v>623</v>
      </c>
      <c r="Y101" s="44">
        <v>0.8</v>
      </c>
      <c r="Z101" s="44">
        <v>0.4</v>
      </c>
      <c r="AA101" s="40">
        <v>0</v>
      </c>
      <c r="AB101" s="177">
        <v>1</v>
      </c>
      <c r="AC101" s="83">
        <v>0</v>
      </c>
      <c r="AD101" s="228">
        <v>1</v>
      </c>
      <c r="AE101" s="174" t="s">
        <v>734</v>
      </c>
      <c r="AF101" s="174" t="s">
        <v>652</v>
      </c>
      <c r="AG101" s="174" t="s">
        <v>646</v>
      </c>
      <c r="AH101" s="180" t="s">
        <v>41</v>
      </c>
      <c r="AI101" s="42">
        <v>68309618</v>
      </c>
      <c r="AJ101" s="42">
        <v>34032000</v>
      </c>
      <c r="AK101" s="42">
        <v>34032000</v>
      </c>
      <c r="AL101" s="42">
        <v>57940841</v>
      </c>
      <c r="AM101" s="42"/>
      <c r="AN101" s="35">
        <f>+AK101/AI101</f>
        <v>0.49820217117888144</v>
      </c>
      <c r="AO101" s="180" t="s">
        <v>589</v>
      </c>
      <c r="AP101" s="180" t="s">
        <v>460</v>
      </c>
      <c r="AQ101" s="274">
        <v>68309618</v>
      </c>
      <c r="AR101" s="274">
        <v>65040841</v>
      </c>
      <c r="AS101" s="232">
        <f>+AR101/AQ101</f>
        <v>0.9521476316848968</v>
      </c>
      <c r="AT101" s="8" t="s">
        <v>622</v>
      </c>
      <c r="AU101" s="275" t="s">
        <v>753</v>
      </c>
      <c r="AV101" s="141" t="s">
        <v>1053</v>
      </c>
      <c r="AW101" s="244">
        <v>12</v>
      </c>
      <c r="AX101" s="257"/>
    </row>
    <row r="102" spans="1:50" s="21" customFormat="1" ht="33.75" customHeight="1" x14ac:dyDescent="0.35">
      <c r="A102" s="12"/>
      <c r="B102" s="12"/>
      <c r="C102" s="13"/>
      <c r="D102" s="14"/>
      <c r="E102" s="13"/>
      <c r="F102" s="153"/>
      <c r="G102" s="493" t="s">
        <v>1086</v>
      </c>
      <c r="H102" s="494"/>
      <c r="I102" s="494"/>
      <c r="J102" s="494"/>
      <c r="K102" s="494"/>
      <c r="L102" s="494"/>
      <c r="M102" s="494"/>
      <c r="N102" s="494"/>
      <c r="O102" s="495"/>
      <c r="P102" s="241"/>
      <c r="Q102" s="241"/>
      <c r="R102" s="227">
        <f>+R101</f>
        <v>0.46666666666666662</v>
      </c>
      <c r="S102" s="227"/>
      <c r="T102" s="227">
        <f>+T101</f>
        <v>0.6</v>
      </c>
      <c r="U102" s="17"/>
      <c r="V102" s="18"/>
      <c r="W102" s="13"/>
      <c r="X102" s="13"/>
      <c r="Y102" s="16"/>
      <c r="Z102" s="16"/>
      <c r="AA102" s="16"/>
      <c r="AB102" s="16"/>
      <c r="AC102" s="84"/>
      <c r="AD102" s="226">
        <v>1</v>
      </c>
      <c r="AE102" s="16"/>
      <c r="AF102" s="13"/>
      <c r="AG102" s="19"/>
      <c r="AH102" s="17"/>
      <c r="AI102" s="20"/>
      <c r="AJ102" s="20"/>
      <c r="AK102" s="20"/>
      <c r="AL102" s="20"/>
      <c r="AM102" s="20"/>
      <c r="AN102" s="33"/>
      <c r="AO102" s="17"/>
      <c r="AP102" s="18"/>
      <c r="AQ102" s="18"/>
      <c r="AR102" s="18"/>
      <c r="AS102" s="18"/>
      <c r="AT102" s="16"/>
      <c r="AU102" s="53"/>
      <c r="AV102" s="123"/>
      <c r="AW102" s="59"/>
      <c r="AX102" s="22"/>
    </row>
    <row r="103" spans="1:50" s="21" customFormat="1" ht="37.5" x14ac:dyDescent="0.35">
      <c r="A103" s="12"/>
      <c r="B103" s="493" t="s">
        <v>1087</v>
      </c>
      <c r="C103" s="494"/>
      <c r="D103" s="494"/>
      <c r="E103" s="494"/>
      <c r="F103" s="494"/>
      <c r="G103" s="494"/>
      <c r="H103" s="494"/>
      <c r="I103" s="494"/>
      <c r="J103" s="494"/>
      <c r="K103" s="494"/>
      <c r="L103" s="494"/>
      <c r="M103" s="494"/>
      <c r="N103" s="494"/>
      <c r="O103" s="495"/>
      <c r="P103" s="241"/>
      <c r="Q103" s="267"/>
      <c r="R103" s="276">
        <f>+(R102+R100)/2</f>
        <v>0.56281609195402293</v>
      </c>
      <c r="S103" s="267"/>
      <c r="T103" s="276">
        <f>+(T102+T100)/2</f>
        <v>0.5904562499999999</v>
      </c>
      <c r="U103" s="17"/>
      <c r="V103" s="18"/>
      <c r="W103" s="13"/>
      <c r="X103" s="13"/>
      <c r="Y103" s="16"/>
      <c r="Z103" s="16"/>
      <c r="AA103" s="16"/>
      <c r="AB103" s="16"/>
      <c r="AC103" s="84"/>
      <c r="AD103" s="84"/>
      <c r="AE103" s="16"/>
      <c r="AF103" s="194"/>
      <c r="AG103" s="195"/>
      <c r="AH103" s="17"/>
      <c r="AI103" s="20"/>
      <c r="AJ103" s="20"/>
      <c r="AK103" s="20"/>
      <c r="AL103" s="20"/>
      <c r="AM103" s="20"/>
      <c r="AN103" s="33"/>
      <c r="AO103" s="17"/>
      <c r="AP103" s="18"/>
      <c r="AQ103" s="18"/>
      <c r="AR103" s="18"/>
      <c r="AS103" s="18"/>
      <c r="AT103" s="16"/>
      <c r="AU103" s="47"/>
      <c r="AV103" s="123"/>
      <c r="AW103" s="59"/>
      <c r="AX103" s="22"/>
    </row>
    <row r="104" spans="1:50" ht="108.5" x14ac:dyDescent="0.35">
      <c r="A104" s="477" t="s">
        <v>129</v>
      </c>
      <c r="B104" s="477" t="s">
        <v>232</v>
      </c>
      <c r="C104" s="432" t="s">
        <v>233</v>
      </c>
      <c r="D104" s="432" t="s">
        <v>234</v>
      </c>
      <c r="E104" s="432" t="s">
        <v>235</v>
      </c>
      <c r="F104" s="531" t="s">
        <v>1055</v>
      </c>
      <c r="G104" s="481" t="s">
        <v>236</v>
      </c>
      <c r="H104" s="431" t="s">
        <v>237</v>
      </c>
      <c r="I104" s="432" t="s">
        <v>238</v>
      </c>
      <c r="J104" s="431" t="s">
        <v>239</v>
      </c>
      <c r="K104" s="506">
        <v>9000</v>
      </c>
      <c r="L104" s="506">
        <v>9000</v>
      </c>
      <c r="M104" s="506">
        <v>9263</v>
      </c>
      <c r="N104" s="448">
        <v>9263</v>
      </c>
      <c r="O104" s="516">
        <v>9263</v>
      </c>
      <c r="P104" s="449">
        <v>9263</v>
      </c>
      <c r="Q104" s="524">
        <f>+P104</f>
        <v>9263</v>
      </c>
      <c r="R104" s="548">
        <v>1</v>
      </c>
      <c r="S104" s="524">
        <f>+Q104+9130</f>
        <v>18393</v>
      </c>
      <c r="T104" s="548">
        <f>+S104/(9000*4)</f>
        <v>0.51091666666666669</v>
      </c>
      <c r="U104" s="180" t="s">
        <v>381</v>
      </c>
      <c r="V104" s="178">
        <v>2020130010319</v>
      </c>
      <c r="W104" s="174" t="s">
        <v>382</v>
      </c>
      <c r="X104" s="173" t="s">
        <v>383</v>
      </c>
      <c r="Y104" s="184">
        <v>150</v>
      </c>
      <c r="Z104" s="37">
        <f>+((115+128)/(150*4))</f>
        <v>0.40500000000000003</v>
      </c>
      <c r="AA104" s="177">
        <v>115</v>
      </c>
      <c r="AB104" s="177">
        <v>18</v>
      </c>
      <c r="AC104" s="83">
        <v>52</v>
      </c>
      <c r="AD104" s="228">
        <v>1</v>
      </c>
      <c r="AE104" s="174" t="s">
        <v>734</v>
      </c>
      <c r="AF104" s="451" t="s">
        <v>653</v>
      </c>
      <c r="AG104" s="451" t="s">
        <v>461</v>
      </c>
      <c r="AH104" s="180" t="s">
        <v>462</v>
      </c>
      <c r="AI104" s="2">
        <v>1547415104</v>
      </c>
      <c r="AJ104" s="2">
        <v>0</v>
      </c>
      <c r="AK104" s="2">
        <v>1164601399</v>
      </c>
      <c r="AL104" s="2"/>
      <c r="AM104" s="2"/>
      <c r="AN104" s="35">
        <f>+AK104/AI104</f>
        <v>0.75261085147066009</v>
      </c>
      <c r="AO104" s="180" t="s">
        <v>590</v>
      </c>
      <c r="AP104" s="180" t="s">
        <v>463</v>
      </c>
      <c r="AQ104" s="333">
        <v>21099080725.75</v>
      </c>
      <c r="AR104" s="333">
        <v>12313622716</v>
      </c>
      <c r="AS104" s="349">
        <f>+AR104/AQ104</f>
        <v>0.58360944138064064</v>
      </c>
      <c r="AT104" s="189" t="s">
        <v>716</v>
      </c>
      <c r="AU104" s="119" t="s">
        <v>754</v>
      </c>
      <c r="AV104" s="120" t="s">
        <v>1019</v>
      </c>
      <c r="AW104" s="277">
        <v>1</v>
      </c>
      <c r="AX104" s="245" t="s">
        <v>862</v>
      </c>
    </row>
    <row r="105" spans="1:50" ht="77.5" x14ac:dyDescent="0.35">
      <c r="A105" s="477"/>
      <c r="B105" s="477"/>
      <c r="C105" s="432"/>
      <c r="D105" s="432"/>
      <c r="E105" s="432"/>
      <c r="F105" s="487"/>
      <c r="G105" s="481"/>
      <c r="H105" s="431"/>
      <c r="I105" s="432"/>
      <c r="J105" s="431"/>
      <c r="K105" s="506"/>
      <c r="L105" s="506"/>
      <c r="M105" s="506"/>
      <c r="N105" s="448"/>
      <c r="O105" s="530"/>
      <c r="P105" s="449"/>
      <c r="Q105" s="525"/>
      <c r="R105" s="555"/>
      <c r="S105" s="525"/>
      <c r="T105" s="555"/>
      <c r="U105" s="428" t="s">
        <v>384</v>
      </c>
      <c r="V105" s="464">
        <v>2020130010133</v>
      </c>
      <c r="W105" s="451" t="s">
        <v>382</v>
      </c>
      <c r="X105" s="173" t="s">
        <v>385</v>
      </c>
      <c r="Y105" s="184">
        <v>9000</v>
      </c>
      <c r="Z105" s="184">
        <v>9263</v>
      </c>
      <c r="AA105" s="177">
        <v>9263</v>
      </c>
      <c r="AB105" s="177">
        <v>9263</v>
      </c>
      <c r="AC105" s="83">
        <v>1630</v>
      </c>
      <c r="AD105" s="228">
        <v>1</v>
      </c>
      <c r="AE105" s="174" t="s">
        <v>734</v>
      </c>
      <c r="AF105" s="452"/>
      <c r="AG105" s="452"/>
      <c r="AH105" s="428" t="s">
        <v>661</v>
      </c>
      <c r="AI105" s="377">
        <v>12821951886</v>
      </c>
      <c r="AJ105" s="377">
        <v>1619400000</v>
      </c>
      <c r="AK105" s="377">
        <v>2362600000</v>
      </c>
      <c r="AL105" s="377"/>
      <c r="AM105" s="377"/>
      <c r="AN105" s="519">
        <f>+AK105/AI105</f>
        <v>0.18426211711024043</v>
      </c>
      <c r="AO105" s="428" t="s">
        <v>591</v>
      </c>
      <c r="AP105" s="428" t="s">
        <v>659</v>
      </c>
      <c r="AQ105" s="333"/>
      <c r="AR105" s="333"/>
      <c r="AS105" s="350"/>
      <c r="AT105" s="189" t="s">
        <v>717</v>
      </c>
      <c r="AU105" s="119" t="s">
        <v>755</v>
      </c>
      <c r="AV105" s="139" t="s">
        <v>1020</v>
      </c>
      <c r="AW105" s="277">
        <v>2</v>
      </c>
      <c r="AX105" s="245" t="s">
        <v>863</v>
      </c>
    </row>
    <row r="106" spans="1:50" ht="130" customHeight="1" x14ac:dyDescent="0.35">
      <c r="A106" s="477"/>
      <c r="B106" s="477"/>
      <c r="C106" s="432"/>
      <c r="D106" s="432"/>
      <c r="E106" s="432"/>
      <c r="F106" s="487"/>
      <c r="G106" s="481"/>
      <c r="H106" s="431"/>
      <c r="I106" s="432"/>
      <c r="J106" s="431"/>
      <c r="K106" s="506"/>
      <c r="L106" s="506"/>
      <c r="M106" s="506"/>
      <c r="N106" s="448"/>
      <c r="O106" s="530"/>
      <c r="P106" s="449"/>
      <c r="Q106" s="525"/>
      <c r="R106" s="555"/>
      <c r="S106" s="525"/>
      <c r="T106" s="555"/>
      <c r="U106" s="429"/>
      <c r="V106" s="465"/>
      <c r="W106" s="452"/>
      <c r="X106" s="173" t="s">
        <v>502</v>
      </c>
      <c r="Y106" s="184">
        <v>5</v>
      </c>
      <c r="Z106" s="184">
        <v>0</v>
      </c>
      <c r="AA106" s="177">
        <v>0</v>
      </c>
      <c r="AB106" s="177">
        <v>1</v>
      </c>
      <c r="AC106" s="83">
        <v>0</v>
      </c>
      <c r="AD106" s="228">
        <v>1</v>
      </c>
      <c r="AE106" s="174" t="s">
        <v>734</v>
      </c>
      <c r="AF106" s="452"/>
      <c r="AG106" s="452"/>
      <c r="AH106" s="429"/>
      <c r="AI106" s="378"/>
      <c r="AJ106" s="378"/>
      <c r="AK106" s="378"/>
      <c r="AL106" s="378"/>
      <c r="AM106" s="378"/>
      <c r="AN106" s="520"/>
      <c r="AO106" s="429"/>
      <c r="AP106" s="429"/>
      <c r="AQ106" s="333"/>
      <c r="AR106" s="333"/>
      <c r="AS106" s="350"/>
      <c r="AT106" s="189" t="s">
        <v>718</v>
      </c>
      <c r="AU106" s="272"/>
      <c r="AV106" s="120" t="s">
        <v>1021</v>
      </c>
      <c r="AW106" s="278">
        <v>3</v>
      </c>
      <c r="AX106" s="245" t="s">
        <v>864</v>
      </c>
    </row>
    <row r="107" spans="1:50" ht="124" x14ac:dyDescent="0.35">
      <c r="A107" s="477"/>
      <c r="B107" s="477"/>
      <c r="C107" s="432"/>
      <c r="D107" s="432"/>
      <c r="E107" s="432"/>
      <c r="F107" s="487"/>
      <c r="G107" s="481"/>
      <c r="H107" s="431"/>
      <c r="I107" s="432"/>
      <c r="J107" s="431"/>
      <c r="K107" s="506"/>
      <c r="L107" s="506"/>
      <c r="M107" s="506"/>
      <c r="N107" s="448"/>
      <c r="O107" s="530"/>
      <c r="P107" s="449"/>
      <c r="Q107" s="525"/>
      <c r="R107" s="555"/>
      <c r="S107" s="525"/>
      <c r="T107" s="555"/>
      <c r="U107" s="429"/>
      <c r="V107" s="465"/>
      <c r="W107" s="452"/>
      <c r="X107" s="173" t="s">
        <v>386</v>
      </c>
      <c r="Y107" s="184">
        <v>4</v>
      </c>
      <c r="Z107" s="184">
        <v>4</v>
      </c>
      <c r="AA107" s="177">
        <v>0</v>
      </c>
      <c r="AB107" s="177">
        <v>1</v>
      </c>
      <c r="AC107" s="83">
        <v>1</v>
      </c>
      <c r="AD107" s="228">
        <v>1</v>
      </c>
      <c r="AE107" s="174" t="s">
        <v>734</v>
      </c>
      <c r="AF107" s="452"/>
      <c r="AG107" s="452"/>
      <c r="AH107" s="429"/>
      <c r="AI107" s="378"/>
      <c r="AJ107" s="378"/>
      <c r="AK107" s="378"/>
      <c r="AL107" s="378"/>
      <c r="AM107" s="378"/>
      <c r="AN107" s="520"/>
      <c r="AO107" s="429"/>
      <c r="AP107" s="429"/>
      <c r="AQ107" s="333"/>
      <c r="AR107" s="333"/>
      <c r="AS107" s="350"/>
      <c r="AT107" s="189" t="s">
        <v>719</v>
      </c>
      <c r="AU107" s="119" t="s">
        <v>756</v>
      </c>
      <c r="AV107" s="146" t="s">
        <v>1022</v>
      </c>
      <c r="AW107" s="277">
        <v>4</v>
      </c>
      <c r="AX107" s="245" t="s">
        <v>865</v>
      </c>
    </row>
    <row r="108" spans="1:50" ht="81.650000000000006" customHeight="1" x14ac:dyDescent="0.35">
      <c r="A108" s="477"/>
      <c r="B108" s="477"/>
      <c r="C108" s="432"/>
      <c r="D108" s="432"/>
      <c r="E108" s="432"/>
      <c r="F108" s="487"/>
      <c r="G108" s="481"/>
      <c r="H108" s="431"/>
      <c r="I108" s="432"/>
      <c r="J108" s="431"/>
      <c r="K108" s="506"/>
      <c r="L108" s="506"/>
      <c r="M108" s="506"/>
      <c r="N108" s="448"/>
      <c r="O108" s="530"/>
      <c r="P108" s="449"/>
      <c r="Q108" s="525"/>
      <c r="R108" s="555"/>
      <c r="S108" s="525"/>
      <c r="T108" s="555"/>
      <c r="U108" s="429"/>
      <c r="V108" s="465"/>
      <c r="W108" s="452"/>
      <c r="X108" s="173" t="s">
        <v>387</v>
      </c>
      <c r="Y108" s="184">
        <v>9000</v>
      </c>
      <c r="Z108" s="184">
        <v>0</v>
      </c>
      <c r="AA108" s="177">
        <v>0</v>
      </c>
      <c r="AB108" s="177">
        <v>9263</v>
      </c>
      <c r="AC108" s="83">
        <v>9263</v>
      </c>
      <c r="AD108" s="228">
        <v>1</v>
      </c>
      <c r="AE108" s="174" t="s">
        <v>734</v>
      </c>
      <c r="AF108" s="452"/>
      <c r="AG108" s="452"/>
      <c r="AH108" s="429"/>
      <c r="AI108" s="378"/>
      <c r="AJ108" s="378"/>
      <c r="AK108" s="378"/>
      <c r="AL108" s="378"/>
      <c r="AM108" s="378"/>
      <c r="AN108" s="520"/>
      <c r="AO108" s="429"/>
      <c r="AP108" s="429"/>
      <c r="AQ108" s="333"/>
      <c r="AR108" s="333"/>
      <c r="AS108" s="350"/>
      <c r="AT108" s="189" t="s">
        <v>720</v>
      </c>
      <c r="AU108" s="259" t="s">
        <v>757</v>
      </c>
      <c r="AV108" s="120" t="s">
        <v>1023</v>
      </c>
      <c r="AW108" s="277">
        <v>5</v>
      </c>
      <c r="AX108" s="245" t="s">
        <v>866</v>
      </c>
    </row>
    <row r="109" spans="1:50" ht="93" x14ac:dyDescent="0.35">
      <c r="A109" s="477"/>
      <c r="B109" s="477"/>
      <c r="C109" s="432"/>
      <c r="D109" s="432"/>
      <c r="E109" s="432"/>
      <c r="F109" s="487"/>
      <c r="G109" s="481"/>
      <c r="H109" s="431"/>
      <c r="I109" s="432"/>
      <c r="J109" s="431"/>
      <c r="K109" s="506"/>
      <c r="L109" s="506"/>
      <c r="M109" s="506"/>
      <c r="N109" s="448"/>
      <c r="O109" s="530"/>
      <c r="P109" s="449"/>
      <c r="Q109" s="525"/>
      <c r="R109" s="555"/>
      <c r="S109" s="525"/>
      <c r="T109" s="555"/>
      <c r="U109" s="429"/>
      <c r="V109" s="465"/>
      <c r="W109" s="452"/>
      <c r="X109" s="173" t="s">
        <v>388</v>
      </c>
      <c r="Y109" s="184">
        <v>106</v>
      </c>
      <c r="Z109" s="184">
        <v>0</v>
      </c>
      <c r="AA109" s="177">
        <v>0</v>
      </c>
      <c r="AB109" s="177">
        <v>0</v>
      </c>
      <c r="AC109" s="83">
        <v>136</v>
      </c>
      <c r="AD109" s="228">
        <v>1</v>
      </c>
      <c r="AE109" s="174" t="s">
        <v>734</v>
      </c>
      <c r="AF109" s="452"/>
      <c r="AG109" s="452"/>
      <c r="AH109" s="429"/>
      <c r="AI109" s="378"/>
      <c r="AJ109" s="378"/>
      <c r="AK109" s="378"/>
      <c r="AL109" s="378"/>
      <c r="AM109" s="378"/>
      <c r="AN109" s="520"/>
      <c r="AO109" s="429"/>
      <c r="AP109" s="429"/>
      <c r="AQ109" s="333"/>
      <c r="AR109" s="333"/>
      <c r="AS109" s="350"/>
      <c r="AT109" s="189" t="s">
        <v>720</v>
      </c>
      <c r="AU109" s="185" t="s">
        <v>758</v>
      </c>
      <c r="AV109" s="147" t="s">
        <v>1059</v>
      </c>
      <c r="AW109" s="152">
        <v>6</v>
      </c>
      <c r="AX109" s="279" t="s">
        <v>867</v>
      </c>
    </row>
    <row r="110" spans="1:50" ht="341" x14ac:dyDescent="0.35">
      <c r="A110" s="477"/>
      <c r="B110" s="477"/>
      <c r="C110" s="432"/>
      <c r="D110" s="432"/>
      <c r="E110" s="432"/>
      <c r="F110" s="487"/>
      <c r="G110" s="481"/>
      <c r="H110" s="431"/>
      <c r="I110" s="432"/>
      <c r="J110" s="431"/>
      <c r="K110" s="506"/>
      <c r="L110" s="506"/>
      <c r="M110" s="506"/>
      <c r="N110" s="448"/>
      <c r="O110" s="530"/>
      <c r="P110" s="449"/>
      <c r="Q110" s="525"/>
      <c r="R110" s="555"/>
      <c r="S110" s="525"/>
      <c r="T110" s="555"/>
      <c r="U110" s="429"/>
      <c r="V110" s="465"/>
      <c r="W110" s="452"/>
      <c r="X110" s="173" t="s">
        <v>389</v>
      </c>
      <c r="Y110" s="184">
        <v>10</v>
      </c>
      <c r="Z110" s="184">
        <v>0</v>
      </c>
      <c r="AA110" s="177">
        <v>0</v>
      </c>
      <c r="AB110" s="177">
        <v>4</v>
      </c>
      <c r="AC110" s="83">
        <v>59</v>
      </c>
      <c r="AD110" s="228"/>
      <c r="AE110" s="174" t="s">
        <v>734</v>
      </c>
      <c r="AF110" s="452"/>
      <c r="AG110" s="452"/>
      <c r="AH110" s="429"/>
      <c r="AI110" s="378"/>
      <c r="AJ110" s="378"/>
      <c r="AK110" s="378"/>
      <c r="AL110" s="378"/>
      <c r="AM110" s="378"/>
      <c r="AN110" s="520"/>
      <c r="AO110" s="429"/>
      <c r="AP110" s="429"/>
      <c r="AQ110" s="333"/>
      <c r="AR110" s="333"/>
      <c r="AS110" s="350"/>
      <c r="AT110" s="189" t="s">
        <v>721</v>
      </c>
      <c r="AU110" s="271" t="s">
        <v>759</v>
      </c>
      <c r="AV110" s="139" t="s">
        <v>1060</v>
      </c>
      <c r="AW110" s="277">
        <v>7</v>
      </c>
      <c r="AX110" s="245" t="s">
        <v>868</v>
      </c>
    </row>
    <row r="111" spans="1:50" ht="108.5" x14ac:dyDescent="0.35">
      <c r="A111" s="477"/>
      <c r="B111" s="477"/>
      <c r="C111" s="432"/>
      <c r="D111" s="432"/>
      <c r="E111" s="432"/>
      <c r="F111" s="487"/>
      <c r="G111" s="481"/>
      <c r="H111" s="431"/>
      <c r="I111" s="432"/>
      <c r="J111" s="431"/>
      <c r="K111" s="506"/>
      <c r="L111" s="506"/>
      <c r="M111" s="506"/>
      <c r="N111" s="448"/>
      <c r="O111" s="530"/>
      <c r="P111" s="449"/>
      <c r="Q111" s="525"/>
      <c r="R111" s="555"/>
      <c r="S111" s="525"/>
      <c r="T111" s="555"/>
      <c r="U111" s="429"/>
      <c r="V111" s="465"/>
      <c r="W111" s="452"/>
      <c r="X111" s="173" t="s">
        <v>390</v>
      </c>
      <c r="Y111" s="184">
        <v>100</v>
      </c>
      <c r="Z111" s="184">
        <v>0</v>
      </c>
      <c r="AA111" s="177">
        <v>0</v>
      </c>
      <c r="AB111" s="177">
        <v>0</v>
      </c>
      <c r="AC111" s="83">
        <v>1</v>
      </c>
      <c r="AD111" s="228">
        <v>0.01</v>
      </c>
      <c r="AE111" s="174" t="s">
        <v>734</v>
      </c>
      <c r="AF111" s="452"/>
      <c r="AG111" s="452"/>
      <c r="AH111" s="429"/>
      <c r="AI111" s="378"/>
      <c r="AJ111" s="378"/>
      <c r="AK111" s="378"/>
      <c r="AL111" s="378"/>
      <c r="AM111" s="378"/>
      <c r="AN111" s="520"/>
      <c r="AO111" s="429"/>
      <c r="AP111" s="429"/>
      <c r="AQ111" s="333"/>
      <c r="AR111" s="333"/>
      <c r="AS111" s="350"/>
      <c r="AT111" s="189" t="s">
        <v>722</v>
      </c>
      <c r="AU111" s="145" t="s">
        <v>760</v>
      </c>
      <c r="AV111" s="185" t="s">
        <v>1061</v>
      </c>
      <c r="AW111" s="152">
        <v>8</v>
      </c>
      <c r="AX111" s="279" t="s">
        <v>869</v>
      </c>
    </row>
    <row r="112" spans="1:50" ht="45" customHeight="1" x14ac:dyDescent="0.35">
      <c r="A112" s="477"/>
      <c r="B112" s="477"/>
      <c r="C112" s="432"/>
      <c r="D112" s="432"/>
      <c r="E112" s="432"/>
      <c r="F112" s="487"/>
      <c r="G112" s="481"/>
      <c r="H112" s="431"/>
      <c r="I112" s="432"/>
      <c r="J112" s="431"/>
      <c r="K112" s="506"/>
      <c r="L112" s="506"/>
      <c r="M112" s="506"/>
      <c r="N112" s="448"/>
      <c r="O112" s="530"/>
      <c r="P112" s="449"/>
      <c r="Q112" s="525"/>
      <c r="R112" s="555"/>
      <c r="S112" s="525"/>
      <c r="T112" s="555"/>
      <c r="U112" s="429"/>
      <c r="V112" s="465"/>
      <c r="W112" s="452"/>
      <c r="X112" s="173" t="s">
        <v>391</v>
      </c>
      <c r="Y112" s="184">
        <v>8000</v>
      </c>
      <c r="Z112" s="184">
        <v>0</v>
      </c>
      <c r="AA112" s="177">
        <v>0</v>
      </c>
      <c r="AB112" s="177">
        <v>0</v>
      </c>
      <c r="AC112" s="83">
        <v>0</v>
      </c>
      <c r="AD112" s="228">
        <v>0</v>
      </c>
      <c r="AE112" s="174" t="s">
        <v>734</v>
      </c>
      <c r="AF112" s="452"/>
      <c r="AG112" s="452"/>
      <c r="AH112" s="429"/>
      <c r="AI112" s="378"/>
      <c r="AJ112" s="378"/>
      <c r="AK112" s="378"/>
      <c r="AL112" s="378"/>
      <c r="AM112" s="378"/>
      <c r="AN112" s="520"/>
      <c r="AO112" s="429"/>
      <c r="AP112" s="429"/>
      <c r="AQ112" s="333"/>
      <c r="AR112" s="333"/>
      <c r="AS112" s="350"/>
      <c r="AT112" s="189" t="s">
        <v>723</v>
      </c>
      <c r="AU112" s="119" t="s">
        <v>761</v>
      </c>
      <c r="AV112" s="120" t="s">
        <v>1024</v>
      </c>
      <c r="AW112" s="277">
        <v>9</v>
      </c>
      <c r="AX112" s="246"/>
    </row>
    <row r="113" spans="1:50" ht="93" customHeight="1" x14ac:dyDescent="0.35">
      <c r="A113" s="477"/>
      <c r="B113" s="477"/>
      <c r="C113" s="432"/>
      <c r="D113" s="432"/>
      <c r="E113" s="432"/>
      <c r="F113" s="487"/>
      <c r="G113" s="481"/>
      <c r="H113" s="431"/>
      <c r="I113" s="432"/>
      <c r="J113" s="431"/>
      <c r="K113" s="506"/>
      <c r="L113" s="506"/>
      <c r="M113" s="506"/>
      <c r="N113" s="448"/>
      <c r="O113" s="530"/>
      <c r="P113" s="449"/>
      <c r="Q113" s="525"/>
      <c r="R113" s="555"/>
      <c r="S113" s="525"/>
      <c r="T113" s="555"/>
      <c r="U113" s="429"/>
      <c r="V113" s="465"/>
      <c r="W113" s="452"/>
      <c r="X113" s="173" t="s">
        <v>392</v>
      </c>
      <c r="Y113" s="184">
        <v>2</v>
      </c>
      <c r="Z113" s="184">
        <v>0</v>
      </c>
      <c r="AA113" s="177">
        <v>0</v>
      </c>
      <c r="AB113" s="177">
        <v>0</v>
      </c>
      <c r="AC113" s="83">
        <v>3</v>
      </c>
      <c r="AD113" s="228">
        <v>1</v>
      </c>
      <c r="AE113" s="174" t="s">
        <v>734</v>
      </c>
      <c r="AF113" s="452"/>
      <c r="AG113" s="452"/>
      <c r="AH113" s="429"/>
      <c r="AI113" s="378"/>
      <c r="AJ113" s="378"/>
      <c r="AK113" s="378"/>
      <c r="AL113" s="378"/>
      <c r="AM113" s="378"/>
      <c r="AN113" s="520"/>
      <c r="AO113" s="429"/>
      <c r="AP113" s="429"/>
      <c r="AQ113" s="333"/>
      <c r="AR113" s="333"/>
      <c r="AS113" s="350"/>
      <c r="AT113" s="189" t="s">
        <v>723</v>
      </c>
      <c r="AU113" s="127" t="s">
        <v>762</v>
      </c>
      <c r="AV113" s="147" t="s">
        <v>1025</v>
      </c>
      <c r="AW113" s="152">
        <v>10</v>
      </c>
      <c r="AX113" s="280" t="s">
        <v>870</v>
      </c>
    </row>
    <row r="114" spans="1:50" ht="77.5" x14ac:dyDescent="0.35">
      <c r="A114" s="477"/>
      <c r="B114" s="477"/>
      <c r="C114" s="432"/>
      <c r="D114" s="432"/>
      <c r="E114" s="432"/>
      <c r="F114" s="487"/>
      <c r="G114" s="481"/>
      <c r="H114" s="431"/>
      <c r="I114" s="432"/>
      <c r="J114" s="431"/>
      <c r="K114" s="506"/>
      <c r="L114" s="506"/>
      <c r="M114" s="506"/>
      <c r="N114" s="448"/>
      <c r="O114" s="517"/>
      <c r="P114" s="449"/>
      <c r="Q114" s="526"/>
      <c r="R114" s="549"/>
      <c r="S114" s="526"/>
      <c r="T114" s="549"/>
      <c r="U114" s="429"/>
      <c r="V114" s="465"/>
      <c r="W114" s="452"/>
      <c r="X114" s="173" t="s">
        <v>393</v>
      </c>
      <c r="Y114" s="184">
        <v>8000</v>
      </c>
      <c r="Z114" s="184">
        <v>0</v>
      </c>
      <c r="AA114" s="177">
        <v>0</v>
      </c>
      <c r="AB114" s="177">
        <v>0</v>
      </c>
      <c r="AC114" s="83">
        <v>9263</v>
      </c>
      <c r="AD114" s="228">
        <v>1</v>
      </c>
      <c r="AE114" s="174" t="s">
        <v>734</v>
      </c>
      <c r="AF114" s="452"/>
      <c r="AG114" s="452"/>
      <c r="AH114" s="429"/>
      <c r="AI114" s="378"/>
      <c r="AJ114" s="378"/>
      <c r="AK114" s="378"/>
      <c r="AL114" s="378"/>
      <c r="AM114" s="378"/>
      <c r="AN114" s="520"/>
      <c r="AO114" s="429"/>
      <c r="AP114" s="429"/>
      <c r="AQ114" s="333"/>
      <c r="AR114" s="333"/>
      <c r="AS114" s="350"/>
      <c r="AT114" s="189" t="s">
        <v>720</v>
      </c>
      <c r="AU114" s="281" t="s">
        <v>763</v>
      </c>
      <c r="AV114" s="147" t="s">
        <v>1026</v>
      </c>
      <c r="AW114" s="152">
        <v>11</v>
      </c>
      <c r="AX114" s="279" t="s">
        <v>1063</v>
      </c>
    </row>
    <row r="115" spans="1:50" ht="263.5" x14ac:dyDescent="0.35">
      <c r="A115" s="477"/>
      <c r="B115" s="477"/>
      <c r="C115" s="432"/>
      <c r="D115" s="432"/>
      <c r="E115" s="432"/>
      <c r="F115" s="487"/>
      <c r="G115" s="481"/>
      <c r="H115" s="173" t="s">
        <v>240</v>
      </c>
      <c r="I115" s="174" t="s">
        <v>241</v>
      </c>
      <c r="J115" s="173" t="s">
        <v>242</v>
      </c>
      <c r="K115" s="184">
        <v>15</v>
      </c>
      <c r="L115" s="184">
        <v>10</v>
      </c>
      <c r="M115" s="184">
        <v>0</v>
      </c>
      <c r="N115" s="177">
        <v>0</v>
      </c>
      <c r="O115" s="177">
        <v>0</v>
      </c>
      <c r="P115" s="264">
        <v>0</v>
      </c>
      <c r="Q115" s="238"/>
      <c r="R115" s="239">
        <v>0</v>
      </c>
      <c r="S115" s="238"/>
      <c r="T115" s="239">
        <v>0</v>
      </c>
      <c r="U115" s="429"/>
      <c r="V115" s="465"/>
      <c r="W115" s="452"/>
      <c r="X115" s="173" t="s">
        <v>394</v>
      </c>
      <c r="Y115" s="184">
        <v>10</v>
      </c>
      <c r="Z115" s="184">
        <v>0</v>
      </c>
      <c r="AA115" s="177">
        <v>0</v>
      </c>
      <c r="AB115" s="177">
        <v>0</v>
      </c>
      <c r="AC115" s="83">
        <v>0</v>
      </c>
      <c r="AD115" s="228">
        <v>0</v>
      </c>
      <c r="AE115" s="174" t="s">
        <v>734</v>
      </c>
      <c r="AF115" s="452"/>
      <c r="AG115" s="452"/>
      <c r="AH115" s="429"/>
      <c r="AI115" s="378"/>
      <c r="AJ115" s="378"/>
      <c r="AK115" s="378"/>
      <c r="AL115" s="378"/>
      <c r="AM115" s="378"/>
      <c r="AN115" s="520"/>
      <c r="AO115" s="429"/>
      <c r="AP115" s="429"/>
      <c r="AQ115" s="333"/>
      <c r="AR115" s="333"/>
      <c r="AS115" s="350"/>
      <c r="AT115" s="189" t="s">
        <v>724</v>
      </c>
      <c r="AU115" s="271" t="s">
        <v>764</v>
      </c>
      <c r="AV115" s="120" t="s">
        <v>1027</v>
      </c>
      <c r="AW115" s="277">
        <v>12</v>
      </c>
      <c r="AX115" s="245" t="s">
        <v>871</v>
      </c>
    </row>
    <row r="116" spans="1:50" ht="325.5" x14ac:dyDescent="0.35">
      <c r="A116" s="477"/>
      <c r="B116" s="477"/>
      <c r="C116" s="432"/>
      <c r="D116" s="432"/>
      <c r="E116" s="432"/>
      <c r="F116" s="487"/>
      <c r="G116" s="481"/>
      <c r="H116" s="173" t="s">
        <v>243</v>
      </c>
      <c r="I116" s="174" t="s">
        <v>241</v>
      </c>
      <c r="J116" s="173" t="s">
        <v>244</v>
      </c>
      <c r="K116" s="184">
        <v>5</v>
      </c>
      <c r="L116" s="184">
        <v>2</v>
      </c>
      <c r="M116" s="184">
        <v>0</v>
      </c>
      <c r="N116" s="177">
        <v>0</v>
      </c>
      <c r="O116" s="177">
        <v>0</v>
      </c>
      <c r="P116" s="238">
        <v>0</v>
      </c>
      <c r="Q116" s="238"/>
      <c r="R116" s="238"/>
      <c r="S116" s="238"/>
      <c r="T116" s="239"/>
      <c r="U116" s="429"/>
      <c r="V116" s="465"/>
      <c r="W116" s="452"/>
      <c r="X116" s="173" t="s">
        <v>395</v>
      </c>
      <c r="Y116" s="184">
        <v>2</v>
      </c>
      <c r="Z116" s="184">
        <v>0</v>
      </c>
      <c r="AA116" s="177">
        <v>0</v>
      </c>
      <c r="AB116" s="177">
        <v>0</v>
      </c>
      <c r="AC116" s="83">
        <v>0</v>
      </c>
      <c r="AD116" s="228">
        <v>0</v>
      </c>
      <c r="AE116" s="174" t="s">
        <v>734</v>
      </c>
      <c r="AF116" s="452"/>
      <c r="AG116" s="452"/>
      <c r="AH116" s="430"/>
      <c r="AI116" s="379"/>
      <c r="AJ116" s="379"/>
      <c r="AK116" s="379"/>
      <c r="AL116" s="379"/>
      <c r="AM116" s="379"/>
      <c r="AN116" s="521"/>
      <c r="AO116" s="430"/>
      <c r="AP116" s="430"/>
      <c r="AQ116" s="333"/>
      <c r="AR116" s="333"/>
      <c r="AS116" s="350"/>
      <c r="AT116" s="189" t="s">
        <v>725</v>
      </c>
      <c r="AU116" s="271" t="s">
        <v>764</v>
      </c>
      <c r="AV116" s="120" t="s">
        <v>1028</v>
      </c>
      <c r="AW116" s="277">
        <v>13</v>
      </c>
      <c r="AX116" s="245" t="s">
        <v>872</v>
      </c>
    </row>
    <row r="117" spans="1:50" ht="31" customHeight="1" x14ac:dyDescent="0.35">
      <c r="A117" s="477"/>
      <c r="B117" s="477"/>
      <c r="C117" s="432"/>
      <c r="D117" s="432"/>
      <c r="E117" s="432"/>
      <c r="F117" s="487"/>
      <c r="G117" s="481"/>
      <c r="H117" s="431" t="s">
        <v>245</v>
      </c>
      <c r="I117" s="432" t="s">
        <v>246</v>
      </c>
      <c r="J117" s="431" t="s">
        <v>247</v>
      </c>
      <c r="K117" s="506">
        <v>10000</v>
      </c>
      <c r="L117" s="506">
        <v>2500</v>
      </c>
      <c r="M117" s="506">
        <v>0</v>
      </c>
      <c r="N117" s="448">
        <v>1938</v>
      </c>
      <c r="O117" s="516">
        <v>707</v>
      </c>
      <c r="P117" s="524">
        <v>6593</v>
      </c>
      <c r="Q117" s="524">
        <f>+P117+O117+N117+M117</f>
        <v>9238</v>
      </c>
      <c r="R117" s="548">
        <v>1</v>
      </c>
      <c r="S117" s="524">
        <f>+Q117</f>
        <v>9238</v>
      </c>
      <c r="T117" s="548">
        <f>+S117/K117</f>
        <v>0.92379999999999995</v>
      </c>
      <c r="U117" s="429"/>
      <c r="V117" s="465"/>
      <c r="W117" s="452"/>
      <c r="X117" s="185" t="s">
        <v>396</v>
      </c>
      <c r="Y117" s="184">
        <v>5</v>
      </c>
      <c r="Z117" s="184">
        <v>0</v>
      </c>
      <c r="AA117" s="177">
        <v>12</v>
      </c>
      <c r="AB117" s="177">
        <v>9</v>
      </c>
      <c r="AC117" s="83">
        <v>50</v>
      </c>
      <c r="AD117" s="228"/>
      <c r="AE117" s="174" t="s">
        <v>734</v>
      </c>
      <c r="AF117" s="452"/>
      <c r="AG117" s="452"/>
      <c r="AH117" s="428" t="s">
        <v>662</v>
      </c>
      <c r="AI117" s="377">
        <v>220029000</v>
      </c>
      <c r="AJ117" s="377">
        <v>0</v>
      </c>
      <c r="AK117" s="377">
        <v>0</v>
      </c>
      <c r="AL117" s="377"/>
      <c r="AM117" s="377"/>
      <c r="AN117" s="519">
        <f>+AK117/AI117</f>
        <v>0</v>
      </c>
      <c r="AO117" s="428" t="s">
        <v>663</v>
      </c>
      <c r="AP117" s="428" t="s">
        <v>660</v>
      </c>
      <c r="AQ117" s="333"/>
      <c r="AR117" s="333"/>
      <c r="AS117" s="350"/>
      <c r="AT117" s="433"/>
      <c r="AU117" s="282" t="s">
        <v>765</v>
      </c>
      <c r="AV117" s="139" t="s">
        <v>1029</v>
      </c>
      <c r="AW117" s="278">
        <v>14</v>
      </c>
      <c r="AX117" s="245" t="s">
        <v>873</v>
      </c>
    </row>
    <row r="118" spans="1:50" ht="45" customHeight="1" x14ac:dyDescent="0.35">
      <c r="A118" s="477"/>
      <c r="B118" s="477"/>
      <c r="C118" s="432"/>
      <c r="D118" s="432"/>
      <c r="E118" s="432"/>
      <c r="F118" s="487"/>
      <c r="G118" s="481"/>
      <c r="H118" s="431"/>
      <c r="I118" s="432"/>
      <c r="J118" s="431"/>
      <c r="K118" s="506"/>
      <c r="L118" s="506"/>
      <c r="M118" s="506"/>
      <c r="N118" s="448"/>
      <c r="O118" s="530"/>
      <c r="P118" s="525"/>
      <c r="Q118" s="525"/>
      <c r="R118" s="555"/>
      <c r="S118" s="525"/>
      <c r="T118" s="555"/>
      <c r="U118" s="429"/>
      <c r="V118" s="465"/>
      <c r="W118" s="452"/>
      <c r="X118" s="185" t="s">
        <v>397</v>
      </c>
      <c r="Y118" s="184">
        <v>1250</v>
      </c>
      <c r="Z118" s="184">
        <v>0</v>
      </c>
      <c r="AA118" s="177">
        <v>45</v>
      </c>
      <c r="AB118" s="177">
        <v>29</v>
      </c>
      <c r="AC118" s="83">
        <v>86</v>
      </c>
      <c r="AD118" s="228">
        <f>+(AA118+AC118+AB118)/Y118</f>
        <v>0.128</v>
      </c>
      <c r="AE118" s="174" t="s">
        <v>734</v>
      </c>
      <c r="AF118" s="452"/>
      <c r="AG118" s="452"/>
      <c r="AH118" s="429"/>
      <c r="AI118" s="378"/>
      <c r="AJ118" s="378"/>
      <c r="AK118" s="378"/>
      <c r="AL118" s="378"/>
      <c r="AM118" s="378"/>
      <c r="AN118" s="520"/>
      <c r="AO118" s="429"/>
      <c r="AP118" s="429"/>
      <c r="AQ118" s="333"/>
      <c r="AR118" s="333"/>
      <c r="AS118" s="350"/>
      <c r="AT118" s="434"/>
      <c r="AU118" s="119" t="s">
        <v>766</v>
      </c>
      <c r="AV118" s="139" t="s">
        <v>1030</v>
      </c>
      <c r="AW118" s="277">
        <v>15</v>
      </c>
      <c r="AX118" s="245" t="s">
        <v>874</v>
      </c>
    </row>
    <row r="119" spans="1:50" ht="45" customHeight="1" x14ac:dyDescent="0.35">
      <c r="A119" s="477"/>
      <c r="B119" s="477"/>
      <c r="C119" s="432"/>
      <c r="D119" s="432"/>
      <c r="E119" s="432"/>
      <c r="F119" s="488"/>
      <c r="G119" s="481"/>
      <c r="H119" s="431"/>
      <c r="I119" s="432"/>
      <c r="J119" s="431"/>
      <c r="K119" s="506"/>
      <c r="L119" s="506"/>
      <c r="M119" s="506"/>
      <c r="N119" s="448"/>
      <c r="O119" s="517"/>
      <c r="P119" s="526"/>
      <c r="Q119" s="526"/>
      <c r="R119" s="549"/>
      <c r="S119" s="526"/>
      <c r="T119" s="549"/>
      <c r="U119" s="430"/>
      <c r="V119" s="466"/>
      <c r="W119" s="453"/>
      <c r="X119" s="185" t="s">
        <v>398</v>
      </c>
      <c r="Y119" s="184">
        <v>1250</v>
      </c>
      <c r="Z119" s="184">
        <v>0</v>
      </c>
      <c r="AA119" s="177">
        <v>11</v>
      </c>
      <c r="AB119" s="177">
        <v>33</v>
      </c>
      <c r="AC119" s="83">
        <v>26</v>
      </c>
      <c r="AD119" s="228">
        <f>+(AA119+AC119+AB119)/Y119</f>
        <v>5.6000000000000001E-2</v>
      </c>
      <c r="AE119" s="174" t="s">
        <v>734</v>
      </c>
      <c r="AF119" s="453"/>
      <c r="AG119" s="453"/>
      <c r="AH119" s="430"/>
      <c r="AI119" s="379"/>
      <c r="AJ119" s="379"/>
      <c r="AK119" s="379"/>
      <c r="AL119" s="379"/>
      <c r="AM119" s="379"/>
      <c r="AN119" s="521"/>
      <c r="AO119" s="430"/>
      <c r="AP119" s="430"/>
      <c r="AQ119" s="333"/>
      <c r="AR119" s="333"/>
      <c r="AS119" s="351"/>
      <c r="AT119" s="435"/>
      <c r="AU119" s="119" t="s">
        <v>767</v>
      </c>
      <c r="AV119" s="139"/>
      <c r="AW119" s="277">
        <v>16</v>
      </c>
      <c r="AX119" s="245" t="s">
        <v>875</v>
      </c>
    </row>
    <row r="120" spans="1:50" s="21" customFormat="1" ht="37.5" x14ac:dyDescent="0.35">
      <c r="A120" s="12"/>
      <c r="B120" s="12"/>
      <c r="C120" s="13"/>
      <c r="D120" s="14"/>
      <c r="E120" s="13"/>
      <c r="F120" s="153"/>
      <c r="G120" s="29"/>
      <c r="H120" s="595" t="s">
        <v>1088</v>
      </c>
      <c r="I120" s="596"/>
      <c r="J120" s="596"/>
      <c r="K120" s="596"/>
      <c r="L120" s="596"/>
      <c r="M120" s="596"/>
      <c r="N120" s="596"/>
      <c r="O120" s="596"/>
      <c r="P120" s="597"/>
      <c r="Q120" s="241"/>
      <c r="R120" s="249">
        <f>AVERAGE(R104:R119)</f>
        <v>0.66666666666666663</v>
      </c>
      <c r="S120" s="283"/>
      <c r="T120" s="249">
        <f>AVERAGE(T104:T119)</f>
        <v>0.47823888888888888</v>
      </c>
      <c r="U120" s="17"/>
      <c r="V120" s="18"/>
      <c r="W120" s="13"/>
      <c r="X120" s="13"/>
      <c r="Y120" s="16"/>
      <c r="Z120" s="16"/>
      <c r="AA120" s="16"/>
      <c r="AB120" s="16"/>
      <c r="AC120" s="84"/>
      <c r="AD120" s="226">
        <f>AVERAGE(AD104:AD119)</f>
        <v>0.58528571428571419</v>
      </c>
      <c r="AE120" s="16"/>
      <c r="AF120" s="13"/>
      <c r="AG120" s="19"/>
      <c r="AH120" s="17"/>
      <c r="AI120" s="20"/>
      <c r="AJ120" s="20"/>
      <c r="AK120" s="20"/>
      <c r="AL120" s="20"/>
      <c r="AM120" s="20"/>
      <c r="AN120" s="33"/>
      <c r="AO120" s="17"/>
      <c r="AP120" s="18"/>
      <c r="AQ120" s="18"/>
      <c r="AR120" s="18"/>
      <c r="AS120" s="18"/>
      <c r="AT120" s="16"/>
      <c r="AU120" s="53"/>
      <c r="AV120" s="123"/>
      <c r="AW120" s="59"/>
      <c r="AX120" s="22"/>
    </row>
    <row r="121" spans="1:50" s="21" customFormat="1" ht="37.5" x14ac:dyDescent="0.35">
      <c r="A121" s="200"/>
      <c r="B121" s="200"/>
      <c r="C121" s="194"/>
      <c r="D121" s="201"/>
      <c r="E121" s="194"/>
      <c r="F121" s="193"/>
      <c r="G121" s="493" t="s">
        <v>232</v>
      </c>
      <c r="H121" s="494"/>
      <c r="I121" s="494"/>
      <c r="J121" s="494"/>
      <c r="K121" s="494"/>
      <c r="L121" s="494"/>
      <c r="M121" s="494"/>
      <c r="N121" s="494"/>
      <c r="O121" s="494"/>
      <c r="P121" s="495"/>
      <c r="Q121" s="267"/>
      <c r="R121" s="268">
        <f>+R120</f>
        <v>0.66666666666666663</v>
      </c>
      <c r="S121" s="268"/>
      <c r="T121" s="268">
        <f>+T120</f>
        <v>0.47823888888888888</v>
      </c>
      <c r="U121" s="196"/>
      <c r="V121" s="199"/>
      <c r="W121" s="194"/>
      <c r="X121" s="13"/>
      <c r="Y121" s="16"/>
      <c r="Z121" s="16"/>
      <c r="AA121" s="16"/>
      <c r="AB121" s="16"/>
      <c r="AC121" s="84"/>
      <c r="AD121" s="84"/>
      <c r="AE121" s="16"/>
      <c r="AF121" s="194"/>
      <c r="AG121" s="195"/>
      <c r="AH121" s="196"/>
      <c r="AI121" s="197"/>
      <c r="AJ121" s="197"/>
      <c r="AK121" s="197"/>
      <c r="AL121" s="197"/>
      <c r="AM121" s="197"/>
      <c r="AN121" s="198"/>
      <c r="AO121" s="196"/>
      <c r="AP121" s="199"/>
      <c r="AQ121" s="199"/>
      <c r="AR121" s="199"/>
      <c r="AS121" s="199"/>
      <c r="AT121" s="16"/>
      <c r="AU121" s="53"/>
      <c r="AV121" s="123"/>
      <c r="AW121" s="59"/>
      <c r="AX121" s="22"/>
    </row>
    <row r="122" spans="1:50" ht="107.5" customHeight="1" x14ac:dyDescent="0.35">
      <c r="A122" s="483" t="s">
        <v>129</v>
      </c>
      <c r="B122" s="483" t="s">
        <v>248</v>
      </c>
      <c r="C122" s="451" t="s">
        <v>249</v>
      </c>
      <c r="D122" s="451" t="s">
        <v>250</v>
      </c>
      <c r="E122" s="451" t="s">
        <v>251</v>
      </c>
      <c r="F122" s="478" t="s">
        <v>29</v>
      </c>
      <c r="G122" s="489" t="s">
        <v>252</v>
      </c>
      <c r="H122" s="431" t="s">
        <v>253</v>
      </c>
      <c r="I122" s="432" t="s">
        <v>254</v>
      </c>
      <c r="J122" s="431" t="s">
        <v>255</v>
      </c>
      <c r="K122" s="506">
        <v>7120</v>
      </c>
      <c r="L122" s="506">
        <v>2100</v>
      </c>
      <c r="M122" s="506">
        <v>223</v>
      </c>
      <c r="N122" s="448">
        <v>0</v>
      </c>
      <c r="O122" s="448">
        <v>0</v>
      </c>
      <c r="P122" s="524">
        <v>1034</v>
      </c>
      <c r="Q122" s="524">
        <f>+P122+M122</f>
        <v>1257</v>
      </c>
      <c r="R122" s="548">
        <f>+Q122/L122</f>
        <v>0.59857142857142853</v>
      </c>
      <c r="S122" s="524">
        <f>465+Q122</f>
        <v>1722</v>
      </c>
      <c r="T122" s="548">
        <f>+S122/K122</f>
        <v>0.24185393258426965</v>
      </c>
      <c r="U122" s="428" t="s">
        <v>542</v>
      </c>
      <c r="V122" s="464">
        <v>2020130010099</v>
      </c>
      <c r="W122" s="451" t="s">
        <v>399</v>
      </c>
      <c r="X122" s="173" t="s">
        <v>400</v>
      </c>
      <c r="Y122" s="184">
        <v>1</v>
      </c>
      <c r="Z122" s="184">
        <v>233</v>
      </c>
      <c r="AA122" s="177">
        <v>421</v>
      </c>
      <c r="AB122" s="177">
        <v>341</v>
      </c>
      <c r="AC122" s="83">
        <v>272</v>
      </c>
      <c r="AD122" s="83"/>
      <c r="AE122" s="174" t="s">
        <v>734</v>
      </c>
      <c r="AF122" s="451" t="s">
        <v>654</v>
      </c>
      <c r="AG122" s="442" t="s">
        <v>464</v>
      </c>
      <c r="AH122" s="428" t="s">
        <v>41</v>
      </c>
      <c r="AI122" s="377">
        <v>284481907</v>
      </c>
      <c r="AJ122" s="377">
        <v>179100000</v>
      </c>
      <c r="AK122" s="377">
        <v>184900000</v>
      </c>
      <c r="AL122" s="377">
        <v>229395000</v>
      </c>
      <c r="AM122" s="377"/>
      <c r="AN122" s="519">
        <f>+AK122/AI122</f>
        <v>0.64995346083643901</v>
      </c>
      <c r="AO122" s="428" t="s">
        <v>592</v>
      </c>
      <c r="AP122" s="359" t="s">
        <v>465</v>
      </c>
      <c r="AQ122" s="346">
        <v>284481907</v>
      </c>
      <c r="AR122" s="346">
        <v>264395000</v>
      </c>
      <c r="AS122" s="353">
        <f>+AR122/AQ122</f>
        <v>0.9293912670516512</v>
      </c>
      <c r="AT122" s="284" t="s">
        <v>697</v>
      </c>
      <c r="AU122" s="285" t="s">
        <v>768</v>
      </c>
      <c r="AV122" s="286" t="s">
        <v>927</v>
      </c>
      <c r="AW122" s="287">
        <v>1</v>
      </c>
      <c r="AX122" s="279" t="s">
        <v>876</v>
      </c>
    </row>
    <row r="123" spans="1:50" ht="32.5" customHeight="1" x14ac:dyDescent="0.35">
      <c r="A123" s="484"/>
      <c r="B123" s="484"/>
      <c r="C123" s="452"/>
      <c r="D123" s="452"/>
      <c r="E123" s="452"/>
      <c r="F123" s="479"/>
      <c r="G123" s="490"/>
      <c r="H123" s="431"/>
      <c r="I123" s="432"/>
      <c r="J123" s="431"/>
      <c r="K123" s="506"/>
      <c r="L123" s="506"/>
      <c r="M123" s="506"/>
      <c r="N123" s="448"/>
      <c r="O123" s="448"/>
      <c r="P123" s="525"/>
      <c r="Q123" s="525"/>
      <c r="R123" s="555"/>
      <c r="S123" s="525"/>
      <c r="T123" s="555"/>
      <c r="U123" s="429"/>
      <c r="V123" s="465"/>
      <c r="W123" s="452"/>
      <c r="X123" s="173" t="s">
        <v>401</v>
      </c>
      <c r="Y123" s="184">
        <v>1</v>
      </c>
      <c r="Z123" s="184">
        <v>71</v>
      </c>
      <c r="AA123" s="177">
        <v>64</v>
      </c>
      <c r="AB123" s="177">
        <v>30</v>
      </c>
      <c r="AC123" s="83">
        <v>30</v>
      </c>
      <c r="AD123" s="83"/>
      <c r="AE123" s="174" t="s">
        <v>734</v>
      </c>
      <c r="AF123" s="452"/>
      <c r="AG123" s="443"/>
      <c r="AH123" s="429"/>
      <c r="AI123" s="378"/>
      <c r="AJ123" s="378"/>
      <c r="AK123" s="378"/>
      <c r="AL123" s="378"/>
      <c r="AM123" s="378"/>
      <c r="AN123" s="520"/>
      <c r="AO123" s="429"/>
      <c r="AP123" s="360"/>
      <c r="AQ123" s="347"/>
      <c r="AR123" s="347"/>
      <c r="AS123" s="354"/>
      <c r="AT123" s="284" t="s">
        <v>698</v>
      </c>
      <c r="AU123" s="285" t="s">
        <v>769</v>
      </c>
      <c r="AV123" s="286" t="s">
        <v>928</v>
      </c>
      <c r="AW123" s="287">
        <v>2</v>
      </c>
      <c r="AX123" s="279" t="s">
        <v>877</v>
      </c>
    </row>
    <row r="124" spans="1:50" ht="124" x14ac:dyDescent="0.35">
      <c r="A124" s="484"/>
      <c r="B124" s="484"/>
      <c r="C124" s="452"/>
      <c r="D124" s="452"/>
      <c r="E124" s="452"/>
      <c r="F124" s="479"/>
      <c r="G124" s="490"/>
      <c r="H124" s="431"/>
      <c r="I124" s="432"/>
      <c r="J124" s="431"/>
      <c r="K124" s="506"/>
      <c r="L124" s="506"/>
      <c r="M124" s="506"/>
      <c r="N124" s="448"/>
      <c r="O124" s="448"/>
      <c r="P124" s="525"/>
      <c r="Q124" s="525"/>
      <c r="R124" s="555"/>
      <c r="S124" s="525"/>
      <c r="T124" s="555"/>
      <c r="U124" s="429"/>
      <c r="V124" s="465"/>
      <c r="W124" s="452"/>
      <c r="X124" s="173" t="s">
        <v>402</v>
      </c>
      <c r="Y124" s="184">
        <v>1</v>
      </c>
      <c r="Z124" s="184">
        <v>26</v>
      </c>
      <c r="AA124" s="177">
        <v>0</v>
      </c>
      <c r="AB124" s="177">
        <v>0</v>
      </c>
      <c r="AC124" s="83">
        <v>0</v>
      </c>
      <c r="AD124" s="83"/>
      <c r="AE124" s="174" t="s">
        <v>734</v>
      </c>
      <c r="AF124" s="452"/>
      <c r="AG124" s="443"/>
      <c r="AH124" s="429"/>
      <c r="AI124" s="378"/>
      <c r="AJ124" s="378"/>
      <c r="AK124" s="378"/>
      <c r="AL124" s="378"/>
      <c r="AM124" s="378"/>
      <c r="AN124" s="520"/>
      <c r="AO124" s="429"/>
      <c r="AP124" s="360"/>
      <c r="AQ124" s="347"/>
      <c r="AR124" s="347"/>
      <c r="AS124" s="354"/>
      <c r="AT124" s="284" t="s">
        <v>699</v>
      </c>
      <c r="AU124" s="285" t="s">
        <v>770</v>
      </c>
      <c r="AV124" s="185" t="s">
        <v>929</v>
      </c>
      <c r="AW124" s="287">
        <v>3</v>
      </c>
      <c r="AX124" s="75"/>
    </row>
    <row r="125" spans="1:50" ht="124" x14ac:dyDescent="0.35">
      <c r="A125" s="484"/>
      <c r="B125" s="484"/>
      <c r="C125" s="452"/>
      <c r="D125" s="452"/>
      <c r="E125" s="452"/>
      <c r="F125" s="479"/>
      <c r="G125" s="490"/>
      <c r="H125" s="431"/>
      <c r="I125" s="432"/>
      <c r="J125" s="431"/>
      <c r="K125" s="506"/>
      <c r="L125" s="506"/>
      <c r="M125" s="506"/>
      <c r="N125" s="448"/>
      <c r="O125" s="448"/>
      <c r="P125" s="525"/>
      <c r="Q125" s="525"/>
      <c r="R125" s="555"/>
      <c r="S125" s="525"/>
      <c r="T125" s="555"/>
      <c r="U125" s="429"/>
      <c r="V125" s="465"/>
      <c r="W125" s="452"/>
      <c r="X125" s="173" t="s">
        <v>403</v>
      </c>
      <c r="Y125" s="184">
        <v>1</v>
      </c>
      <c r="Z125" s="184">
        <v>0</v>
      </c>
      <c r="AA125" s="177">
        <v>2</v>
      </c>
      <c r="AB125" s="177">
        <v>2</v>
      </c>
      <c r="AC125" s="83">
        <v>5</v>
      </c>
      <c r="AD125" s="228">
        <v>1</v>
      </c>
      <c r="AE125" s="174" t="s">
        <v>734</v>
      </c>
      <c r="AF125" s="452"/>
      <c r="AG125" s="443"/>
      <c r="AH125" s="429"/>
      <c r="AI125" s="378"/>
      <c r="AJ125" s="378"/>
      <c r="AK125" s="378"/>
      <c r="AL125" s="378"/>
      <c r="AM125" s="378"/>
      <c r="AN125" s="520"/>
      <c r="AO125" s="429"/>
      <c r="AP125" s="360"/>
      <c r="AQ125" s="347"/>
      <c r="AR125" s="347"/>
      <c r="AS125" s="354"/>
      <c r="AT125" s="284" t="s">
        <v>700</v>
      </c>
      <c r="AU125" s="285" t="s">
        <v>771</v>
      </c>
      <c r="AV125" s="286" t="s">
        <v>930</v>
      </c>
      <c r="AW125" s="287">
        <v>4</v>
      </c>
      <c r="AX125" s="279" t="s">
        <v>1065</v>
      </c>
    </row>
    <row r="126" spans="1:50" ht="372" x14ac:dyDescent="0.35">
      <c r="A126" s="484"/>
      <c r="B126" s="484"/>
      <c r="C126" s="452"/>
      <c r="D126" s="452"/>
      <c r="E126" s="452"/>
      <c r="F126" s="479"/>
      <c r="G126" s="490"/>
      <c r="H126" s="431"/>
      <c r="I126" s="432"/>
      <c r="J126" s="431"/>
      <c r="K126" s="506"/>
      <c r="L126" s="506"/>
      <c r="M126" s="506"/>
      <c r="N126" s="448"/>
      <c r="O126" s="448"/>
      <c r="P126" s="525"/>
      <c r="Q126" s="525"/>
      <c r="R126" s="555"/>
      <c r="S126" s="525"/>
      <c r="T126" s="555"/>
      <c r="U126" s="429"/>
      <c r="V126" s="465"/>
      <c r="W126" s="452"/>
      <c r="X126" s="173" t="s">
        <v>404</v>
      </c>
      <c r="Y126" s="184">
        <v>1</v>
      </c>
      <c r="Z126" s="184">
        <v>1</v>
      </c>
      <c r="AA126" s="177">
        <v>3</v>
      </c>
      <c r="AB126" s="177">
        <v>0</v>
      </c>
      <c r="AC126" s="83">
        <v>0</v>
      </c>
      <c r="AD126" s="228">
        <v>1</v>
      </c>
      <c r="AE126" s="174" t="s">
        <v>734</v>
      </c>
      <c r="AF126" s="452"/>
      <c r="AG126" s="443"/>
      <c r="AH126" s="429"/>
      <c r="AI126" s="378"/>
      <c r="AJ126" s="378"/>
      <c r="AK126" s="378"/>
      <c r="AL126" s="378"/>
      <c r="AM126" s="378"/>
      <c r="AN126" s="520"/>
      <c r="AO126" s="429"/>
      <c r="AP126" s="360"/>
      <c r="AQ126" s="347"/>
      <c r="AR126" s="347"/>
      <c r="AS126" s="354"/>
      <c r="AT126" s="284" t="s">
        <v>701</v>
      </c>
      <c r="AU126" s="285" t="s">
        <v>772</v>
      </c>
      <c r="AV126" s="286" t="s">
        <v>931</v>
      </c>
      <c r="AW126" s="287">
        <v>5</v>
      </c>
      <c r="AX126" s="75" t="s">
        <v>878</v>
      </c>
    </row>
    <row r="127" spans="1:50" ht="73" customHeight="1" x14ac:dyDescent="0.35">
      <c r="A127" s="484"/>
      <c r="B127" s="484"/>
      <c r="C127" s="452"/>
      <c r="D127" s="452"/>
      <c r="E127" s="452"/>
      <c r="F127" s="479"/>
      <c r="G127" s="490"/>
      <c r="H127" s="431"/>
      <c r="I127" s="432"/>
      <c r="J127" s="431"/>
      <c r="K127" s="506"/>
      <c r="L127" s="506"/>
      <c r="M127" s="506"/>
      <c r="N127" s="448"/>
      <c r="O127" s="448"/>
      <c r="P127" s="526"/>
      <c r="Q127" s="526"/>
      <c r="R127" s="549"/>
      <c r="S127" s="526"/>
      <c r="T127" s="549"/>
      <c r="U127" s="429"/>
      <c r="V127" s="465"/>
      <c r="W127" s="452"/>
      <c r="X127" s="173" t="s">
        <v>405</v>
      </c>
      <c r="Y127" s="184">
        <v>1</v>
      </c>
      <c r="Z127" s="184">
        <v>1</v>
      </c>
      <c r="AA127" s="177">
        <v>9</v>
      </c>
      <c r="AB127" s="177">
        <v>14</v>
      </c>
      <c r="AC127" s="83">
        <v>4</v>
      </c>
      <c r="AD127" s="228">
        <v>1</v>
      </c>
      <c r="AE127" s="174" t="s">
        <v>734</v>
      </c>
      <c r="AF127" s="452"/>
      <c r="AG127" s="443"/>
      <c r="AH127" s="429"/>
      <c r="AI127" s="378"/>
      <c r="AJ127" s="378"/>
      <c r="AK127" s="378"/>
      <c r="AL127" s="378"/>
      <c r="AM127" s="378"/>
      <c r="AN127" s="520"/>
      <c r="AO127" s="429"/>
      <c r="AP127" s="360"/>
      <c r="AQ127" s="347"/>
      <c r="AR127" s="347"/>
      <c r="AS127" s="354"/>
      <c r="AT127" s="284" t="s">
        <v>702</v>
      </c>
      <c r="AU127" s="285" t="s">
        <v>773</v>
      </c>
      <c r="AV127" s="286" t="s">
        <v>932</v>
      </c>
      <c r="AW127" s="287">
        <v>6</v>
      </c>
      <c r="AX127" s="279" t="s">
        <v>879</v>
      </c>
    </row>
    <row r="128" spans="1:50" ht="91.5" customHeight="1" x14ac:dyDescent="0.35">
      <c r="A128" s="485"/>
      <c r="B128" s="485"/>
      <c r="C128" s="453"/>
      <c r="D128" s="453"/>
      <c r="E128" s="453"/>
      <c r="F128" s="480"/>
      <c r="G128" s="491"/>
      <c r="H128" s="173" t="s">
        <v>504</v>
      </c>
      <c r="I128" s="174">
        <v>0</v>
      </c>
      <c r="J128" s="173" t="s">
        <v>503</v>
      </c>
      <c r="K128" s="184">
        <v>3</v>
      </c>
      <c r="L128" s="184">
        <v>1</v>
      </c>
      <c r="M128" s="184">
        <v>1</v>
      </c>
      <c r="N128" s="177">
        <v>0</v>
      </c>
      <c r="O128" s="187">
        <v>0</v>
      </c>
      <c r="P128" s="238">
        <v>0</v>
      </c>
      <c r="Q128" s="264">
        <f>+M128</f>
        <v>1</v>
      </c>
      <c r="R128" s="265">
        <v>1</v>
      </c>
      <c r="S128" s="264">
        <v>1</v>
      </c>
      <c r="T128" s="265">
        <f>+S128/K128</f>
        <v>0.33333333333333331</v>
      </c>
      <c r="U128" s="430"/>
      <c r="V128" s="466"/>
      <c r="W128" s="453"/>
      <c r="X128" s="173" t="s">
        <v>505</v>
      </c>
      <c r="Y128" s="184">
        <v>1</v>
      </c>
      <c r="Z128" s="184">
        <v>1</v>
      </c>
      <c r="AA128" s="177">
        <v>0</v>
      </c>
      <c r="AB128" s="177">
        <v>0</v>
      </c>
      <c r="AC128" s="83">
        <v>0</v>
      </c>
      <c r="AD128" s="228">
        <v>1</v>
      </c>
      <c r="AE128" s="174" t="s">
        <v>734</v>
      </c>
      <c r="AF128" s="453"/>
      <c r="AG128" s="444"/>
      <c r="AH128" s="430"/>
      <c r="AI128" s="379"/>
      <c r="AJ128" s="379"/>
      <c r="AK128" s="379"/>
      <c r="AL128" s="379"/>
      <c r="AM128" s="379"/>
      <c r="AN128" s="521"/>
      <c r="AO128" s="430"/>
      <c r="AP128" s="361"/>
      <c r="AQ128" s="348"/>
      <c r="AR128" s="348"/>
      <c r="AS128" s="355"/>
      <c r="AT128" s="288" t="s">
        <v>703</v>
      </c>
      <c r="AU128" s="147" t="s">
        <v>703</v>
      </c>
      <c r="AV128" s="125" t="s">
        <v>808</v>
      </c>
      <c r="AW128" s="287">
        <v>7</v>
      </c>
      <c r="AX128" s="75"/>
    </row>
    <row r="129" spans="1:50" s="21" customFormat="1" ht="90" customHeight="1" x14ac:dyDescent="0.35">
      <c r="A129" s="12"/>
      <c r="B129" s="12"/>
      <c r="C129" s="13"/>
      <c r="D129" s="14"/>
      <c r="E129" s="13"/>
      <c r="F129" s="153"/>
      <c r="G129" s="493" t="s">
        <v>1089</v>
      </c>
      <c r="H129" s="494"/>
      <c r="I129" s="494"/>
      <c r="J129" s="494"/>
      <c r="K129" s="494"/>
      <c r="L129" s="494"/>
      <c r="M129" s="494"/>
      <c r="N129" s="494"/>
      <c r="O129" s="495"/>
      <c r="P129" s="241"/>
      <c r="Q129" s="241"/>
      <c r="R129" s="249">
        <f>AVERAGE(R122:R128)</f>
        <v>0.79928571428571427</v>
      </c>
      <c r="S129" s="283"/>
      <c r="T129" s="249">
        <f>AVERAGE(T122:T128)</f>
        <v>0.28759363295880147</v>
      </c>
      <c r="U129" s="17"/>
      <c r="V129" s="18"/>
      <c r="W129" s="13"/>
      <c r="X129" s="13"/>
      <c r="Y129" s="16"/>
      <c r="Z129" s="16"/>
      <c r="AA129" s="16"/>
      <c r="AB129" s="16"/>
      <c r="AC129" s="84"/>
      <c r="AD129" s="226">
        <f>AVERAGE(AD125:AD128)</f>
        <v>1</v>
      </c>
      <c r="AE129" s="16"/>
      <c r="AF129" s="13"/>
      <c r="AG129" s="19"/>
      <c r="AH129" s="17"/>
      <c r="AI129" s="20"/>
      <c r="AJ129" s="20"/>
      <c r="AK129" s="20"/>
      <c r="AL129" s="20"/>
      <c r="AM129" s="20"/>
      <c r="AN129" s="33"/>
      <c r="AO129" s="17"/>
      <c r="AP129" s="18"/>
      <c r="AQ129" s="18"/>
      <c r="AR129" s="18"/>
      <c r="AS129" s="18"/>
      <c r="AT129" s="16"/>
      <c r="AU129" s="53"/>
      <c r="AV129" s="123"/>
      <c r="AW129" s="59"/>
      <c r="AX129" s="22"/>
    </row>
    <row r="130" spans="1:50" ht="75" customHeight="1" x14ac:dyDescent="0.35">
      <c r="A130" s="477" t="s">
        <v>129</v>
      </c>
      <c r="B130" s="477" t="s">
        <v>248</v>
      </c>
      <c r="C130" s="432" t="s">
        <v>249</v>
      </c>
      <c r="D130" s="432" t="s">
        <v>250</v>
      </c>
      <c r="E130" s="432" t="s">
        <v>251</v>
      </c>
      <c r="F130" s="478" t="s">
        <v>29</v>
      </c>
      <c r="G130" s="481" t="s">
        <v>256</v>
      </c>
      <c r="H130" s="431" t="s">
        <v>257</v>
      </c>
      <c r="I130" s="432">
        <v>0</v>
      </c>
      <c r="J130" s="431" t="s">
        <v>258</v>
      </c>
      <c r="K130" s="506">
        <v>20</v>
      </c>
      <c r="L130" s="506">
        <v>5</v>
      </c>
      <c r="M130" s="506">
        <v>1</v>
      </c>
      <c r="N130" s="506">
        <v>4</v>
      </c>
      <c r="O130" s="448">
        <v>0</v>
      </c>
      <c r="P130" s="524">
        <v>0</v>
      </c>
      <c r="Q130" s="449">
        <f>+P130+N130+M130</f>
        <v>5</v>
      </c>
      <c r="R130" s="523">
        <f>+Q130/L130</f>
        <v>1</v>
      </c>
      <c r="S130" s="449">
        <f>4+Q130</f>
        <v>9</v>
      </c>
      <c r="T130" s="523">
        <f>+S130/K130</f>
        <v>0.45</v>
      </c>
      <c r="U130" s="428" t="s">
        <v>406</v>
      </c>
      <c r="V130" s="527">
        <v>2020130010100</v>
      </c>
      <c r="W130" s="451" t="s">
        <v>407</v>
      </c>
      <c r="X130" s="173" t="s">
        <v>731</v>
      </c>
      <c r="Y130" s="184">
        <v>1</v>
      </c>
      <c r="Z130" s="184">
        <v>1</v>
      </c>
      <c r="AA130" s="177">
        <v>1</v>
      </c>
      <c r="AB130" s="177">
        <v>0</v>
      </c>
      <c r="AC130" s="83">
        <v>0</v>
      </c>
      <c r="AD130" s="228">
        <v>1</v>
      </c>
      <c r="AE130" s="174" t="s">
        <v>734</v>
      </c>
      <c r="AF130" s="451" t="s">
        <v>654</v>
      </c>
      <c r="AG130" s="442" t="s">
        <v>464</v>
      </c>
      <c r="AH130" s="428" t="s">
        <v>41</v>
      </c>
      <c r="AI130" s="377">
        <v>288361430</v>
      </c>
      <c r="AJ130" s="377">
        <v>117400000</v>
      </c>
      <c r="AK130" s="377">
        <v>124600000</v>
      </c>
      <c r="AL130" s="377">
        <f>+AK130</f>
        <v>124600000</v>
      </c>
      <c r="AM130" s="377"/>
      <c r="AN130" s="519">
        <f>+AK130/AI130</f>
        <v>0.43209662263084214</v>
      </c>
      <c r="AO130" s="428" t="s">
        <v>593</v>
      </c>
      <c r="AP130" s="428" t="s">
        <v>466</v>
      </c>
      <c r="AQ130" s="346">
        <v>247361430</v>
      </c>
      <c r="AR130" s="346">
        <v>177256752</v>
      </c>
      <c r="AS130" s="349">
        <f>+AR130/AQ130</f>
        <v>0.7165901005666081</v>
      </c>
      <c r="AT130" s="284" t="s">
        <v>704</v>
      </c>
      <c r="AU130" s="285" t="s">
        <v>774</v>
      </c>
      <c r="AV130" s="185" t="s">
        <v>809</v>
      </c>
      <c r="AW130" s="287">
        <v>8</v>
      </c>
      <c r="AX130" s="75"/>
    </row>
    <row r="131" spans="1:50" ht="72.75" customHeight="1" x14ac:dyDescent="0.35">
      <c r="A131" s="477"/>
      <c r="B131" s="477"/>
      <c r="C131" s="432"/>
      <c r="D131" s="432"/>
      <c r="E131" s="432"/>
      <c r="F131" s="479"/>
      <c r="G131" s="481"/>
      <c r="H131" s="431"/>
      <c r="I131" s="432"/>
      <c r="J131" s="431"/>
      <c r="K131" s="506"/>
      <c r="L131" s="506"/>
      <c r="M131" s="506"/>
      <c r="N131" s="506"/>
      <c r="O131" s="448"/>
      <c r="P131" s="525"/>
      <c r="Q131" s="449"/>
      <c r="R131" s="523"/>
      <c r="S131" s="449"/>
      <c r="T131" s="523"/>
      <c r="U131" s="429"/>
      <c r="V131" s="528"/>
      <c r="W131" s="452"/>
      <c r="X131" s="173" t="s">
        <v>408</v>
      </c>
      <c r="Y131" s="184">
        <v>1</v>
      </c>
      <c r="Z131" s="184">
        <v>0</v>
      </c>
      <c r="AA131" s="177">
        <v>0</v>
      </c>
      <c r="AB131" s="177">
        <v>0</v>
      </c>
      <c r="AC131" s="83">
        <v>2</v>
      </c>
      <c r="AD131" s="228">
        <v>1</v>
      </c>
      <c r="AE131" s="174" t="s">
        <v>734</v>
      </c>
      <c r="AF131" s="452"/>
      <c r="AG131" s="443"/>
      <c r="AH131" s="429"/>
      <c r="AI131" s="378"/>
      <c r="AJ131" s="378"/>
      <c r="AK131" s="378"/>
      <c r="AL131" s="378"/>
      <c r="AM131" s="378"/>
      <c r="AN131" s="520"/>
      <c r="AO131" s="429"/>
      <c r="AP131" s="429"/>
      <c r="AQ131" s="347"/>
      <c r="AR131" s="347"/>
      <c r="AS131" s="350"/>
      <c r="AT131" s="189" t="s">
        <v>630</v>
      </c>
      <c r="AU131" s="289" t="s">
        <v>775</v>
      </c>
      <c r="AV131" s="286" t="s">
        <v>1112</v>
      </c>
      <c r="AW131" s="290">
        <v>9</v>
      </c>
      <c r="AX131" s="280" t="s">
        <v>1066</v>
      </c>
    </row>
    <row r="132" spans="1:50" ht="67.5" customHeight="1" x14ac:dyDescent="0.35">
      <c r="A132" s="477"/>
      <c r="B132" s="477"/>
      <c r="C132" s="432"/>
      <c r="D132" s="432"/>
      <c r="E132" s="432"/>
      <c r="F132" s="479"/>
      <c r="G132" s="481"/>
      <c r="H132" s="431"/>
      <c r="I132" s="432"/>
      <c r="J132" s="431"/>
      <c r="K132" s="506"/>
      <c r="L132" s="506"/>
      <c r="M132" s="506"/>
      <c r="N132" s="506"/>
      <c r="O132" s="448"/>
      <c r="P132" s="525"/>
      <c r="Q132" s="449"/>
      <c r="R132" s="523"/>
      <c r="S132" s="449"/>
      <c r="T132" s="523"/>
      <c r="U132" s="429"/>
      <c r="V132" s="528"/>
      <c r="W132" s="452"/>
      <c r="X132" s="173" t="s">
        <v>409</v>
      </c>
      <c r="Y132" s="184">
        <v>1</v>
      </c>
      <c r="Z132" s="184">
        <v>0</v>
      </c>
      <c r="AA132" s="177">
        <v>0</v>
      </c>
      <c r="AB132" s="177">
        <v>0</v>
      </c>
      <c r="AC132" s="83">
        <v>1</v>
      </c>
      <c r="AD132" s="228">
        <v>1</v>
      </c>
      <c r="AE132" s="174" t="s">
        <v>734</v>
      </c>
      <c r="AF132" s="452"/>
      <c r="AG132" s="443"/>
      <c r="AH132" s="429"/>
      <c r="AI132" s="378"/>
      <c r="AJ132" s="378"/>
      <c r="AK132" s="378"/>
      <c r="AL132" s="378"/>
      <c r="AM132" s="378"/>
      <c r="AN132" s="520"/>
      <c r="AO132" s="429"/>
      <c r="AP132" s="429"/>
      <c r="AQ132" s="347"/>
      <c r="AR132" s="347"/>
      <c r="AS132" s="350"/>
      <c r="AT132" s="189" t="s">
        <v>630</v>
      </c>
      <c r="AU132" s="289" t="s">
        <v>775</v>
      </c>
      <c r="AV132" s="286" t="s">
        <v>1113</v>
      </c>
      <c r="AW132" s="290">
        <v>10</v>
      </c>
      <c r="AX132" s="279" t="s">
        <v>880</v>
      </c>
    </row>
    <row r="133" spans="1:50" ht="248" x14ac:dyDescent="0.35">
      <c r="A133" s="477"/>
      <c r="B133" s="477"/>
      <c r="C133" s="432"/>
      <c r="D133" s="432"/>
      <c r="E133" s="432"/>
      <c r="F133" s="479"/>
      <c r="G133" s="481"/>
      <c r="H133" s="431"/>
      <c r="I133" s="432"/>
      <c r="J133" s="431"/>
      <c r="K133" s="506"/>
      <c r="L133" s="506"/>
      <c r="M133" s="506"/>
      <c r="N133" s="506"/>
      <c r="O133" s="448"/>
      <c r="P133" s="525"/>
      <c r="Q133" s="449"/>
      <c r="R133" s="523"/>
      <c r="S133" s="449"/>
      <c r="T133" s="523"/>
      <c r="U133" s="429"/>
      <c r="V133" s="528"/>
      <c r="W133" s="453"/>
      <c r="X133" s="173" t="s">
        <v>410</v>
      </c>
      <c r="Y133" s="184">
        <v>1</v>
      </c>
      <c r="Z133" s="184">
        <v>0</v>
      </c>
      <c r="AA133" s="177">
        <v>2</v>
      </c>
      <c r="AB133" s="177">
        <v>0</v>
      </c>
      <c r="AC133" s="83">
        <v>0</v>
      </c>
      <c r="AD133" s="228">
        <v>1</v>
      </c>
      <c r="AE133" s="174" t="s">
        <v>734</v>
      </c>
      <c r="AF133" s="452"/>
      <c r="AG133" s="443"/>
      <c r="AH133" s="429"/>
      <c r="AI133" s="378"/>
      <c r="AJ133" s="378"/>
      <c r="AK133" s="378"/>
      <c r="AL133" s="378"/>
      <c r="AM133" s="378"/>
      <c r="AN133" s="520"/>
      <c r="AO133" s="429"/>
      <c r="AP133" s="429"/>
      <c r="AQ133" s="347"/>
      <c r="AR133" s="347"/>
      <c r="AS133" s="350"/>
      <c r="AT133" s="284" t="s">
        <v>705</v>
      </c>
      <c r="AU133" s="285"/>
      <c r="AV133" s="125" t="s">
        <v>810</v>
      </c>
      <c r="AW133" s="287">
        <v>11</v>
      </c>
      <c r="AX133" s="279" t="s">
        <v>881</v>
      </c>
    </row>
    <row r="134" spans="1:50" ht="146.15" customHeight="1" x14ac:dyDescent="0.35">
      <c r="A134" s="477"/>
      <c r="B134" s="477"/>
      <c r="C134" s="432"/>
      <c r="D134" s="432"/>
      <c r="E134" s="432"/>
      <c r="F134" s="479"/>
      <c r="G134" s="481"/>
      <c r="H134" s="431"/>
      <c r="I134" s="432"/>
      <c r="J134" s="431"/>
      <c r="K134" s="506"/>
      <c r="L134" s="506"/>
      <c r="M134" s="506"/>
      <c r="N134" s="506"/>
      <c r="O134" s="448"/>
      <c r="P134" s="526"/>
      <c r="Q134" s="449"/>
      <c r="R134" s="523"/>
      <c r="S134" s="449"/>
      <c r="T134" s="523"/>
      <c r="U134" s="429"/>
      <c r="V134" s="528"/>
      <c r="W134" s="174" t="s">
        <v>506</v>
      </c>
      <c r="X134" s="173" t="s">
        <v>411</v>
      </c>
      <c r="Y134" s="184">
        <v>1</v>
      </c>
      <c r="Z134" s="184">
        <v>1</v>
      </c>
      <c r="AA134" s="177">
        <v>1</v>
      </c>
      <c r="AB134" s="177">
        <v>0</v>
      </c>
      <c r="AC134" s="83">
        <v>0</v>
      </c>
      <c r="AD134" s="228">
        <v>1</v>
      </c>
      <c r="AE134" s="174" t="s">
        <v>734</v>
      </c>
      <c r="AF134" s="452"/>
      <c r="AG134" s="443"/>
      <c r="AH134" s="429"/>
      <c r="AI134" s="378"/>
      <c r="AJ134" s="378"/>
      <c r="AK134" s="378"/>
      <c r="AL134" s="378"/>
      <c r="AM134" s="378"/>
      <c r="AN134" s="520"/>
      <c r="AO134" s="429"/>
      <c r="AP134" s="429"/>
      <c r="AQ134" s="347"/>
      <c r="AR134" s="347"/>
      <c r="AS134" s="350"/>
      <c r="AT134" s="284" t="s">
        <v>706</v>
      </c>
      <c r="AU134" s="285" t="s">
        <v>772</v>
      </c>
      <c r="AV134" s="286" t="s">
        <v>933</v>
      </c>
      <c r="AW134" s="287">
        <v>12</v>
      </c>
      <c r="AX134" s="279"/>
    </row>
    <row r="135" spans="1:50" ht="375" customHeight="1" x14ac:dyDescent="0.35">
      <c r="A135" s="477"/>
      <c r="B135" s="477"/>
      <c r="C135" s="432"/>
      <c r="D135" s="432"/>
      <c r="E135" s="432"/>
      <c r="F135" s="480"/>
      <c r="G135" s="481"/>
      <c r="H135" s="173" t="s">
        <v>259</v>
      </c>
      <c r="I135" s="174" t="s">
        <v>260</v>
      </c>
      <c r="J135" s="173" t="s">
        <v>261</v>
      </c>
      <c r="K135" s="76">
        <v>20</v>
      </c>
      <c r="L135" s="76">
        <v>6</v>
      </c>
      <c r="M135" s="76">
        <v>0</v>
      </c>
      <c r="N135" s="76">
        <v>6</v>
      </c>
      <c r="O135" s="78">
        <v>0</v>
      </c>
      <c r="P135" s="291">
        <v>0</v>
      </c>
      <c r="Q135" s="292">
        <f>+N135</f>
        <v>6</v>
      </c>
      <c r="R135" s="293">
        <v>1</v>
      </c>
      <c r="S135" s="292">
        <f>1+Q135</f>
        <v>7</v>
      </c>
      <c r="T135" s="293">
        <f>+S135/K135</f>
        <v>0.35</v>
      </c>
      <c r="U135" s="430"/>
      <c r="V135" s="529"/>
      <c r="W135" s="174" t="s">
        <v>412</v>
      </c>
      <c r="X135" s="173" t="s">
        <v>413</v>
      </c>
      <c r="Y135" s="184">
        <v>1</v>
      </c>
      <c r="Z135" s="184">
        <v>0</v>
      </c>
      <c r="AA135" s="41">
        <v>6</v>
      </c>
      <c r="AB135" s="41">
        <v>0</v>
      </c>
      <c r="AC135" s="87">
        <v>0</v>
      </c>
      <c r="AD135" s="225">
        <v>1</v>
      </c>
      <c r="AE135" s="174" t="s">
        <v>734</v>
      </c>
      <c r="AF135" s="453"/>
      <c r="AG135" s="444"/>
      <c r="AH135" s="430"/>
      <c r="AI135" s="379"/>
      <c r="AJ135" s="379"/>
      <c r="AK135" s="379"/>
      <c r="AL135" s="379"/>
      <c r="AM135" s="379"/>
      <c r="AN135" s="521"/>
      <c r="AO135" s="430"/>
      <c r="AP135" s="430"/>
      <c r="AQ135" s="348"/>
      <c r="AR135" s="348"/>
      <c r="AS135" s="351"/>
      <c r="AT135" s="284" t="s">
        <v>707</v>
      </c>
      <c r="AU135" s="285" t="s">
        <v>776</v>
      </c>
      <c r="AV135" s="185" t="s">
        <v>934</v>
      </c>
      <c r="AW135" s="287">
        <v>13</v>
      </c>
      <c r="AX135" s="279" t="s">
        <v>882</v>
      </c>
    </row>
    <row r="136" spans="1:50" s="21" customFormat="1" ht="68.25" customHeight="1" x14ac:dyDescent="0.35">
      <c r="A136" s="12"/>
      <c r="B136" s="12"/>
      <c r="C136" s="13"/>
      <c r="D136" s="14"/>
      <c r="E136" s="13"/>
      <c r="F136" s="153"/>
      <c r="G136" s="601" t="s">
        <v>1090</v>
      </c>
      <c r="H136" s="602"/>
      <c r="I136" s="602"/>
      <c r="J136" s="602"/>
      <c r="K136" s="602"/>
      <c r="L136" s="602"/>
      <c r="M136" s="602"/>
      <c r="N136" s="602"/>
      <c r="O136" s="602"/>
      <c r="P136" s="603"/>
      <c r="Q136" s="241"/>
      <c r="R136" s="243">
        <f>AVERAGE(R130:R135)</f>
        <v>1</v>
      </c>
      <c r="S136" s="241"/>
      <c r="T136" s="249">
        <f>AVERAGE(T130:T135)</f>
        <v>0.4</v>
      </c>
      <c r="U136" s="17"/>
      <c r="V136" s="18"/>
      <c r="W136" s="13"/>
      <c r="X136" s="13"/>
      <c r="Y136" s="16"/>
      <c r="Z136" s="16"/>
      <c r="AA136" s="16"/>
      <c r="AB136" s="16"/>
      <c r="AC136" s="84"/>
      <c r="AD136" s="226">
        <v>1</v>
      </c>
      <c r="AE136" s="16"/>
      <c r="AF136" s="13"/>
      <c r="AG136" s="19"/>
      <c r="AH136" s="17"/>
      <c r="AI136" s="20"/>
      <c r="AJ136" s="20"/>
      <c r="AK136" s="20"/>
      <c r="AL136" s="20"/>
      <c r="AM136" s="20"/>
      <c r="AN136" s="33"/>
      <c r="AO136" s="17"/>
      <c r="AP136" s="18"/>
      <c r="AQ136" s="18"/>
      <c r="AR136" s="18"/>
      <c r="AS136" s="18"/>
      <c r="AT136" s="16"/>
      <c r="AU136" s="53"/>
      <c r="AV136" s="123"/>
      <c r="AW136" s="59"/>
      <c r="AX136" s="22"/>
    </row>
    <row r="137" spans="1:50" ht="60" customHeight="1" x14ac:dyDescent="0.35">
      <c r="A137" s="477" t="s">
        <v>129</v>
      </c>
      <c r="B137" s="477" t="s">
        <v>248</v>
      </c>
      <c r="C137" s="432" t="s">
        <v>249</v>
      </c>
      <c r="D137" s="432" t="s">
        <v>250</v>
      </c>
      <c r="E137" s="432" t="s">
        <v>251</v>
      </c>
      <c r="F137" s="478" t="s">
        <v>29</v>
      </c>
      <c r="G137" s="481" t="s">
        <v>262</v>
      </c>
      <c r="H137" s="431" t="s">
        <v>263</v>
      </c>
      <c r="I137" s="432" t="s">
        <v>260</v>
      </c>
      <c r="J137" s="515" t="s">
        <v>264</v>
      </c>
      <c r="K137" s="506">
        <v>4</v>
      </c>
      <c r="L137" s="506">
        <v>1</v>
      </c>
      <c r="M137" s="518">
        <v>0</v>
      </c>
      <c r="N137" s="518">
        <v>4</v>
      </c>
      <c r="O137" s="448">
        <v>3</v>
      </c>
      <c r="P137" s="512">
        <v>4</v>
      </c>
      <c r="Q137" s="522">
        <v>4</v>
      </c>
      <c r="R137" s="523">
        <v>1</v>
      </c>
      <c r="S137" s="522">
        <v>4</v>
      </c>
      <c r="T137" s="523">
        <v>0.5</v>
      </c>
      <c r="U137" s="428" t="s">
        <v>414</v>
      </c>
      <c r="V137" s="464">
        <v>2020130010098</v>
      </c>
      <c r="W137" s="451" t="s">
        <v>415</v>
      </c>
      <c r="X137" s="173" t="s">
        <v>416</v>
      </c>
      <c r="Y137" s="184">
        <v>2</v>
      </c>
      <c r="Z137" s="44">
        <v>0</v>
      </c>
      <c r="AA137" s="294">
        <v>21</v>
      </c>
      <c r="AB137" s="294">
        <v>43</v>
      </c>
      <c r="AC137" s="295">
        <v>5</v>
      </c>
      <c r="AD137" s="295"/>
      <c r="AE137" s="174" t="s">
        <v>734</v>
      </c>
      <c r="AF137" s="451" t="s">
        <v>654</v>
      </c>
      <c r="AG137" s="442" t="s">
        <v>464</v>
      </c>
      <c r="AH137" s="428" t="s">
        <v>41</v>
      </c>
      <c r="AI137" s="377">
        <v>180962817</v>
      </c>
      <c r="AJ137" s="377">
        <v>52500000</v>
      </c>
      <c r="AK137" s="377">
        <v>62500000</v>
      </c>
      <c r="AL137" s="377">
        <v>66900000</v>
      </c>
      <c r="AM137" s="377"/>
      <c r="AN137" s="519">
        <f>+AK137/AI137</f>
        <v>0.34537481807657755</v>
      </c>
      <c r="AO137" s="428" t="s">
        <v>594</v>
      </c>
      <c r="AP137" s="359" t="s">
        <v>467</v>
      </c>
      <c r="AQ137" s="352">
        <v>180962817</v>
      </c>
      <c r="AR137" s="333">
        <v>179600000</v>
      </c>
      <c r="AS137" s="353">
        <f>+AR137/AQ137</f>
        <v>0.99246907722485334</v>
      </c>
      <c r="AT137" s="296" t="s">
        <v>708</v>
      </c>
      <c r="AU137" s="297" t="s">
        <v>777</v>
      </c>
      <c r="AV137" s="91" t="s">
        <v>935</v>
      </c>
      <c r="AW137" s="298">
        <v>14</v>
      </c>
      <c r="AX137" s="299" t="s">
        <v>883</v>
      </c>
    </row>
    <row r="138" spans="1:50" ht="217" x14ac:dyDescent="0.35">
      <c r="A138" s="477"/>
      <c r="B138" s="477"/>
      <c r="C138" s="432"/>
      <c r="D138" s="432"/>
      <c r="E138" s="432"/>
      <c r="F138" s="479"/>
      <c r="G138" s="481"/>
      <c r="H138" s="431"/>
      <c r="I138" s="432"/>
      <c r="J138" s="515"/>
      <c r="K138" s="506"/>
      <c r="L138" s="506"/>
      <c r="M138" s="518"/>
      <c r="N138" s="518"/>
      <c r="O138" s="448"/>
      <c r="P138" s="513"/>
      <c r="Q138" s="522"/>
      <c r="R138" s="523"/>
      <c r="S138" s="522"/>
      <c r="T138" s="523"/>
      <c r="U138" s="429"/>
      <c r="V138" s="465"/>
      <c r="W138" s="452"/>
      <c r="X138" s="173" t="s">
        <v>417</v>
      </c>
      <c r="Y138" s="184">
        <v>6</v>
      </c>
      <c r="Z138" s="44">
        <v>0</v>
      </c>
      <c r="AA138" s="294">
        <v>28</v>
      </c>
      <c r="AB138" s="294">
        <v>10</v>
      </c>
      <c r="AC138" s="295">
        <v>11</v>
      </c>
      <c r="AD138" s="300">
        <v>1</v>
      </c>
      <c r="AE138" s="174" t="s">
        <v>734</v>
      </c>
      <c r="AF138" s="452"/>
      <c r="AG138" s="443"/>
      <c r="AH138" s="429"/>
      <c r="AI138" s="378"/>
      <c r="AJ138" s="378"/>
      <c r="AK138" s="378"/>
      <c r="AL138" s="378"/>
      <c r="AM138" s="378"/>
      <c r="AN138" s="520"/>
      <c r="AO138" s="429"/>
      <c r="AP138" s="360"/>
      <c r="AQ138" s="331"/>
      <c r="AR138" s="333"/>
      <c r="AS138" s="354"/>
      <c r="AT138" s="296" t="s">
        <v>709</v>
      </c>
      <c r="AU138" s="297" t="s">
        <v>778</v>
      </c>
      <c r="AV138" s="91" t="s">
        <v>936</v>
      </c>
      <c r="AW138" s="298">
        <v>15</v>
      </c>
      <c r="AX138" s="299" t="s">
        <v>884</v>
      </c>
    </row>
    <row r="139" spans="1:50" ht="93" x14ac:dyDescent="0.35">
      <c r="A139" s="477"/>
      <c r="B139" s="477"/>
      <c r="C139" s="432"/>
      <c r="D139" s="432"/>
      <c r="E139" s="432"/>
      <c r="F139" s="479"/>
      <c r="G139" s="481"/>
      <c r="H139" s="431"/>
      <c r="I139" s="432"/>
      <c r="J139" s="515"/>
      <c r="K139" s="506"/>
      <c r="L139" s="506"/>
      <c r="M139" s="518"/>
      <c r="N139" s="518"/>
      <c r="O139" s="448"/>
      <c r="P139" s="513"/>
      <c r="Q139" s="522"/>
      <c r="R139" s="523"/>
      <c r="S139" s="522"/>
      <c r="T139" s="523"/>
      <c r="U139" s="429"/>
      <c r="V139" s="465"/>
      <c r="W139" s="452"/>
      <c r="X139" s="173" t="s">
        <v>418</v>
      </c>
      <c r="Y139" s="184">
        <v>3</v>
      </c>
      <c r="Z139" s="44">
        <v>1</v>
      </c>
      <c r="AA139" s="294">
        <v>3</v>
      </c>
      <c r="AB139" s="294">
        <v>0</v>
      </c>
      <c r="AC139" s="295">
        <v>0</v>
      </c>
      <c r="AD139" s="300">
        <v>1</v>
      </c>
      <c r="AE139" s="174" t="s">
        <v>734</v>
      </c>
      <c r="AF139" s="452"/>
      <c r="AG139" s="443"/>
      <c r="AH139" s="429"/>
      <c r="AI139" s="378"/>
      <c r="AJ139" s="378"/>
      <c r="AK139" s="378"/>
      <c r="AL139" s="378"/>
      <c r="AM139" s="378"/>
      <c r="AN139" s="520"/>
      <c r="AO139" s="429"/>
      <c r="AP139" s="360"/>
      <c r="AQ139" s="331"/>
      <c r="AR139" s="333"/>
      <c r="AS139" s="354"/>
      <c r="AT139" s="301" t="s">
        <v>710</v>
      </c>
      <c r="AU139" s="285" t="s">
        <v>779</v>
      </c>
      <c r="AV139" s="286" t="s">
        <v>937</v>
      </c>
      <c r="AW139" s="287">
        <v>16</v>
      </c>
      <c r="AX139" s="75"/>
    </row>
    <row r="140" spans="1:50" ht="62" x14ac:dyDescent="0.35">
      <c r="A140" s="477"/>
      <c r="B140" s="477"/>
      <c r="C140" s="432"/>
      <c r="D140" s="432"/>
      <c r="E140" s="432"/>
      <c r="F140" s="479"/>
      <c r="G140" s="481"/>
      <c r="H140" s="431"/>
      <c r="I140" s="432"/>
      <c r="J140" s="515"/>
      <c r="K140" s="506"/>
      <c r="L140" s="506"/>
      <c r="M140" s="518"/>
      <c r="N140" s="518"/>
      <c r="O140" s="448"/>
      <c r="P140" s="513"/>
      <c r="Q140" s="522"/>
      <c r="R140" s="523"/>
      <c r="S140" s="522"/>
      <c r="T140" s="523"/>
      <c r="U140" s="429"/>
      <c r="V140" s="465"/>
      <c r="W140" s="453"/>
      <c r="X140" s="173" t="s">
        <v>419</v>
      </c>
      <c r="Y140" s="184">
        <v>1</v>
      </c>
      <c r="Z140" s="44">
        <v>0</v>
      </c>
      <c r="AA140" s="294">
        <v>0</v>
      </c>
      <c r="AB140" s="294">
        <v>0</v>
      </c>
      <c r="AC140" s="295">
        <v>0</v>
      </c>
      <c r="AD140" s="300">
        <v>0</v>
      </c>
      <c r="AE140" s="174" t="s">
        <v>734</v>
      </c>
      <c r="AF140" s="452"/>
      <c r="AG140" s="443"/>
      <c r="AH140" s="429"/>
      <c r="AI140" s="378"/>
      <c r="AJ140" s="378"/>
      <c r="AK140" s="378"/>
      <c r="AL140" s="378"/>
      <c r="AM140" s="378"/>
      <c r="AN140" s="520"/>
      <c r="AO140" s="429"/>
      <c r="AP140" s="360"/>
      <c r="AQ140" s="331"/>
      <c r="AR140" s="333"/>
      <c r="AS140" s="354"/>
      <c r="AT140" s="302" t="s">
        <v>711</v>
      </c>
      <c r="AU140" s="289" t="s">
        <v>711</v>
      </c>
      <c r="AV140" s="91" t="s">
        <v>938</v>
      </c>
      <c r="AW140" s="290">
        <v>17</v>
      </c>
      <c r="AX140" s="94"/>
    </row>
    <row r="141" spans="1:50" ht="201.5" x14ac:dyDescent="0.35">
      <c r="A141" s="477"/>
      <c r="B141" s="477"/>
      <c r="C141" s="432"/>
      <c r="D141" s="432"/>
      <c r="E141" s="432"/>
      <c r="F141" s="479"/>
      <c r="G141" s="481"/>
      <c r="H141" s="431"/>
      <c r="I141" s="432"/>
      <c r="J141" s="515"/>
      <c r="K141" s="506"/>
      <c r="L141" s="506"/>
      <c r="M141" s="518"/>
      <c r="N141" s="518"/>
      <c r="O141" s="448"/>
      <c r="P141" s="513"/>
      <c r="Q141" s="522"/>
      <c r="R141" s="523"/>
      <c r="S141" s="522"/>
      <c r="T141" s="523"/>
      <c r="U141" s="429"/>
      <c r="V141" s="465"/>
      <c r="W141" s="451" t="s">
        <v>420</v>
      </c>
      <c r="X141" s="173" t="s">
        <v>421</v>
      </c>
      <c r="Y141" s="184">
        <v>3</v>
      </c>
      <c r="Z141" s="44">
        <v>3</v>
      </c>
      <c r="AA141" s="294">
        <v>6</v>
      </c>
      <c r="AB141" s="294">
        <v>10</v>
      </c>
      <c r="AC141" s="295">
        <v>16</v>
      </c>
      <c r="AD141" s="300">
        <v>1</v>
      </c>
      <c r="AE141" s="174" t="s">
        <v>734</v>
      </c>
      <c r="AF141" s="452"/>
      <c r="AG141" s="443"/>
      <c r="AH141" s="429"/>
      <c r="AI141" s="378"/>
      <c r="AJ141" s="378"/>
      <c r="AK141" s="378"/>
      <c r="AL141" s="378"/>
      <c r="AM141" s="378"/>
      <c r="AN141" s="520"/>
      <c r="AO141" s="429"/>
      <c r="AP141" s="360"/>
      <c r="AQ141" s="331"/>
      <c r="AR141" s="333"/>
      <c r="AS141" s="354"/>
      <c r="AT141" s="296" t="s">
        <v>712</v>
      </c>
      <c r="AU141" s="297" t="s">
        <v>780</v>
      </c>
      <c r="AV141" s="140" t="s">
        <v>939</v>
      </c>
      <c r="AW141" s="298">
        <v>18</v>
      </c>
      <c r="AX141" s="588" t="s">
        <v>885</v>
      </c>
    </row>
    <row r="142" spans="1:50" ht="76.5" customHeight="1" x14ac:dyDescent="0.35">
      <c r="A142" s="477"/>
      <c r="B142" s="477"/>
      <c r="C142" s="432"/>
      <c r="D142" s="432"/>
      <c r="E142" s="432"/>
      <c r="F142" s="479"/>
      <c r="G142" s="481"/>
      <c r="H142" s="431"/>
      <c r="I142" s="432"/>
      <c r="J142" s="515"/>
      <c r="K142" s="506"/>
      <c r="L142" s="506"/>
      <c r="M142" s="518"/>
      <c r="N142" s="518"/>
      <c r="O142" s="448"/>
      <c r="P142" s="514"/>
      <c r="Q142" s="522"/>
      <c r="R142" s="523"/>
      <c r="S142" s="522"/>
      <c r="T142" s="523"/>
      <c r="U142" s="429"/>
      <c r="V142" s="465"/>
      <c r="W142" s="453"/>
      <c r="X142" s="173" t="s">
        <v>422</v>
      </c>
      <c r="Y142" s="184">
        <v>6</v>
      </c>
      <c r="Z142" s="44">
        <v>1</v>
      </c>
      <c r="AA142" s="294">
        <v>9</v>
      </c>
      <c r="AB142" s="294">
        <v>10</v>
      </c>
      <c r="AC142" s="295">
        <v>16</v>
      </c>
      <c r="AD142" s="300">
        <v>1</v>
      </c>
      <c r="AE142" s="174" t="s">
        <v>734</v>
      </c>
      <c r="AF142" s="452"/>
      <c r="AG142" s="443"/>
      <c r="AH142" s="429"/>
      <c r="AI142" s="378"/>
      <c r="AJ142" s="378"/>
      <c r="AK142" s="378"/>
      <c r="AL142" s="378"/>
      <c r="AM142" s="378"/>
      <c r="AN142" s="520"/>
      <c r="AO142" s="429"/>
      <c r="AP142" s="360"/>
      <c r="AQ142" s="331"/>
      <c r="AR142" s="333"/>
      <c r="AS142" s="354"/>
      <c r="AT142" s="296" t="s">
        <v>713</v>
      </c>
      <c r="AU142" s="303" t="s">
        <v>780</v>
      </c>
      <c r="AV142" s="91" t="s">
        <v>940</v>
      </c>
      <c r="AW142" s="287">
        <v>19</v>
      </c>
      <c r="AX142" s="589"/>
    </row>
    <row r="143" spans="1:50" ht="409.5" x14ac:dyDescent="0.35">
      <c r="A143" s="477"/>
      <c r="B143" s="477"/>
      <c r="C143" s="432"/>
      <c r="D143" s="432"/>
      <c r="E143" s="432"/>
      <c r="F143" s="479"/>
      <c r="G143" s="481"/>
      <c r="H143" s="173" t="s">
        <v>265</v>
      </c>
      <c r="I143" s="174">
        <v>0</v>
      </c>
      <c r="J143" s="173" t="s">
        <v>266</v>
      </c>
      <c r="K143" s="184">
        <v>1</v>
      </c>
      <c r="L143" s="44">
        <v>0.5</v>
      </c>
      <c r="M143" s="44">
        <v>0</v>
      </c>
      <c r="N143" s="44">
        <v>0.01</v>
      </c>
      <c r="O143" s="40">
        <v>0.01</v>
      </c>
      <c r="P143" s="255">
        <v>0.38</v>
      </c>
      <c r="Q143" s="255">
        <f>+N143+O143+P143</f>
        <v>0.4</v>
      </c>
      <c r="R143" s="239">
        <f>+Q143/L143</f>
        <v>0.8</v>
      </c>
      <c r="S143" s="255">
        <f>0.35+Q143</f>
        <v>0.75</v>
      </c>
      <c r="T143" s="239">
        <v>0.75</v>
      </c>
      <c r="U143" s="429"/>
      <c r="V143" s="465"/>
      <c r="W143" s="451" t="s">
        <v>423</v>
      </c>
      <c r="X143" s="173" t="s">
        <v>424</v>
      </c>
      <c r="Y143" s="184">
        <v>0.5</v>
      </c>
      <c r="Z143" s="44">
        <v>0.2</v>
      </c>
      <c r="AA143" s="294">
        <v>0.1</v>
      </c>
      <c r="AB143" s="294">
        <v>0.1</v>
      </c>
      <c r="AC143" s="295">
        <v>0.5</v>
      </c>
      <c r="AD143" s="300">
        <v>0.9</v>
      </c>
      <c r="AE143" s="174" t="s">
        <v>734</v>
      </c>
      <c r="AF143" s="452"/>
      <c r="AG143" s="443"/>
      <c r="AH143" s="429"/>
      <c r="AI143" s="378"/>
      <c r="AJ143" s="378"/>
      <c r="AK143" s="378"/>
      <c r="AL143" s="378"/>
      <c r="AM143" s="378"/>
      <c r="AN143" s="520"/>
      <c r="AO143" s="429"/>
      <c r="AP143" s="360"/>
      <c r="AQ143" s="331"/>
      <c r="AR143" s="333"/>
      <c r="AS143" s="354"/>
      <c r="AT143" s="296" t="s">
        <v>714</v>
      </c>
      <c r="AU143" s="303" t="s">
        <v>781</v>
      </c>
      <c r="AV143" s="91" t="s">
        <v>941</v>
      </c>
      <c r="AW143" s="287">
        <v>20</v>
      </c>
      <c r="AX143" s="242" t="s">
        <v>886</v>
      </c>
    </row>
    <row r="144" spans="1:50" ht="409.5" x14ac:dyDescent="0.35">
      <c r="A144" s="477"/>
      <c r="B144" s="477"/>
      <c r="C144" s="432"/>
      <c r="D144" s="432"/>
      <c r="E144" s="432"/>
      <c r="F144" s="480"/>
      <c r="G144" s="481"/>
      <c r="H144" s="173" t="s">
        <v>267</v>
      </c>
      <c r="I144" s="174" t="s">
        <v>268</v>
      </c>
      <c r="J144" s="185" t="s">
        <v>269</v>
      </c>
      <c r="K144" s="184">
        <v>1</v>
      </c>
      <c r="L144" s="44">
        <v>0.5</v>
      </c>
      <c r="M144" s="44">
        <v>0</v>
      </c>
      <c r="N144" s="44">
        <v>0.01</v>
      </c>
      <c r="O144" s="176">
        <v>0.15</v>
      </c>
      <c r="P144" s="254">
        <v>0</v>
      </c>
      <c r="Q144" s="304">
        <v>0.15</v>
      </c>
      <c r="R144" s="265">
        <f>+Q144/L144</f>
        <v>0.3</v>
      </c>
      <c r="S144" s="305">
        <f>10%+Q144</f>
        <v>0.25</v>
      </c>
      <c r="T144" s="305">
        <v>0.25</v>
      </c>
      <c r="U144" s="430"/>
      <c r="V144" s="466"/>
      <c r="W144" s="453"/>
      <c r="X144" s="173" t="s">
        <v>425</v>
      </c>
      <c r="Y144" s="184">
        <v>1</v>
      </c>
      <c r="Z144" s="44">
        <v>0.2</v>
      </c>
      <c r="AA144" s="294">
        <v>0.1</v>
      </c>
      <c r="AB144" s="294">
        <v>0.15</v>
      </c>
      <c r="AC144" s="295">
        <v>0</v>
      </c>
      <c r="AD144" s="300">
        <f>+(AC144+AB144+AA144+Z144)/Y144</f>
        <v>0.45</v>
      </c>
      <c r="AE144" s="174" t="s">
        <v>734</v>
      </c>
      <c r="AF144" s="453"/>
      <c r="AG144" s="444"/>
      <c r="AH144" s="430"/>
      <c r="AI144" s="379"/>
      <c r="AJ144" s="379"/>
      <c r="AK144" s="379"/>
      <c r="AL144" s="379"/>
      <c r="AM144" s="379"/>
      <c r="AN144" s="521"/>
      <c r="AO144" s="430"/>
      <c r="AP144" s="361"/>
      <c r="AQ144" s="332"/>
      <c r="AR144" s="333"/>
      <c r="AS144" s="355"/>
      <c r="AT144" s="301" t="s">
        <v>715</v>
      </c>
      <c r="AU144" s="303" t="s">
        <v>782</v>
      </c>
      <c r="AV144" s="111" t="s">
        <v>942</v>
      </c>
      <c r="AW144" s="287">
        <v>21</v>
      </c>
      <c r="AX144" s="174"/>
    </row>
    <row r="145" spans="1:50" s="21" customFormat="1" ht="77.25" customHeight="1" x14ac:dyDescent="0.35">
      <c r="A145" s="12"/>
      <c r="B145" s="12"/>
      <c r="C145" s="13"/>
      <c r="D145" s="14"/>
      <c r="E145" s="13"/>
      <c r="F145" s="153"/>
      <c r="G145" s="601" t="s">
        <v>1091</v>
      </c>
      <c r="H145" s="602"/>
      <c r="I145" s="602"/>
      <c r="J145" s="602"/>
      <c r="K145" s="602"/>
      <c r="L145" s="602"/>
      <c r="M145" s="602"/>
      <c r="N145" s="602"/>
      <c r="O145" s="602"/>
      <c r="P145" s="603"/>
      <c r="Q145" s="241"/>
      <c r="R145" s="249">
        <f>AVERAGE(R137:R144)</f>
        <v>0.70000000000000007</v>
      </c>
      <c r="S145" s="283"/>
      <c r="T145" s="249">
        <f>AVERAGE(T137:T144)</f>
        <v>0.5</v>
      </c>
      <c r="U145" s="17"/>
      <c r="V145" s="18"/>
      <c r="W145" s="13"/>
      <c r="X145" s="13"/>
      <c r="Y145" s="16"/>
      <c r="Z145" s="16"/>
      <c r="AA145" s="16"/>
      <c r="AB145" s="16"/>
      <c r="AC145" s="84"/>
      <c r="AD145" s="227">
        <f>AVERAGE(AD138:AD144)</f>
        <v>0.76428571428571435</v>
      </c>
      <c r="AE145" s="16"/>
      <c r="AF145" s="13"/>
      <c r="AG145" s="19"/>
      <c r="AH145" s="17"/>
      <c r="AI145" s="20"/>
      <c r="AJ145" s="20"/>
      <c r="AK145" s="20"/>
      <c r="AL145" s="20"/>
      <c r="AM145" s="20"/>
      <c r="AN145" s="33"/>
      <c r="AO145" s="17"/>
      <c r="AP145" s="18"/>
      <c r="AQ145" s="18"/>
      <c r="AR145" s="18"/>
      <c r="AS145" s="18"/>
      <c r="AT145" s="16"/>
      <c r="AU145" s="53"/>
      <c r="AV145" s="123"/>
      <c r="AW145" s="59"/>
      <c r="AX145" s="22"/>
    </row>
    <row r="146" spans="1:50" s="21" customFormat="1" ht="83.25" customHeight="1" x14ac:dyDescent="0.35">
      <c r="A146" s="12"/>
      <c r="B146" s="601" t="s">
        <v>1092</v>
      </c>
      <c r="C146" s="602"/>
      <c r="D146" s="602"/>
      <c r="E146" s="602"/>
      <c r="F146" s="602"/>
      <c r="G146" s="602"/>
      <c r="H146" s="602"/>
      <c r="I146" s="602"/>
      <c r="J146" s="602"/>
      <c r="K146" s="602"/>
      <c r="L146" s="602"/>
      <c r="M146" s="602"/>
      <c r="N146" s="602"/>
      <c r="O146" s="602"/>
      <c r="P146" s="603"/>
      <c r="Q146" s="267"/>
      <c r="R146" s="268">
        <f>+(R145+R136+R129)/3</f>
        <v>0.83309523809523822</v>
      </c>
      <c r="S146" s="267"/>
      <c r="T146" s="268">
        <f>+(T145+T136+T129)/3</f>
        <v>0.3958645443196005</v>
      </c>
      <c r="U146" s="196"/>
      <c r="V146" s="199"/>
      <c r="W146" s="194"/>
      <c r="X146" s="13"/>
      <c r="Y146" s="16"/>
      <c r="Z146" s="16"/>
      <c r="AA146" s="16"/>
      <c r="AB146" s="16"/>
      <c r="AC146" s="84"/>
      <c r="AD146" s="84"/>
      <c r="AE146" s="16"/>
      <c r="AF146" s="194"/>
      <c r="AG146" s="195"/>
      <c r="AH146" s="196"/>
      <c r="AI146" s="197"/>
      <c r="AJ146" s="197"/>
      <c r="AK146" s="197"/>
      <c r="AL146" s="197"/>
      <c r="AM146" s="197"/>
      <c r="AN146" s="198"/>
      <c r="AO146" s="196"/>
      <c r="AP146" s="199"/>
      <c r="AQ146" s="199"/>
      <c r="AR146" s="199"/>
      <c r="AS146" s="199"/>
      <c r="AT146" s="16"/>
      <c r="AU146" s="47"/>
      <c r="AV146" s="126"/>
      <c r="AW146" s="59"/>
      <c r="AX146" s="22"/>
    </row>
    <row r="147" spans="1:50" ht="239.15" customHeight="1" x14ac:dyDescent="0.35">
      <c r="A147" s="477" t="s">
        <v>129</v>
      </c>
      <c r="B147" s="510" t="s">
        <v>270</v>
      </c>
      <c r="C147" s="432" t="s">
        <v>271</v>
      </c>
      <c r="D147" s="511" t="s">
        <v>272</v>
      </c>
      <c r="E147" s="432" t="s">
        <v>273</v>
      </c>
      <c r="F147" s="486" t="s">
        <v>29</v>
      </c>
      <c r="G147" s="481" t="s">
        <v>641</v>
      </c>
      <c r="H147" s="431" t="s">
        <v>274</v>
      </c>
      <c r="I147" s="432">
        <v>0</v>
      </c>
      <c r="J147" s="431" t="s">
        <v>275</v>
      </c>
      <c r="K147" s="506">
        <v>1</v>
      </c>
      <c r="L147" s="506">
        <v>1</v>
      </c>
      <c r="M147" s="506">
        <v>1</v>
      </c>
      <c r="N147" s="506">
        <v>1</v>
      </c>
      <c r="O147" s="516">
        <v>1</v>
      </c>
      <c r="P147" s="524">
        <v>1</v>
      </c>
      <c r="Q147" s="449">
        <v>1</v>
      </c>
      <c r="R147" s="523">
        <v>1</v>
      </c>
      <c r="S147" s="449">
        <v>1</v>
      </c>
      <c r="T147" s="523">
        <v>0.5</v>
      </c>
      <c r="U147" s="428" t="s">
        <v>426</v>
      </c>
      <c r="V147" s="464">
        <v>2020130010161</v>
      </c>
      <c r="W147" s="451" t="s">
        <v>427</v>
      </c>
      <c r="X147" s="173" t="s">
        <v>428</v>
      </c>
      <c r="Y147" s="184">
        <v>10</v>
      </c>
      <c r="Z147" s="184">
        <v>2</v>
      </c>
      <c r="AA147" s="177">
        <v>2</v>
      </c>
      <c r="AB147" s="177">
        <v>38</v>
      </c>
      <c r="AC147" s="83">
        <v>23</v>
      </c>
      <c r="AD147" s="228">
        <v>1</v>
      </c>
      <c r="AE147" s="174" t="s">
        <v>734</v>
      </c>
      <c r="AF147" s="451" t="s">
        <v>655</v>
      </c>
      <c r="AG147" s="442" t="s">
        <v>468</v>
      </c>
      <c r="AH147" s="428" t="s">
        <v>41</v>
      </c>
      <c r="AI147" s="374">
        <v>475358455</v>
      </c>
      <c r="AJ147" s="374">
        <v>85320000</v>
      </c>
      <c r="AK147" s="374">
        <v>426874329</v>
      </c>
      <c r="AL147" s="380">
        <v>442774329</v>
      </c>
      <c r="AM147" s="374"/>
      <c r="AN147" s="445">
        <f>+AK147/AI147</f>
        <v>0.89800512541635558</v>
      </c>
      <c r="AO147" s="428" t="s">
        <v>595</v>
      </c>
      <c r="AP147" s="428" t="s">
        <v>469</v>
      </c>
      <c r="AQ147" s="352">
        <v>475358455</v>
      </c>
      <c r="AR147" s="333">
        <v>466374329</v>
      </c>
      <c r="AS147" s="356">
        <f>+AR147/AQ147</f>
        <v>0.98110031302588274</v>
      </c>
      <c r="AT147" s="184"/>
      <c r="AU147" s="306" t="s">
        <v>1114</v>
      </c>
      <c r="AV147" s="122" t="s">
        <v>969</v>
      </c>
      <c r="AW147" s="69">
        <v>1</v>
      </c>
      <c r="AX147" s="245" t="s">
        <v>887</v>
      </c>
    </row>
    <row r="148" spans="1:50" ht="32.5" customHeight="1" x14ac:dyDescent="0.35">
      <c r="A148" s="477"/>
      <c r="B148" s="510"/>
      <c r="C148" s="432"/>
      <c r="D148" s="511"/>
      <c r="E148" s="432"/>
      <c r="F148" s="487"/>
      <c r="G148" s="481"/>
      <c r="H148" s="431"/>
      <c r="I148" s="432"/>
      <c r="J148" s="431"/>
      <c r="K148" s="506"/>
      <c r="L148" s="506"/>
      <c r="M148" s="506"/>
      <c r="N148" s="506"/>
      <c r="O148" s="517"/>
      <c r="P148" s="526"/>
      <c r="Q148" s="449"/>
      <c r="R148" s="523"/>
      <c r="S148" s="449"/>
      <c r="T148" s="523"/>
      <c r="U148" s="429"/>
      <c r="V148" s="465"/>
      <c r="W148" s="453"/>
      <c r="X148" s="173" t="s">
        <v>429</v>
      </c>
      <c r="Y148" s="184">
        <v>1</v>
      </c>
      <c r="Z148" s="184">
        <v>1</v>
      </c>
      <c r="AA148" s="177">
        <v>1</v>
      </c>
      <c r="AB148" s="177">
        <v>1</v>
      </c>
      <c r="AC148" s="83">
        <v>1</v>
      </c>
      <c r="AD148" s="228">
        <v>1</v>
      </c>
      <c r="AE148" s="174" t="s">
        <v>734</v>
      </c>
      <c r="AF148" s="452"/>
      <c r="AG148" s="443"/>
      <c r="AH148" s="429"/>
      <c r="AI148" s="375"/>
      <c r="AJ148" s="375"/>
      <c r="AK148" s="375"/>
      <c r="AL148" s="381"/>
      <c r="AM148" s="375"/>
      <c r="AN148" s="446"/>
      <c r="AO148" s="429"/>
      <c r="AP148" s="429"/>
      <c r="AQ148" s="331"/>
      <c r="AR148" s="333"/>
      <c r="AS148" s="357"/>
      <c r="AT148" s="307"/>
      <c r="AU148" s="308" t="s">
        <v>791</v>
      </c>
      <c r="AV148" s="121" t="s">
        <v>965</v>
      </c>
      <c r="AW148" s="309">
        <v>2</v>
      </c>
      <c r="AX148" s="245" t="s">
        <v>888</v>
      </c>
    </row>
    <row r="149" spans="1:50" ht="409.5" x14ac:dyDescent="0.35">
      <c r="A149" s="477"/>
      <c r="B149" s="510"/>
      <c r="C149" s="432"/>
      <c r="D149" s="511"/>
      <c r="E149" s="432"/>
      <c r="F149" s="488"/>
      <c r="G149" s="481"/>
      <c r="H149" s="173" t="s">
        <v>276</v>
      </c>
      <c r="I149" s="174" t="s">
        <v>727</v>
      </c>
      <c r="J149" s="173" t="s">
        <v>277</v>
      </c>
      <c r="K149" s="184">
        <v>4</v>
      </c>
      <c r="L149" s="184">
        <v>1</v>
      </c>
      <c r="M149" s="184">
        <v>0</v>
      </c>
      <c r="N149" s="184">
        <v>1</v>
      </c>
      <c r="O149" s="177"/>
      <c r="P149" s="238">
        <v>1</v>
      </c>
      <c r="Q149" s="264">
        <v>1</v>
      </c>
      <c r="R149" s="265">
        <v>1</v>
      </c>
      <c r="S149" s="264">
        <v>1</v>
      </c>
      <c r="T149" s="265">
        <v>0.5</v>
      </c>
      <c r="U149" s="430"/>
      <c r="V149" s="466"/>
      <c r="W149" s="174" t="s">
        <v>430</v>
      </c>
      <c r="X149" s="173" t="s">
        <v>631</v>
      </c>
      <c r="Y149" s="184">
        <v>1</v>
      </c>
      <c r="Z149" s="184">
        <v>0</v>
      </c>
      <c r="AA149" s="177">
        <v>1</v>
      </c>
      <c r="AB149" s="177">
        <v>1</v>
      </c>
      <c r="AC149" s="83">
        <v>1</v>
      </c>
      <c r="AD149" s="228">
        <v>1</v>
      </c>
      <c r="AE149" s="174" t="s">
        <v>734</v>
      </c>
      <c r="AF149" s="453"/>
      <c r="AG149" s="444"/>
      <c r="AH149" s="430"/>
      <c r="AI149" s="376"/>
      <c r="AJ149" s="376"/>
      <c r="AK149" s="376"/>
      <c r="AL149" s="382"/>
      <c r="AM149" s="376"/>
      <c r="AN149" s="447"/>
      <c r="AO149" s="430"/>
      <c r="AP149" s="430"/>
      <c r="AQ149" s="332"/>
      <c r="AR149" s="333"/>
      <c r="AS149" s="358"/>
      <c r="AT149" s="189" t="s">
        <v>726</v>
      </c>
      <c r="AU149" s="250" t="s">
        <v>792</v>
      </c>
      <c r="AV149" s="121" t="s">
        <v>966</v>
      </c>
      <c r="AW149" s="310">
        <v>3</v>
      </c>
      <c r="AX149" s="245" t="s">
        <v>889</v>
      </c>
    </row>
    <row r="150" spans="1:50" s="21" customFormat="1" ht="75.75" customHeight="1" x14ac:dyDescent="0.35">
      <c r="A150" s="12"/>
      <c r="B150" s="12"/>
      <c r="C150" s="13"/>
      <c r="D150" s="14"/>
      <c r="E150" s="13"/>
      <c r="F150" s="153"/>
      <c r="G150" s="493" t="s">
        <v>1093</v>
      </c>
      <c r="H150" s="494"/>
      <c r="I150" s="494"/>
      <c r="J150" s="494"/>
      <c r="K150" s="494"/>
      <c r="L150" s="494"/>
      <c r="M150" s="494"/>
      <c r="N150" s="494"/>
      <c r="O150" s="494"/>
      <c r="P150" s="495"/>
      <c r="Q150" s="241"/>
      <c r="R150" s="243">
        <f>AVERAGE(R147:R149)</f>
        <v>1</v>
      </c>
      <c r="S150" s="243"/>
      <c r="T150" s="243">
        <f>AVERAGE(T147:T149)</f>
        <v>0.5</v>
      </c>
      <c r="U150" s="17"/>
      <c r="V150" s="18"/>
      <c r="W150" s="13"/>
      <c r="X150" s="13"/>
      <c r="Y150" s="16"/>
      <c r="Z150" s="16"/>
      <c r="AA150" s="16"/>
      <c r="AB150" s="16"/>
      <c r="AC150" s="84"/>
      <c r="AD150" s="226">
        <v>1</v>
      </c>
      <c r="AE150" s="16"/>
      <c r="AF150" s="13"/>
      <c r="AG150" s="19"/>
      <c r="AH150" s="17"/>
      <c r="AI150" s="20"/>
      <c r="AJ150" s="20"/>
      <c r="AK150" s="20"/>
      <c r="AL150" s="20"/>
      <c r="AM150" s="20"/>
      <c r="AN150" s="33"/>
      <c r="AO150" s="17"/>
      <c r="AP150" s="18"/>
      <c r="AQ150" s="18"/>
      <c r="AR150" s="18"/>
      <c r="AS150" s="18"/>
      <c r="AT150" s="16"/>
      <c r="AU150" s="53"/>
      <c r="AV150" s="123"/>
      <c r="AW150" s="59"/>
      <c r="AX150" s="22"/>
    </row>
    <row r="151" spans="1:50" ht="51" customHeight="1" x14ac:dyDescent="0.35">
      <c r="A151" s="483" t="s">
        <v>129</v>
      </c>
      <c r="B151" s="451" t="s">
        <v>270</v>
      </c>
      <c r="C151" s="451" t="s">
        <v>508</v>
      </c>
      <c r="D151" s="451" t="s">
        <v>509</v>
      </c>
      <c r="E151" s="451" t="s">
        <v>510</v>
      </c>
      <c r="F151" s="486" t="s">
        <v>29</v>
      </c>
      <c r="G151" s="489" t="s">
        <v>507</v>
      </c>
      <c r="H151" s="458" t="s">
        <v>552</v>
      </c>
      <c r="I151" s="497">
        <v>0</v>
      </c>
      <c r="J151" s="458" t="s">
        <v>511</v>
      </c>
      <c r="K151" s="433">
        <v>25</v>
      </c>
      <c r="L151" s="461">
        <v>8</v>
      </c>
      <c r="M151" s="461">
        <v>0</v>
      </c>
      <c r="N151" s="461">
        <v>0</v>
      </c>
      <c r="O151" s="463"/>
      <c r="P151" s="468">
        <v>0</v>
      </c>
      <c r="Q151" s="467">
        <v>0</v>
      </c>
      <c r="R151" s="470">
        <v>0</v>
      </c>
      <c r="S151" s="467">
        <v>0</v>
      </c>
      <c r="T151" s="470">
        <v>0</v>
      </c>
      <c r="U151" s="428" t="s">
        <v>514</v>
      </c>
      <c r="V151" s="464">
        <v>2020130010321</v>
      </c>
      <c r="W151" s="451" t="s">
        <v>550</v>
      </c>
      <c r="X151" s="173" t="s">
        <v>551</v>
      </c>
      <c r="Y151" s="184">
        <v>8</v>
      </c>
      <c r="Z151" s="184">
        <v>0</v>
      </c>
      <c r="AA151" s="183">
        <v>0</v>
      </c>
      <c r="AB151" s="183">
        <v>0</v>
      </c>
      <c r="AC151" s="88">
        <v>33</v>
      </c>
      <c r="AD151" s="225">
        <v>1</v>
      </c>
      <c r="AE151" s="174" t="s">
        <v>734</v>
      </c>
      <c r="AF151" s="451" t="s">
        <v>655</v>
      </c>
      <c r="AG151" s="442" t="s">
        <v>468</v>
      </c>
      <c r="AH151" s="428" t="s">
        <v>41</v>
      </c>
      <c r="AI151" s="374">
        <v>57480045</v>
      </c>
      <c r="AJ151" s="374">
        <v>0</v>
      </c>
      <c r="AK151" s="374">
        <v>0</v>
      </c>
      <c r="AL151" s="374"/>
      <c r="AM151" s="374"/>
      <c r="AN151" s="445">
        <f>+AK151/AI151</f>
        <v>0</v>
      </c>
      <c r="AO151" s="428" t="s">
        <v>596</v>
      </c>
      <c r="AP151" s="428" t="s">
        <v>597</v>
      </c>
      <c r="AQ151" s="352">
        <v>57480045</v>
      </c>
      <c r="AR151" s="333">
        <v>0</v>
      </c>
      <c r="AS151" s="356">
        <f>+AR151/AQ151</f>
        <v>0</v>
      </c>
      <c r="AT151" s="184"/>
      <c r="AU151" s="51"/>
      <c r="AV151" s="121" t="s">
        <v>967</v>
      </c>
      <c r="AW151" s="69">
        <v>4</v>
      </c>
      <c r="AX151" s="236" t="s">
        <v>890</v>
      </c>
    </row>
    <row r="152" spans="1:50" ht="232.5" x14ac:dyDescent="0.35">
      <c r="A152" s="484"/>
      <c r="B152" s="452"/>
      <c r="C152" s="452"/>
      <c r="D152" s="452"/>
      <c r="E152" s="452"/>
      <c r="F152" s="487"/>
      <c r="G152" s="490"/>
      <c r="H152" s="459"/>
      <c r="I152" s="499"/>
      <c r="J152" s="459"/>
      <c r="K152" s="435"/>
      <c r="L152" s="462"/>
      <c r="M152" s="462"/>
      <c r="N152" s="462"/>
      <c r="O152" s="463"/>
      <c r="P152" s="469"/>
      <c r="Q152" s="467"/>
      <c r="R152" s="470"/>
      <c r="S152" s="467"/>
      <c r="T152" s="470"/>
      <c r="U152" s="429"/>
      <c r="V152" s="465"/>
      <c r="W152" s="453"/>
      <c r="X152" s="173" t="s">
        <v>656</v>
      </c>
      <c r="Y152" s="184">
        <v>8</v>
      </c>
      <c r="Z152" s="184">
        <v>0</v>
      </c>
      <c r="AA152" s="183">
        <v>0</v>
      </c>
      <c r="AB152" s="183">
        <v>0</v>
      </c>
      <c r="AC152" s="88">
        <v>0</v>
      </c>
      <c r="AD152" s="225">
        <v>0</v>
      </c>
      <c r="AE152" s="174" t="s">
        <v>734</v>
      </c>
      <c r="AF152" s="452"/>
      <c r="AG152" s="443"/>
      <c r="AH152" s="429"/>
      <c r="AI152" s="375"/>
      <c r="AJ152" s="375"/>
      <c r="AK152" s="375"/>
      <c r="AL152" s="375"/>
      <c r="AM152" s="375"/>
      <c r="AN152" s="446"/>
      <c r="AO152" s="429"/>
      <c r="AP152" s="429"/>
      <c r="AQ152" s="331"/>
      <c r="AR152" s="333"/>
      <c r="AS152" s="357"/>
      <c r="AT152" s="184"/>
      <c r="AU152" s="51"/>
      <c r="AV152" s="121" t="s">
        <v>979</v>
      </c>
      <c r="AW152" s="69">
        <v>5</v>
      </c>
      <c r="AX152" s="236" t="s">
        <v>891</v>
      </c>
    </row>
    <row r="153" spans="1:50" ht="153.65" customHeight="1" x14ac:dyDescent="0.35">
      <c r="A153" s="484"/>
      <c r="B153" s="452"/>
      <c r="C153" s="452"/>
      <c r="D153" s="452"/>
      <c r="E153" s="452"/>
      <c r="F153" s="487"/>
      <c r="G153" s="490"/>
      <c r="H153" s="458" t="s">
        <v>553</v>
      </c>
      <c r="I153" s="497">
        <v>0</v>
      </c>
      <c r="J153" s="458" t="s">
        <v>512</v>
      </c>
      <c r="K153" s="433">
        <v>170</v>
      </c>
      <c r="L153" s="461">
        <v>50</v>
      </c>
      <c r="M153" s="461">
        <v>0</v>
      </c>
      <c r="N153" s="461">
        <v>0</v>
      </c>
      <c r="O153" s="507"/>
      <c r="P153" s="467">
        <v>38</v>
      </c>
      <c r="Q153" s="467">
        <f>+P153</f>
        <v>38</v>
      </c>
      <c r="R153" s="470">
        <f>+Q153/L153</f>
        <v>0.76</v>
      </c>
      <c r="S153" s="467">
        <f>+Q153</f>
        <v>38</v>
      </c>
      <c r="T153" s="470">
        <f>+S153/K153</f>
        <v>0.22352941176470589</v>
      </c>
      <c r="U153" s="429"/>
      <c r="V153" s="465"/>
      <c r="W153" s="451" t="s">
        <v>543</v>
      </c>
      <c r="X153" s="173" t="s">
        <v>544</v>
      </c>
      <c r="Y153" s="184">
        <v>50</v>
      </c>
      <c r="Z153" s="184">
        <v>0</v>
      </c>
      <c r="AA153" s="183">
        <v>0</v>
      </c>
      <c r="AB153" s="183">
        <v>17</v>
      </c>
      <c r="AC153" s="88">
        <v>38</v>
      </c>
      <c r="AD153" s="225">
        <v>1</v>
      </c>
      <c r="AE153" s="174" t="s">
        <v>734</v>
      </c>
      <c r="AF153" s="452"/>
      <c r="AG153" s="443"/>
      <c r="AH153" s="429"/>
      <c r="AI153" s="375"/>
      <c r="AJ153" s="375"/>
      <c r="AK153" s="375"/>
      <c r="AL153" s="375"/>
      <c r="AM153" s="375"/>
      <c r="AN153" s="446"/>
      <c r="AO153" s="429"/>
      <c r="AP153" s="429"/>
      <c r="AQ153" s="331"/>
      <c r="AR153" s="333"/>
      <c r="AS153" s="357"/>
      <c r="AT153" s="307" t="s">
        <v>793</v>
      </c>
      <c r="AU153" s="306" t="s">
        <v>794</v>
      </c>
      <c r="AV153" s="121" t="s">
        <v>980</v>
      </c>
      <c r="AW153" s="69">
        <v>6</v>
      </c>
      <c r="AX153" s="245" t="s">
        <v>892</v>
      </c>
    </row>
    <row r="154" spans="1:50" ht="107.15" customHeight="1" x14ac:dyDescent="0.35">
      <c r="A154" s="484"/>
      <c r="B154" s="452"/>
      <c r="C154" s="452"/>
      <c r="D154" s="452"/>
      <c r="E154" s="452"/>
      <c r="F154" s="487"/>
      <c r="G154" s="490"/>
      <c r="H154" s="482"/>
      <c r="I154" s="498"/>
      <c r="J154" s="482"/>
      <c r="K154" s="434"/>
      <c r="L154" s="503"/>
      <c r="M154" s="503"/>
      <c r="N154" s="503"/>
      <c r="O154" s="508"/>
      <c r="P154" s="467"/>
      <c r="Q154" s="467"/>
      <c r="R154" s="470"/>
      <c r="S154" s="467"/>
      <c r="T154" s="470"/>
      <c r="U154" s="429"/>
      <c r="V154" s="465"/>
      <c r="W154" s="452"/>
      <c r="X154" s="173" t="s">
        <v>545</v>
      </c>
      <c r="Y154" s="184">
        <v>3</v>
      </c>
      <c r="Z154" s="184">
        <v>0</v>
      </c>
      <c r="AA154" s="183">
        <v>0</v>
      </c>
      <c r="AB154" s="183">
        <v>0</v>
      </c>
      <c r="AC154" s="88">
        <v>2</v>
      </c>
      <c r="AD154" s="225">
        <v>1</v>
      </c>
      <c r="AE154" s="174" t="s">
        <v>734</v>
      </c>
      <c r="AF154" s="452"/>
      <c r="AG154" s="443"/>
      <c r="AH154" s="429"/>
      <c r="AI154" s="375"/>
      <c r="AJ154" s="375"/>
      <c r="AK154" s="375"/>
      <c r="AL154" s="375"/>
      <c r="AM154" s="375"/>
      <c r="AN154" s="446"/>
      <c r="AO154" s="429"/>
      <c r="AP154" s="429"/>
      <c r="AQ154" s="331"/>
      <c r="AR154" s="333"/>
      <c r="AS154" s="357"/>
      <c r="AT154" s="184"/>
      <c r="AU154" s="306" t="s">
        <v>795</v>
      </c>
      <c r="AV154" s="121" t="s">
        <v>981</v>
      </c>
      <c r="AW154" s="69">
        <v>7</v>
      </c>
      <c r="AX154" s="245" t="s">
        <v>893</v>
      </c>
    </row>
    <row r="155" spans="1:50" ht="50.5" customHeight="1" x14ac:dyDescent="0.35">
      <c r="A155" s="484"/>
      <c r="B155" s="452"/>
      <c r="C155" s="452"/>
      <c r="D155" s="452"/>
      <c r="E155" s="452"/>
      <c r="F155" s="487"/>
      <c r="G155" s="490"/>
      <c r="H155" s="459"/>
      <c r="I155" s="499"/>
      <c r="J155" s="459"/>
      <c r="K155" s="435"/>
      <c r="L155" s="462"/>
      <c r="M155" s="462"/>
      <c r="N155" s="462"/>
      <c r="O155" s="509"/>
      <c r="P155" s="467"/>
      <c r="Q155" s="467"/>
      <c r="R155" s="470"/>
      <c r="S155" s="467"/>
      <c r="T155" s="470"/>
      <c r="U155" s="429"/>
      <c r="V155" s="465"/>
      <c r="W155" s="453"/>
      <c r="X155" s="173" t="s">
        <v>546</v>
      </c>
      <c r="Y155" s="184">
        <v>1</v>
      </c>
      <c r="Z155" s="184">
        <v>0</v>
      </c>
      <c r="AA155" s="183">
        <v>0</v>
      </c>
      <c r="AB155" s="183">
        <v>0</v>
      </c>
      <c r="AC155" s="88">
        <v>0</v>
      </c>
      <c r="AD155" s="225">
        <v>0</v>
      </c>
      <c r="AE155" s="174" t="s">
        <v>734</v>
      </c>
      <c r="AF155" s="452"/>
      <c r="AG155" s="443"/>
      <c r="AH155" s="429"/>
      <c r="AI155" s="375"/>
      <c r="AJ155" s="375"/>
      <c r="AK155" s="375"/>
      <c r="AL155" s="375"/>
      <c r="AM155" s="375"/>
      <c r="AN155" s="446"/>
      <c r="AO155" s="429"/>
      <c r="AP155" s="429"/>
      <c r="AQ155" s="331"/>
      <c r="AR155" s="333"/>
      <c r="AS155" s="357"/>
      <c r="AT155" s="184"/>
      <c r="AU155" s="306" t="s">
        <v>795</v>
      </c>
      <c r="AV155" s="121" t="s">
        <v>968</v>
      </c>
      <c r="AW155" s="69">
        <v>8</v>
      </c>
      <c r="AX155" s="246"/>
    </row>
    <row r="156" spans="1:50" ht="62" x14ac:dyDescent="0.35">
      <c r="A156" s="484"/>
      <c r="B156" s="452"/>
      <c r="C156" s="452"/>
      <c r="D156" s="452"/>
      <c r="E156" s="452"/>
      <c r="F156" s="487"/>
      <c r="G156" s="490"/>
      <c r="H156" s="458" t="s">
        <v>554</v>
      </c>
      <c r="I156" s="497">
        <v>0</v>
      </c>
      <c r="J156" s="458" t="s">
        <v>513</v>
      </c>
      <c r="K156" s="433">
        <v>3</v>
      </c>
      <c r="L156" s="500">
        <v>1</v>
      </c>
      <c r="M156" s="461">
        <v>0</v>
      </c>
      <c r="N156" s="500">
        <v>0</v>
      </c>
      <c r="O156" s="504"/>
      <c r="P156" s="496">
        <v>0</v>
      </c>
      <c r="Q156" s="471">
        <v>0</v>
      </c>
      <c r="R156" s="474">
        <v>0</v>
      </c>
      <c r="S156" s="471">
        <v>0</v>
      </c>
      <c r="T156" s="474">
        <v>0</v>
      </c>
      <c r="U156" s="429"/>
      <c r="V156" s="465"/>
      <c r="W156" s="451" t="s">
        <v>547</v>
      </c>
      <c r="X156" s="173" t="s">
        <v>548</v>
      </c>
      <c r="Y156" s="184">
        <v>1</v>
      </c>
      <c r="Z156" s="184">
        <v>0</v>
      </c>
      <c r="AA156" s="92">
        <v>0</v>
      </c>
      <c r="AB156" s="92">
        <v>0</v>
      </c>
      <c r="AC156" s="93">
        <v>0</v>
      </c>
      <c r="AD156" s="225">
        <v>0</v>
      </c>
      <c r="AE156" s="174" t="s">
        <v>734</v>
      </c>
      <c r="AF156" s="452"/>
      <c r="AG156" s="443"/>
      <c r="AH156" s="429"/>
      <c r="AI156" s="375"/>
      <c r="AJ156" s="375"/>
      <c r="AK156" s="375"/>
      <c r="AL156" s="375"/>
      <c r="AM156" s="375"/>
      <c r="AN156" s="446"/>
      <c r="AO156" s="429"/>
      <c r="AP156" s="429"/>
      <c r="AQ156" s="331"/>
      <c r="AR156" s="333"/>
      <c r="AS156" s="357"/>
      <c r="AT156" s="184"/>
      <c r="AU156" s="51"/>
      <c r="AV156" s="121" t="s">
        <v>970</v>
      </c>
      <c r="AW156" s="69">
        <v>9</v>
      </c>
      <c r="AX156" s="236" t="s">
        <v>988</v>
      </c>
    </row>
    <row r="157" spans="1:50" ht="32.5" customHeight="1" x14ac:dyDescent="0.35">
      <c r="A157" s="484"/>
      <c r="B157" s="452"/>
      <c r="C157" s="452"/>
      <c r="D157" s="452"/>
      <c r="E157" s="452"/>
      <c r="F157" s="487"/>
      <c r="G157" s="490"/>
      <c r="H157" s="482"/>
      <c r="I157" s="498"/>
      <c r="J157" s="482"/>
      <c r="K157" s="434"/>
      <c r="L157" s="501"/>
      <c r="M157" s="503"/>
      <c r="N157" s="501"/>
      <c r="O157" s="504"/>
      <c r="P157" s="496"/>
      <c r="Q157" s="472"/>
      <c r="R157" s="475"/>
      <c r="S157" s="472"/>
      <c r="T157" s="475"/>
      <c r="U157" s="429"/>
      <c r="V157" s="465"/>
      <c r="W157" s="452"/>
      <c r="X157" s="173" t="s">
        <v>971</v>
      </c>
      <c r="Y157" s="184">
        <v>1</v>
      </c>
      <c r="Z157" s="184">
        <v>0</v>
      </c>
      <c r="AA157" s="92">
        <v>0</v>
      </c>
      <c r="AB157" s="92">
        <v>0</v>
      </c>
      <c r="AC157" s="93">
        <v>0</v>
      </c>
      <c r="AD157" s="225">
        <v>0</v>
      </c>
      <c r="AE157" s="174" t="s">
        <v>734</v>
      </c>
      <c r="AF157" s="452"/>
      <c r="AG157" s="443"/>
      <c r="AH157" s="429"/>
      <c r="AI157" s="375"/>
      <c r="AJ157" s="375"/>
      <c r="AK157" s="375"/>
      <c r="AL157" s="375"/>
      <c r="AM157" s="375"/>
      <c r="AN157" s="446"/>
      <c r="AO157" s="429"/>
      <c r="AP157" s="429"/>
      <c r="AQ157" s="331"/>
      <c r="AR157" s="333"/>
      <c r="AS157" s="357"/>
      <c r="AT157" s="184"/>
      <c r="AU157" s="51"/>
      <c r="AV157" s="121" t="s">
        <v>972</v>
      </c>
      <c r="AW157" s="69">
        <v>10</v>
      </c>
      <c r="AX157" s="76"/>
    </row>
    <row r="158" spans="1:50" ht="46.5" x14ac:dyDescent="0.35">
      <c r="A158" s="485"/>
      <c r="B158" s="453"/>
      <c r="C158" s="453"/>
      <c r="D158" s="453"/>
      <c r="E158" s="453"/>
      <c r="F158" s="488"/>
      <c r="G158" s="491"/>
      <c r="H158" s="459"/>
      <c r="I158" s="499"/>
      <c r="J158" s="459"/>
      <c r="K158" s="435"/>
      <c r="L158" s="502"/>
      <c r="M158" s="462"/>
      <c r="N158" s="502"/>
      <c r="O158" s="505"/>
      <c r="P158" s="496"/>
      <c r="Q158" s="473"/>
      <c r="R158" s="476"/>
      <c r="S158" s="473"/>
      <c r="T158" s="476"/>
      <c r="U158" s="430"/>
      <c r="V158" s="466"/>
      <c r="W158" s="453"/>
      <c r="X158" s="173" t="s">
        <v>549</v>
      </c>
      <c r="Y158" s="184">
        <v>1</v>
      </c>
      <c r="Z158" s="184">
        <v>0</v>
      </c>
      <c r="AA158" s="92">
        <v>0</v>
      </c>
      <c r="AB158" s="92">
        <v>0</v>
      </c>
      <c r="AC158" s="93">
        <v>0</v>
      </c>
      <c r="AD158" s="225">
        <v>0</v>
      </c>
      <c r="AE158" s="174" t="s">
        <v>734</v>
      </c>
      <c r="AF158" s="453"/>
      <c r="AG158" s="444"/>
      <c r="AH158" s="430"/>
      <c r="AI158" s="376"/>
      <c r="AJ158" s="376"/>
      <c r="AK158" s="376"/>
      <c r="AL158" s="376"/>
      <c r="AM158" s="376"/>
      <c r="AN158" s="447"/>
      <c r="AO158" s="430"/>
      <c r="AP158" s="430"/>
      <c r="AQ158" s="332"/>
      <c r="AR158" s="333"/>
      <c r="AS158" s="358"/>
      <c r="AT158" s="184"/>
      <c r="AU158" s="51"/>
      <c r="AV158" s="121" t="s">
        <v>972</v>
      </c>
      <c r="AW158" s="69">
        <v>11</v>
      </c>
      <c r="AX158" s="76"/>
    </row>
    <row r="159" spans="1:50" s="21" customFormat="1" ht="84" customHeight="1" x14ac:dyDescent="0.35">
      <c r="A159" s="12"/>
      <c r="B159" s="12"/>
      <c r="C159" s="13"/>
      <c r="D159" s="14"/>
      <c r="E159" s="13"/>
      <c r="F159" s="153"/>
      <c r="G159" s="493" t="s">
        <v>1094</v>
      </c>
      <c r="H159" s="494"/>
      <c r="I159" s="494"/>
      <c r="J159" s="494"/>
      <c r="K159" s="494"/>
      <c r="L159" s="494"/>
      <c r="M159" s="494"/>
      <c r="N159" s="494"/>
      <c r="O159" s="494"/>
      <c r="P159" s="495"/>
      <c r="Q159" s="241"/>
      <c r="R159" s="243">
        <f>AVERAGE(R151:R158)</f>
        <v>0.25333333333333335</v>
      </c>
      <c r="S159" s="243"/>
      <c r="T159" s="243">
        <f>AVERAGE(T151:T158)</f>
        <v>7.4509803921568626E-2</v>
      </c>
      <c r="U159" s="17"/>
      <c r="V159" s="18"/>
      <c r="W159" s="13"/>
      <c r="X159" s="13"/>
      <c r="Y159" s="16"/>
      <c r="Z159" s="16"/>
      <c r="AA159" s="16"/>
      <c r="AB159" s="16"/>
      <c r="AC159" s="84"/>
      <c r="AD159" s="226">
        <f>AVERAGE(AD152:AD158)</f>
        <v>0.2857142857142857</v>
      </c>
      <c r="AE159" s="16"/>
      <c r="AF159" s="13"/>
      <c r="AG159" s="19"/>
      <c r="AH159" s="17"/>
      <c r="AI159" s="20"/>
      <c r="AJ159" s="20"/>
      <c r="AK159" s="20"/>
      <c r="AL159" s="20"/>
      <c r="AM159" s="20"/>
      <c r="AN159" s="33"/>
      <c r="AO159" s="17"/>
      <c r="AP159" s="18"/>
      <c r="AQ159" s="18"/>
      <c r="AR159" s="18"/>
      <c r="AS159" s="18"/>
      <c r="AT159" s="16"/>
      <c r="AU159" s="53"/>
      <c r="AV159" s="123"/>
      <c r="AW159" s="59"/>
      <c r="AX159" s="22"/>
    </row>
    <row r="160" spans="1:50" s="21" customFormat="1" ht="67.5" customHeight="1" x14ac:dyDescent="0.35">
      <c r="A160" s="12"/>
      <c r="B160" s="493" t="s">
        <v>1095</v>
      </c>
      <c r="C160" s="494"/>
      <c r="D160" s="494"/>
      <c r="E160" s="494"/>
      <c r="F160" s="494"/>
      <c r="G160" s="494"/>
      <c r="H160" s="494"/>
      <c r="I160" s="494"/>
      <c r="J160" s="494"/>
      <c r="K160" s="494"/>
      <c r="L160" s="494"/>
      <c r="M160" s="494"/>
      <c r="N160" s="494"/>
      <c r="O160" s="494"/>
      <c r="P160" s="495"/>
      <c r="Q160" s="267"/>
      <c r="R160" s="268">
        <f>+(R159+R150)/2</f>
        <v>0.62666666666666671</v>
      </c>
      <c r="S160" s="268"/>
      <c r="T160" s="268">
        <f>+(T159+T150)/2</f>
        <v>0.28725490196078429</v>
      </c>
      <c r="U160" s="196"/>
      <c r="V160" s="18"/>
      <c r="W160" s="194"/>
      <c r="X160" s="13"/>
      <c r="Y160" s="16"/>
      <c r="Z160" s="16"/>
      <c r="AA160" s="16"/>
      <c r="AB160" s="16"/>
      <c r="AC160" s="84"/>
      <c r="AD160" s="84"/>
      <c r="AE160" s="16"/>
      <c r="AF160" s="194"/>
      <c r="AG160" s="195"/>
      <c r="AH160" s="196"/>
      <c r="AI160" s="197"/>
      <c r="AJ160" s="197"/>
      <c r="AK160" s="197"/>
      <c r="AL160" s="197"/>
      <c r="AM160" s="197"/>
      <c r="AN160" s="198"/>
      <c r="AO160" s="196"/>
      <c r="AP160" s="199"/>
      <c r="AQ160" s="199"/>
      <c r="AR160" s="199"/>
      <c r="AS160" s="199"/>
      <c r="AT160" s="16"/>
      <c r="AU160" s="47"/>
      <c r="AV160" s="212"/>
      <c r="AW160" s="59"/>
      <c r="AX160" s="22"/>
    </row>
    <row r="161" spans="1:50" ht="232.5" x14ac:dyDescent="0.35">
      <c r="A161" s="477" t="s">
        <v>129</v>
      </c>
      <c r="B161" s="477" t="s">
        <v>278</v>
      </c>
      <c r="C161" s="432" t="s">
        <v>279</v>
      </c>
      <c r="D161" s="432" t="s">
        <v>29</v>
      </c>
      <c r="E161" s="432" t="s">
        <v>280</v>
      </c>
      <c r="F161" s="478">
        <v>0</v>
      </c>
      <c r="G161" s="481" t="s">
        <v>281</v>
      </c>
      <c r="H161" s="458" t="s">
        <v>282</v>
      </c>
      <c r="I161" s="451" t="s">
        <v>605</v>
      </c>
      <c r="J161" s="458" t="s">
        <v>283</v>
      </c>
      <c r="K161" s="433">
        <v>15</v>
      </c>
      <c r="L161" s="433">
        <v>4</v>
      </c>
      <c r="M161" s="433">
        <v>3</v>
      </c>
      <c r="N161" s="436">
        <v>1</v>
      </c>
      <c r="O161" s="448">
        <v>5</v>
      </c>
      <c r="P161" s="449">
        <v>1</v>
      </c>
      <c r="Q161" s="449">
        <f>+M161+N161+P161+O161</f>
        <v>10</v>
      </c>
      <c r="R161" s="523">
        <v>1</v>
      </c>
      <c r="S161" s="449">
        <f>2+Q161</f>
        <v>12</v>
      </c>
      <c r="T161" s="523">
        <f>+S161/K161</f>
        <v>0.8</v>
      </c>
      <c r="U161" s="428" t="s">
        <v>431</v>
      </c>
      <c r="V161" s="450">
        <v>2020130010113</v>
      </c>
      <c r="W161" s="451" t="s">
        <v>432</v>
      </c>
      <c r="X161" s="173" t="s">
        <v>555</v>
      </c>
      <c r="Y161" s="184">
        <v>1</v>
      </c>
      <c r="Z161" s="184">
        <v>1</v>
      </c>
      <c r="AA161" s="177"/>
      <c r="AB161" s="177">
        <v>0.5</v>
      </c>
      <c r="AC161" s="83">
        <v>1</v>
      </c>
      <c r="AD161" s="228">
        <v>1</v>
      </c>
      <c r="AE161" s="174" t="s">
        <v>734</v>
      </c>
      <c r="AF161" s="451" t="s">
        <v>657</v>
      </c>
      <c r="AG161" s="442" t="s">
        <v>973</v>
      </c>
      <c r="AH161" s="428" t="s">
        <v>41</v>
      </c>
      <c r="AI161" s="374">
        <v>57672286</v>
      </c>
      <c r="AJ161" s="374">
        <v>30000000</v>
      </c>
      <c r="AK161" s="374">
        <v>30000000</v>
      </c>
      <c r="AL161" s="374">
        <v>30000000</v>
      </c>
      <c r="AM161" s="374"/>
      <c r="AN161" s="445">
        <f>+AK161/AI161</f>
        <v>0.52018052483648736</v>
      </c>
      <c r="AO161" s="428" t="s">
        <v>598</v>
      </c>
      <c r="AP161" s="359" t="s">
        <v>470</v>
      </c>
      <c r="AQ161" s="331">
        <v>57672286</v>
      </c>
      <c r="AR161" s="333">
        <v>52683305</v>
      </c>
      <c r="AS161" s="353">
        <f>+AR161/AQ161</f>
        <v>0.91349430816735788</v>
      </c>
      <c r="AT161" s="5" t="s">
        <v>974</v>
      </c>
      <c r="AU161" s="119" t="s">
        <v>975</v>
      </c>
      <c r="AV161" s="142" t="s">
        <v>976</v>
      </c>
      <c r="AW161" s="311">
        <v>1</v>
      </c>
      <c r="AX161" s="245" t="s">
        <v>894</v>
      </c>
    </row>
    <row r="162" spans="1:50" ht="294" customHeight="1" x14ac:dyDescent="0.35">
      <c r="A162" s="477"/>
      <c r="B162" s="477"/>
      <c r="C162" s="432"/>
      <c r="D162" s="432"/>
      <c r="E162" s="432"/>
      <c r="F162" s="479"/>
      <c r="G162" s="481"/>
      <c r="H162" s="459"/>
      <c r="I162" s="453"/>
      <c r="J162" s="459"/>
      <c r="K162" s="435"/>
      <c r="L162" s="435"/>
      <c r="M162" s="435"/>
      <c r="N162" s="438"/>
      <c r="O162" s="448"/>
      <c r="P162" s="449"/>
      <c r="Q162" s="449"/>
      <c r="R162" s="523"/>
      <c r="S162" s="449"/>
      <c r="T162" s="523"/>
      <c r="U162" s="429"/>
      <c r="V162" s="450"/>
      <c r="W162" s="452"/>
      <c r="X162" s="173" t="s">
        <v>557</v>
      </c>
      <c r="Y162" s="184">
        <v>3</v>
      </c>
      <c r="Z162" s="184">
        <v>1</v>
      </c>
      <c r="AA162" s="177"/>
      <c r="AB162" s="177">
        <v>5</v>
      </c>
      <c r="AC162" s="83">
        <v>1</v>
      </c>
      <c r="AD162" s="228">
        <v>1</v>
      </c>
      <c r="AE162" s="174" t="s">
        <v>734</v>
      </c>
      <c r="AF162" s="452"/>
      <c r="AG162" s="443"/>
      <c r="AH162" s="429"/>
      <c r="AI162" s="375"/>
      <c r="AJ162" s="375"/>
      <c r="AK162" s="375"/>
      <c r="AL162" s="375"/>
      <c r="AM162" s="375"/>
      <c r="AN162" s="446"/>
      <c r="AO162" s="429"/>
      <c r="AP162" s="360"/>
      <c r="AQ162" s="331"/>
      <c r="AR162" s="333"/>
      <c r="AS162" s="354"/>
      <c r="AT162" s="5" t="s">
        <v>977</v>
      </c>
      <c r="AU162" s="119" t="s">
        <v>790</v>
      </c>
      <c r="AV162" s="119" t="s">
        <v>978</v>
      </c>
      <c r="AW162" s="311">
        <v>2</v>
      </c>
      <c r="AX162" s="246" t="s">
        <v>944</v>
      </c>
    </row>
    <row r="163" spans="1:50" ht="180.65" customHeight="1" x14ac:dyDescent="0.35">
      <c r="A163" s="477"/>
      <c r="B163" s="477"/>
      <c r="C163" s="432"/>
      <c r="D163" s="432"/>
      <c r="E163" s="432"/>
      <c r="F163" s="479"/>
      <c r="G163" s="481"/>
      <c r="H163" s="173" t="s">
        <v>516</v>
      </c>
      <c r="I163" s="174">
        <v>0</v>
      </c>
      <c r="J163" s="173" t="s">
        <v>518</v>
      </c>
      <c r="K163" s="184">
        <v>1</v>
      </c>
      <c r="L163" s="184">
        <v>0</v>
      </c>
      <c r="M163" s="184">
        <v>0</v>
      </c>
      <c r="N163" s="49">
        <v>0</v>
      </c>
      <c r="O163" s="187">
        <v>0</v>
      </c>
      <c r="P163" s="264">
        <v>0</v>
      </c>
      <c r="Q163" s="264"/>
      <c r="R163" s="265"/>
      <c r="S163" s="264"/>
      <c r="T163" s="265"/>
      <c r="U163" s="430"/>
      <c r="V163" s="450"/>
      <c r="W163" s="453"/>
      <c r="X163" s="173" t="s">
        <v>556</v>
      </c>
      <c r="Y163" s="184">
        <v>1</v>
      </c>
      <c r="Z163" s="184">
        <v>0</v>
      </c>
      <c r="AA163" s="177"/>
      <c r="AB163" s="177">
        <v>0</v>
      </c>
      <c r="AC163" s="83">
        <v>0</v>
      </c>
      <c r="AD163" s="228">
        <v>0</v>
      </c>
      <c r="AE163" s="174" t="s">
        <v>734</v>
      </c>
      <c r="AF163" s="452"/>
      <c r="AG163" s="443"/>
      <c r="AH163" s="429"/>
      <c r="AI163" s="375"/>
      <c r="AJ163" s="375"/>
      <c r="AK163" s="375"/>
      <c r="AL163" s="375"/>
      <c r="AM163" s="375"/>
      <c r="AN163" s="446"/>
      <c r="AO163" s="429"/>
      <c r="AP163" s="360"/>
      <c r="AQ163" s="331"/>
      <c r="AR163" s="333"/>
      <c r="AS163" s="354"/>
      <c r="AT163" s="3"/>
      <c r="AU163" s="119" t="s">
        <v>982</v>
      </c>
      <c r="AV163" s="119" t="s">
        <v>983</v>
      </c>
      <c r="AW163" s="311">
        <v>3</v>
      </c>
      <c r="AX163" s="245" t="s">
        <v>895</v>
      </c>
    </row>
    <row r="164" spans="1:50" ht="98.15" customHeight="1" x14ac:dyDescent="0.35">
      <c r="A164" s="477"/>
      <c r="B164" s="477"/>
      <c r="C164" s="432"/>
      <c r="D164" s="432"/>
      <c r="E164" s="432"/>
      <c r="F164" s="479"/>
      <c r="G164" s="481"/>
      <c r="H164" s="431" t="s">
        <v>515</v>
      </c>
      <c r="I164" s="432">
        <v>0</v>
      </c>
      <c r="J164" s="431" t="s">
        <v>517</v>
      </c>
      <c r="K164" s="433">
        <v>1</v>
      </c>
      <c r="L164" s="433">
        <v>1</v>
      </c>
      <c r="M164" s="433">
        <v>0</v>
      </c>
      <c r="N164" s="436">
        <v>0</v>
      </c>
      <c r="O164" s="439">
        <v>0.33</v>
      </c>
      <c r="P164" s="454">
        <v>7.0000000000000007E-2</v>
      </c>
      <c r="Q164" s="460">
        <f>+P164+O164</f>
        <v>0.4</v>
      </c>
      <c r="R164" s="492">
        <v>0.4</v>
      </c>
      <c r="S164" s="460">
        <f>+Q164</f>
        <v>0.4</v>
      </c>
      <c r="T164" s="492">
        <v>0.4</v>
      </c>
      <c r="U164" s="457" t="s">
        <v>519</v>
      </c>
      <c r="V164" s="450">
        <v>2020130010115</v>
      </c>
      <c r="W164" s="451" t="s">
        <v>558</v>
      </c>
      <c r="X164" s="173" t="s">
        <v>535</v>
      </c>
      <c r="Y164" s="184">
        <v>1</v>
      </c>
      <c r="Z164" s="184">
        <v>0</v>
      </c>
      <c r="AA164" s="177"/>
      <c r="AB164" s="177">
        <v>0.33</v>
      </c>
      <c r="AC164" s="83">
        <v>0</v>
      </c>
      <c r="AD164" s="228">
        <v>0</v>
      </c>
      <c r="AE164" s="174" t="s">
        <v>734</v>
      </c>
      <c r="AF164" s="452"/>
      <c r="AG164" s="443"/>
      <c r="AH164" s="429"/>
      <c r="AI164" s="375"/>
      <c r="AJ164" s="375"/>
      <c r="AK164" s="375"/>
      <c r="AL164" s="375"/>
      <c r="AM164" s="375"/>
      <c r="AN164" s="446"/>
      <c r="AO164" s="429"/>
      <c r="AP164" s="360"/>
      <c r="AQ164" s="331"/>
      <c r="AR164" s="333"/>
      <c r="AS164" s="354"/>
      <c r="AT164" s="3"/>
      <c r="AU164" s="119" t="s">
        <v>984</v>
      </c>
      <c r="AV164" s="119" t="s">
        <v>946</v>
      </c>
      <c r="AW164" s="311">
        <v>4</v>
      </c>
      <c r="AX164" s="245" t="s">
        <v>945</v>
      </c>
    </row>
    <row r="165" spans="1:50" ht="30" customHeight="1" x14ac:dyDescent="0.35">
      <c r="A165" s="477"/>
      <c r="B165" s="477"/>
      <c r="C165" s="432"/>
      <c r="D165" s="432"/>
      <c r="E165" s="432"/>
      <c r="F165" s="479"/>
      <c r="G165" s="481"/>
      <c r="H165" s="431"/>
      <c r="I165" s="432"/>
      <c r="J165" s="431"/>
      <c r="K165" s="434"/>
      <c r="L165" s="434"/>
      <c r="M165" s="434"/>
      <c r="N165" s="437"/>
      <c r="O165" s="440"/>
      <c r="P165" s="455"/>
      <c r="Q165" s="455"/>
      <c r="R165" s="455"/>
      <c r="S165" s="455"/>
      <c r="T165" s="455"/>
      <c r="U165" s="457"/>
      <c r="V165" s="450"/>
      <c r="W165" s="452"/>
      <c r="X165" s="173" t="s">
        <v>537</v>
      </c>
      <c r="Y165" s="184">
        <v>1</v>
      </c>
      <c r="Z165" s="184">
        <v>0</v>
      </c>
      <c r="AA165" s="177"/>
      <c r="AB165" s="177"/>
      <c r="AC165" s="83">
        <v>0</v>
      </c>
      <c r="AD165" s="228">
        <v>0</v>
      </c>
      <c r="AE165" s="174" t="s">
        <v>734</v>
      </c>
      <c r="AF165" s="452"/>
      <c r="AG165" s="443"/>
      <c r="AH165" s="429"/>
      <c r="AI165" s="375"/>
      <c r="AJ165" s="375"/>
      <c r="AK165" s="375"/>
      <c r="AL165" s="375"/>
      <c r="AM165" s="375"/>
      <c r="AN165" s="446"/>
      <c r="AO165" s="429"/>
      <c r="AP165" s="360"/>
      <c r="AQ165" s="331"/>
      <c r="AR165" s="333"/>
      <c r="AS165" s="354"/>
      <c r="AT165" s="3"/>
      <c r="AU165" s="51"/>
      <c r="AV165" s="90" t="s">
        <v>811</v>
      </c>
      <c r="AW165" s="70">
        <v>5</v>
      </c>
      <c r="AX165" s="76"/>
    </row>
    <row r="166" spans="1:50" ht="32.5" customHeight="1" x14ac:dyDescent="0.35">
      <c r="A166" s="477"/>
      <c r="B166" s="477"/>
      <c r="C166" s="432"/>
      <c r="D166" s="432"/>
      <c r="E166" s="432"/>
      <c r="F166" s="480"/>
      <c r="G166" s="481"/>
      <c r="H166" s="431"/>
      <c r="I166" s="432"/>
      <c r="J166" s="431"/>
      <c r="K166" s="435"/>
      <c r="L166" s="435"/>
      <c r="M166" s="435"/>
      <c r="N166" s="438"/>
      <c r="O166" s="441"/>
      <c r="P166" s="456"/>
      <c r="Q166" s="456"/>
      <c r="R166" s="456"/>
      <c r="S166" s="456"/>
      <c r="T166" s="456"/>
      <c r="U166" s="457"/>
      <c r="V166" s="450"/>
      <c r="W166" s="453"/>
      <c r="X166" s="173" t="s">
        <v>559</v>
      </c>
      <c r="Y166" s="184">
        <v>1</v>
      </c>
      <c r="Z166" s="184">
        <v>0</v>
      </c>
      <c r="AA166" s="177"/>
      <c r="AB166" s="177"/>
      <c r="AC166" s="83">
        <v>0</v>
      </c>
      <c r="AD166" s="228">
        <v>0</v>
      </c>
      <c r="AE166" s="174" t="s">
        <v>734</v>
      </c>
      <c r="AF166" s="453"/>
      <c r="AG166" s="444"/>
      <c r="AH166" s="430"/>
      <c r="AI166" s="376"/>
      <c r="AJ166" s="376"/>
      <c r="AK166" s="376"/>
      <c r="AL166" s="376"/>
      <c r="AM166" s="376"/>
      <c r="AN166" s="447"/>
      <c r="AO166" s="430"/>
      <c r="AP166" s="361"/>
      <c r="AQ166" s="332"/>
      <c r="AR166" s="333"/>
      <c r="AS166" s="355"/>
      <c r="AT166" s="3"/>
      <c r="AU166" s="51"/>
      <c r="AV166" s="90" t="s">
        <v>811</v>
      </c>
      <c r="AW166" s="70">
        <v>6</v>
      </c>
      <c r="AX166" s="76"/>
    </row>
    <row r="167" spans="1:50" s="21" customFormat="1" ht="66.75" customHeight="1" x14ac:dyDescent="0.35">
      <c r="A167" s="12"/>
      <c r="B167" s="12"/>
      <c r="C167" s="13"/>
      <c r="D167" s="14"/>
      <c r="E167" s="13"/>
      <c r="F167" s="153"/>
      <c r="G167" s="493" t="s">
        <v>1096</v>
      </c>
      <c r="H167" s="494"/>
      <c r="I167" s="494"/>
      <c r="J167" s="494"/>
      <c r="K167" s="494"/>
      <c r="L167" s="494"/>
      <c r="M167" s="494"/>
      <c r="N167" s="494"/>
      <c r="O167" s="494"/>
      <c r="P167" s="495"/>
      <c r="Q167" s="241"/>
      <c r="R167" s="249">
        <f>AVERAGE(R161:R166)</f>
        <v>0.7</v>
      </c>
      <c r="S167" s="241"/>
      <c r="T167" s="249">
        <f>AVERAGE(T161:T166)</f>
        <v>0.60000000000000009</v>
      </c>
      <c r="U167" s="17"/>
      <c r="V167" s="18"/>
      <c r="W167" s="13"/>
      <c r="X167" s="13"/>
      <c r="Y167" s="16"/>
      <c r="Z167" s="16"/>
      <c r="AA167" s="16"/>
      <c r="AB167" s="16"/>
      <c r="AC167" s="84"/>
      <c r="AD167" s="226">
        <f>AVERAGE(AD161:AD166)</f>
        <v>0.33333333333333331</v>
      </c>
      <c r="AE167" s="16"/>
      <c r="AF167" s="13"/>
      <c r="AG167" s="19"/>
      <c r="AH167" s="17"/>
      <c r="AI167" s="20"/>
      <c r="AJ167" s="20"/>
      <c r="AK167" s="20"/>
      <c r="AL167" s="20"/>
      <c r="AM167" s="20"/>
      <c r="AN167" s="33"/>
      <c r="AO167" s="17"/>
      <c r="AP167" s="18"/>
      <c r="AQ167" s="18"/>
      <c r="AR167" s="18"/>
      <c r="AS167" s="18"/>
      <c r="AT167" s="16"/>
      <c r="AU167" s="47"/>
      <c r="AV167" s="126"/>
      <c r="AW167" s="59"/>
      <c r="AX167" s="135"/>
    </row>
    <row r="168" spans="1:50" s="21" customFormat="1" ht="65.25" customHeight="1" x14ac:dyDescent="0.35">
      <c r="A168" s="200"/>
      <c r="B168" s="598" t="s">
        <v>1097</v>
      </c>
      <c r="C168" s="599"/>
      <c r="D168" s="599"/>
      <c r="E168" s="599"/>
      <c r="F168" s="599"/>
      <c r="G168" s="599"/>
      <c r="H168" s="599"/>
      <c r="I168" s="599"/>
      <c r="J168" s="599"/>
      <c r="K168" s="599"/>
      <c r="L168" s="599"/>
      <c r="M168" s="599"/>
      <c r="N168" s="599"/>
      <c r="O168" s="599"/>
      <c r="P168" s="600"/>
      <c r="Q168" s="241"/>
      <c r="R168" s="249">
        <f>+R167</f>
        <v>0.7</v>
      </c>
      <c r="S168" s="249"/>
      <c r="T168" s="249">
        <f>+T167</f>
        <v>0.60000000000000009</v>
      </c>
      <c r="U168" s="17"/>
      <c r="V168" s="18"/>
      <c r="W168" s="13"/>
      <c r="X168" s="13"/>
      <c r="Y168" s="16"/>
      <c r="Z168" s="16"/>
      <c r="AA168" s="16"/>
      <c r="AB168" s="16"/>
      <c r="AC168" s="84"/>
      <c r="AD168" s="84"/>
      <c r="AE168" s="16"/>
      <c r="AF168" s="13"/>
      <c r="AG168" s="19"/>
      <c r="AH168" s="17"/>
      <c r="AI168" s="20"/>
      <c r="AJ168" s="20"/>
      <c r="AK168" s="20"/>
      <c r="AL168" s="197"/>
      <c r="AM168" s="197"/>
      <c r="AN168" s="198"/>
      <c r="AO168" s="17"/>
      <c r="AP168" s="199"/>
      <c r="AQ168" s="199"/>
      <c r="AR168" s="199"/>
      <c r="AS168" s="199"/>
      <c r="AT168" s="16"/>
      <c r="AU168" s="47"/>
      <c r="AV168" s="126"/>
      <c r="AW168" s="59"/>
      <c r="AX168" s="135"/>
    </row>
    <row r="169" spans="1:50" s="100" customFormat="1" ht="110.25" customHeight="1" x14ac:dyDescent="0.35">
      <c r="A169" s="401" t="s">
        <v>20</v>
      </c>
      <c r="B169" s="413" t="s">
        <v>21</v>
      </c>
      <c r="C169" s="416" t="s">
        <v>22</v>
      </c>
      <c r="D169" s="416">
        <v>31256050</v>
      </c>
      <c r="E169" s="416" t="s">
        <v>23</v>
      </c>
      <c r="F169" s="419"/>
      <c r="G169" s="404" t="s">
        <v>24</v>
      </c>
      <c r="H169" s="91" t="s">
        <v>25</v>
      </c>
      <c r="I169" s="94" t="s">
        <v>560</v>
      </c>
      <c r="J169" s="91" t="s">
        <v>561</v>
      </c>
      <c r="K169" s="95">
        <v>7000</v>
      </c>
      <c r="L169" s="95">
        <v>800</v>
      </c>
      <c r="M169" s="95">
        <v>0</v>
      </c>
      <c r="N169" s="95">
        <v>0</v>
      </c>
      <c r="O169" s="312">
        <v>0</v>
      </c>
      <c r="P169" s="313">
        <v>800</v>
      </c>
      <c r="Q169" s="313">
        <f>+P169</f>
        <v>800</v>
      </c>
      <c r="R169" s="235">
        <v>1</v>
      </c>
      <c r="S169" s="313">
        <v>800</v>
      </c>
      <c r="T169" s="240">
        <f>+S169/K169</f>
        <v>0.11428571428571428</v>
      </c>
      <c r="U169" s="95" t="s">
        <v>35</v>
      </c>
      <c r="V169" s="96">
        <v>2020130010215</v>
      </c>
      <c r="W169" s="94" t="s">
        <v>36</v>
      </c>
      <c r="X169" s="91" t="s">
        <v>985</v>
      </c>
      <c r="Y169" s="95">
        <v>750</v>
      </c>
      <c r="Z169" s="95">
        <v>0</v>
      </c>
      <c r="AA169" s="95">
        <v>0</v>
      </c>
      <c r="AB169" s="95">
        <v>0</v>
      </c>
      <c r="AC169" s="82">
        <v>800</v>
      </c>
      <c r="AD169" s="225">
        <v>1</v>
      </c>
      <c r="AE169" s="97">
        <v>44531</v>
      </c>
      <c r="AF169" s="94" t="s">
        <v>39</v>
      </c>
      <c r="AG169" s="94" t="s">
        <v>40</v>
      </c>
      <c r="AH169" s="95" t="s">
        <v>41</v>
      </c>
      <c r="AI169" s="42">
        <v>48000000</v>
      </c>
      <c r="AJ169" s="42"/>
      <c r="AK169" s="42"/>
      <c r="AL169" s="374"/>
      <c r="AM169" s="374"/>
      <c r="AN169" s="374"/>
      <c r="AO169" s="95" t="s">
        <v>42</v>
      </c>
      <c r="AP169" s="343" t="s">
        <v>43</v>
      </c>
      <c r="AQ169" s="331">
        <v>469637963</v>
      </c>
      <c r="AR169" s="333">
        <v>437414924</v>
      </c>
      <c r="AS169" s="334">
        <f>+AR169/AQ169</f>
        <v>0.93138749092138451</v>
      </c>
      <c r="AT169" s="89" t="s">
        <v>986</v>
      </c>
      <c r="AU169" s="98"/>
      <c r="AV169" s="98" t="s">
        <v>1031</v>
      </c>
      <c r="AW169" s="99">
        <v>1</v>
      </c>
      <c r="AX169" s="582" t="s">
        <v>896</v>
      </c>
    </row>
    <row r="170" spans="1:50" s="100" customFormat="1" ht="56.25" customHeight="1" x14ac:dyDescent="0.35">
      <c r="A170" s="402"/>
      <c r="B170" s="414"/>
      <c r="C170" s="417"/>
      <c r="D170" s="417"/>
      <c r="E170" s="417"/>
      <c r="F170" s="420"/>
      <c r="G170" s="405"/>
      <c r="H170" s="218" t="s">
        <v>26</v>
      </c>
      <c r="I170" s="219" t="s">
        <v>987</v>
      </c>
      <c r="J170" s="218" t="s">
        <v>27</v>
      </c>
      <c r="K170" s="101">
        <v>1</v>
      </c>
      <c r="L170" s="1">
        <v>0.25</v>
      </c>
      <c r="M170" s="1">
        <v>0.1</v>
      </c>
      <c r="N170" s="1">
        <v>0.1</v>
      </c>
      <c r="O170" s="1">
        <v>0.4</v>
      </c>
      <c r="P170" s="314">
        <v>0</v>
      </c>
      <c r="Q170" s="315">
        <f>+O170+N170+M170</f>
        <v>0.6</v>
      </c>
      <c r="R170" s="316">
        <v>1</v>
      </c>
      <c r="S170" s="315">
        <f>+Q170+0.2</f>
        <v>0.8</v>
      </c>
      <c r="T170" s="316">
        <v>0.8</v>
      </c>
      <c r="U170" s="343" t="s">
        <v>35</v>
      </c>
      <c r="V170" s="389">
        <v>2020130010215</v>
      </c>
      <c r="W170" s="386" t="s">
        <v>36</v>
      </c>
      <c r="X170" s="91" t="s">
        <v>562</v>
      </c>
      <c r="Y170" s="101">
        <v>1</v>
      </c>
      <c r="Z170" s="102">
        <v>0.1</v>
      </c>
      <c r="AA170" s="1">
        <v>0.1</v>
      </c>
      <c r="AB170" s="1">
        <v>0.3</v>
      </c>
      <c r="AC170" s="93">
        <v>0</v>
      </c>
      <c r="AD170" s="225">
        <v>0.5</v>
      </c>
      <c r="AE170" s="97">
        <v>44531</v>
      </c>
      <c r="AF170" s="94" t="s">
        <v>44</v>
      </c>
      <c r="AG170" s="94" t="s">
        <v>40</v>
      </c>
      <c r="AH170" s="343" t="s">
        <v>41</v>
      </c>
      <c r="AI170" s="42">
        <v>0</v>
      </c>
      <c r="AJ170" s="42"/>
      <c r="AK170" s="42"/>
      <c r="AL170" s="375"/>
      <c r="AM170" s="375"/>
      <c r="AN170" s="375"/>
      <c r="AO170" s="343" t="s">
        <v>42</v>
      </c>
      <c r="AP170" s="344"/>
      <c r="AQ170" s="331"/>
      <c r="AR170" s="333"/>
      <c r="AS170" s="335"/>
      <c r="AT170" s="89" t="s">
        <v>637</v>
      </c>
      <c r="AU170" s="98"/>
      <c r="AV170" s="98" t="s">
        <v>637</v>
      </c>
      <c r="AW170" s="99">
        <v>2</v>
      </c>
      <c r="AX170" s="393"/>
    </row>
    <row r="171" spans="1:50" s="100" customFormat="1" ht="45" customHeight="1" x14ac:dyDescent="0.35">
      <c r="A171" s="402"/>
      <c r="B171" s="414"/>
      <c r="C171" s="417"/>
      <c r="D171" s="417"/>
      <c r="E171" s="417"/>
      <c r="F171" s="420"/>
      <c r="G171" s="405"/>
      <c r="H171" s="91" t="s">
        <v>28</v>
      </c>
      <c r="I171" s="94" t="s">
        <v>29</v>
      </c>
      <c r="J171" s="91" t="s">
        <v>30</v>
      </c>
      <c r="K171" s="101">
        <v>2</v>
      </c>
      <c r="L171" s="1">
        <v>0.5</v>
      </c>
      <c r="M171" s="1">
        <v>0.1</v>
      </c>
      <c r="N171" s="1">
        <v>0.1</v>
      </c>
      <c r="O171" s="1">
        <v>0.1</v>
      </c>
      <c r="P171" s="314">
        <v>1</v>
      </c>
      <c r="Q171" s="315">
        <f>+P171</f>
        <v>1</v>
      </c>
      <c r="R171" s="316">
        <v>1</v>
      </c>
      <c r="S171" s="315">
        <f>+Q171</f>
        <v>1</v>
      </c>
      <c r="T171" s="316">
        <v>0.5</v>
      </c>
      <c r="U171" s="344"/>
      <c r="V171" s="390"/>
      <c r="W171" s="387"/>
      <c r="X171" s="91" t="s">
        <v>620</v>
      </c>
      <c r="Y171" s="101">
        <v>1</v>
      </c>
      <c r="Z171" s="102">
        <v>0.3</v>
      </c>
      <c r="AA171" s="102">
        <v>0.3</v>
      </c>
      <c r="AB171" s="1">
        <v>0.1</v>
      </c>
      <c r="AC171" s="93">
        <v>1</v>
      </c>
      <c r="AD171" s="225">
        <v>1</v>
      </c>
      <c r="AE171" s="97">
        <v>44531</v>
      </c>
      <c r="AF171" s="94" t="s">
        <v>44</v>
      </c>
      <c r="AG171" s="94" t="s">
        <v>45</v>
      </c>
      <c r="AH171" s="344"/>
      <c r="AI171" s="42">
        <v>0</v>
      </c>
      <c r="AJ171" s="42"/>
      <c r="AK171" s="42"/>
      <c r="AL171" s="375"/>
      <c r="AM171" s="375"/>
      <c r="AN171" s="375"/>
      <c r="AO171" s="344"/>
      <c r="AP171" s="344"/>
      <c r="AQ171" s="331"/>
      <c r="AR171" s="333"/>
      <c r="AS171" s="335"/>
      <c r="AT171" s="89" t="s">
        <v>638</v>
      </c>
      <c r="AU171" s="98"/>
      <c r="AV171" s="98" t="s">
        <v>1032</v>
      </c>
      <c r="AW171" s="99">
        <v>3</v>
      </c>
      <c r="AX171" s="393"/>
    </row>
    <row r="172" spans="1:50" s="100" customFormat="1" ht="63" customHeight="1" x14ac:dyDescent="0.35">
      <c r="A172" s="402"/>
      <c r="B172" s="414"/>
      <c r="C172" s="417"/>
      <c r="D172" s="417"/>
      <c r="E172" s="417"/>
      <c r="F172" s="420"/>
      <c r="G172" s="405"/>
      <c r="H172" s="91" t="s">
        <v>31</v>
      </c>
      <c r="I172" s="94" t="s">
        <v>29</v>
      </c>
      <c r="J172" s="91" t="s">
        <v>32</v>
      </c>
      <c r="K172" s="101">
        <v>1</v>
      </c>
      <c r="L172" s="1">
        <v>0.25</v>
      </c>
      <c r="M172" s="1">
        <v>0.1</v>
      </c>
      <c r="N172" s="1">
        <v>0.1</v>
      </c>
      <c r="O172" s="1">
        <v>0.2</v>
      </c>
      <c r="P172" s="314">
        <v>0</v>
      </c>
      <c r="Q172" s="315">
        <f>+O172+N172+M172</f>
        <v>0.4</v>
      </c>
      <c r="R172" s="316">
        <v>1</v>
      </c>
      <c r="S172" s="315">
        <f>+Q172+0.2</f>
        <v>0.60000000000000009</v>
      </c>
      <c r="T172" s="316">
        <v>0.6</v>
      </c>
      <c r="U172" s="344"/>
      <c r="V172" s="390"/>
      <c r="W172" s="387"/>
      <c r="X172" s="91" t="s">
        <v>37</v>
      </c>
      <c r="Y172" s="101">
        <v>1</v>
      </c>
      <c r="Z172" s="102">
        <v>0</v>
      </c>
      <c r="AA172" s="1">
        <v>0</v>
      </c>
      <c r="AB172" s="1">
        <v>0.5</v>
      </c>
      <c r="AC172" s="93">
        <v>0</v>
      </c>
      <c r="AD172" s="225">
        <v>0.5</v>
      </c>
      <c r="AE172" s="97">
        <v>44531</v>
      </c>
      <c r="AF172" s="94" t="s">
        <v>44</v>
      </c>
      <c r="AG172" s="94" t="s">
        <v>40</v>
      </c>
      <c r="AH172" s="344"/>
      <c r="AI172" s="42">
        <v>50637963</v>
      </c>
      <c r="AJ172" s="42"/>
      <c r="AK172" s="42"/>
      <c r="AL172" s="375"/>
      <c r="AM172" s="375"/>
      <c r="AN172" s="375"/>
      <c r="AO172" s="344"/>
      <c r="AP172" s="344"/>
      <c r="AQ172" s="331"/>
      <c r="AR172" s="333"/>
      <c r="AS172" s="335"/>
      <c r="AT172" s="89" t="s">
        <v>639</v>
      </c>
      <c r="AU172" s="98"/>
      <c r="AV172" s="98" t="s">
        <v>639</v>
      </c>
      <c r="AW172" s="99">
        <v>4</v>
      </c>
      <c r="AX172" s="393"/>
    </row>
    <row r="173" spans="1:50" s="100" customFormat="1" ht="75" customHeight="1" x14ac:dyDescent="0.35">
      <c r="A173" s="403"/>
      <c r="B173" s="415"/>
      <c r="C173" s="418"/>
      <c r="D173" s="418"/>
      <c r="E173" s="418"/>
      <c r="F173" s="421"/>
      <c r="G173" s="406"/>
      <c r="H173" s="91" t="s">
        <v>33</v>
      </c>
      <c r="I173" s="94" t="s">
        <v>29</v>
      </c>
      <c r="J173" s="91" t="s">
        <v>34</v>
      </c>
      <c r="K173" s="101">
        <v>1</v>
      </c>
      <c r="L173" s="1">
        <v>0.25</v>
      </c>
      <c r="M173" s="1">
        <v>0.2</v>
      </c>
      <c r="N173" s="1">
        <v>0.2</v>
      </c>
      <c r="O173" s="1">
        <v>0.1</v>
      </c>
      <c r="P173" s="314">
        <v>0</v>
      </c>
      <c r="Q173" s="315">
        <f>+O173+N173+M173</f>
        <v>0.5</v>
      </c>
      <c r="R173" s="316">
        <v>1</v>
      </c>
      <c r="S173" s="315">
        <f>+Q173+0.3</f>
        <v>0.8</v>
      </c>
      <c r="T173" s="316">
        <v>0.8</v>
      </c>
      <c r="U173" s="345"/>
      <c r="V173" s="391"/>
      <c r="W173" s="388"/>
      <c r="X173" s="91" t="s">
        <v>38</v>
      </c>
      <c r="Y173" s="101">
        <v>1</v>
      </c>
      <c r="Z173" s="102">
        <v>0.3</v>
      </c>
      <c r="AA173" s="102">
        <v>0.3</v>
      </c>
      <c r="AB173" s="1">
        <v>0.1</v>
      </c>
      <c r="AC173" s="93">
        <v>0</v>
      </c>
      <c r="AD173" s="225">
        <v>0.7</v>
      </c>
      <c r="AE173" s="97">
        <v>44531</v>
      </c>
      <c r="AF173" s="95" t="s">
        <v>44</v>
      </c>
      <c r="AG173" s="94" t="s">
        <v>46</v>
      </c>
      <c r="AH173" s="345"/>
      <c r="AI173" s="42">
        <v>21000000</v>
      </c>
      <c r="AJ173" s="42"/>
      <c r="AK173" s="42"/>
      <c r="AL173" s="376"/>
      <c r="AM173" s="376"/>
      <c r="AN173" s="376"/>
      <c r="AO173" s="345"/>
      <c r="AP173" s="345"/>
      <c r="AQ173" s="332"/>
      <c r="AR173" s="333"/>
      <c r="AS173" s="336"/>
      <c r="AT173" s="89" t="s">
        <v>640</v>
      </c>
      <c r="AU173" s="98"/>
      <c r="AV173" s="98" t="s">
        <v>1033</v>
      </c>
      <c r="AW173" s="99">
        <v>5</v>
      </c>
      <c r="AX173" s="394"/>
    </row>
    <row r="174" spans="1:50" s="21" customFormat="1" ht="37.5" x14ac:dyDescent="0.35">
      <c r="A174" s="12"/>
      <c r="B174" s="12"/>
      <c r="C174" s="13"/>
      <c r="D174" s="13"/>
      <c r="E174" s="13"/>
      <c r="F174" s="153"/>
      <c r="G174" s="493" t="s">
        <v>1098</v>
      </c>
      <c r="H174" s="494"/>
      <c r="I174" s="494"/>
      <c r="J174" s="494"/>
      <c r="K174" s="494"/>
      <c r="L174" s="494"/>
      <c r="M174" s="494"/>
      <c r="N174" s="494"/>
      <c r="O174" s="494"/>
      <c r="P174" s="495"/>
      <c r="Q174" s="317"/>
      <c r="R174" s="318">
        <f>AVERAGE(R169:R173)</f>
        <v>1</v>
      </c>
      <c r="S174" s="317"/>
      <c r="T174" s="318">
        <f>AVERAGE(T169:T173)</f>
        <v>0.56285714285714283</v>
      </c>
      <c r="U174" s="17"/>
      <c r="V174" s="24"/>
      <c r="W174" s="13"/>
      <c r="X174" s="15"/>
      <c r="Y174" s="22"/>
      <c r="Z174" s="23"/>
      <c r="AA174" s="23"/>
      <c r="AB174" s="23"/>
      <c r="AC174" s="132"/>
      <c r="AD174" s="231">
        <f>AVERAGE(AD169:AD173)</f>
        <v>0.74</v>
      </c>
      <c r="AE174" s="13"/>
      <c r="AF174" s="13"/>
      <c r="AG174" s="13"/>
      <c r="AH174" s="17"/>
      <c r="AI174" s="25"/>
      <c r="AJ174" s="25"/>
      <c r="AK174" s="25"/>
      <c r="AL174" s="25"/>
      <c r="AM174" s="25"/>
      <c r="AN174" s="25"/>
      <c r="AO174" s="25"/>
      <c r="AP174" s="25"/>
      <c r="AQ174" s="25"/>
      <c r="AR174" s="25"/>
      <c r="AS174" s="25"/>
      <c r="AT174" s="22"/>
      <c r="AU174" s="103"/>
      <c r="AV174" s="103"/>
      <c r="AW174" s="60"/>
      <c r="AX174" s="136"/>
    </row>
    <row r="175" spans="1:50" s="21" customFormat="1" ht="37.5" x14ac:dyDescent="0.35">
      <c r="A175" s="200"/>
      <c r="B175" s="200"/>
      <c r="C175" s="194"/>
      <c r="D175" s="194"/>
      <c r="E175" s="194"/>
      <c r="F175" s="193"/>
      <c r="G175" s="493" t="s">
        <v>1099</v>
      </c>
      <c r="H175" s="494"/>
      <c r="I175" s="494"/>
      <c r="J175" s="494"/>
      <c r="K175" s="494"/>
      <c r="L175" s="494"/>
      <c r="M175" s="494"/>
      <c r="N175" s="494"/>
      <c r="O175" s="494"/>
      <c r="P175" s="495"/>
      <c r="Q175" s="319"/>
      <c r="R175" s="320">
        <f>+R174</f>
        <v>1</v>
      </c>
      <c r="S175" s="320"/>
      <c r="T175" s="320">
        <f>+T174</f>
        <v>0.56285714285714283</v>
      </c>
      <c r="U175" s="196"/>
      <c r="V175" s="214"/>
      <c r="W175" s="194"/>
      <c r="X175" s="15"/>
      <c r="Y175" s="22"/>
      <c r="Z175" s="23"/>
      <c r="AA175" s="23"/>
      <c r="AB175" s="23"/>
      <c r="AC175" s="132"/>
      <c r="AD175" s="132"/>
      <c r="AE175" s="13"/>
      <c r="AF175" s="13"/>
      <c r="AG175" s="13"/>
      <c r="AH175" s="196"/>
      <c r="AI175" s="215"/>
      <c r="AJ175" s="215"/>
      <c r="AK175" s="215"/>
      <c r="AL175" s="215"/>
      <c r="AM175" s="215"/>
      <c r="AN175" s="215"/>
      <c r="AO175" s="215"/>
      <c r="AP175" s="215"/>
      <c r="AQ175" s="215"/>
      <c r="AR175" s="215"/>
      <c r="AS175" s="215"/>
      <c r="AT175" s="213"/>
      <c r="AU175" s="103"/>
      <c r="AV175" s="216"/>
      <c r="AW175" s="60"/>
      <c r="AX175" s="217"/>
    </row>
    <row r="176" spans="1:50" s="100" customFormat="1" ht="45" customHeight="1" x14ac:dyDescent="0.35">
      <c r="A176" s="401" t="s">
        <v>47</v>
      </c>
      <c r="B176" s="401" t="s">
        <v>48</v>
      </c>
      <c r="C176" s="386" t="s">
        <v>49</v>
      </c>
      <c r="D176" s="386" t="s">
        <v>89</v>
      </c>
      <c r="E176" s="386" t="s">
        <v>51</v>
      </c>
      <c r="F176" s="407">
        <v>0</v>
      </c>
      <c r="G176" s="404" t="s">
        <v>90</v>
      </c>
      <c r="H176" s="395" t="s">
        <v>91</v>
      </c>
      <c r="I176" s="386" t="s">
        <v>29</v>
      </c>
      <c r="J176" s="395" t="s">
        <v>92</v>
      </c>
      <c r="K176" s="584">
        <v>8</v>
      </c>
      <c r="L176" s="422">
        <v>2</v>
      </c>
      <c r="M176" s="422">
        <v>0.3</v>
      </c>
      <c r="N176" s="422">
        <v>0.3</v>
      </c>
      <c r="O176" s="422">
        <v>0.3</v>
      </c>
      <c r="P176" s="425">
        <v>2</v>
      </c>
      <c r="Q176" s="587">
        <f>+P176+O176+N176+M176</f>
        <v>2.8999999999999995</v>
      </c>
      <c r="R176" s="581">
        <v>1</v>
      </c>
      <c r="S176" s="587">
        <f>0.18+Q176</f>
        <v>3.0799999999999996</v>
      </c>
      <c r="T176" s="474">
        <f>+S176/K176</f>
        <v>0.38499999999999995</v>
      </c>
      <c r="U176" s="343" t="s">
        <v>310</v>
      </c>
      <c r="V176" s="389">
        <v>2020130010114</v>
      </c>
      <c r="W176" s="386" t="s">
        <v>311</v>
      </c>
      <c r="X176" s="91" t="s">
        <v>312</v>
      </c>
      <c r="Y176" s="101">
        <v>40</v>
      </c>
      <c r="Z176" s="95">
        <v>10</v>
      </c>
      <c r="AA176" s="95">
        <v>3</v>
      </c>
      <c r="AB176" s="95">
        <v>30</v>
      </c>
      <c r="AC176" s="131">
        <v>0</v>
      </c>
      <c r="AD176" s="225">
        <v>1</v>
      </c>
      <c r="AE176" s="97">
        <v>44531</v>
      </c>
      <c r="AF176" s="94" t="s">
        <v>44</v>
      </c>
      <c r="AG176" s="94" t="s">
        <v>436</v>
      </c>
      <c r="AH176" s="343" t="s">
        <v>41</v>
      </c>
      <c r="AI176" s="374">
        <v>75230293</v>
      </c>
      <c r="AJ176" s="374"/>
      <c r="AK176" s="374"/>
      <c r="AL176" s="374"/>
      <c r="AM176" s="374"/>
      <c r="AN176" s="374"/>
      <c r="AO176" s="343" t="s">
        <v>563</v>
      </c>
      <c r="AP176" s="343" t="s">
        <v>437</v>
      </c>
      <c r="AQ176" s="337">
        <v>75230293</v>
      </c>
      <c r="AR176" s="337">
        <v>69910293</v>
      </c>
      <c r="AS176" s="334">
        <f>+AR176/AQ176</f>
        <v>0.92928380592642379</v>
      </c>
      <c r="AT176" s="398" t="s">
        <v>636</v>
      </c>
      <c r="AU176" s="98"/>
      <c r="AV176" s="410" t="s">
        <v>1034</v>
      </c>
      <c r="AW176" s="99">
        <v>6</v>
      </c>
      <c r="AX176" s="582" t="s">
        <v>897</v>
      </c>
    </row>
    <row r="177" spans="1:50" s="100" customFormat="1" ht="45" customHeight="1" x14ac:dyDescent="0.35">
      <c r="A177" s="402"/>
      <c r="B177" s="402"/>
      <c r="C177" s="387"/>
      <c r="D177" s="387"/>
      <c r="E177" s="387"/>
      <c r="F177" s="408"/>
      <c r="G177" s="405"/>
      <c r="H177" s="396"/>
      <c r="I177" s="387"/>
      <c r="J177" s="396"/>
      <c r="K177" s="585"/>
      <c r="L177" s="423"/>
      <c r="M177" s="423"/>
      <c r="N177" s="423"/>
      <c r="O177" s="423"/>
      <c r="P177" s="426"/>
      <c r="Q177" s="426"/>
      <c r="R177" s="426"/>
      <c r="S177" s="426"/>
      <c r="T177" s="475"/>
      <c r="U177" s="344"/>
      <c r="V177" s="390"/>
      <c r="W177" s="387"/>
      <c r="X177" s="91" t="s">
        <v>313</v>
      </c>
      <c r="Y177" s="101">
        <v>3</v>
      </c>
      <c r="Z177" s="95">
        <v>1</v>
      </c>
      <c r="AA177" s="95">
        <v>1</v>
      </c>
      <c r="AB177" s="95">
        <v>1</v>
      </c>
      <c r="AC177" s="131">
        <v>0</v>
      </c>
      <c r="AD177" s="225">
        <v>1</v>
      </c>
      <c r="AE177" s="97">
        <v>44531</v>
      </c>
      <c r="AF177" s="94" t="s">
        <v>438</v>
      </c>
      <c r="AG177" s="94" t="s">
        <v>436</v>
      </c>
      <c r="AH177" s="344"/>
      <c r="AI177" s="375"/>
      <c r="AJ177" s="375"/>
      <c r="AK177" s="375"/>
      <c r="AL177" s="375"/>
      <c r="AM177" s="375"/>
      <c r="AN177" s="375"/>
      <c r="AO177" s="344"/>
      <c r="AP177" s="344"/>
      <c r="AQ177" s="337"/>
      <c r="AR177" s="337"/>
      <c r="AS177" s="335"/>
      <c r="AT177" s="399"/>
      <c r="AU177" s="98"/>
      <c r="AV177" s="411"/>
      <c r="AW177" s="99">
        <v>7</v>
      </c>
      <c r="AX177" s="393"/>
    </row>
    <row r="178" spans="1:50" s="100" customFormat="1" ht="60" customHeight="1" x14ac:dyDescent="0.35">
      <c r="A178" s="403"/>
      <c r="B178" s="403"/>
      <c r="C178" s="388"/>
      <c r="D178" s="388"/>
      <c r="E178" s="388"/>
      <c r="F178" s="409"/>
      <c r="G178" s="406"/>
      <c r="H178" s="397"/>
      <c r="I178" s="388"/>
      <c r="J178" s="397"/>
      <c r="K178" s="586"/>
      <c r="L178" s="424"/>
      <c r="M178" s="424"/>
      <c r="N178" s="424"/>
      <c r="O178" s="424"/>
      <c r="P178" s="427"/>
      <c r="Q178" s="427"/>
      <c r="R178" s="427"/>
      <c r="S178" s="427"/>
      <c r="T178" s="476"/>
      <c r="U178" s="345"/>
      <c r="V178" s="391"/>
      <c r="W178" s="388"/>
      <c r="X178" s="91" t="s">
        <v>1035</v>
      </c>
      <c r="Y178" s="101">
        <v>2</v>
      </c>
      <c r="Z178" s="95">
        <v>0</v>
      </c>
      <c r="AA178" s="95">
        <v>0</v>
      </c>
      <c r="AB178" s="95">
        <v>0</v>
      </c>
      <c r="AC178" s="131">
        <v>2</v>
      </c>
      <c r="AD178" s="225">
        <v>1</v>
      </c>
      <c r="AE178" s="97">
        <v>44531</v>
      </c>
      <c r="AF178" s="94" t="s">
        <v>439</v>
      </c>
      <c r="AG178" s="94" t="s">
        <v>436</v>
      </c>
      <c r="AH178" s="345"/>
      <c r="AI178" s="376"/>
      <c r="AJ178" s="376"/>
      <c r="AK178" s="376"/>
      <c r="AL178" s="376"/>
      <c r="AM178" s="376"/>
      <c r="AN178" s="376"/>
      <c r="AO178" s="345"/>
      <c r="AP178" s="345"/>
      <c r="AQ178" s="338"/>
      <c r="AR178" s="338"/>
      <c r="AS178" s="336"/>
      <c r="AT178" s="400"/>
      <c r="AU178" s="98"/>
      <c r="AV178" s="412"/>
      <c r="AW178" s="99">
        <v>8</v>
      </c>
      <c r="AX178" s="394"/>
    </row>
    <row r="179" spans="1:50" s="21" customFormat="1" ht="37.5" x14ac:dyDescent="0.35">
      <c r="A179" s="12"/>
      <c r="B179" s="222"/>
      <c r="C179" s="223"/>
      <c r="D179" s="223"/>
      <c r="E179" s="223"/>
      <c r="F179" s="223"/>
      <c r="G179" s="493" t="s">
        <v>90</v>
      </c>
      <c r="H179" s="494"/>
      <c r="I179" s="494"/>
      <c r="J179" s="494"/>
      <c r="K179" s="494"/>
      <c r="L179" s="494"/>
      <c r="M179" s="494"/>
      <c r="N179" s="494"/>
      <c r="O179" s="494"/>
      <c r="P179" s="495"/>
      <c r="Q179" s="317"/>
      <c r="R179" s="321">
        <f>+R176</f>
        <v>1</v>
      </c>
      <c r="S179" s="321"/>
      <c r="T179" s="321">
        <f>+T176</f>
        <v>0.38499999999999995</v>
      </c>
      <c r="U179" s="17"/>
      <c r="V179" s="24"/>
      <c r="W179" s="13"/>
      <c r="X179" s="15"/>
      <c r="Y179" s="22"/>
      <c r="Z179" s="23"/>
      <c r="AA179" s="23"/>
      <c r="AB179" s="23"/>
      <c r="AC179" s="132"/>
      <c r="AD179" s="231">
        <f>AVERAGE(AD176:AD178)</f>
        <v>1</v>
      </c>
      <c r="AE179" s="13"/>
      <c r="AF179" s="13"/>
      <c r="AG179" s="13"/>
      <c r="AH179" s="17"/>
      <c r="AI179" s="25"/>
      <c r="AJ179" s="25"/>
      <c r="AK179" s="25"/>
      <c r="AL179" s="25"/>
      <c r="AM179" s="25"/>
      <c r="AN179" s="25"/>
      <c r="AO179" s="17"/>
      <c r="AP179" s="17"/>
      <c r="AQ179" s="17"/>
      <c r="AR179" s="17"/>
      <c r="AS179" s="17"/>
      <c r="AT179" s="22"/>
      <c r="AU179" s="103"/>
      <c r="AV179" s="103"/>
      <c r="AW179" s="60"/>
      <c r="AX179" s="136"/>
    </row>
    <row r="180" spans="1:50" s="21" customFormat="1" ht="37.5" x14ac:dyDescent="0.35">
      <c r="A180" s="200"/>
      <c r="B180" s="493" t="s">
        <v>48</v>
      </c>
      <c r="C180" s="494"/>
      <c r="D180" s="494"/>
      <c r="E180" s="494"/>
      <c r="F180" s="494"/>
      <c r="G180" s="494"/>
      <c r="H180" s="494"/>
      <c r="I180" s="494"/>
      <c r="J180" s="494"/>
      <c r="K180" s="494"/>
      <c r="L180" s="494"/>
      <c r="M180" s="494"/>
      <c r="N180" s="494"/>
      <c r="O180" s="494"/>
      <c r="P180" s="495"/>
      <c r="Q180" s="319"/>
      <c r="R180" s="320">
        <f>+R179</f>
        <v>1</v>
      </c>
      <c r="S180" s="320"/>
      <c r="T180" s="320">
        <f>+T179</f>
        <v>0.38499999999999995</v>
      </c>
      <c r="U180" s="196"/>
      <c r="V180" s="214"/>
      <c r="W180" s="194"/>
      <c r="X180" s="15"/>
      <c r="Y180" s="22"/>
      <c r="Z180" s="23"/>
      <c r="AA180" s="23"/>
      <c r="AB180" s="23"/>
      <c r="AC180" s="132"/>
      <c r="AD180" s="132"/>
      <c r="AE180" s="13"/>
      <c r="AF180" s="194"/>
      <c r="AG180" s="194"/>
      <c r="AH180" s="196"/>
      <c r="AI180" s="25"/>
      <c r="AJ180" s="25"/>
      <c r="AK180" s="25"/>
      <c r="AL180" s="25"/>
      <c r="AM180" s="25"/>
      <c r="AN180" s="25"/>
      <c r="AO180" s="196"/>
      <c r="AP180" s="196"/>
      <c r="AQ180" s="196"/>
      <c r="AR180" s="196"/>
      <c r="AS180" s="196"/>
      <c r="AT180" s="213"/>
      <c r="AU180" s="103"/>
      <c r="AV180" s="216"/>
      <c r="AW180" s="60"/>
      <c r="AX180" s="217"/>
    </row>
    <row r="181" spans="1:50" s="100" customFormat="1" ht="75" customHeight="1" x14ac:dyDescent="0.35">
      <c r="A181" s="401" t="s">
        <v>47</v>
      </c>
      <c r="B181" s="401" t="s">
        <v>93</v>
      </c>
      <c r="C181" s="386" t="s">
        <v>94</v>
      </c>
      <c r="D181" s="386" t="s">
        <v>95</v>
      </c>
      <c r="E181" s="386" t="s">
        <v>96</v>
      </c>
      <c r="F181" s="407" t="s">
        <v>814</v>
      </c>
      <c r="G181" s="404" t="s">
        <v>97</v>
      </c>
      <c r="H181" s="395" t="s">
        <v>98</v>
      </c>
      <c r="I181" s="386" t="s">
        <v>99</v>
      </c>
      <c r="J181" s="395" t="s">
        <v>100</v>
      </c>
      <c r="K181" s="343">
        <v>2500</v>
      </c>
      <c r="L181" s="343">
        <v>650</v>
      </c>
      <c r="M181" s="343">
        <v>50</v>
      </c>
      <c r="N181" s="343">
        <v>59</v>
      </c>
      <c r="O181" s="343">
        <v>281</v>
      </c>
      <c r="P181" s="578">
        <v>1063</v>
      </c>
      <c r="Q181" s="609">
        <f>+P181+O181+N181+M181</f>
        <v>1453</v>
      </c>
      <c r="R181" s="610">
        <v>1</v>
      </c>
      <c r="S181" s="609">
        <f>380+Q181</f>
        <v>1833</v>
      </c>
      <c r="T181" s="470">
        <f>+S181/K181</f>
        <v>0.73319999999999996</v>
      </c>
      <c r="U181" s="343" t="s">
        <v>619</v>
      </c>
      <c r="V181" s="389">
        <v>2020130010116</v>
      </c>
      <c r="W181" s="386" t="s">
        <v>314</v>
      </c>
      <c r="X181" s="91" t="s">
        <v>315</v>
      </c>
      <c r="Y181" s="95">
        <v>400</v>
      </c>
      <c r="Z181" s="95">
        <v>50</v>
      </c>
      <c r="AA181" s="95">
        <v>100</v>
      </c>
      <c r="AB181" s="95">
        <v>281</v>
      </c>
      <c r="AC181" s="131">
        <v>58</v>
      </c>
      <c r="AD181" s="225">
        <v>1</v>
      </c>
      <c r="AE181" s="97">
        <v>44531</v>
      </c>
      <c r="AF181" s="386" t="s">
        <v>44</v>
      </c>
      <c r="AG181" s="386" t="s">
        <v>440</v>
      </c>
      <c r="AH181" s="343" t="s">
        <v>41</v>
      </c>
      <c r="AI181" s="42">
        <v>106600000</v>
      </c>
      <c r="AJ181" s="42"/>
      <c r="AK181" s="42"/>
      <c r="AL181" s="42"/>
      <c r="AM181" s="42"/>
      <c r="AN181" s="42"/>
      <c r="AO181" s="343" t="s">
        <v>1036</v>
      </c>
      <c r="AP181" s="343" t="s">
        <v>441</v>
      </c>
      <c r="AQ181" s="331">
        <v>252796854</v>
      </c>
      <c r="AR181" s="333">
        <v>120598000</v>
      </c>
      <c r="AS181" s="334">
        <f>+AR181/AQ181</f>
        <v>0.4770549874010695</v>
      </c>
      <c r="AT181" s="410" t="s">
        <v>635</v>
      </c>
      <c r="AU181" s="98"/>
      <c r="AV181" s="410" t="s">
        <v>1037</v>
      </c>
      <c r="AW181" s="99">
        <v>9</v>
      </c>
      <c r="AX181" s="582" t="s">
        <v>898</v>
      </c>
    </row>
    <row r="182" spans="1:50" s="100" customFormat="1" ht="30" customHeight="1" x14ac:dyDescent="0.35">
      <c r="A182" s="402"/>
      <c r="B182" s="402"/>
      <c r="C182" s="387"/>
      <c r="D182" s="387"/>
      <c r="E182" s="387"/>
      <c r="F182" s="408"/>
      <c r="G182" s="405"/>
      <c r="H182" s="396"/>
      <c r="I182" s="387"/>
      <c r="J182" s="396"/>
      <c r="K182" s="344"/>
      <c r="L182" s="344"/>
      <c r="M182" s="344"/>
      <c r="N182" s="344"/>
      <c r="O182" s="344"/>
      <c r="P182" s="583"/>
      <c r="Q182" s="609"/>
      <c r="R182" s="609"/>
      <c r="S182" s="609"/>
      <c r="T182" s="470"/>
      <c r="U182" s="344"/>
      <c r="V182" s="390"/>
      <c r="W182" s="387"/>
      <c r="X182" s="91" t="s">
        <v>1038</v>
      </c>
      <c r="Y182" s="95">
        <v>200</v>
      </c>
      <c r="Z182" s="95">
        <v>20</v>
      </c>
      <c r="AA182" s="95">
        <v>11</v>
      </c>
      <c r="AB182" s="95">
        <v>108</v>
      </c>
      <c r="AC182" s="131">
        <v>925</v>
      </c>
      <c r="AD182" s="225">
        <v>1</v>
      </c>
      <c r="AE182" s="97">
        <v>44531</v>
      </c>
      <c r="AF182" s="387"/>
      <c r="AG182" s="387"/>
      <c r="AH182" s="344"/>
      <c r="AI182" s="374">
        <v>146196854</v>
      </c>
      <c r="AJ182" s="374"/>
      <c r="AK182" s="374"/>
      <c r="AL182" s="160"/>
      <c r="AM182" s="160"/>
      <c r="AN182" s="374"/>
      <c r="AO182" s="344"/>
      <c r="AP182" s="344"/>
      <c r="AQ182" s="331"/>
      <c r="AR182" s="333"/>
      <c r="AS182" s="335"/>
      <c r="AT182" s="411"/>
      <c r="AU182" s="98"/>
      <c r="AV182" s="411"/>
      <c r="AW182" s="99">
        <v>10</v>
      </c>
      <c r="AX182" s="393"/>
    </row>
    <row r="183" spans="1:50" s="100" customFormat="1" ht="30" customHeight="1" x14ac:dyDescent="0.35">
      <c r="A183" s="402"/>
      <c r="B183" s="402"/>
      <c r="C183" s="387"/>
      <c r="D183" s="387"/>
      <c r="E183" s="387"/>
      <c r="F183" s="408"/>
      <c r="G183" s="405"/>
      <c r="H183" s="397"/>
      <c r="I183" s="388"/>
      <c r="J183" s="397"/>
      <c r="K183" s="345"/>
      <c r="L183" s="345"/>
      <c r="M183" s="345"/>
      <c r="N183" s="345"/>
      <c r="O183" s="345"/>
      <c r="P183" s="579"/>
      <c r="Q183" s="609"/>
      <c r="R183" s="609"/>
      <c r="S183" s="609"/>
      <c r="T183" s="470"/>
      <c r="U183" s="344"/>
      <c r="V183" s="390"/>
      <c r="W183" s="387"/>
      <c r="X183" s="91" t="s">
        <v>316</v>
      </c>
      <c r="Y183" s="95">
        <v>50</v>
      </c>
      <c r="Z183" s="95">
        <v>10</v>
      </c>
      <c r="AA183" s="95">
        <v>0</v>
      </c>
      <c r="AB183" s="95">
        <v>19</v>
      </c>
      <c r="AC183" s="131">
        <v>80</v>
      </c>
      <c r="AD183" s="225">
        <v>1</v>
      </c>
      <c r="AE183" s="97">
        <v>44531</v>
      </c>
      <c r="AF183" s="387"/>
      <c r="AG183" s="387"/>
      <c r="AH183" s="344"/>
      <c r="AI183" s="375"/>
      <c r="AJ183" s="375"/>
      <c r="AK183" s="375"/>
      <c r="AL183" s="161"/>
      <c r="AM183" s="161"/>
      <c r="AN183" s="375"/>
      <c r="AO183" s="344"/>
      <c r="AP183" s="344"/>
      <c r="AQ183" s="331"/>
      <c r="AR183" s="333"/>
      <c r="AS183" s="335"/>
      <c r="AT183" s="411"/>
      <c r="AU183" s="98"/>
      <c r="AV183" s="411"/>
      <c r="AW183" s="99">
        <v>11</v>
      </c>
      <c r="AX183" s="393"/>
    </row>
    <row r="184" spans="1:50" s="100" customFormat="1" ht="60" customHeight="1" x14ac:dyDescent="0.35">
      <c r="A184" s="403"/>
      <c r="B184" s="403"/>
      <c r="C184" s="388"/>
      <c r="D184" s="388"/>
      <c r="E184" s="388"/>
      <c r="F184" s="409"/>
      <c r="G184" s="406"/>
      <c r="H184" s="91" t="s">
        <v>101</v>
      </c>
      <c r="I184" s="94" t="s">
        <v>29</v>
      </c>
      <c r="J184" s="91" t="s">
        <v>102</v>
      </c>
      <c r="K184" s="101">
        <v>500</v>
      </c>
      <c r="L184" s="102">
        <v>150</v>
      </c>
      <c r="M184" s="95">
        <v>2</v>
      </c>
      <c r="N184" s="95">
        <v>7</v>
      </c>
      <c r="O184" s="95">
        <v>100</v>
      </c>
      <c r="P184" s="313">
        <v>179</v>
      </c>
      <c r="Q184" s="322">
        <f>+P184+O184+N184+M184</f>
        <v>288</v>
      </c>
      <c r="R184" s="323">
        <v>1</v>
      </c>
      <c r="S184" s="322">
        <f>150+Q184</f>
        <v>438</v>
      </c>
      <c r="T184" s="293">
        <f>+S184/K184</f>
        <v>0.876</v>
      </c>
      <c r="U184" s="345"/>
      <c r="V184" s="391"/>
      <c r="W184" s="388"/>
      <c r="X184" s="91" t="s">
        <v>317</v>
      </c>
      <c r="Y184" s="95">
        <v>150</v>
      </c>
      <c r="Z184" s="95">
        <v>20</v>
      </c>
      <c r="AA184" s="95">
        <v>7</v>
      </c>
      <c r="AB184" s="95">
        <v>100</v>
      </c>
      <c r="AC184" s="131">
        <v>179</v>
      </c>
      <c r="AD184" s="225">
        <v>1</v>
      </c>
      <c r="AE184" s="97">
        <v>44531</v>
      </c>
      <c r="AF184" s="388"/>
      <c r="AG184" s="388"/>
      <c r="AH184" s="345"/>
      <c r="AI184" s="376"/>
      <c r="AJ184" s="376"/>
      <c r="AK184" s="376"/>
      <c r="AL184" s="162"/>
      <c r="AM184" s="162"/>
      <c r="AN184" s="376"/>
      <c r="AO184" s="345"/>
      <c r="AP184" s="345"/>
      <c r="AQ184" s="332"/>
      <c r="AR184" s="333"/>
      <c r="AS184" s="336"/>
      <c r="AT184" s="412"/>
      <c r="AU184" s="98"/>
      <c r="AV184" s="412"/>
      <c r="AW184" s="99">
        <v>12</v>
      </c>
      <c r="AX184" s="394"/>
    </row>
    <row r="185" spans="1:50" s="21" customFormat="1" ht="69" customHeight="1" x14ac:dyDescent="0.35">
      <c r="A185" s="12"/>
      <c r="B185" s="12"/>
      <c r="C185" s="13"/>
      <c r="D185" s="13"/>
      <c r="E185" s="26"/>
      <c r="F185" s="155"/>
      <c r="G185" s="493" t="s">
        <v>97</v>
      </c>
      <c r="H185" s="494"/>
      <c r="I185" s="494"/>
      <c r="J185" s="494"/>
      <c r="K185" s="494"/>
      <c r="L185" s="494"/>
      <c r="M185" s="494"/>
      <c r="N185" s="494"/>
      <c r="O185" s="494"/>
      <c r="P185" s="495"/>
      <c r="Q185" s="317"/>
      <c r="R185" s="321">
        <f>AVERAGE(R181:R184)</f>
        <v>1</v>
      </c>
      <c r="S185" s="321"/>
      <c r="T185" s="321">
        <f>AVERAGE(T181:T184)</f>
        <v>0.80459999999999998</v>
      </c>
      <c r="U185" s="17"/>
      <c r="V185" s="24"/>
      <c r="W185" s="13"/>
      <c r="X185" s="15"/>
      <c r="Y185" s="22"/>
      <c r="Z185" s="23"/>
      <c r="AA185" s="23"/>
      <c r="AB185" s="23"/>
      <c r="AC185" s="132"/>
      <c r="AD185" s="231">
        <v>1</v>
      </c>
      <c r="AE185" s="13"/>
      <c r="AF185" s="13"/>
      <c r="AG185" s="13"/>
      <c r="AH185" s="17"/>
      <c r="AI185" s="25"/>
      <c r="AJ185" s="25"/>
      <c r="AK185" s="25"/>
      <c r="AL185" s="25"/>
      <c r="AM185" s="25"/>
      <c r="AN185" s="25"/>
      <c r="AO185" s="17"/>
      <c r="AP185" s="17"/>
      <c r="AQ185" s="17"/>
      <c r="AR185" s="17"/>
      <c r="AS185" s="17"/>
      <c r="AT185" s="22"/>
      <c r="AU185" s="103"/>
      <c r="AV185" s="103"/>
      <c r="AW185" s="60"/>
      <c r="AX185" s="136"/>
    </row>
    <row r="186" spans="1:50" s="21" customFormat="1" ht="72" customHeight="1" x14ac:dyDescent="0.35">
      <c r="A186" s="200"/>
      <c r="B186" s="493" t="s">
        <v>93</v>
      </c>
      <c r="C186" s="494"/>
      <c r="D186" s="494"/>
      <c r="E186" s="494"/>
      <c r="F186" s="494"/>
      <c r="G186" s="494"/>
      <c r="H186" s="494"/>
      <c r="I186" s="494"/>
      <c r="J186" s="494"/>
      <c r="K186" s="494"/>
      <c r="L186" s="494"/>
      <c r="M186" s="494"/>
      <c r="N186" s="494"/>
      <c r="O186" s="494"/>
      <c r="P186" s="495"/>
      <c r="Q186" s="319"/>
      <c r="R186" s="321">
        <f>AVERAGE(R182:R185)</f>
        <v>1</v>
      </c>
      <c r="S186" s="319"/>
      <c r="T186" s="321">
        <f>AVERAGE(T182:T185)</f>
        <v>0.84030000000000005</v>
      </c>
      <c r="U186" s="196"/>
      <c r="V186" s="214"/>
      <c r="W186" s="194"/>
      <c r="X186" s="15"/>
      <c r="Y186" s="22"/>
      <c r="Z186" s="23"/>
      <c r="AA186" s="23"/>
      <c r="AB186" s="23"/>
      <c r="AC186" s="132"/>
      <c r="AD186" s="132"/>
      <c r="AE186" s="13"/>
      <c r="AF186" s="194"/>
      <c r="AG186" s="194"/>
      <c r="AH186" s="196"/>
      <c r="AI186" s="215"/>
      <c r="AJ186" s="215"/>
      <c r="AK186" s="215"/>
      <c r="AL186" s="215"/>
      <c r="AM186" s="215"/>
      <c r="AN186" s="215"/>
      <c r="AO186" s="196"/>
      <c r="AP186" s="196"/>
      <c r="AQ186" s="196"/>
      <c r="AR186" s="196"/>
      <c r="AS186" s="196"/>
      <c r="AT186" s="213"/>
      <c r="AU186" s="103"/>
      <c r="AV186" s="216"/>
      <c r="AW186" s="60"/>
      <c r="AX186" s="217"/>
    </row>
    <row r="187" spans="1:50" s="100" customFormat="1" ht="45" customHeight="1" x14ac:dyDescent="0.35">
      <c r="A187" s="401" t="s">
        <v>129</v>
      </c>
      <c r="B187" s="401" t="s">
        <v>130</v>
      </c>
      <c r="C187" s="386" t="s">
        <v>131</v>
      </c>
      <c r="D187" s="386" t="s">
        <v>29</v>
      </c>
      <c r="E187" s="386" t="s">
        <v>132</v>
      </c>
      <c r="F187" s="407"/>
      <c r="G187" s="404" t="s">
        <v>133</v>
      </c>
      <c r="H187" s="395" t="s">
        <v>134</v>
      </c>
      <c r="I187" s="386">
        <v>0</v>
      </c>
      <c r="J187" s="395" t="s">
        <v>135</v>
      </c>
      <c r="K187" s="343">
        <v>15</v>
      </c>
      <c r="L187" s="343">
        <v>5</v>
      </c>
      <c r="M187" s="343">
        <v>2</v>
      </c>
      <c r="N187" s="343">
        <v>0.3</v>
      </c>
      <c r="O187" s="343">
        <v>0.5</v>
      </c>
      <c r="P187" s="578">
        <v>5</v>
      </c>
      <c r="Q187" s="578">
        <f>+P187+O187+N187+M187</f>
        <v>7.8</v>
      </c>
      <c r="R187" s="581">
        <v>1</v>
      </c>
      <c r="S187" s="578">
        <f>1.5+Q187</f>
        <v>9.3000000000000007</v>
      </c>
      <c r="T187" s="474">
        <f>+S187/K187</f>
        <v>0.62</v>
      </c>
      <c r="U187" s="343" t="s">
        <v>327</v>
      </c>
      <c r="V187" s="389">
        <v>2020130010118</v>
      </c>
      <c r="W187" s="386" t="s">
        <v>328</v>
      </c>
      <c r="X187" s="91" t="s">
        <v>329</v>
      </c>
      <c r="Y187" s="101">
        <v>5</v>
      </c>
      <c r="Z187" s="95">
        <v>1</v>
      </c>
      <c r="AA187" s="95">
        <v>2</v>
      </c>
      <c r="AB187" s="95">
        <v>5</v>
      </c>
      <c r="AC187" s="131">
        <v>5</v>
      </c>
      <c r="AD187" s="225">
        <v>1</v>
      </c>
      <c r="AE187" s="97">
        <v>44531</v>
      </c>
      <c r="AF187" s="386" t="s">
        <v>44</v>
      </c>
      <c r="AG187" s="386" t="s">
        <v>443</v>
      </c>
      <c r="AH187" s="343" t="s">
        <v>41</v>
      </c>
      <c r="AI187" s="374">
        <f>64080317</f>
        <v>64080317</v>
      </c>
      <c r="AJ187" s="374"/>
      <c r="AK187" s="374"/>
      <c r="AL187" s="160"/>
      <c r="AM187" s="160"/>
      <c r="AN187" s="374"/>
      <c r="AO187" s="343" t="s">
        <v>444</v>
      </c>
      <c r="AP187" s="343" t="s">
        <v>445</v>
      </c>
      <c r="AQ187" s="331">
        <v>64080317</v>
      </c>
      <c r="AR187" s="331">
        <v>61000000</v>
      </c>
      <c r="AS187" s="334">
        <f>+AR187/AQ187</f>
        <v>0.95193037200487007</v>
      </c>
      <c r="AT187" s="398" t="s">
        <v>634</v>
      </c>
      <c r="AU187" s="98"/>
      <c r="AV187" s="410" t="s">
        <v>1039</v>
      </c>
      <c r="AW187" s="99">
        <v>13</v>
      </c>
      <c r="AX187" s="582" t="s">
        <v>899</v>
      </c>
    </row>
    <row r="188" spans="1:50" s="100" customFormat="1" ht="45" customHeight="1" x14ac:dyDescent="0.35">
      <c r="A188" s="402"/>
      <c r="B188" s="402"/>
      <c r="C188" s="387"/>
      <c r="D188" s="387"/>
      <c r="E188" s="387"/>
      <c r="F188" s="408"/>
      <c r="G188" s="405"/>
      <c r="H188" s="396"/>
      <c r="I188" s="387"/>
      <c r="J188" s="396"/>
      <c r="K188" s="344"/>
      <c r="L188" s="344"/>
      <c r="M188" s="344"/>
      <c r="N188" s="344"/>
      <c r="O188" s="344"/>
      <c r="P188" s="583"/>
      <c r="Q188" s="583"/>
      <c r="R188" s="583"/>
      <c r="S188" s="583"/>
      <c r="T188" s="475"/>
      <c r="U188" s="344"/>
      <c r="V188" s="390"/>
      <c r="W188" s="387"/>
      <c r="X188" s="91" t="s">
        <v>1040</v>
      </c>
      <c r="Y188" s="101">
        <v>5</v>
      </c>
      <c r="Z188" s="95">
        <v>1</v>
      </c>
      <c r="AA188" s="95">
        <v>1</v>
      </c>
      <c r="AB188" s="95">
        <v>5</v>
      </c>
      <c r="AC188" s="131">
        <v>2</v>
      </c>
      <c r="AD188" s="225">
        <v>1</v>
      </c>
      <c r="AE188" s="97">
        <v>44531</v>
      </c>
      <c r="AF188" s="387"/>
      <c r="AG188" s="387"/>
      <c r="AH188" s="344"/>
      <c r="AI188" s="375"/>
      <c r="AJ188" s="375"/>
      <c r="AK188" s="375"/>
      <c r="AL188" s="161"/>
      <c r="AM188" s="161"/>
      <c r="AN188" s="375"/>
      <c r="AO188" s="344"/>
      <c r="AP188" s="344"/>
      <c r="AQ188" s="331"/>
      <c r="AR188" s="331"/>
      <c r="AS188" s="335"/>
      <c r="AT188" s="399"/>
      <c r="AU188" s="98"/>
      <c r="AV188" s="411"/>
      <c r="AW188" s="99">
        <v>14</v>
      </c>
      <c r="AX188" s="393"/>
    </row>
    <row r="189" spans="1:50" s="100" customFormat="1" ht="60" customHeight="1" x14ac:dyDescent="0.35">
      <c r="A189" s="403"/>
      <c r="B189" s="403"/>
      <c r="C189" s="388"/>
      <c r="D189" s="388"/>
      <c r="E189" s="388"/>
      <c r="F189" s="409"/>
      <c r="G189" s="406"/>
      <c r="H189" s="397"/>
      <c r="I189" s="388"/>
      <c r="J189" s="397"/>
      <c r="K189" s="345"/>
      <c r="L189" s="345"/>
      <c r="M189" s="345"/>
      <c r="N189" s="345"/>
      <c r="O189" s="345"/>
      <c r="P189" s="579"/>
      <c r="Q189" s="579"/>
      <c r="R189" s="579"/>
      <c r="S189" s="579"/>
      <c r="T189" s="476"/>
      <c r="U189" s="345"/>
      <c r="V189" s="391"/>
      <c r="W189" s="388"/>
      <c r="X189" s="91" t="s">
        <v>330</v>
      </c>
      <c r="Y189" s="101">
        <v>5</v>
      </c>
      <c r="Z189" s="95">
        <v>0</v>
      </c>
      <c r="AA189" s="95">
        <v>1</v>
      </c>
      <c r="AB189" s="95">
        <v>0</v>
      </c>
      <c r="AC189" s="131">
        <v>5</v>
      </c>
      <c r="AD189" s="225">
        <v>1</v>
      </c>
      <c r="AE189" s="97">
        <v>44531</v>
      </c>
      <c r="AF189" s="388"/>
      <c r="AG189" s="388"/>
      <c r="AH189" s="345"/>
      <c r="AI189" s="376"/>
      <c r="AJ189" s="376"/>
      <c r="AK189" s="376"/>
      <c r="AL189" s="162"/>
      <c r="AM189" s="162"/>
      <c r="AN189" s="376"/>
      <c r="AO189" s="345"/>
      <c r="AP189" s="345"/>
      <c r="AQ189" s="332"/>
      <c r="AR189" s="332"/>
      <c r="AS189" s="336"/>
      <c r="AT189" s="400"/>
      <c r="AU189" s="98"/>
      <c r="AV189" s="412"/>
      <c r="AW189" s="99">
        <v>15</v>
      </c>
      <c r="AX189" s="394"/>
    </row>
    <row r="190" spans="1:50" s="21" customFormat="1" ht="91.5" customHeight="1" x14ac:dyDescent="0.35">
      <c r="A190" s="12"/>
      <c r="B190" s="222"/>
      <c r="C190" s="223"/>
      <c r="D190" s="223"/>
      <c r="E190" s="223"/>
      <c r="F190" s="223"/>
      <c r="G190" s="493" t="s">
        <v>133</v>
      </c>
      <c r="H190" s="494"/>
      <c r="I190" s="494"/>
      <c r="J190" s="494"/>
      <c r="K190" s="494"/>
      <c r="L190" s="494"/>
      <c r="M190" s="494"/>
      <c r="N190" s="494"/>
      <c r="O190" s="494"/>
      <c r="P190" s="495"/>
      <c r="Q190" s="317"/>
      <c r="R190" s="318">
        <f>+R187</f>
        <v>1</v>
      </c>
      <c r="S190" s="318"/>
      <c r="T190" s="318">
        <f>+T187</f>
        <v>0.62</v>
      </c>
      <c r="U190" s="17"/>
      <c r="V190" s="27"/>
      <c r="W190" s="13"/>
      <c r="X190" s="15"/>
      <c r="Y190" s="22"/>
      <c r="Z190" s="23"/>
      <c r="AA190" s="23"/>
      <c r="AB190" s="23"/>
      <c r="AC190" s="132"/>
      <c r="AD190" s="231">
        <v>1</v>
      </c>
      <c r="AE190" s="28"/>
      <c r="AF190" s="13"/>
      <c r="AG190" s="13"/>
      <c r="AH190" s="17"/>
      <c r="AI190" s="25"/>
      <c r="AJ190" s="25"/>
      <c r="AK190" s="25"/>
      <c r="AL190" s="25"/>
      <c r="AM190" s="25"/>
      <c r="AN190" s="25"/>
      <c r="AO190" s="17"/>
      <c r="AP190" s="17"/>
      <c r="AQ190" s="17"/>
      <c r="AR190" s="17"/>
      <c r="AS190" s="17"/>
      <c r="AT190" s="22"/>
      <c r="AU190" s="103"/>
      <c r="AV190" s="103"/>
      <c r="AW190" s="60"/>
      <c r="AX190" s="136"/>
    </row>
    <row r="191" spans="1:50" s="21" customFormat="1" ht="67.5" customHeight="1" x14ac:dyDescent="0.35">
      <c r="A191" s="12"/>
      <c r="B191" s="493" t="s">
        <v>130</v>
      </c>
      <c r="C191" s="494"/>
      <c r="D191" s="494"/>
      <c r="E191" s="494"/>
      <c r="F191" s="494"/>
      <c r="G191" s="494"/>
      <c r="H191" s="494"/>
      <c r="I191" s="494"/>
      <c r="J191" s="494"/>
      <c r="K191" s="494"/>
      <c r="L191" s="494"/>
      <c r="M191" s="494"/>
      <c r="N191" s="494"/>
      <c r="O191" s="494"/>
      <c r="P191" s="495"/>
      <c r="Q191" s="317"/>
      <c r="R191" s="318">
        <f>+R190</f>
        <v>1</v>
      </c>
      <c r="S191" s="317"/>
      <c r="T191" s="318">
        <f>+T190</f>
        <v>0.62</v>
      </c>
      <c r="U191" s="17"/>
      <c r="V191" s="27"/>
      <c r="W191" s="13"/>
      <c r="X191" s="15"/>
      <c r="Y191" s="22"/>
      <c r="Z191" s="23"/>
      <c r="AA191" s="23"/>
      <c r="AB191" s="23"/>
      <c r="AC191" s="132"/>
      <c r="AD191" s="132"/>
      <c r="AE191" s="28"/>
      <c r="AF191" s="13"/>
      <c r="AG191" s="13"/>
      <c r="AH191" s="17"/>
      <c r="AI191" s="25"/>
      <c r="AJ191" s="25"/>
      <c r="AK191" s="25"/>
      <c r="AL191" s="25"/>
      <c r="AM191" s="25"/>
      <c r="AN191" s="25"/>
      <c r="AO191" s="17"/>
      <c r="AP191" s="17"/>
      <c r="AQ191" s="17"/>
      <c r="AR191" s="17"/>
      <c r="AS191" s="17"/>
      <c r="AT191" s="22"/>
      <c r="AU191" s="103"/>
      <c r="AV191" s="103"/>
      <c r="AW191" s="60"/>
      <c r="AX191" s="136"/>
    </row>
    <row r="192" spans="1:50" s="100" customFormat="1" ht="409.5" x14ac:dyDescent="0.35">
      <c r="A192" s="104" t="s">
        <v>129</v>
      </c>
      <c r="B192" s="104" t="s">
        <v>130</v>
      </c>
      <c r="C192" s="94" t="s">
        <v>131</v>
      </c>
      <c r="D192" s="94" t="s">
        <v>29</v>
      </c>
      <c r="E192" s="94" t="s">
        <v>132</v>
      </c>
      <c r="F192" s="156"/>
      <c r="G192" s="115" t="s">
        <v>136</v>
      </c>
      <c r="H192" s="91" t="s">
        <v>137</v>
      </c>
      <c r="I192" s="95">
        <v>0</v>
      </c>
      <c r="J192" s="91" t="s">
        <v>138</v>
      </c>
      <c r="K192" s="101">
        <v>48</v>
      </c>
      <c r="L192" s="95">
        <v>14</v>
      </c>
      <c r="M192" s="102">
        <v>0</v>
      </c>
      <c r="N192" s="102">
        <v>0.3</v>
      </c>
      <c r="O192" s="102">
        <v>0.5</v>
      </c>
      <c r="P192" s="313">
        <v>24</v>
      </c>
      <c r="Q192" s="324">
        <f>+P192+O192+N192</f>
        <v>24.8</v>
      </c>
      <c r="R192" s="235">
        <v>1</v>
      </c>
      <c r="S192" s="324">
        <f>20+Q192</f>
        <v>44.8</v>
      </c>
      <c r="T192" s="240">
        <f>+S192/K192</f>
        <v>0.93333333333333324</v>
      </c>
      <c r="U192" s="95" t="s">
        <v>564</v>
      </c>
      <c r="V192" s="96">
        <v>2020130010316</v>
      </c>
      <c r="W192" s="94" t="s">
        <v>331</v>
      </c>
      <c r="X192" s="91" t="s">
        <v>627</v>
      </c>
      <c r="Y192" s="101">
        <v>12</v>
      </c>
      <c r="Z192" s="95">
        <v>0.3</v>
      </c>
      <c r="AA192" s="95">
        <v>0.3</v>
      </c>
      <c r="AB192" s="95">
        <v>0.3</v>
      </c>
      <c r="AC192" s="129">
        <v>24</v>
      </c>
      <c r="AD192" s="225">
        <v>1</v>
      </c>
      <c r="AE192" s="97">
        <v>44531</v>
      </c>
      <c r="AF192" s="105" t="s">
        <v>446</v>
      </c>
      <c r="AG192" s="94" t="s">
        <v>447</v>
      </c>
      <c r="AH192" s="95" t="s">
        <v>41</v>
      </c>
      <c r="AI192" s="42">
        <v>79908156</v>
      </c>
      <c r="AJ192" s="42"/>
      <c r="AK192" s="42"/>
      <c r="AL192" s="42"/>
      <c r="AM192" s="42"/>
      <c r="AN192" s="42"/>
      <c r="AO192" s="95" t="s">
        <v>448</v>
      </c>
      <c r="AP192" s="95" t="s">
        <v>449</v>
      </c>
      <c r="AQ192" s="274">
        <v>79908156</v>
      </c>
      <c r="AR192" s="274">
        <v>79400000</v>
      </c>
      <c r="AS192" s="233">
        <f>+AR192/AQ192</f>
        <v>0.99364074926219048</v>
      </c>
      <c r="AT192" s="89" t="s">
        <v>633</v>
      </c>
      <c r="AU192" s="98"/>
      <c r="AV192" s="98" t="s">
        <v>1041</v>
      </c>
      <c r="AW192" s="99">
        <v>16</v>
      </c>
      <c r="AX192" s="260" t="s">
        <v>1043</v>
      </c>
    </row>
    <row r="193" spans="1:50" s="21" customFormat="1" ht="37.5" x14ac:dyDescent="0.35">
      <c r="A193" s="12"/>
      <c r="B193" s="220"/>
      <c r="C193" s="221"/>
      <c r="D193" s="221"/>
      <c r="E193" s="221"/>
      <c r="F193" s="221"/>
      <c r="G193" s="493" t="s">
        <v>136</v>
      </c>
      <c r="H193" s="494"/>
      <c r="I193" s="494"/>
      <c r="J193" s="494"/>
      <c r="K193" s="494"/>
      <c r="L193" s="494"/>
      <c r="M193" s="494"/>
      <c r="N193" s="494"/>
      <c r="O193" s="494"/>
      <c r="P193" s="495"/>
      <c r="Q193" s="317"/>
      <c r="R193" s="321">
        <f>+R192</f>
        <v>1</v>
      </c>
      <c r="S193" s="321"/>
      <c r="T193" s="321">
        <f>+T192</f>
        <v>0.93333333333333324</v>
      </c>
      <c r="U193" s="17"/>
      <c r="V193" s="24"/>
      <c r="W193" s="13"/>
      <c r="X193" s="15"/>
      <c r="Y193" s="22"/>
      <c r="Z193" s="23"/>
      <c r="AA193" s="23"/>
      <c r="AB193" s="23"/>
      <c r="AC193" s="132"/>
      <c r="AD193" s="231">
        <v>1</v>
      </c>
      <c r="AE193" s="28"/>
      <c r="AF193" s="13"/>
      <c r="AG193" s="13"/>
      <c r="AH193" s="17"/>
      <c r="AI193" s="25"/>
      <c r="AJ193" s="25"/>
      <c r="AK193" s="25"/>
      <c r="AL193" s="25"/>
      <c r="AM193" s="25"/>
      <c r="AN193" s="25"/>
      <c r="AO193" s="17"/>
      <c r="AP193" s="17"/>
      <c r="AQ193" s="17"/>
      <c r="AR193" s="17"/>
      <c r="AS193" s="17"/>
      <c r="AT193" s="22"/>
      <c r="AU193" s="103"/>
      <c r="AV193" s="103"/>
      <c r="AW193" s="60"/>
      <c r="AX193" s="136"/>
    </row>
    <row r="194" spans="1:50" s="21" customFormat="1" ht="66" customHeight="1" x14ac:dyDescent="0.35">
      <c r="A194" s="200"/>
      <c r="B194" s="595" t="s">
        <v>130</v>
      </c>
      <c r="C194" s="596"/>
      <c r="D194" s="596"/>
      <c r="E194" s="596"/>
      <c r="F194" s="596"/>
      <c r="G194" s="596"/>
      <c r="H194" s="596"/>
      <c r="I194" s="596"/>
      <c r="J194" s="596"/>
      <c r="K194" s="596"/>
      <c r="L194" s="596"/>
      <c r="M194" s="596"/>
      <c r="N194" s="596"/>
      <c r="O194" s="596"/>
      <c r="P194" s="597"/>
      <c r="Q194" s="319"/>
      <c r="R194" s="321">
        <f>+R193</f>
        <v>1</v>
      </c>
      <c r="S194" s="320"/>
      <c r="T194" s="321">
        <f>+T193</f>
        <v>0.93333333333333324</v>
      </c>
      <c r="U194" s="196"/>
      <c r="V194" s="214"/>
      <c r="W194" s="194"/>
      <c r="X194" s="15"/>
      <c r="Y194" s="22"/>
      <c r="Z194" s="23"/>
      <c r="AA194" s="23"/>
      <c r="AB194" s="23"/>
      <c r="AC194" s="132"/>
      <c r="AD194" s="132"/>
      <c r="AE194" s="28"/>
      <c r="AF194" s="13"/>
      <c r="AG194" s="194"/>
      <c r="AH194" s="196"/>
      <c r="AI194" s="215"/>
      <c r="AJ194" s="215"/>
      <c r="AK194" s="215"/>
      <c r="AL194" s="215"/>
      <c r="AM194" s="215"/>
      <c r="AN194" s="215"/>
      <c r="AO194" s="196"/>
      <c r="AP194" s="196"/>
      <c r="AQ194" s="196"/>
      <c r="AR194" s="196"/>
      <c r="AS194" s="196"/>
      <c r="AT194" s="213"/>
      <c r="AU194" s="103"/>
      <c r="AV194" s="216"/>
      <c r="AW194" s="60"/>
      <c r="AX194" s="217"/>
    </row>
    <row r="195" spans="1:50" s="100" customFormat="1" ht="72.75" customHeight="1" x14ac:dyDescent="0.35">
      <c r="A195" s="401" t="s">
        <v>565</v>
      </c>
      <c r="B195" s="401" t="s">
        <v>566</v>
      </c>
      <c r="C195" s="386" t="s">
        <v>567</v>
      </c>
      <c r="D195" s="386">
        <v>274</v>
      </c>
      <c r="E195" s="386" t="s">
        <v>568</v>
      </c>
      <c r="F195" s="407"/>
      <c r="G195" s="404" t="s">
        <v>24</v>
      </c>
      <c r="H195" s="386" t="s">
        <v>602</v>
      </c>
      <c r="I195" s="386">
        <v>274</v>
      </c>
      <c r="J195" s="91" t="s">
        <v>601</v>
      </c>
      <c r="K195" s="386">
        <v>274</v>
      </c>
      <c r="L195" s="343">
        <v>91</v>
      </c>
      <c r="M195" s="343">
        <v>0</v>
      </c>
      <c r="N195" s="343">
        <v>0.3</v>
      </c>
      <c r="O195" s="343">
        <v>1</v>
      </c>
      <c r="P195" s="578">
        <v>30</v>
      </c>
      <c r="Q195" s="325"/>
      <c r="R195" s="325"/>
      <c r="S195" s="325"/>
      <c r="T195" s="325"/>
      <c r="U195" s="386" t="s">
        <v>569</v>
      </c>
      <c r="V195" s="389">
        <v>2020130010330</v>
      </c>
      <c r="W195" s="386" t="s">
        <v>570</v>
      </c>
      <c r="X195" s="91" t="s">
        <v>625</v>
      </c>
      <c r="Y195" s="95">
        <v>247</v>
      </c>
      <c r="Z195" s="95">
        <v>0</v>
      </c>
      <c r="AA195" s="95">
        <v>0.3</v>
      </c>
      <c r="AB195" s="95">
        <v>0.3</v>
      </c>
      <c r="AC195" s="82">
        <v>30</v>
      </c>
      <c r="AD195" s="82"/>
      <c r="AE195" s="94">
        <v>0</v>
      </c>
      <c r="AF195" s="94" t="s">
        <v>571</v>
      </c>
      <c r="AG195" s="386" t="s">
        <v>40</v>
      </c>
      <c r="AH195" s="343" t="s">
        <v>41</v>
      </c>
      <c r="AI195" s="374">
        <v>350000000</v>
      </c>
      <c r="AJ195" s="392"/>
      <c r="AK195" s="392"/>
      <c r="AL195" s="166"/>
      <c r="AM195" s="166"/>
      <c r="AN195" s="392"/>
      <c r="AO195" s="386" t="s">
        <v>572</v>
      </c>
      <c r="AP195" s="343" t="s">
        <v>573</v>
      </c>
      <c r="AQ195" s="163"/>
      <c r="AR195" s="163"/>
      <c r="AS195" s="163"/>
      <c r="AT195" s="395" t="s">
        <v>632</v>
      </c>
      <c r="AU195" s="98"/>
      <c r="AV195" s="410" t="s">
        <v>1042</v>
      </c>
      <c r="AW195" s="106">
        <v>17</v>
      </c>
      <c r="AX195" s="582" t="s">
        <v>900</v>
      </c>
    </row>
    <row r="196" spans="1:50" s="100" customFormat="1" ht="48" customHeight="1" x14ac:dyDescent="0.35">
      <c r="A196" s="402"/>
      <c r="B196" s="402"/>
      <c r="C196" s="387"/>
      <c r="D196" s="387"/>
      <c r="E196" s="387"/>
      <c r="F196" s="408"/>
      <c r="G196" s="405"/>
      <c r="H196" s="387"/>
      <c r="I196" s="387"/>
      <c r="J196" s="105" t="s">
        <v>600</v>
      </c>
      <c r="K196" s="387"/>
      <c r="L196" s="344"/>
      <c r="M196" s="344"/>
      <c r="N196" s="344"/>
      <c r="O196" s="344"/>
      <c r="P196" s="583"/>
      <c r="Q196" s="326"/>
      <c r="R196" s="326"/>
      <c r="S196" s="326"/>
      <c r="T196" s="326"/>
      <c r="U196" s="387"/>
      <c r="V196" s="390"/>
      <c r="W196" s="387"/>
      <c r="X196" s="105" t="s">
        <v>624</v>
      </c>
      <c r="Y196" s="95">
        <v>247</v>
      </c>
      <c r="Z196" s="95">
        <v>0</v>
      </c>
      <c r="AA196" s="95">
        <v>0</v>
      </c>
      <c r="AB196" s="95">
        <v>1</v>
      </c>
      <c r="AC196" s="82">
        <v>2</v>
      </c>
      <c r="AD196" s="82"/>
      <c r="AE196" s="107">
        <v>0</v>
      </c>
      <c r="AF196" s="94" t="s">
        <v>571</v>
      </c>
      <c r="AG196" s="387"/>
      <c r="AH196" s="344"/>
      <c r="AI196" s="375"/>
      <c r="AJ196" s="393"/>
      <c r="AK196" s="393"/>
      <c r="AL196" s="167"/>
      <c r="AM196" s="167"/>
      <c r="AN196" s="393"/>
      <c r="AO196" s="387"/>
      <c r="AP196" s="344"/>
      <c r="AQ196" s="164"/>
      <c r="AR196" s="164"/>
      <c r="AS196" s="164"/>
      <c r="AT196" s="396"/>
      <c r="AU196" s="98"/>
      <c r="AV196" s="411"/>
      <c r="AW196" s="106">
        <v>18</v>
      </c>
      <c r="AX196" s="393"/>
    </row>
    <row r="197" spans="1:50" s="100" customFormat="1" ht="77.5" x14ac:dyDescent="0.35">
      <c r="A197" s="403"/>
      <c r="B197" s="403"/>
      <c r="C197" s="388"/>
      <c r="D197" s="388"/>
      <c r="E197" s="388"/>
      <c r="F197" s="409"/>
      <c r="G197" s="406"/>
      <c r="H197" s="388"/>
      <c r="I197" s="388"/>
      <c r="J197" s="105" t="s">
        <v>599</v>
      </c>
      <c r="K197" s="388"/>
      <c r="L197" s="345"/>
      <c r="M197" s="345"/>
      <c r="N197" s="345"/>
      <c r="O197" s="345"/>
      <c r="P197" s="579"/>
      <c r="Q197" s="327"/>
      <c r="R197" s="327"/>
      <c r="S197" s="327"/>
      <c r="T197" s="327"/>
      <c r="U197" s="388"/>
      <c r="V197" s="391"/>
      <c r="W197" s="388"/>
      <c r="X197" s="105" t="s">
        <v>626</v>
      </c>
      <c r="Y197" s="95">
        <v>247</v>
      </c>
      <c r="Z197" s="95">
        <v>0</v>
      </c>
      <c r="AA197" s="95">
        <v>0.3</v>
      </c>
      <c r="AB197" s="95">
        <v>1</v>
      </c>
      <c r="AC197" s="82">
        <v>2</v>
      </c>
      <c r="AD197" s="82"/>
      <c r="AE197" s="107">
        <v>0</v>
      </c>
      <c r="AF197" s="94" t="s">
        <v>571</v>
      </c>
      <c r="AG197" s="388"/>
      <c r="AH197" s="345"/>
      <c r="AI197" s="376"/>
      <c r="AJ197" s="394"/>
      <c r="AK197" s="394"/>
      <c r="AL197" s="168"/>
      <c r="AM197" s="168"/>
      <c r="AN197" s="394"/>
      <c r="AO197" s="388"/>
      <c r="AP197" s="345"/>
      <c r="AQ197" s="165"/>
      <c r="AR197" s="165"/>
      <c r="AS197" s="165"/>
      <c r="AT197" s="397"/>
      <c r="AU197" s="98"/>
      <c r="AV197" s="412"/>
      <c r="AW197" s="108">
        <v>19</v>
      </c>
      <c r="AX197" s="394"/>
    </row>
    <row r="198" spans="1:50" s="100" customFormat="1" ht="20" x14ac:dyDescent="0.35">
      <c r="E198" s="109"/>
      <c r="F198" s="157"/>
      <c r="G198" s="116"/>
      <c r="H198" s="109"/>
      <c r="I198" s="109"/>
      <c r="J198" s="109"/>
      <c r="AA198" s="110"/>
      <c r="AB198" s="110"/>
      <c r="AC198" s="133"/>
      <c r="AD198" s="133"/>
      <c r="AU198" s="111"/>
      <c r="AV198" s="148"/>
      <c r="AW198" s="112"/>
      <c r="AX198" s="137"/>
    </row>
    <row r="199" spans="1:50" s="100" customFormat="1" ht="35" x14ac:dyDescent="0.7">
      <c r="E199" s="109"/>
      <c r="F199" s="157"/>
      <c r="G199" s="116"/>
      <c r="H199" s="109"/>
      <c r="I199" s="109"/>
      <c r="J199" s="604" t="s">
        <v>1100</v>
      </c>
      <c r="K199" s="604"/>
      <c r="L199" s="604"/>
      <c r="M199" s="604"/>
      <c r="N199" s="604"/>
      <c r="O199" s="604"/>
      <c r="P199" s="604"/>
      <c r="Q199" s="604"/>
      <c r="R199" s="606">
        <f>+(R17+R24+R32+R45+R55+R64+R70+R77+R83+R89+R94+R100+R102+R120+R129+R136+R145+R150+R159+R167+R174+R179+R185+R190+R193+R67)/26</f>
        <v>0.79419925623763177</v>
      </c>
      <c r="S199" s="224"/>
      <c r="W199" s="608" t="s">
        <v>1104</v>
      </c>
      <c r="X199" s="608"/>
      <c r="Y199" s="608"/>
      <c r="Z199" s="608"/>
      <c r="AA199" s="608"/>
      <c r="AB199" s="608"/>
      <c r="AC199" s="606">
        <f>+(AD17+AD24+AD32+AD45+AD55+AD64+AD67+AD706+AD70+AD77+AD83+AD89+AD94+AD100+AD102+AD120+AD129+AD136+AD145+AD150+AD159+AD167+AD174+AD179+AD185+AD190+AD193)/27</f>
        <v>0.77702740759603495</v>
      </c>
      <c r="AD199" s="606"/>
      <c r="AN199" s="339" t="s">
        <v>1108</v>
      </c>
      <c r="AO199" s="339"/>
      <c r="AP199" s="339"/>
      <c r="AQ199" s="339"/>
      <c r="AR199" s="339"/>
      <c r="AS199" s="340">
        <f>+AQ3+AQ18+AQ25+AQ34+AQ47+AQ56+AQ65+AQ68+AQ72+AQ79+AQ84+AQ96+AQ101+AQ104+AQ122+AQ130+AQ137+AQ147+AQ151+AQ161+AQ169+AQ176+AQ181+AQ187+AQ192</f>
        <v>26263097567.369999</v>
      </c>
      <c r="AT199" s="341"/>
      <c r="AU199" s="111"/>
      <c r="AV199" s="148"/>
      <c r="AW199" s="113"/>
      <c r="AX199" s="137"/>
    </row>
    <row r="200" spans="1:50" s="100" customFormat="1" ht="35" x14ac:dyDescent="0.7">
      <c r="E200" s="109"/>
      <c r="F200" s="157"/>
      <c r="G200" s="116"/>
      <c r="H200" s="109"/>
      <c r="I200" s="109"/>
      <c r="J200" s="604"/>
      <c r="K200" s="604"/>
      <c r="L200" s="604"/>
      <c r="M200" s="604"/>
      <c r="N200" s="604"/>
      <c r="O200" s="604"/>
      <c r="P200" s="604"/>
      <c r="Q200" s="604"/>
      <c r="R200" s="606"/>
      <c r="S200" s="224"/>
      <c r="W200" s="608"/>
      <c r="X200" s="608"/>
      <c r="Y200" s="608"/>
      <c r="Z200" s="608"/>
      <c r="AA200" s="608"/>
      <c r="AB200" s="608"/>
      <c r="AC200" s="606"/>
      <c r="AD200" s="606"/>
      <c r="AN200" s="339"/>
      <c r="AO200" s="339"/>
      <c r="AP200" s="339"/>
      <c r="AQ200" s="339"/>
      <c r="AR200" s="339"/>
      <c r="AS200" s="341"/>
      <c r="AT200" s="341"/>
      <c r="AU200" s="111"/>
      <c r="AV200" s="137"/>
      <c r="AW200" s="137"/>
      <c r="AX200" s="137"/>
    </row>
    <row r="201" spans="1:50" s="100" customFormat="1" ht="69.75" customHeight="1" x14ac:dyDescent="0.7">
      <c r="E201" s="109"/>
      <c r="F201" s="157"/>
      <c r="G201" s="116"/>
      <c r="H201" s="109"/>
      <c r="I201" s="109"/>
      <c r="J201" s="605"/>
      <c r="K201" s="605"/>
      <c r="L201" s="605"/>
      <c r="M201" s="605"/>
      <c r="N201" s="605"/>
      <c r="O201" s="605"/>
      <c r="P201" s="605"/>
      <c r="Q201" s="605"/>
      <c r="R201" s="607"/>
      <c r="S201" s="224"/>
      <c r="AA201" s="110"/>
      <c r="AB201" s="110"/>
      <c r="AC201" s="133"/>
      <c r="AD201" s="133"/>
      <c r="AN201" s="339"/>
      <c r="AO201" s="339"/>
      <c r="AP201" s="339"/>
      <c r="AQ201" s="339"/>
      <c r="AR201" s="339"/>
      <c r="AS201" s="341"/>
      <c r="AT201" s="341"/>
      <c r="AU201" s="111"/>
      <c r="AV201" s="137"/>
      <c r="AW201" s="137"/>
      <c r="AX201" s="137"/>
    </row>
    <row r="202" spans="1:50" s="100" customFormat="1" ht="20" x14ac:dyDescent="0.35">
      <c r="E202" s="109"/>
      <c r="F202" s="157"/>
      <c r="G202" s="116"/>
      <c r="H202" s="109"/>
      <c r="I202" s="109"/>
      <c r="J202" s="604" t="s">
        <v>1101</v>
      </c>
      <c r="K202" s="604"/>
      <c r="L202" s="604"/>
      <c r="M202" s="604"/>
      <c r="N202" s="604"/>
      <c r="O202" s="604"/>
      <c r="P202" s="604"/>
      <c r="Q202" s="604"/>
      <c r="R202" s="604"/>
      <c r="S202" s="604"/>
      <c r="T202" s="606">
        <f>+(T17+T24+T32+T45+T55+T64+T67+T70+T77+T83+T89+T94+T100+T102+T120+T129+T136+T145+T150+T159+T167+T174+T179+T185+T190+T193)/26</f>
        <v>0.539244178718149</v>
      </c>
      <c r="AA202" s="110"/>
      <c r="AB202" s="110"/>
      <c r="AC202" s="133"/>
      <c r="AD202" s="133"/>
      <c r="AN202" s="339" t="s">
        <v>1109</v>
      </c>
      <c r="AO202" s="339"/>
      <c r="AP202" s="339"/>
      <c r="AQ202" s="339"/>
      <c r="AR202" s="339"/>
      <c r="AS202" s="340">
        <f>+AR3+AR18+AR25+AR34+AR47+AR56+AR65+AR68+AR72+AR79+AR84+AR96+AR101+AR104+AR122+AR130+AR137+AR147+AR151+AR161+AR169+AR176+AR181+AR187+AR192</f>
        <v>16697647887</v>
      </c>
      <c r="AT202" s="341"/>
      <c r="AU202" s="111"/>
      <c r="AV202" s="137"/>
      <c r="AW202" s="137"/>
      <c r="AX202" s="137"/>
    </row>
    <row r="203" spans="1:50" s="100" customFormat="1" ht="20" x14ac:dyDescent="0.35">
      <c r="E203" s="109"/>
      <c r="F203" s="157"/>
      <c r="G203" s="116"/>
      <c r="H203" s="109"/>
      <c r="I203" s="109"/>
      <c r="J203" s="604"/>
      <c r="K203" s="604"/>
      <c r="L203" s="604"/>
      <c r="M203" s="604"/>
      <c r="N203" s="604"/>
      <c r="O203" s="604"/>
      <c r="P203" s="604"/>
      <c r="Q203" s="604"/>
      <c r="R203" s="604"/>
      <c r="S203" s="604"/>
      <c r="T203" s="606"/>
      <c r="AA203" s="110"/>
      <c r="AB203" s="110"/>
      <c r="AC203" s="133"/>
      <c r="AD203" s="133"/>
      <c r="AN203" s="339"/>
      <c r="AO203" s="339"/>
      <c r="AP203" s="339"/>
      <c r="AQ203" s="339"/>
      <c r="AR203" s="339"/>
      <c r="AS203" s="341"/>
      <c r="AT203" s="341"/>
      <c r="AU203" s="111"/>
      <c r="AV203" s="137"/>
      <c r="AW203" s="137"/>
      <c r="AX203" s="137"/>
    </row>
    <row r="204" spans="1:50" s="100" customFormat="1" ht="87.75" customHeight="1" x14ac:dyDescent="0.35">
      <c r="E204" s="109"/>
      <c r="F204" s="157"/>
      <c r="G204" s="116"/>
      <c r="H204" s="109"/>
      <c r="I204" s="109"/>
      <c r="J204" s="604"/>
      <c r="K204" s="604"/>
      <c r="L204" s="604"/>
      <c r="M204" s="604"/>
      <c r="N204" s="604"/>
      <c r="O204" s="604"/>
      <c r="P204" s="604"/>
      <c r="Q204" s="604"/>
      <c r="R204" s="604"/>
      <c r="S204" s="604"/>
      <c r="T204" s="606"/>
      <c r="AA204" s="110"/>
      <c r="AB204" s="110"/>
      <c r="AC204" s="133"/>
      <c r="AD204" s="133"/>
      <c r="AN204" s="339"/>
      <c r="AO204" s="339"/>
      <c r="AP204" s="339"/>
      <c r="AQ204" s="339"/>
      <c r="AR204" s="339"/>
      <c r="AS204" s="341"/>
      <c r="AT204" s="341"/>
      <c r="AU204" s="111"/>
      <c r="AV204" s="148"/>
      <c r="AW204" s="113"/>
      <c r="AX204" s="137"/>
    </row>
    <row r="205" spans="1:50" s="100" customFormat="1" ht="20" x14ac:dyDescent="0.35">
      <c r="E205" s="109"/>
      <c r="F205" s="157"/>
      <c r="G205" s="116"/>
      <c r="H205" s="109"/>
      <c r="I205" s="109"/>
      <c r="J205" s="109"/>
      <c r="AA205" s="110"/>
      <c r="AB205" s="110"/>
      <c r="AC205" s="133"/>
      <c r="AD205" s="133"/>
      <c r="AN205" s="339" t="s">
        <v>1110</v>
      </c>
      <c r="AO205" s="339"/>
      <c r="AP205" s="339"/>
      <c r="AQ205" s="339"/>
      <c r="AR205" s="339"/>
      <c r="AS205" s="342">
        <f>+AS202/AS199</f>
        <v>0.63578364449080149</v>
      </c>
      <c r="AT205" s="342"/>
      <c r="AU205" s="111"/>
      <c r="AV205" s="148"/>
      <c r="AW205" s="113"/>
      <c r="AX205" s="137"/>
    </row>
    <row r="206" spans="1:50" s="100" customFormat="1" ht="18" x14ac:dyDescent="0.35">
      <c r="E206" s="109"/>
      <c r="F206" s="157"/>
      <c r="G206" s="116"/>
      <c r="H206" s="109"/>
      <c r="I206" s="109"/>
      <c r="J206" s="109"/>
      <c r="AA206" s="110"/>
      <c r="AB206" s="110"/>
      <c r="AC206" s="110"/>
      <c r="AD206" s="110"/>
      <c r="AN206" s="339"/>
      <c r="AO206" s="339"/>
      <c r="AP206" s="339"/>
      <c r="AQ206" s="339"/>
      <c r="AR206" s="339"/>
      <c r="AS206" s="342"/>
      <c r="AT206" s="342"/>
      <c r="AU206" s="111"/>
      <c r="AV206" s="148"/>
      <c r="AW206" s="113"/>
      <c r="AX206" s="137"/>
    </row>
    <row r="207" spans="1:50" s="100" customFormat="1" ht="81.75" customHeight="1" x14ac:dyDescent="0.35">
      <c r="E207" s="109"/>
      <c r="F207" s="157"/>
      <c r="G207" s="116"/>
      <c r="H207" s="109"/>
      <c r="I207" s="109"/>
      <c r="J207" s="109"/>
      <c r="AA207" s="110"/>
      <c r="AB207" s="110"/>
      <c r="AC207" s="110"/>
      <c r="AD207" s="110"/>
      <c r="AN207" s="339"/>
      <c r="AO207" s="339"/>
      <c r="AP207" s="339"/>
      <c r="AQ207" s="339"/>
      <c r="AR207" s="339"/>
      <c r="AS207" s="342"/>
      <c r="AT207" s="342"/>
      <c r="AU207" s="111"/>
      <c r="AV207" s="148"/>
      <c r="AW207" s="113"/>
      <c r="AX207" s="137"/>
    </row>
    <row r="208" spans="1:50" s="100" customFormat="1" ht="18" x14ac:dyDescent="0.35">
      <c r="E208" s="109"/>
      <c r="F208" s="157"/>
      <c r="G208" s="116"/>
      <c r="H208" s="109"/>
      <c r="I208" s="109"/>
      <c r="J208" s="109"/>
      <c r="AA208" s="110"/>
      <c r="AB208" s="110"/>
      <c r="AC208" s="110"/>
      <c r="AD208" s="110"/>
      <c r="AU208" s="111"/>
      <c r="AV208" s="148"/>
      <c r="AW208" s="113"/>
      <c r="AX208" s="137"/>
    </row>
    <row r="209" spans="5:50" s="100" customFormat="1" ht="18" x14ac:dyDescent="0.35">
      <c r="E209" s="109"/>
      <c r="F209" s="157"/>
      <c r="G209" s="116"/>
      <c r="H209" s="109"/>
      <c r="I209" s="109"/>
      <c r="J209" s="109"/>
      <c r="AA209" s="110"/>
      <c r="AB209" s="110"/>
      <c r="AC209" s="110"/>
      <c r="AD209" s="110"/>
      <c r="AU209" s="111"/>
      <c r="AV209" s="148"/>
      <c r="AW209" s="113"/>
      <c r="AX209" s="137"/>
    </row>
    <row r="210" spans="5:50" s="100" customFormat="1" ht="18" x14ac:dyDescent="0.35">
      <c r="E210" s="109"/>
      <c r="F210" s="157"/>
      <c r="G210" s="116"/>
      <c r="H210" s="109"/>
      <c r="I210" s="109"/>
      <c r="J210" s="109"/>
      <c r="AA210" s="110"/>
      <c r="AB210" s="110"/>
      <c r="AC210" s="110"/>
      <c r="AD210" s="110"/>
      <c r="AU210" s="111"/>
      <c r="AV210" s="148"/>
      <c r="AW210" s="113"/>
      <c r="AX210" s="137"/>
    </row>
    <row r="211" spans="5:50" s="100" customFormat="1" ht="18" x14ac:dyDescent="0.35">
      <c r="E211" s="109"/>
      <c r="F211" s="157"/>
      <c r="G211" s="116"/>
      <c r="H211" s="109"/>
      <c r="I211" s="109"/>
      <c r="J211" s="109"/>
      <c r="AA211" s="110"/>
      <c r="AB211" s="110"/>
      <c r="AC211" s="110"/>
      <c r="AD211" s="110"/>
      <c r="AU211" s="111"/>
      <c r="AV211" s="148"/>
      <c r="AW211" s="113"/>
      <c r="AX211" s="137"/>
    </row>
    <row r="212" spans="5:50" s="100" customFormat="1" ht="18" x14ac:dyDescent="0.35">
      <c r="E212" s="109"/>
      <c r="F212" s="157"/>
      <c r="G212" s="116"/>
      <c r="H212" s="109"/>
      <c r="I212" s="109"/>
      <c r="J212" s="109"/>
      <c r="AA212" s="110"/>
      <c r="AB212" s="110"/>
      <c r="AC212" s="110"/>
      <c r="AD212" s="110"/>
      <c r="AU212" s="111"/>
      <c r="AV212" s="148"/>
      <c r="AW212" s="113"/>
      <c r="AX212" s="137"/>
    </row>
    <row r="213" spans="5:50" s="100" customFormat="1" ht="18" x14ac:dyDescent="0.35">
      <c r="E213" s="109"/>
      <c r="F213" s="157"/>
      <c r="G213" s="116"/>
      <c r="H213" s="109"/>
      <c r="I213" s="109"/>
      <c r="J213" s="109"/>
      <c r="AA213" s="110"/>
      <c r="AB213" s="110"/>
      <c r="AC213" s="110"/>
      <c r="AD213" s="110"/>
      <c r="AU213" s="111"/>
      <c r="AV213" s="127"/>
      <c r="AW213" s="113"/>
      <c r="AX213" s="137"/>
    </row>
    <row r="214" spans="5:50" s="100" customFormat="1" ht="18" x14ac:dyDescent="0.35">
      <c r="E214" s="109"/>
      <c r="F214" s="157"/>
      <c r="G214" s="116"/>
      <c r="H214" s="109"/>
      <c r="I214" s="109"/>
      <c r="J214" s="109"/>
      <c r="AA214" s="110"/>
      <c r="AB214" s="110"/>
      <c r="AC214" s="110"/>
      <c r="AD214" s="110"/>
      <c r="AU214" s="111"/>
      <c r="AV214" s="127"/>
      <c r="AW214" s="113"/>
      <c r="AX214" s="137"/>
    </row>
    <row r="215" spans="5:50" s="100" customFormat="1" ht="18" x14ac:dyDescent="0.35">
      <c r="E215" s="109"/>
      <c r="F215" s="157"/>
      <c r="G215" s="116"/>
      <c r="H215" s="109"/>
      <c r="I215" s="109"/>
      <c r="J215" s="109"/>
      <c r="AA215" s="110"/>
      <c r="AB215" s="110"/>
      <c r="AC215" s="110"/>
      <c r="AD215" s="110"/>
      <c r="AU215" s="111"/>
      <c r="AV215" s="127"/>
      <c r="AW215" s="113"/>
      <c r="AX215" s="137"/>
    </row>
    <row r="216" spans="5:50" s="100" customFormat="1" ht="18" x14ac:dyDescent="0.35">
      <c r="E216" s="109"/>
      <c r="F216" s="157"/>
      <c r="G216" s="116"/>
      <c r="H216" s="109"/>
      <c r="I216" s="109"/>
      <c r="J216" s="109"/>
      <c r="AA216" s="110"/>
      <c r="AB216" s="110"/>
      <c r="AC216" s="110"/>
      <c r="AD216" s="110"/>
      <c r="AU216" s="111"/>
      <c r="AV216" s="127"/>
      <c r="AW216" s="113"/>
      <c r="AX216" s="137"/>
    </row>
    <row r="217" spans="5:50" s="100" customFormat="1" ht="18" x14ac:dyDescent="0.35">
      <c r="E217" s="109"/>
      <c r="F217" s="157"/>
      <c r="G217" s="116"/>
      <c r="H217" s="109"/>
      <c r="I217" s="109"/>
      <c r="J217" s="109"/>
      <c r="AA217" s="110"/>
      <c r="AB217" s="110"/>
      <c r="AC217" s="110"/>
      <c r="AD217" s="110"/>
      <c r="AU217" s="111"/>
      <c r="AV217" s="127"/>
      <c r="AW217" s="113"/>
      <c r="AX217" s="137"/>
    </row>
    <row r="218" spans="5:50" s="100" customFormat="1" ht="18" x14ac:dyDescent="0.35">
      <c r="E218" s="109"/>
      <c r="F218" s="157"/>
      <c r="G218" s="116"/>
      <c r="H218" s="109"/>
      <c r="I218" s="109"/>
      <c r="J218" s="109"/>
      <c r="AA218" s="110"/>
      <c r="AB218" s="110"/>
      <c r="AC218" s="110"/>
      <c r="AD218" s="110"/>
      <c r="AU218" s="111"/>
      <c r="AV218" s="127"/>
      <c r="AW218" s="113"/>
      <c r="AX218" s="137"/>
    </row>
    <row r="219" spans="5:50" s="100" customFormat="1" ht="18" x14ac:dyDescent="0.35">
      <c r="E219" s="109"/>
      <c r="F219" s="157"/>
      <c r="G219" s="116"/>
      <c r="H219" s="109"/>
      <c r="I219" s="109"/>
      <c r="J219" s="109"/>
      <c r="AA219" s="110"/>
      <c r="AB219" s="110"/>
      <c r="AC219" s="110"/>
      <c r="AD219" s="110"/>
      <c r="AU219" s="111"/>
      <c r="AV219" s="127"/>
      <c r="AW219" s="113"/>
      <c r="AX219" s="137"/>
    </row>
    <row r="220" spans="5:50" s="100" customFormat="1" ht="18" x14ac:dyDescent="0.35">
      <c r="E220" s="109"/>
      <c r="F220" s="157"/>
      <c r="G220" s="116"/>
      <c r="H220" s="109"/>
      <c r="I220" s="109"/>
      <c r="J220" s="109"/>
      <c r="AA220" s="110"/>
      <c r="AB220" s="110"/>
      <c r="AC220" s="110"/>
      <c r="AD220" s="110"/>
      <c r="AU220" s="111"/>
      <c r="AV220" s="127"/>
      <c r="AW220" s="113"/>
      <c r="AX220" s="137"/>
    </row>
    <row r="221" spans="5:50" s="100" customFormat="1" ht="18" x14ac:dyDescent="0.35">
      <c r="E221" s="109"/>
      <c r="F221" s="157"/>
      <c r="G221" s="116"/>
      <c r="H221" s="109"/>
      <c r="I221" s="109"/>
      <c r="J221" s="109"/>
      <c r="AA221" s="110"/>
      <c r="AB221" s="110"/>
      <c r="AC221" s="110"/>
      <c r="AD221" s="110"/>
      <c r="AU221" s="111"/>
      <c r="AV221" s="127"/>
      <c r="AW221" s="113"/>
      <c r="AX221" s="137"/>
    </row>
    <row r="222" spans="5:50" s="100" customFormat="1" ht="18" x14ac:dyDescent="0.35">
      <c r="E222" s="109"/>
      <c r="F222" s="157"/>
      <c r="G222" s="116"/>
      <c r="H222" s="109"/>
      <c r="I222" s="109"/>
      <c r="J222" s="109"/>
      <c r="AA222" s="110"/>
      <c r="AB222" s="110"/>
      <c r="AC222" s="110"/>
      <c r="AD222" s="110"/>
      <c r="AU222" s="111"/>
      <c r="AV222" s="127"/>
      <c r="AW222" s="113"/>
      <c r="AX222" s="137"/>
    </row>
    <row r="223" spans="5:50" s="100" customFormat="1" ht="18" x14ac:dyDescent="0.35">
      <c r="E223" s="109"/>
      <c r="F223" s="157"/>
      <c r="G223" s="116"/>
      <c r="H223" s="109"/>
      <c r="I223" s="109"/>
      <c r="J223" s="109"/>
      <c r="AA223" s="110"/>
      <c r="AB223" s="110"/>
      <c r="AC223" s="110"/>
      <c r="AD223" s="110"/>
      <c r="AE223" s="38"/>
      <c r="AU223" s="111"/>
      <c r="AV223" s="127"/>
      <c r="AW223" s="113"/>
      <c r="AX223" s="137"/>
    </row>
    <row r="224" spans="5:50" s="100" customFormat="1" ht="18" x14ac:dyDescent="0.35">
      <c r="E224" s="109"/>
      <c r="F224" s="157"/>
      <c r="G224" s="116"/>
      <c r="H224" s="109"/>
      <c r="I224" s="109"/>
      <c r="J224" s="109"/>
      <c r="AA224" s="110"/>
      <c r="AB224" s="110"/>
      <c r="AC224" s="110"/>
      <c r="AD224" s="110"/>
      <c r="AE224" s="38"/>
      <c r="AU224" s="111"/>
      <c r="AV224" s="127"/>
      <c r="AW224" s="113"/>
      <c r="AX224" s="137"/>
    </row>
    <row r="225" spans="5:50" s="100" customFormat="1" ht="18" x14ac:dyDescent="0.35">
      <c r="E225" s="109"/>
      <c r="F225" s="157"/>
      <c r="G225" s="116"/>
      <c r="H225" s="109"/>
      <c r="I225" s="109"/>
      <c r="J225" s="109"/>
      <c r="AA225" s="110"/>
      <c r="AB225" s="110"/>
      <c r="AC225" s="110"/>
      <c r="AD225" s="110"/>
      <c r="AE225" s="38"/>
      <c r="AU225" s="111"/>
      <c r="AV225" s="127"/>
      <c r="AW225" s="113"/>
      <c r="AX225" s="137"/>
    </row>
    <row r="226" spans="5:50" s="100" customFormat="1" ht="18" x14ac:dyDescent="0.35">
      <c r="E226" s="109"/>
      <c r="F226" s="157"/>
      <c r="G226" s="116"/>
      <c r="H226" s="109"/>
      <c r="I226" s="109"/>
      <c r="J226" s="109"/>
      <c r="AA226" s="110"/>
      <c r="AB226" s="110"/>
      <c r="AC226" s="110"/>
      <c r="AD226" s="110"/>
      <c r="AE226" s="38"/>
      <c r="AU226" s="111"/>
      <c r="AV226" s="127"/>
      <c r="AW226" s="113"/>
      <c r="AX226" s="137"/>
    </row>
    <row r="227" spans="5:50" s="100" customFormat="1" ht="18" x14ac:dyDescent="0.35">
      <c r="E227" s="109"/>
      <c r="F227" s="157"/>
      <c r="G227" s="116"/>
      <c r="H227" s="109"/>
      <c r="I227" s="109"/>
      <c r="J227" s="109"/>
      <c r="AA227" s="110"/>
      <c r="AB227" s="110"/>
      <c r="AC227" s="110"/>
      <c r="AD227" s="110"/>
      <c r="AE227" s="38"/>
      <c r="AU227" s="111"/>
      <c r="AV227" s="127"/>
      <c r="AW227" s="113"/>
      <c r="AX227" s="137"/>
    </row>
    <row r="228" spans="5:50" s="100" customFormat="1" ht="18" x14ac:dyDescent="0.35">
      <c r="E228" s="109"/>
      <c r="F228" s="157"/>
      <c r="G228" s="116"/>
      <c r="H228" s="109"/>
      <c r="I228" s="109"/>
      <c r="J228" s="109"/>
      <c r="AA228" s="110"/>
      <c r="AB228" s="110"/>
      <c r="AC228" s="110"/>
      <c r="AD228" s="110"/>
      <c r="AE228" s="38"/>
      <c r="AU228" s="111"/>
      <c r="AV228" s="127"/>
      <c r="AW228" s="113"/>
      <c r="AX228" s="137"/>
    </row>
    <row r="229" spans="5:50" s="100" customFormat="1" ht="18" x14ac:dyDescent="0.35">
      <c r="E229" s="109"/>
      <c r="F229" s="157"/>
      <c r="G229" s="116"/>
      <c r="H229" s="109"/>
      <c r="I229" s="109"/>
      <c r="J229" s="109"/>
      <c r="AA229" s="110"/>
      <c r="AB229" s="110"/>
      <c r="AC229" s="110"/>
      <c r="AD229" s="110"/>
      <c r="AE229" s="38"/>
      <c r="AU229" s="111"/>
      <c r="AV229" s="127"/>
      <c r="AW229" s="113"/>
      <c r="AX229" s="137"/>
    </row>
    <row r="230" spans="5:50" s="100" customFormat="1" ht="18" x14ac:dyDescent="0.35">
      <c r="E230" s="109"/>
      <c r="F230" s="157"/>
      <c r="G230" s="116"/>
      <c r="H230" s="109"/>
      <c r="I230" s="109"/>
      <c r="J230" s="109"/>
      <c r="AA230" s="110"/>
      <c r="AB230" s="110"/>
      <c r="AC230" s="110"/>
      <c r="AD230" s="110"/>
      <c r="AE230" s="38"/>
      <c r="AU230" s="111"/>
      <c r="AV230" s="127"/>
      <c r="AW230" s="113"/>
      <c r="AX230" s="137"/>
    </row>
    <row r="231" spans="5:50" s="100" customFormat="1" ht="18" x14ac:dyDescent="0.35">
      <c r="E231" s="109"/>
      <c r="F231" s="157"/>
      <c r="G231" s="116"/>
      <c r="H231" s="109"/>
      <c r="I231" s="109"/>
      <c r="J231" s="109"/>
      <c r="AA231" s="110"/>
      <c r="AB231" s="110"/>
      <c r="AC231" s="110"/>
      <c r="AD231" s="110"/>
      <c r="AE231" s="38"/>
      <c r="AU231" s="114"/>
      <c r="AV231" s="127"/>
      <c r="AW231" s="113"/>
      <c r="AX231" s="137"/>
    </row>
    <row r="232" spans="5:50" s="100" customFormat="1" ht="18" x14ac:dyDescent="0.35">
      <c r="E232" s="109"/>
      <c r="F232" s="157"/>
      <c r="G232" s="116"/>
      <c r="H232" s="109"/>
      <c r="I232" s="109"/>
      <c r="J232" s="109"/>
      <c r="AA232" s="110"/>
      <c r="AB232" s="110"/>
      <c r="AC232" s="110"/>
      <c r="AD232" s="110"/>
      <c r="AE232" s="38"/>
      <c r="AU232" s="114"/>
      <c r="AV232" s="127"/>
      <c r="AW232" s="113"/>
      <c r="AX232" s="137"/>
    </row>
    <row r="233" spans="5:50" s="100" customFormat="1" ht="18" x14ac:dyDescent="0.35">
      <c r="E233" s="109"/>
      <c r="F233" s="157"/>
      <c r="G233" s="116"/>
      <c r="H233" s="109"/>
      <c r="I233" s="109"/>
      <c r="J233" s="109"/>
      <c r="AA233" s="110"/>
      <c r="AB233" s="110"/>
      <c r="AC233" s="110"/>
      <c r="AD233" s="110"/>
      <c r="AE233" s="38"/>
      <c r="AU233" s="114"/>
      <c r="AV233" s="127"/>
      <c r="AW233" s="113"/>
      <c r="AX233" s="137"/>
    </row>
    <row r="234" spans="5:50" s="100" customFormat="1" ht="18" x14ac:dyDescent="0.35">
      <c r="E234" s="109"/>
      <c r="F234" s="157"/>
      <c r="G234" s="116"/>
      <c r="H234" s="109"/>
      <c r="I234" s="109"/>
      <c r="J234" s="109"/>
      <c r="AA234" s="110"/>
      <c r="AB234" s="110"/>
      <c r="AC234" s="110"/>
      <c r="AD234" s="110"/>
      <c r="AE234" s="38"/>
      <c r="AU234" s="114"/>
      <c r="AV234" s="127"/>
      <c r="AW234" s="113"/>
      <c r="AX234" s="137"/>
    </row>
    <row r="235" spans="5:50" s="100" customFormat="1" ht="18" x14ac:dyDescent="0.35">
      <c r="E235" s="109"/>
      <c r="F235" s="157"/>
      <c r="G235" s="116"/>
      <c r="H235" s="109"/>
      <c r="I235" s="109"/>
      <c r="J235" s="109"/>
      <c r="AA235" s="110"/>
      <c r="AB235" s="110"/>
      <c r="AC235" s="110"/>
      <c r="AD235" s="110"/>
      <c r="AU235" s="114"/>
      <c r="AV235" s="127"/>
      <c r="AW235" s="113"/>
      <c r="AX235" s="137"/>
    </row>
    <row r="236" spans="5:50" s="100" customFormat="1" ht="18" x14ac:dyDescent="0.35">
      <c r="E236" s="109"/>
      <c r="F236" s="157"/>
      <c r="G236" s="116"/>
      <c r="H236" s="109"/>
      <c r="I236" s="109"/>
      <c r="J236" s="109"/>
      <c r="AA236" s="110"/>
      <c r="AB236" s="110"/>
      <c r="AC236" s="110"/>
      <c r="AD236" s="110"/>
      <c r="AU236" s="114"/>
      <c r="AV236" s="127"/>
      <c r="AW236" s="113"/>
      <c r="AX236" s="137"/>
    </row>
    <row r="237" spans="5:50" s="100" customFormat="1" ht="18" x14ac:dyDescent="0.35">
      <c r="E237" s="109"/>
      <c r="F237" s="157"/>
      <c r="G237" s="116"/>
      <c r="H237" s="109"/>
      <c r="I237" s="109"/>
      <c r="J237" s="109"/>
      <c r="AA237" s="110"/>
      <c r="AB237" s="110"/>
      <c r="AC237" s="110"/>
      <c r="AD237" s="110"/>
      <c r="AU237" s="114"/>
      <c r="AV237" s="127"/>
      <c r="AW237" s="113"/>
      <c r="AX237" s="137"/>
    </row>
    <row r="238" spans="5:50" s="100" customFormat="1" ht="18" x14ac:dyDescent="0.35">
      <c r="E238" s="109"/>
      <c r="F238" s="157"/>
      <c r="G238" s="116"/>
      <c r="H238" s="109"/>
      <c r="I238" s="109"/>
      <c r="J238" s="109"/>
      <c r="AA238" s="110"/>
      <c r="AB238" s="110"/>
      <c r="AC238" s="110"/>
      <c r="AD238" s="110"/>
      <c r="AU238" s="114"/>
      <c r="AV238" s="127"/>
      <c r="AW238" s="113"/>
      <c r="AX238" s="137"/>
    </row>
    <row r="239" spans="5:50" s="100" customFormat="1" ht="18" x14ac:dyDescent="0.35">
      <c r="E239" s="109"/>
      <c r="F239" s="157"/>
      <c r="G239" s="116"/>
      <c r="H239" s="109"/>
      <c r="I239" s="109"/>
      <c r="J239" s="109"/>
      <c r="AA239" s="110"/>
      <c r="AB239" s="110"/>
      <c r="AC239" s="110"/>
      <c r="AD239" s="110"/>
      <c r="AU239" s="114"/>
      <c r="AV239" s="127"/>
      <c r="AW239" s="113"/>
      <c r="AX239" s="137"/>
    </row>
    <row r="240" spans="5:50" s="100" customFormat="1" ht="18" x14ac:dyDescent="0.35">
      <c r="E240" s="109"/>
      <c r="F240" s="157"/>
      <c r="G240" s="116"/>
      <c r="H240" s="109"/>
      <c r="I240" s="109"/>
      <c r="J240" s="109"/>
      <c r="AA240" s="110"/>
      <c r="AB240" s="110"/>
      <c r="AC240" s="110"/>
      <c r="AD240" s="110"/>
      <c r="AU240" s="114"/>
      <c r="AV240" s="127"/>
      <c r="AW240" s="113"/>
      <c r="AX240" s="137"/>
    </row>
    <row r="241" spans="5:50" s="100" customFormat="1" ht="18" x14ac:dyDescent="0.35">
      <c r="E241" s="109"/>
      <c r="F241" s="157"/>
      <c r="G241" s="116"/>
      <c r="H241" s="109"/>
      <c r="I241" s="109"/>
      <c r="J241" s="109"/>
      <c r="AA241" s="110"/>
      <c r="AB241" s="110"/>
      <c r="AC241" s="110"/>
      <c r="AD241" s="110"/>
      <c r="AU241" s="114"/>
      <c r="AV241" s="127"/>
      <c r="AW241" s="113"/>
      <c r="AX241" s="137"/>
    </row>
    <row r="242" spans="5:50" s="100" customFormat="1" ht="18" x14ac:dyDescent="0.35">
      <c r="E242" s="109"/>
      <c r="F242" s="157"/>
      <c r="G242" s="116"/>
      <c r="H242" s="109"/>
      <c r="I242" s="109"/>
      <c r="J242" s="109"/>
      <c r="AA242" s="110"/>
      <c r="AB242" s="110"/>
      <c r="AC242" s="110"/>
      <c r="AD242" s="110"/>
      <c r="AU242" s="114"/>
      <c r="AV242" s="127"/>
      <c r="AW242" s="113"/>
      <c r="AX242" s="137"/>
    </row>
    <row r="243" spans="5:50" s="100" customFormat="1" ht="18" x14ac:dyDescent="0.35">
      <c r="E243" s="109"/>
      <c r="F243" s="157"/>
      <c r="G243" s="116"/>
      <c r="H243" s="109"/>
      <c r="I243" s="109"/>
      <c r="J243" s="109"/>
      <c r="AA243" s="110"/>
      <c r="AB243" s="110"/>
      <c r="AC243" s="110"/>
      <c r="AD243" s="110"/>
      <c r="AU243" s="114"/>
      <c r="AV243" s="127"/>
      <c r="AW243" s="113"/>
      <c r="AX243" s="137"/>
    </row>
    <row r="244" spans="5:50" s="100" customFormat="1" ht="18" x14ac:dyDescent="0.35">
      <c r="E244" s="109"/>
      <c r="F244" s="157"/>
      <c r="G244" s="116"/>
      <c r="H244" s="109"/>
      <c r="I244" s="109"/>
      <c r="J244" s="109"/>
      <c r="AA244" s="110"/>
      <c r="AB244" s="110"/>
      <c r="AC244" s="110"/>
      <c r="AD244" s="110"/>
      <c r="AU244" s="114"/>
      <c r="AV244" s="127"/>
      <c r="AW244" s="113"/>
      <c r="AX244" s="137"/>
    </row>
    <row r="245" spans="5:50" s="100" customFormat="1" ht="18" x14ac:dyDescent="0.35">
      <c r="E245" s="109"/>
      <c r="F245" s="157"/>
      <c r="G245" s="116"/>
      <c r="H245" s="109"/>
      <c r="I245" s="109"/>
      <c r="J245" s="109"/>
      <c r="AA245" s="110"/>
      <c r="AB245" s="110"/>
      <c r="AC245" s="110"/>
      <c r="AD245" s="110"/>
      <c r="AU245" s="114"/>
      <c r="AV245" s="127"/>
      <c r="AW245" s="113"/>
      <c r="AX245" s="137"/>
    </row>
    <row r="246" spans="5:50" s="100" customFormat="1" ht="18" x14ac:dyDescent="0.35">
      <c r="E246" s="109"/>
      <c r="F246" s="157"/>
      <c r="G246" s="116"/>
      <c r="H246" s="109"/>
      <c r="I246" s="109"/>
      <c r="J246" s="109"/>
      <c r="AA246" s="110"/>
      <c r="AB246" s="110"/>
      <c r="AC246" s="110"/>
      <c r="AD246" s="110"/>
      <c r="AU246" s="114"/>
      <c r="AV246" s="127"/>
      <c r="AW246" s="113"/>
      <c r="AX246" s="137"/>
    </row>
    <row r="247" spans="5:50" s="100" customFormat="1" ht="18" x14ac:dyDescent="0.35">
      <c r="E247" s="109"/>
      <c r="F247" s="157"/>
      <c r="G247" s="116"/>
      <c r="H247" s="109"/>
      <c r="I247" s="109"/>
      <c r="J247" s="109"/>
      <c r="AA247" s="110"/>
      <c r="AB247" s="110"/>
      <c r="AC247" s="110"/>
      <c r="AD247" s="110"/>
      <c r="AU247" s="114"/>
      <c r="AV247" s="127"/>
      <c r="AW247" s="113"/>
      <c r="AX247" s="137"/>
    </row>
    <row r="248" spans="5:50" s="100" customFormat="1" ht="18" x14ac:dyDescent="0.35">
      <c r="E248" s="109"/>
      <c r="F248" s="157"/>
      <c r="G248" s="116"/>
      <c r="H248" s="109"/>
      <c r="I248" s="109"/>
      <c r="J248" s="109"/>
      <c r="AA248" s="110"/>
      <c r="AB248" s="110"/>
      <c r="AC248" s="110"/>
      <c r="AD248" s="110"/>
      <c r="AU248" s="114"/>
      <c r="AV248" s="127"/>
      <c r="AW248" s="113"/>
      <c r="AX248" s="137"/>
    </row>
    <row r="249" spans="5:50" s="100" customFormat="1" ht="18" x14ac:dyDescent="0.35">
      <c r="E249" s="109"/>
      <c r="F249" s="157"/>
      <c r="G249" s="116"/>
      <c r="H249" s="109"/>
      <c r="I249" s="109"/>
      <c r="J249" s="109"/>
      <c r="AA249" s="110"/>
      <c r="AB249" s="110"/>
      <c r="AC249" s="110"/>
      <c r="AD249" s="110"/>
      <c r="AU249" s="114"/>
      <c r="AV249" s="127"/>
      <c r="AW249" s="113"/>
      <c r="AX249" s="137"/>
    </row>
    <row r="250" spans="5:50" s="100" customFormat="1" ht="18" x14ac:dyDescent="0.35">
      <c r="E250" s="109"/>
      <c r="F250" s="157"/>
      <c r="G250" s="116"/>
      <c r="H250" s="109"/>
      <c r="I250" s="109"/>
      <c r="J250" s="109"/>
      <c r="AA250" s="110"/>
      <c r="AB250" s="110"/>
      <c r="AC250" s="110"/>
      <c r="AD250" s="110"/>
      <c r="AU250" s="114"/>
      <c r="AV250" s="127"/>
      <c r="AW250" s="113"/>
      <c r="AX250" s="137"/>
    </row>
    <row r="251" spans="5:50" s="100" customFormat="1" ht="18" x14ac:dyDescent="0.35">
      <c r="E251" s="109"/>
      <c r="F251" s="157"/>
      <c r="G251" s="116"/>
      <c r="H251" s="109"/>
      <c r="I251" s="109"/>
      <c r="J251" s="109"/>
      <c r="AA251" s="110"/>
      <c r="AB251" s="110"/>
      <c r="AC251" s="110"/>
      <c r="AD251" s="110"/>
      <c r="AU251" s="114"/>
      <c r="AV251" s="127"/>
      <c r="AW251" s="113"/>
      <c r="AX251" s="137"/>
    </row>
    <row r="252" spans="5:50" s="100" customFormat="1" ht="18" x14ac:dyDescent="0.35">
      <c r="E252" s="109"/>
      <c r="F252" s="157"/>
      <c r="G252" s="116"/>
      <c r="H252" s="109"/>
      <c r="I252" s="109"/>
      <c r="J252" s="109"/>
      <c r="AA252" s="110"/>
      <c r="AB252" s="110"/>
      <c r="AC252" s="110"/>
      <c r="AD252" s="110"/>
      <c r="AU252" s="114"/>
      <c r="AV252" s="127"/>
      <c r="AW252" s="113"/>
      <c r="AX252" s="137"/>
    </row>
    <row r="253" spans="5:50" s="100" customFormat="1" ht="18" x14ac:dyDescent="0.35">
      <c r="E253" s="109"/>
      <c r="F253" s="157"/>
      <c r="G253" s="116"/>
      <c r="H253" s="109"/>
      <c r="I253" s="109"/>
      <c r="J253" s="109"/>
      <c r="AA253" s="110"/>
      <c r="AB253" s="110"/>
      <c r="AC253" s="110"/>
      <c r="AD253" s="110"/>
      <c r="AU253" s="114"/>
      <c r="AV253" s="127"/>
      <c r="AW253" s="113"/>
      <c r="AX253" s="137"/>
    </row>
    <row r="254" spans="5:50" s="100" customFormat="1" ht="18" x14ac:dyDescent="0.35">
      <c r="E254" s="109"/>
      <c r="F254" s="157"/>
      <c r="G254" s="116"/>
      <c r="H254" s="109"/>
      <c r="I254" s="109"/>
      <c r="J254" s="109"/>
      <c r="AA254" s="110"/>
      <c r="AB254" s="110"/>
      <c r="AC254" s="110"/>
      <c r="AD254" s="110"/>
      <c r="AU254" s="114"/>
      <c r="AV254" s="127"/>
      <c r="AW254" s="113"/>
      <c r="AX254" s="137"/>
    </row>
    <row r="255" spans="5:50" s="100" customFormat="1" ht="18" x14ac:dyDescent="0.35">
      <c r="E255" s="109"/>
      <c r="F255" s="157"/>
      <c r="G255" s="116"/>
      <c r="H255" s="109"/>
      <c r="I255" s="109"/>
      <c r="J255" s="109"/>
      <c r="AA255" s="110"/>
      <c r="AB255" s="110"/>
      <c r="AC255" s="110"/>
      <c r="AD255" s="110"/>
      <c r="AU255" s="114"/>
      <c r="AV255" s="127"/>
      <c r="AW255" s="113"/>
      <c r="AX255" s="137"/>
    </row>
    <row r="256" spans="5:50" s="100" customFormat="1" ht="18" x14ac:dyDescent="0.35">
      <c r="E256" s="109"/>
      <c r="F256" s="157"/>
      <c r="G256" s="116"/>
      <c r="H256" s="109"/>
      <c r="I256" s="109"/>
      <c r="J256" s="109"/>
      <c r="AA256" s="110"/>
      <c r="AB256" s="110"/>
      <c r="AC256" s="110"/>
      <c r="AD256" s="110"/>
      <c r="AU256" s="114"/>
      <c r="AV256" s="127"/>
      <c r="AW256" s="113"/>
      <c r="AX256" s="137"/>
    </row>
    <row r="257" spans="5:50" s="100" customFormat="1" ht="18" x14ac:dyDescent="0.35">
      <c r="E257" s="109"/>
      <c r="F257" s="157"/>
      <c r="G257" s="116"/>
      <c r="H257" s="109"/>
      <c r="I257" s="109"/>
      <c r="J257" s="109"/>
      <c r="AA257" s="110"/>
      <c r="AB257" s="110"/>
      <c r="AC257" s="110"/>
      <c r="AD257" s="110"/>
      <c r="AU257" s="114"/>
      <c r="AV257" s="127"/>
      <c r="AW257" s="113"/>
      <c r="AX257" s="137"/>
    </row>
    <row r="258" spans="5:50" s="100" customFormat="1" ht="18" x14ac:dyDescent="0.35">
      <c r="E258" s="109"/>
      <c r="F258" s="157"/>
      <c r="G258" s="116"/>
      <c r="H258" s="109"/>
      <c r="I258" s="109"/>
      <c r="J258" s="109"/>
      <c r="AA258" s="110"/>
      <c r="AB258" s="110"/>
      <c r="AC258" s="110"/>
      <c r="AD258" s="110"/>
      <c r="AU258" s="114"/>
      <c r="AV258" s="127"/>
      <c r="AW258" s="113"/>
      <c r="AX258" s="137"/>
    </row>
    <row r="259" spans="5:50" s="100" customFormat="1" x14ac:dyDescent="0.45">
      <c r="E259" s="109"/>
      <c r="F259" s="150"/>
      <c r="G259" s="116"/>
      <c r="H259" s="109"/>
      <c r="I259" s="109"/>
      <c r="J259" s="109"/>
      <c r="AA259" s="110"/>
      <c r="AB259" s="110"/>
      <c r="AC259" s="110"/>
      <c r="AD259" s="110"/>
      <c r="AU259" s="114"/>
      <c r="AV259" s="127"/>
      <c r="AW259" s="113"/>
      <c r="AX259" s="137"/>
    </row>
    <row r="260" spans="5:50" s="100" customFormat="1" x14ac:dyDescent="0.45">
      <c r="E260" s="109"/>
      <c r="F260" s="150"/>
      <c r="G260" s="116"/>
      <c r="H260" s="109"/>
      <c r="I260" s="109"/>
      <c r="J260" s="109"/>
      <c r="AA260" s="110"/>
      <c r="AB260" s="110"/>
      <c r="AC260" s="110"/>
      <c r="AD260" s="110"/>
      <c r="AU260" s="114"/>
      <c r="AV260" s="127"/>
      <c r="AW260" s="113"/>
      <c r="AX260" s="137"/>
    </row>
    <row r="261" spans="5:50" s="100" customFormat="1" x14ac:dyDescent="0.45">
      <c r="E261" s="109"/>
      <c r="F261" s="150"/>
      <c r="G261" s="116"/>
      <c r="H261" s="109"/>
      <c r="I261" s="109"/>
      <c r="J261" s="109"/>
      <c r="AA261" s="110"/>
      <c r="AB261" s="110"/>
      <c r="AC261" s="110"/>
      <c r="AD261" s="110"/>
      <c r="AU261" s="114"/>
      <c r="AV261" s="127"/>
      <c r="AW261" s="113"/>
      <c r="AX261" s="137"/>
    </row>
    <row r="262" spans="5:50" s="100" customFormat="1" x14ac:dyDescent="0.45">
      <c r="E262" s="109"/>
      <c r="F262" s="150"/>
      <c r="G262" s="116"/>
      <c r="H262" s="109"/>
      <c r="I262" s="109"/>
      <c r="J262" s="109"/>
      <c r="AA262" s="110"/>
      <c r="AB262" s="110"/>
      <c r="AC262" s="110"/>
      <c r="AD262" s="110"/>
      <c r="AU262" s="114"/>
      <c r="AV262" s="127"/>
      <c r="AW262" s="113"/>
      <c r="AX262" s="137"/>
    </row>
    <row r="263" spans="5:50" s="100" customFormat="1" x14ac:dyDescent="0.45">
      <c r="E263" s="109"/>
      <c r="F263" s="150"/>
      <c r="G263" s="116"/>
      <c r="H263" s="109"/>
      <c r="I263" s="109"/>
      <c r="J263" s="109"/>
      <c r="AA263" s="110"/>
      <c r="AB263" s="110"/>
      <c r="AC263" s="110"/>
      <c r="AD263" s="110"/>
      <c r="AU263" s="114"/>
      <c r="AV263" s="127"/>
      <c r="AW263" s="113"/>
      <c r="AX263" s="137"/>
    </row>
    <row r="264" spans="5:50" s="100" customFormat="1" x14ac:dyDescent="0.45">
      <c r="E264" s="109"/>
      <c r="F264" s="150"/>
      <c r="G264" s="116"/>
      <c r="H264" s="109"/>
      <c r="I264" s="109"/>
      <c r="J264" s="109"/>
      <c r="AA264" s="110"/>
      <c r="AB264" s="110"/>
      <c r="AC264" s="110"/>
      <c r="AD264" s="110"/>
      <c r="AU264" s="114"/>
      <c r="AV264" s="127"/>
      <c r="AW264" s="113"/>
      <c r="AX264" s="137"/>
    </row>
    <row r="265" spans="5:50" s="100" customFormat="1" x14ac:dyDescent="0.45">
      <c r="E265" s="109"/>
      <c r="F265" s="150"/>
      <c r="G265" s="116"/>
      <c r="H265" s="109"/>
      <c r="I265" s="109"/>
      <c r="J265" s="109"/>
      <c r="AA265" s="110"/>
      <c r="AB265" s="110"/>
      <c r="AC265" s="110"/>
      <c r="AD265" s="110"/>
      <c r="AU265" s="114"/>
      <c r="AV265" s="127"/>
      <c r="AW265" s="113"/>
      <c r="AX265" s="137"/>
    </row>
    <row r="266" spans="5:50" s="100" customFormat="1" x14ac:dyDescent="0.45">
      <c r="E266" s="109"/>
      <c r="F266" s="150"/>
      <c r="G266" s="116"/>
      <c r="H266" s="109"/>
      <c r="I266" s="109"/>
      <c r="J266" s="109"/>
      <c r="AA266" s="110"/>
      <c r="AB266" s="110"/>
      <c r="AC266" s="110"/>
      <c r="AD266" s="110"/>
      <c r="AU266" s="114"/>
      <c r="AV266" s="127"/>
      <c r="AW266" s="113"/>
      <c r="AX266" s="137"/>
    </row>
    <row r="267" spans="5:50" s="100" customFormat="1" x14ac:dyDescent="0.45">
      <c r="E267" s="109"/>
      <c r="F267" s="150"/>
      <c r="G267" s="116"/>
      <c r="H267" s="109"/>
      <c r="I267" s="109"/>
      <c r="J267" s="109"/>
      <c r="AA267" s="110"/>
      <c r="AB267" s="110"/>
      <c r="AC267" s="110"/>
      <c r="AD267" s="110"/>
      <c r="AU267" s="114"/>
      <c r="AV267" s="127"/>
      <c r="AW267" s="113"/>
      <c r="AX267" s="137"/>
    </row>
    <row r="268" spans="5:50" s="100" customFormat="1" x14ac:dyDescent="0.45">
      <c r="E268" s="109"/>
      <c r="F268" s="150"/>
      <c r="G268" s="116"/>
      <c r="H268" s="109"/>
      <c r="I268" s="109"/>
      <c r="J268" s="109"/>
      <c r="AA268" s="110"/>
      <c r="AB268" s="110"/>
      <c r="AC268" s="110"/>
      <c r="AD268" s="110"/>
      <c r="AU268" s="114"/>
      <c r="AV268" s="127"/>
      <c r="AW268" s="113"/>
      <c r="AX268" s="137"/>
    </row>
    <row r="269" spans="5:50" s="100" customFormat="1" x14ac:dyDescent="0.45">
      <c r="E269" s="109"/>
      <c r="F269" s="150"/>
      <c r="G269" s="116"/>
      <c r="H269" s="109"/>
      <c r="I269" s="109"/>
      <c r="J269" s="109"/>
      <c r="AA269" s="110"/>
      <c r="AB269" s="110"/>
      <c r="AC269" s="110"/>
      <c r="AD269" s="110"/>
      <c r="AU269" s="114"/>
      <c r="AV269" s="127"/>
      <c r="AW269" s="113"/>
      <c r="AX269" s="137"/>
    </row>
    <row r="270" spans="5:50" s="100" customFormat="1" x14ac:dyDescent="0.45">
      <c r="E270" s="109"/>
      <c r="F270" s="150"/>
      <c r="G270" s="116"/>
      <c r="H270" s="109"/>
      <c r="I270" s="109"/>
      <c r="J270" s="109"/>
      <c r="AA270" s="110"/>
      <c r="AB270" s="110"/>
      <c r="AC270" s="110"/>
      <c r="AD270" s="110"/>
      <c r="AU270" s="114"/>
      <c r="AV270" s="127"/>
      <c r="AW270" s="113"/>
      <c r="AX270" s="137"/>
    </row>
    <row r="271" spans="5:50" s="100" customFormat="1" x14ac:dyDescent="0.45">
      <c r="E271" s="109"/>
      <c r="F271" s="150"/>
      <c r="G271" s="116"/>
      <c r="H271" s="109"/>
      <c r="I271" s="109"/>
      <c r="J271" s="109"/>
      <c r="AA271" s="110"/>
      <c r="AB271" s="110"/>
      <c r="AC271" s="110"/>
      <c r="AD271" s="110"/>
      <c r="AU271" s="114"/>
      <c r="AV271" s="127"/>
      <c r="AW271" s="113"/>
      <c r="AX271" s="137"/>
    </row>
    <row r="272" spans="5:50" s="100" customFormat="1" x14ac:dyDescent="0.45">
      <c r="E272" s="109"/>
      <c r="F272" s="150"/>
      <c r="G272" s="116"/>
      <c r="H272" s="109"/>
      <c r="I272" s="109"/>
      <c r="J272" s="109"/>
      <c r="AA272" s="110"/>
      <c r="AB272" s="110"/>
      <c r="AC272" s="110"/>
      <c r="AD272" s="110"/>
      <c r="AU272" s="114"/>
      <c r="AV272" s="127"/>
      <c r="AW272" s="113"/>
      <c r="AX272" s="137"/>
    </row>
    <row r="273" spans="5:50" s="100" customFormat="1" x14ac:dyDescent="0.45">
      <c r="E273" s="109"/>
      <c r="F273" s="150"/>
      <c r="G273" s="116"/>
      <c r="H273" s="109"/>
      <c r="I273" s="109"/>
      <c r="J273" s="109"/>
      <c r="AA273" s="110"/>
      <c r="AB273" s="110"/>
      <c r="AC273" s="110"/>
      <c r="AD273" s="110"/>
      <c r="AU273" s="114"/>
      <c r="AV273" s="127"/>
      <c r="AW273" s="113"/>
      <c r="AX273" s="137"/>
    </row>
    <row r="274" spans="5:50" s="100" customFormat="1" x14ac:dyDescent="0.45">
      <c r="E274" s="109"/>
      <c r="F274" s="150"/>
      <c r="G274" s="116"/>
      <c r="H274" s="109"/>
      <c r="I274" s="109"/>
      <c r="J274" s="109"/>
      <c r="AA274" s="110"/>
      <c r="AB274" s="110"/>
      <c r="AC274" s="110"/>
      <c r="AD274" s="110"/>
      <c r="AU274" s="114"/>
      <c r="AV274" s="127"/>
      <c r="AW274" s="113"/>
      <c r="AX274" s="137"/>
    </row>
    <row r="275" spans="5:50" s="100" customFormat="1" x14ac:dyDescent="0.45">
      <c r="E275" s="109"/>
      <c r="F275" s="150"/>
      <c r="G275" s="116"/>
      <c r="H275" s="109"/>
      <c r="I275" s="109"/>
      <c r="J275" s="109"/>
      <c r="AA275" s="110"/>
      <c r="AB275" s="110"/>
      <c r="AC275" s="110"/>
      <c r="AD275" s="110"/>
      <c r="AU275" s="114"/>
      <c r="AV275" s="127"/>
      <c r="AW275" s="113"/>
      <c r="AX275" s="137"/>
    </row>
    <row r="276" spans="5:50" s="100" customFormat="1" x14ac:dyDescent="0.45">
      <c r="E276" s="109"/>
      <c r="F276" s="150"/>
      <c r="G276" s="116"/>
      <c r="H276" s="109"/>
      <c r="I276" s="109"/>
      <c r="J276" s="109"/>
      <c r="AA276" s="110"/>
      <c r="AB276" s="110"/>
      <c r="AC276" s="110"/>
      <c r="AD276" s="110"/>
      <c r="AU276" s="114"/>
      <c r="AV276" s="127"/>
      <c r="AW276" s="113"/>
      <c r="AX276" s="137"/>
    </row>
    <row r="277" spans="5:50" s="100" customFormat="1" x14ac:dyDescent="0.45">
      <c r="E277" s="109"/>
      <c r="F277" s="150"/>
      <c r="G277" s="116"/>
      <c r="H277" s="109"/>
      <c r="I277" s="109"/>
      <c r="J277" s="109"/>
      <c r="AA277" s="110"/>
      <c r="AB277" s="110"/>
      <c r="AC277" s="110"/>
      <c r="AD277" s="110"/>
      <c r="AU277" s="114"/>
      <c r="AV277" s="127"/>
      <c r="AW277" s="113"/>
      <c r="AX277" s="137"/>
    </row>
    <row r="278" spans="5:50" s="100" customFormat="1" x14ac:dyDescent="0.45">
      <c r="E278" s="109"/>
      <c r="F278" s="150"/>
      <c r="G278" s="116"/>
      <c r="H278" s="109"/>
      <c r="I278" s="109"/>
      <c r="J278" s="109"/>
      <c r="AA278" s="110"/>
      <c r="AB278" s="110"/>
      <c r="AC278" s="110"/>
      <c r="AD278" s="110"/>
      <c r="AU278" s="114"/>
      <c r="AV278" s="127"/>
      <c r="AW278" s="113"/>
      <c r="AX278" s="137"/>
    </row>
    <row r="279" spans="5:50" s="100" customFormat="1" x14ac:dyDescent="0.45">
      <c r="E279" s="109"/>
      <c r="F279" s="150"/>
      <c r="G279" s="116"/>
      <c r="H279" s="109"/>
      <c r="I279" s="109"/>
      <c r="J279" s="109"/>
      <c r="AA279" s="110"/>
      <c r="AB279" s="110"/>
      <c r="AC279" s="110"/>
      <c r="AD279" s="110"/>
      <c r="AU279" s="114"/>
      <c r="AV279" s="127"/>
      <c r="AW279" s="113"/>
      <c r="AX279" s="137"/>
    </row>
    <row r="280" spans="5:50" s="100" customFormat="1" x14ac:dyDescent="0.45">
      <c r="E280" s="109"/>
      <c r="F280" s="150"/>
      <c r="G280" s="116"/>
      <c r="H280" s="109"/>
      <c r="I280" s="109"/>
      <c r="J280" s="109"/>
      <c r="AA280" s="110"/>
      <c r="AB280" s="110"/>
      <c r="AC280" s="110"/>
      <c r="AD280" s="110"/>
      <c r="AU280" s="114"/>
      <c r="AV280" s="127"/>
      <c r="AW280" s="113"/>
      <c r="AX280" s="137"/>
    </row>
    <row r="281" spans="5:50" s="100" customFormat="1" x14ac:dyDescent="0.45">
      <c r="E281" s="109"/>
      <c r="F281" s="150"/>
      <c r="G281" s="116"/>
      <c r="H281" s="109"/>
      <c r="I281" s="109"/>
      <c r="J281" s="109"/>
      <c r="AA281" s="110"/>
      <c r="AB281" s="110"/>
      <c r="AC281" s="110"/>
      <c r="AD281" s="110"/>
      <c r="AU281" s="114"/>
      <c r="AV281" s="127"/>
      <c r="AW281" s="113"/>
      <c r="AX281" s="137"/>
    </row>
    <row r="282" spans="5:50" s="100" customFormat="1" x14ac:dyDescent="0.45">
      <c r="E282" s="109"/>
      <c r="F282" s="150"/>
      <c r="G282" s="116"/>
      <c r="H282" s="109"/>
      <c r="I282" s="109"/>
      <c r="J282" s="109"/>
      <c r="AA282" s="110"/>
      <c r="AB282" s="110"/>
      <c r="AC282" s="110"/>
      <c r="AD282" s="110"/>
      <c r="AU282" s="114"/>
      <c r="AV282" s="127"/>
      <c r="AW282" s="113"/>
      <c r="AX282" s="137"/>
    </row>
    <row r="283" spans="5:50" s="100" customFormat="1" x14ac:dyDescent="0.45">
      <c r="E283" s="109"/>
      <c r="F283" s="150"/>
      <c r="G283" s="116"/>
      <c r="H283" s="109"/>
      <c r="I283" s="109"/>
      <c r="J283" s="109"/>
      <c r="AA283" s="110"/>
      <c r="AB283" s="110"/>
      <c r="AC283" s="110"/>
      <c r="AD283" s="110"/>
      <c r="AU283" s="114"/>
      <c r="AV283" s="127"/>
      <c r="AW283" s="113"/>
      <c r="AX283" s="137"/>
    </row>
    <row r="284" spans="5:50" s="100" customFormat="1" x14ac:dyDescent="0.45">
      <c r="E284" s="109"/>
      <c r="F284" s="150"/>
      <c r="G284" s="116"/>
      <c r="H284" s="109"/>
      <c r="I284" s="109"/>
      <c r="J284" s="109"/>
      <c r="AA284" s="110"/>
      <c r="AB284" s="110"/>
      <c r="AC284" s="110"/>
      <c r="AD284" s="110"/>
      <c r="AU284" s="114"/>
      <c r="AV284" s="127"/>
      <c r="AW284" s="113"/>
      <c r="AX284" s="137"/>
    </row>
    <row r="285" spans="5:50" s="100" customFormat="1" x14ac:dyDescent="0.45">
      <c r="E285" s="109"/>
      <c r="F285" s="150"/>
      <c r="G285" s="116"/>
      <c r="H285" s="109"/>
      <c r="I285" s="109"/>
      <c r="J285" s="109"/>
      <c r="AA285" s="110"/>
      <c r="AB285" s="110"/>
      <c r="AC285" s="110"/>
      <c r="AD285" s="110"/>
      <c r="AU285" s="114"/>
      <c r="AV285" s="127"/>
      <c r="AW285" s="113"/>
      <c r="AX285" s="137"/>
    </row>
    <row r="286" spans="5:50" s="100" customFormat="1" x14ac:dyDescent="0.45">
      <c r="E286" s="109"/>
      <c r="F286" s="150"/>
      <c r="G286" s="116"/>
      <c r="H286" s="109"/>
      <c r="I286" s="109"/>
      <c r="J286" s="109"/>
      <c r="AA286" s="110"/>
      <c r="AB286" s="110"/>
      <c r="AC286" s="110"/>
      <c r="AD286" s="110"/>
      <c r="AU286" s="114"/>
      <c r="AV286" s="127"/>
      <c r="AW286" s="113"/>
      <c r="AX286" s="137"/>
    </row>
    <row r="287" spans="5:50" s="100" customFormat="1" x14ac:dyDescent="0.45">
      <c r="E287" s="109"/>
      <c r="F287" s="150"/>
      <c r="G287" s="116"/>
      <c r="H287" s="109"/>
      <c r="I287" s="109"/>
      <c r="J287" s="109"/>
      <c r="AA287" s="110"/>
      <c r="AB287" s="110"/>
      <c r="AC287" s="110"/>
      <c r="AD287" s="110"/>
      <c r="AU287" s="114"/>
      <c r="AV287" s="127"/>
      <c r="AW287" s="113"/>
      <c r="AX287" s="137"/>
    </row>
    <row r="288" spans="5:50" s="100" customFormat="1" x14ac:dyDescent="0.45">
      <c r="E288" s="109"/>
      <c r="F288" s="150"/>
      <c r="G288" s="116"/>
      <c r="H288" s="109"/>
      <c r="I288" s="109"/>
      <c r="J288" s="109"/>
      <c r="AA288" s="110"/>
      <c r="AB288" s="110"/>
      <c r="AC288" s="110"/>
      <c r="AD288" s="110"/>
      <c r="AU288" s="114"/>
      <c r="AV288" s="127"/>
      <c r="AW288" s="113"/>
      <c r="AX288" s="137"/>
    </row>
    <row r="289" spans="5:50" s="100" customFormat="1" x14ac:dyDescent="0.45">
      <c r="E289" s="109"/>
      <c r="F289" s="150"/>
      <c r="G289" s="116"/>
      <c r="H289" s="109"/>
      <c r="I289" s="109"/>
      <c r="J289" s="109"/>
      <c r="AA289" s="110"/>
      <c r="AB289" s="110"/>
      <c r="AC289" s="110"/>
      <c r="AD289" s="110"/>
      <c r="AU289" s="114"/>
      <c r="AV289" s="127"/>
      <c r="AW289" s="113"/>
      <c r="AX289" s="137"/>
    </row>
    <row r="290" spans="5:50" x14ac:dyDescent="0.45">
      <c r="AW290" s="72"/>
    </row>
    <row r="291" spans="5:50" x14ac:dyDescent="0.45">
      <c r="AW291" s="72"/>
    </row>
    <row r="292" spans="5:50" x14ac:dyDescent="0.45">
      <c r="AW292" s="72"/>
    </row>
    <row r="293" spans="5:50" x14ac:dyDescent="0.45">
      <c r="AW293" s="72"/>
    </row>
    <row r="294" spans="5:50" x14ac:dyDescent="0.45">
      <c r="AW294" s="72"/>
    </row>
    <row r="295" spans="5:50" x14ac:dyDescent="0.45">
      <c r="AW295" s="72"/>
    </row>
    <row r="296" spans="5:50" x14ac:dyDescent="0.45">
      <c r="AW296" s="72"/>
    </row>
    <row r="297" spans="5:50" x14ac:dyDescent="0.45">
      <c r="AW297" s="72"/>
    </row>
    <row r="298" spans="5:50" x14ac:dyDescent="0.45">
      <c r="AW298" s="72"/>
    </row>
    <row r="299" spans="5:50" x14ac:dyDescent="0.45">
      <c r="AW299" s="72"/>
    </row>
    <row r="300" spans="5:50" x14ac:dyDescent="0.45">
      <c r="AW300" s="72"/>
    </row>
    <row r="301" spans="5:50" x14ac:dyDescent="0.45">
      <c r="AW301" s="72"/>
    </row>
    <row r="302" spans="5:50" x14ac:dyDescent="0.45">
      <c r="AW302" s="72"/>
    </row>
    <row r="303" spans="5:50" x14ac:dyDescent="0.45">
      <c r="AW303" s="72"/>
    </row>
    <row r="304" spans="5:50" x14ac:dyDescent="0.45">
      <c r="AW304" s="72"/>
    </row>
    <row r="305" spans="49:49" x14ac:dyDescent="0.45">
      <c r="AW305" s="72"/>
    </row>
    <row r="306" spans="49:49" x14ac:dyDescent="0.45">
      <c r="AW306" s="72"/>
    </row>
    <row r="307" spans="49:49" x14ac:dyDescent="0.45">
      <c r="AW307" s="72"/>
    </row>
    <row r="308" spans="49:49" x14ac:dyDescent="0.45">
      <c r="AW308" s="72"/>
    </row>
    <row r="309" spans="49:49" x14ac:dyDescent="0.45">
      <c r="AW309" s="72"/>
    </row>
    <row r="310" spans="49:49" x14ac:dyDescent="0.45">
      <c r="AW310" s="72"/>
    </row>
    <row r="311" spans="49:49" x14ac:dyDescent="0.45">
      <c r="AW311" s="72"/>
    </row>
    <row r="312" spans="49:49" x14ac:dyDescent="0.45">
      <c r="AW312" s="72"/>
    </row>
    <row r="313" spans="49:49" x14ac:dyDescent="0.45">
      <c r="AW313" s="72"/>
    </row>
    <row r="314" spans="49:49" x14ac:dyDescent="0.45">
      <c r="AW314" s="72"/>
    </row>
    <row r="315" spans="49:49" x14ac:dyDescent="0.45">
      <c r="AW315" s="72"/>
    </row>
    <row r="316" spans="49:49" x14ac:dyDescent="0.45">
      <c r="AW316" s="72"/>
    </row>
    <row r="317" spans="49:49" x14ac:dyDescent="0.45">
      <c r="AW317" s="72"/>
    </row>
    <row r="318" spans="49:49" x14ac:dyDescent="0.45">
      <c r="AW318" s="72"/>
    </row>
    <row r="319" spans="49:49" x14ac:dyDescent="0.45">
      <c r="AW319" s="72"/>
    </row>
    <row r="320" spans="49:49" x14ac:dyDescent="0.45">
      <c r="AW320" s="72"/>
    </row>
    <row r="321" spans="49:49" x14ac:dyDescent="0.45">
      <c r="AW321" s="72"/>
    </row>
    <row r="322" spans="49:49" x14ac:dyDescent="0.45">
      <c r="AW322" s="72"/>
    </row>
    <row r="323" spans="49:49" x14ac:dyDescent="0.45">
      <c r="AW323" s="72"/>
    </row>
    <row r="324" spans="49:49" x14ac:dyDescent="0.45">
      <c r="AW324" s="72"/>
    </row>
    <row r="325" spans="49:49" x14ac:dyDescent="0.45">
      <c r="AW325" s="72"/>
    </row>
    <row r="326" spans="49:49" x14ac:dyDescent="0.45">
      <c r="AW326" s="72"/>
    </row>
    <row r="327" spans="49:49" x14ac:dyDescent="0.45">
      <c r="AW327" s="72"/>
    </row>
    <row r="328" spans="49:49" x14ac:dyDescent="0.45">
      <c r="AW328" s="72"/>
    </row>
    <row r="329" spans="49:49" x14ac:dyDescent="0.45">
      <c r="AW329" s="72"/>
    </row>
    <row r="330" spans="49:49" x14ac:dyDescent="0.45">
      <c r="AW330" s="72"/>
    </row>
    <row r="331" spans="49:49" x14ac:dyDescent="0.45">
      <c r="AW331" s="72"/>
    </row>
    <row r="332" spans="49:49" x14ac:dyDescent="0.45">
      <c r="AW332" s="72"/>
    </row>
    <row r="333" spans="49:49" x14ac:dyDescent="0.45">
      <c r="AW333" s="72"/>
    </row>
    <row r="334" spans="49:49" x14ac:dyDescent="0.45">
      <c r="AW334" s="72"/>
    </row>
    <row r="335" spans="49:49" x14ac:dyDescent="0.45">
      <c r="AW335" s="72"/>
    </row>
    <row r="336" spans="49:49" x14ac:dyDescent="0.45">
      <c r="AW336" s="72"/>
    </row>
    <row r="337" spans="49:49" x14ac:dyDescent="0.45">
      <c r="AW337" s="72"/>
    </row>
    <row r="338" spans="49:49" x14ac:dyDescent="0.45">
      <c r="AW338" s="72"/>
    </row>
    <row r="339" spans="49:49" x14ac:dyDescent="0.45">
      <c r="AW339" s="72"/>
    </row>
    <row r="340" spans="49:49" x14ac:dyDescent="0.45">
      <c r="AW340" s="72"/>
    </row>
    <row r="341" spans="49:49" x14ac:dyDescent="0.45">
      <c r="AW341" s="72"/>
    </row>
    <row r="342" spans="49:49" x14ac:dyDescent="0.45">
      <c r="AW342" s="72"/>
    </row>
    <row r="343" spans="49:49" x14ac:dyDescent="0.45">
      <c r="AW343" s="72"/>
    </row>
    <row r="344" spans="49:49" x14ac:dyDescent="0.45">
      <c r="AW344" s="72"/>
    </row>
    <row r="345" spans="49:49" x14ac:dyDescent="0.45">
      <c r="AW345" s="72"/>
    </row>
    <row r="346" spans="49:49" x14ac:dyDescent="0.45">
      <c r="AW346" s="72"/>
    </row>
    <row r="347" spans="49:49" x14ac:dyDescent="0.45">
      <c r="AW347" s="72"/>
    </row>
    <row r="348" spans="49:49" x14ac:dyDescent="0.45">
      <c r="AW348" s="72"/>
    </row>
    <row r="349" spans="49:49" x14ac:dyDescent="0.45">
      <c r="AW349" s="72"/>
    </row>
    <row r="350" spans="49:49" x14ac:dyDescent="0.45">
      <c r="AW350" s="72"/>
    </row>
    <row r="351" spans="49:49" x14ac:dyDescent="0.45">
      <c r="AW351" s="72"/>
    </row>
    <row r="352" spans="49:49" x14ac:dyDescent="0.45">
      <c r="AW352" s="72"/>
    </row>
    <row r="353" spans="49:49" x14ac:dyDescent="0.45">
      <c r="AW353" s="72"/>
    </row>
    <row r="354" spans="49:49" x14ac:dyDescent="0.45">
      <c r="AW354" s="72"/>
    </row>
    <row r="355" spans="49:49" x14ac:dyDescent="0.45">
      <c r="AW355" s="72"/>
    </row>
    <row r="356" spans="49:49" x14ac:dyDescent="0.45">
      <c r="AW356" s="72"/>
    </row>
    <row r="357" spans="49:49" x14ac:dyDescent="0.45">
      <c r="AW357" s="72"/>
    </row>
    <row r="358" spans="49:49" x14ac:dyDescent="0.45">
      <c r="AW358" s="72"/>
    </row>
    <row r="359" spans="49:49" x14ac:dyDescent="0.45">
      <c r="AW359" s="72"/>
    </row>
    <row r="360" spans="49:49" x14ac:dyDescent="0.45">
      <c r="AW360" s="72"/>
    </row>
    <row r="361" spans="49:49" x14ac:dyDescent="0.45">
      <c r="AW361" s="72"/>
    </row>
    <row r="362" spans="49:49" x14ac:dyDescent="0.45">
      <c r="AW362" s="72"/>
    </row>
    <row r="363" spans="49:49" x14ac:dyDescent="0.45">
      <c r="AW363" s="72"/>
    </row>
    <row r="364" spans="49:49" x14ac:dyDescent="0.45">
      <c r="AW364" s="72"/>
    </row>
    <row r="365" spans="49:49" x14ac:dyDescent="0.45">
      <c r="AW365" s="72"/>
    </row>
    <row r="366" spans="49:49" x14ac:dyDescent="0.45">
      <c r="AW366" s="72"/>
    </row>
    <row r="367" spans="49:49" x14ac:dyDescent="0.45">
      <c r="AW367" s="72"/>
    </row>
    <row r="368" spans="49:49" x14ac:dyDescent="0.45">
      <c r="AW368" s="72"/>
    </row>
    <row r="369" spans="49:49" x14ac:dyDescent="0.45">
      <c r="AW369" s="72"/>
    </row>
    <row r="370" spans="49:49" x14ac:dyDescent="0.45">
      <c r="AW370" s="72"/>
    </row>
    <row r="371" spans="49:49" x14ac:dyDescent="0.45">
      <c r="AW371" s="72"/>
    </row>
    <row r="372" spans="49:49" x14ac:dyDescent="0.45">
      <c r="AW372" s="72"/>
    </row>
    <row r="373" spans="49:49" x14ac:dyDescent="0.45">
      <c r="AW373" s="72"/>
    </row>
    <row r="374" spans="49:49" x14ac:dyDescent="0.45">
      <c r="AW374" s="72"/>
    </row>
    <row r="375" spans="49:49" x14ac:dyDescent="0.45">
      <c r="AW375" s="72"/>
    </row>
    <row r="376" spans="49:49" x14ac:dyDescent="0.45">
      <c r="AW376" s="72"/>
    </row>
    <row r="377" spans="49:49" x14ac:dyDescent="0.45">
      <c r="AW377" s="72"/>
    </row>
    <row r="378" spans="49:49" x14ac:dyDescent="0.45">
      <c r="AW378" s="72"/>
    </row>
    <row r="379" spans="49:49" x14ac:dyDescent="0.45">
      <c r="AW379" s="72"/>
    </row>
    <row r="380" spans="49:49" x14ac:dyDescent="0.45">
      <c r="AW380" s="72"/>
    </row>
    <row r="381" spans="49:49" x14ac:dyDescent="0.45">
      <c r="AW381" s="72"/>
    </row>
    <row r="382" spans="49:49" x14ac:dyDescent="0.45">
      <c r="AW382" s="72"/>
    </row>
    <row r="383" spans="49:49" x14ac:dyDescent="0.45">
      <c r="AW383" s="72"/>
    </row>
    <row r="384" spans="49:49" x14ac:dyDescent="0.45">
      <c r="AW384" s="72"/>
    </row>
    <row r="385" spans="49:49" x14ac:dyDescent="0.45">
      <c r="AW385" s="72"/>
    </row>
    <row r="386" spans="49:49" x14ac:dyDescent="0.45">
      <c r="AW386" s="72"/>
    </row>
    <row r="387" spans="49:49" x14ac:dyDescent="0.45">
      <c r="AW387" s="72"/>
    </row>
    <row r="388" spans="49:49" x14ac:dyDescent="0.45">
      <c r="AW388" s="72"/>
    </row>
    <row r="389" spans="49:49" x14ac:dyDescent="0.45">
      <c r="AW389" s="72"/>
    </row>
    <row r="390" spans="49:49" x14ac:dyDescent="0.45">
      <c r="AW390" s="72"/>
    </row>
    <row r="391" spans="49:49" x14ac:dyDescent="0.45">
      <c r="AW391" s="72"/>
    </row>
    <row r="392" spans="49:49" x14ac:dyDescent="0.45">
      <c r="AW392" s="72"/>
    </row>
    <row r="393" spans="49:49" x14ac:dyDescent="0.45">
      <c r="AW393" s="72"/>
    </row>
    <row r="394" spans="49:49" x14ac:dyDescent="0.45">
      <c r="AW394" s="72"/>
    </row>
    <row r="395" spans="49:49" x14ac:dyDescent="0.45">
      <c r="AW395" s="72"/>
    </row>
    <row r="396" spans="49:49" x14ac:dyDescent="0.45">
      <c r="AW396" s="72"/>
    </row>
    <row r="397" spans="49:49" x14ac:dyDescent="0.45">
      <c r="AW397" s="72"/>
    </row>
    <row r="398" spans="49:49" x14ac:dyDescent="0.45">
      <c r="AW398" s="72"/>
    </row>
    <row r="399" spans="49:49" x14ac:dyDescent="0.45">
      <c r="AW399" s="72"/>
    </row>
    <row r="400" spans="49:49" x14ac:dyDescent="0.45">
      <c r="AW400" s="72"/>
    </row>
    <row r="401" spans="49:49" x14ac:dyDescent="0.45">
      <c r="AW401" s="72"/>
    </row>
    <row r="402" spans="49:49" x14ac:dyDescent="0.45">
      <c r="AW402" s="72"/>
    </row>
    <row r="403" spans="49:49" x14ac:dyDescent="0.45">
      <c r="AW403" s="72"/>
    </row>
    <row r="404" spans="49:49" x14ac:dyDescent="0.45">
      <c r="AW404" s="72"/>
    </row>
    <row r="405" spans="49:49" x14ac:dyDescent="0.45">
      <c r="AW405" s="72"/>
    </row>
    <row r="406" spans="49:49" x14ac:dyDescent="0.45">
      <c r="AW406" s="72"/>
    </row>
    <row r="407" spans="49:49" x14ac:dyDescent="0.45">
      <c r="AW407" s="72"/>
    </row>
    <row r="408" spans="49:49" x14ac:dyDescent="0.45">
      <c r="AW408" s="72"/>
    </row>
    <row r="409" spans="49:49" x14ac:dyDescent="0.45">
      <c r="AW409" s="72"/>
    </row>
    <row r="410" spans="49:49" x14ac:dyDescent="0.45">
      <c r="AW410" s="72"/>
    </row>
    <row r="411" spans="49:49" x14ac:dyDescent="0.45">
      <c r="AW411" s="72"/>
    </row>
    <row r="412" spans="49:49" x14ac:dyDescent="0.45">
      <c r="AW412" s="72"/>
    </row>
    <row r="413" spans="49:49" x14ac:dyDescent="0.45">
      <c r="AW413" s="72"/>
    </row>
    <row r="414" spans="49:49" x14ac:dyDescent="0.45">
      <c r="AW414" s="72"/>
    </row>
    <row r="415" spans="49:49" x14ac:dyDescent="0.45">
      <c r="AW415" s="72"/>
    </row>
    <row r="416" spans="49:49" x14ac:dyDescent="0.45">
      <c r="AW416" s="72"/>
    </row>
    <row r="417" spans="49:49" x14ac:dyDescent="0.45">
      <c r="AW417" s="72"/>
    </row>
    <row r="418" spans="49:49" x14ac:dyDescent="0.45">
      <c r="AW418" s="72"/>
    </row>
    <row r="419" spans="49:49" x14ac:dyDescent="0.45">
      <c r="AW419" s="72"/>
    </row>
    <row r="420" spans="49:49" x14ac:dyDescent="0.45">
      <c r="AW420" s="72"/>
    </row>
    <row r="421" spans="49:49" x14ac:dyDescent="0.45">
      <c r="AW421" s="72"/>
    </row>
    <row r="422" spans="49:49" x14ac:dyDescent="0.45">
      <c r="AW422" s="72"/>
    </row>
    <row r="423" spans="49:49" x14ac:dyDescent="0.45">
      <c r="AW423" s="72"/>
    </row>
    <row r="424" spans="49:49" x14ac:dyDescent="0.45">
      <c r="AW424" s="72"/>
    </row>
    <row r="425" spans="49:49" x14ac:dyDescent="0.45">
      <c r="AW425" s="72"/>
    </row>
    <row r="426" spans="49:49" x14ac:dyDescent="0.45">
      <c r="AW426" s="72"/>
    </row>
    <row r="427" spans="49:49" x14ac:dyDescent="0.45">
      <c r="AW427" s="72"/>
    </row>
    <row r="428" spans="49:49" x14ac:dyDescent="0.45">
      <c r="AW428" s="72"/>
    </row>
    <row r="429" spans="49:49" x14ac:dyDescent="0.45">
      <c r="AW429" s="72"/>
    </row>
    <row r="430" spans="49:49" x14ac:dyDescent="0.45">
      <c r="AW430" s="72"/>
    </row>
    <row r="431" spans="49:49" x14ac:dyDescent="0.45">
      <c r="AW431" s="72"/>
    </row>
    <row r="432" spans="49:49" x14ac:dyDescent="0.45">
      <c r="AW432" s="72"/>
    </row>
    <row r="433" spans="49:49" x14ac:dyDescent="0.45">
      <c r="AW433" s="72"/>
    </row>
    <row r="434" spans="49:49" x14ac:dyDescent="0.45">
      <c r="AW434" s="72"/>
    </row>
    <row r="435" spans="49:49" x14ac:dyDescent="0.45">
      <c r="AW435" s="72"/>
    </row>
    <row r="436" spans="49:49" x14ac:dyDescent="0.45">
      <c r="AW436" s="72"/>
    </row>
    <row r="437" spans="49:49" x14ac:dyDescent="0.45">
      <c r="AW437" s="72"/>
    </row>
    <row r="438" spans="49:49" x14ac:dyDescent="0.45">
      <c r="AW438" s="72"/>
    </row>
    <row r="439" spans="49:49" x14ac:dyDescent="0.45">
      <c r="AW439" s="72"/>
    </row>
    <row r="440" spans="49:49" x14ac:dyDescent="0.45">
      <c r="AW440" s="72"/>
    </row>
    <row r="441" spans="49:49" x14ac:dyDescent="0.45">
      <c r="AW441" s="72"/>
    </row>
    <row r="442" spans="49:49" x14ac:dyDescent="0.45">
      <c r="AW442" s="72"/>
    </row>
    <row r="443" spans="49:49" x14ac:dyDescent="0.45">
      <c r="AW443" s="72"/>
    </row>
    <row r="444" spans="49:49" x14ac:dyDescent="0.45">
      <c r="AW444" s="72"/>
    </row>
    <row r="445" spans="49:49" x14ac:dyDescent="0.45">
      <c r="AW445" s="72"/>
    </row>
    <row r="446" spans="49:49" x14ac:dyDescent="0.45">
      <c r="AW446" s="72"/>
    </row>
    <row r="447" spans="49:49" x14ac:dyDescent="0.45">
      <c r="AW447" s="72"/>
    </row>
    <row r="448" spans="49:49" x14ac:dyDescent="0.45">
      <c r="AW448" s="72"/>
    </row>
    <row r="449" spans="49:49" x14ac:dyDescent="0.45">
      <c r="AW449" s="72"/>
    </row>
    <row r="450" spans="49:49" x14ac:dyDescent="0.45">
      <c r="AW450" s="72"/>
    </row>
    <row r="451" spans="49:49" x14ac:dyDescent="0.45">
      <c r="AW451" s="72"/>
    </row>
    <row r="452" spans="49:49" x14ac:dyDescent="0.45">
      <c r="AW452" s="72"/>
    </row>
    <row r="453" spans="49:49" x14ac:dyDescent="0.45">
      <c r="AW453" s="72"/>
    </row>
    <row r="454" spans="49:49" x14ac:dyDescent="0.45">
      <c r="AW454" s="72"/>
    </row>
    <row r="455" spans="49:49" x14ac:dyDescent="0.45">
      <c r="AW455" s="72"/>
    </row>
    <row r="456" spans="49:49" x14ac:dyDescent="0.45">
      <c r="AW456" s="72"/>
    </row>
    <row r="457" spans="49:49" x14ac:dyDescent="0.45">
      <c r="AW457" s="72"/>
    </row>
    <row r="458" spans="49:49" x14ac:dyDescent="0.45">
      <c r="AW458" s="72"/>
    </row>
    <row r="459" spans="49:49" x14ac:dyDescent="0.45">
      <c r="AW459" s="72"/>
    </row>
    <row r="460" spans="49:49" x14ac:dyDescent="0.45">
      <c r="AW460" s="72"/>
    </row>
    <row r="461" spans="49:49" x14ac:dyDescent="0.45">
      <c r="AW461" s="72"/>
    </row>
    <row r="462" spans="49:49" x14ac:dyDescent="0.45">
      <c r="AW462" s="72"/>
    </row>
    <row r="463" spans="49:49" x14ac:dyDescent="0.45">
      <c r="AW463" s="72"/>
    </row>
    <row r="464" spans="49:49" x14ac:dyDescent="0.45">
      <c r="AW464" s="72"/>
    </row>
    <row r="465" spans="49:49" x14ac:dyDescent="0.45">
      <c r="AW465" s="72"/>
    </row>
    <row r="466" spans="49:49" x14ac:dyDescent="0.45">
      <c r="AW466" s="72"/>
    </row>
    <row r="467" spans="49:49" x14ac:dyDescent="0.45">
      <c r="AW467" s="72"/>
    </row>
    <row r="468" spans="49:49" x14ac:dyDescent="0.45">
      <c r="AW468" s="72"/>
    </row>
    <row r="469" spans="49:49" x14ac:dyDescent="0.45">
      <c r="AW469" s="72"/>
    </row>
    <row r="470" spans="49:49" x14ac:dyDescent="0.45">
      <c r="AW470" s="72"/>
    </row>
    <row r="471" spans="49:49" x14ac:dyDescent="0.45">
      <c r="AW471" s="72"/>
    </row>
    <row r="472" spans="49:49" x14ac:dyDescent="0.45">
      <c r="AW472" s="72"/>
    </row>
    <row r="473" spans="49:49" x14ac:dyDescent="0.45">
      <c r="AW473" s="72"/>
    </row>
    <row r="474" spans="49:49" x14ac:dyDescent="0.45">
      <c r="AW474" s="72"/>
    </row>
    <row r="475" spans="49:49" x14ac:dyDescent="0.45">
      <c r="AW475" s="72"/>
    </row>
    <row r="476" spans="49:49" x14ac:dyDescent="0.45">
      <c r="AW476" s="72"/>
    </row>
    <row r="477" spans="49:49" x14ac:dyDescent="0.45">
      <c r="AW477" s="72"/>
    </row>
    <row r="478" spans="49:49" x14ac:dyDescent="0.45">
      <c r="AW478" s="72"/>
    </row>
    <row r="479" spans="49:49" x14ac:dyDescent="0.45">
      <c r="AW479" s="72"/>
    </row>
    <row r="480" spans="49:49" x14ac:dyDescent="0.45">
      <c r="AW480" s="72"/>
    </row>
    <row r="481" spans="49:49" x14ac:dyDescent="0.45">
      <c r="AW481" s="72"/>
    </row>
    <row r="482" spans="49:49" x14ac:dyDescent="0.45">
      <c r="AW482" s="72"/>
    </row>
    <row r="483" spans="49:49" x14ac:dyDescent="0.45">
      <c r="AW483" s="72"/>
    </row>
    <row r="484" spans="49:49" x14ac:dyDescent="0.45">
      <c r="AW484" s="72"/>
    </row>
    <row r="485" spans="49:49" x14ac:dyDescent="0.45">
      <c r="AW485" s="72"/>
    </row>
    <row r="486" spans="49:49" x14ac:dyDescent="0.45">
      <c r="AW486" s="72"/>
    </row>
    <row r="487" spans="49:49" x14ac:dyDescent="0.45">
      <c r="AW487" s="72"/>
    </row>
    <row r="488" spans="49:49" x14ac:dyDescent="0.45">
      <c r="AW488" s="72"/>
    </row>
    <row r="489" spans="49:49" x14ac:dyDescent="0.45">
      <c r="AW489" s="72"/>
    </row>
    <row r="490" spans="49:49" x14ac:dyDescent="0.45">
      <c r="AW490" s="72"/>
    </row>
    <row r="491" spans="49:49" x14ac:dyDescent="0.45">
      <c r="AW491" s="72"/>
    </row>
    <row r="492" spans="49:49" x14ac:dyDescent="0.45">
      <c r="AW492" s="72"/>
    </row>
    <row r="493" spans="49:49" x14ac:dyDescent="0.45">
      <c r="AW493" s="72"/>
    </row>
    <row r="494" spans="49:49" x14ac:dyDescent="0.45">
      <c r="AW494" s="72"/>
    </row>
    <row r="495" spans="49:49" x14ac:dyDescent="0.45">
      <c r="AW495" s="72"/>
    </row>
    <row r="496" spans="49:49" x14ac:dyDescent="0.45">
      <c r="AW496" s="72"/>
    </row>
    <row r="497" spans="49:49" x14ac:dyDescent="0.45">
      <c r="AW497" s="72"/>
    </row>
    <row r="498" spans="49:49" x14ac:dyDescent="0.45">
      <c r="AW498" s="72"/>
    </row>
    <row r="499" spans="49:49" x14ac:dyDescent="0.45">
      <c r="AW499" s="72"/>
    </row>
    <row r="500" spans="49:49" x14ac:dyDescent="0.45">
      <c r="AW500" s="72"/>
    </row>
    <row r="501" spans="49:49" x14ac:dyDescent="0.45">
      <c r="AW501" s="72"/>
    </row>
    <row r="502" spans="49:49" x14ac:dyDescent="0.45">
      <c r="AW502" s="72"/>
    </row>
    <row r="503" spans="49:49" x14ac:dyDescent="0.45">
      <c r="AW503" s="72"/>
    </row>
    <row r="504" spans="49:49" x14ac:dyDescent="0.45">
      <c r="AW504" s="72"/>
    </row>
    <row r="505" spans="49:49" x14ac:dyDescent="0.45">
      <c r="AW505" s="72"/>
    </row>
    <row r="506" spans="49:49" x14ac:dyDescent="0.45">
      <c r="AW506" s="72"/>
    </row>
    <row r="507" spans="49:49" x14ac:dyDescent="0.45">
      <c r="AW507" s="72"/>
    </row>
    <row r="508" spans="49:49" x14ac:dyDescent="0.45">
      <c r="AW508" s="72"/>
    </row>
    <row r="509" spans="49:49" x14ac:dyDescent="0.45">
      <c r="AW509" s="72"/>
    </row>
    <row r="510" spans="49:49" x14ac:dyDescent="0.45">
      <c r="AW510" s="72"/>
    </row>
    <row r="511" spans="49:49" x14ac:dyDescent="0.45">
      <c r="AW511" s="72"/>
    </row>
    <row r="512" spans="49:49" x14ac:dyDescent="0.45">
      <c r="AW512" s="72"/>
    </row>
    <row r="513" spans="49:49" x14ac:dyDescent="0.45">
      <c r="AW513" s="72"/>
    </row>
    <row r="514" spans="49:49" x14ac:dyDescent="0.45">
      <c r="AW514" s="72"/>
    </row>
    <row r="515" spans="49:49" x14ac:dyDescent="0.45">
      <c r="AW515" s="72"/>
    </row>
    <row r="516" spans="49:49" x14ac:dyDescent="0.45">
      <c r="AW516" s="72"/>
    </row>
    <row r="517" spans="49:49" x14ac:dyDescent="0.45">
      <c r="AW517" s="72"/>
    </row>
    <row r="518" spans="49:49" x14ac:dyDescent="0.45">
      <c r="AW518" s="72"/>
    </row>
    <row r="519" spans="49:49" x14ac:dyDescent="0.45">
      <c r="AW519" s="72"/>
    </row>
    <row r="520" spans="49:49" x14ac:dyDescent="0.45">
      <c r="AW520" s="72"/>
    </row>
    <row r="521" spans="49:49" x14ac:dyDescent="0.45">
      <c r="AW521" s="72"/>
    </row>
    <row r="522" spans="49:49" x14ac:dyDescent="0.45">
      <c r="AW522" s="72"/>
    </row>
    <row r="523" spans="49:49" x14ac:dyDescent="0.45">
      <c r="AW523" s="72"/>
    </row>
    <row r="524" spans="49:49" x14ac:dyDescent="0.45">
      <c r="AW524" s="72"/>
    </row>
    <row r="525" spans="49:49" x14ac:dyDescent="0.45">
      <c r="AW525" s="72"/>
    </row>
    <row r="526" spans="49:49" x14ac:dyDescent="0.45">
      <c r="AW526" s="72"/>
    </row>
    <row r="527" spans="49:49" x14ac:dyDescent="0.45">
      <c r="AW527" s="72"/>
    </row>
    <row r="528" spans="49:49" x14ac:dyDescent="0.45">
      <c r="AW528" s="72"/>
    </row>
    <row r="529" spans="49:49" x14ac:dyDescent="0.45">
      <c r="AW529" s="72"/>
    </row>
    <row r="530" spans="49:49" x14ac:dyDescent="0.45">
      <c r="AW530" s="72"/>
    </row>
    <row r="531" spans="49:49" x14ac:dyDescent="0.45">
      <c r="AW531" s="72"/>
    </row>
    <row r="532" spans="49:49" x14ac:dyDescent="0.45">
      <c r="AW532" s="72"/>
    </row>
    <row r="533" spans="49:49" x14ac:dyDescent="0.45">
      <c r="AW533" s="72"/>
    </row>
    <row r="534" spans="49:49" x14ac:dyDescent="0.45">
      <c r="AW534" s="72"/>
    </row>
    <row r="535" spans="49:49" x14ac:dyDescent="0.45">
      <c r="AW535" s="72"/>
    </row>
    <row r="536" spans="49:49" x14ac:dyDescent="0.45">
      <c r="AW536" s="72"/>
    </row>
    <row r="537" spans="49:49" x14ac:dyDescent="0.45">
      <c r="AW537" s="72"/>
    </row>
    <row r="538" spans="49:49" x14ac:dyDescent="0.45">
      <c r="AW538" s="72"/>
    </row>
    <row r="539" spans="49:49" x14ac:dyDescent="0.45">
      <c r="AW539" s="72"/>
    </row>
    <row r="540" spans="49:49" x14ac:dyDescent="0.45">
      <c r="AW540" s="72"/>
    </row>
    <row r="541" spans="49:49" x14ac:dyDescent="0.45">
      <c r="AW541" s="72"/>
    </row>
    <row r="542" spans="49:49" x14ac:dyDescent="0.45">
      <c r="AW542" s="72"/>
    </row>
    <row r="543" spans="49:49" x14ac:dyDescent="0.45">
      <c r="AW543" s="72"/>
    </row>
    <row r="544" spans="49:49" x14ac:dyDescent="0.45">
      <c r="AW544" s="72"/>
    </row>
    <row r="545" spans="49:49" x14ac:dyDescent="0.45">
      <c r="AW545" s="72"/>
    </row>
    <row r="546" spans="49:49" x14ac:dyDescent="0.45">
      <c r="AW546" s="72"/>
    </row>
    <row r="547" spans="49:49" x14ac:dyDescent="0.45">
      <c r="AW547" s="72"/>
    </row>
    <row r="548" spans="49:49" x14ac:dyDescent="0.45">
      <c r="AW548" s="72"/>
    </row>
    <row r="549" spans="49:49" x14ac:dyDescent="0.45">
      <c r="AW549" s="72"/>
    </row>
    <row r="550" spans="49:49" x14ac:dyDescent="0.45">
      <c r="AW550" s="72"/>
    </row>
    <row r="551" spans="49:49" x14ac:dyDescent="0.45">
      <c r="AW551" s="72"/>
    </row>
    <row r="552" spans="49:49" x14ac:dyDescent="0.45">
      <c r="AW552" s="72"/>
    </row>
    <row r="553" spans="49:49" x14ac:dyDescent="0.45">
      <c r="AW553" s="72"/>
    </row>
    <row r="554" spans="49:49" x14ac:dyDescent="0.45">
      <c r="AW554" s="72"/>
    </row>
    <row r="555" spans="49:49" x14ac:dyDescent="0.45">
      <c r="AW555" s="72"/>
    </row>
    <row r="556" spans="49:49" x14ac:dyDescent="0.45">
      <c r="AW556" s="72"/>
    </row>
    <row r="557" spans="49:49" x14ac:dyDescent="0.45">
      <c r="AW557" s="72"/>
    </row>
    <row r="558" spans="49:49" x14ac:dyDescent="0.45">
      <c r="AW558" s="72"/>
    </row>
    <row r="559" spans="49:49" x14ac:dyDescent="0.45">
      <c r="AW559" s="72"/>
    </row>
    <row r="560" spans="49:49" x14ac:dyDescent="0.45">
      <c r="AW560" s="72"/>
    </row>
    <row r="561" spans="49:49" x14ac:dyDescent="0.45">
      <c r="AW561" s="72"/>
    </row>
    <row r="562" spans="49:49" x14ac:dyDescent="0.45">
      <c r="AW562" s="72"/>
    </row>
    <row r="563" spans="49:49" x14ac:dyDescent="0.45">
      <c r="AW563" s="72"/>
    </row>
    <row r="564" spans="49:49" x14ac:dyDescent="0.45">
      <c r="AW564" s="72"/>
    </row>
    <row r="565" spans="49:49" x14ac:dyDescent="0.45">
      <c r="AW565" s="72"/>
    </row>
    <row r="566" spans="49:49" x14ac:dyDescent="0.45">
      <c r="AW566" s="72"/>
    </row>
    <row r="567" spans="49:49" x14ac:dyDescent="0.45">
      <c r="AW567" s="72"/>
    </row>
    <row r="568" spans="49:49" x14ac:dyDescent="0.45">
      <c r="AW568" s="72"/>
    </row>
    <row r="569" spans="49:49" x14ac:dyDescent="0.45">
      <c r="AW569" s="72"/>
    </row>
    <row r="570" spans="49:49" x14ac:dyDescent="0.45">
      <c r="AW570" s="72"/>
    </row>
    <row r="571" spans="49:49" x14ac:dyDescent="0.45">
      <c r="AW571" s="72"/>
    </row>
    <row r="572" spans="49:49" x14ac:dyDescent="0.45">
      <c r="AW572" s="72"/>
    </row>
    <row r="573" spans="49:49" x14ac:dyDescent="0.45">
      <c r="AW573" s="72"/>
    </row>
    <row r="574" spans="49:49" x14ac:dyDescent="0.45">
      <c r="AW574" s="72"/>
    </row>
    <row r="575" spans="49:49" x14ac:dyDescent="0.45">
      <c r="AW575" s="72"/>
    </row>
    <row r="576" spans="49:49" x14ac:dyDescent="0.45">
      <c r="AW576" s="72"/>
    </row>
    <row r="577" spans="47:49" x14ac:dyDescent="0.45">
      <c r="AW577" s="72"/>
    </row>
    <row r="578" spans="47:49" x14ac:dyDescent="0.45">
      <c r="AW578" s="72"/>
    </row>
    <row r="579" spans="47:49" x14ac:dyDescent="0.45">
      <c r="AW579" s="72"/>
    </row>
    <row r="580" spans="47:49" x14ac:dyDescent="0.45">
      <c r="AW580" s="72"/>
    </row>
    <row r="581" spans="47:49" x14ac:dyDescent="0.45">
      <c r="AW581" s="72"/>
    </row>
    <row r="582" spans="47:49" x14ac:dyDescent="0.45">
      <c r="AW582" s="71"/>
    </row>
    <row r="587" spans="47:49" x14ac:dyDescent="0.45">
      <c r="AU587" s="48" t="s">
        <v>800</v>
      </c>
      <c r="AV587" s="128" t="s">
        <v>800</v>
      </c>
    </row>
  </sheetData>
  <mergeCells count="1097">
    <mergeCell ref="J199:Q201"/>
    <mergeCell ref="R199:R201"/>
    <mergeCell ref="J202:S204"/>
    <mergeCell ref="T202:T204"/>
    <mergeCell ref="W199:AB200"/>
    <mergeCell ref="AC199:AD200"/>
    <mergeCell ref="Q181:Q183"/>
    <mergeCell ref="R181:R183"/>
    <mergeCell ref="S181:S183"/>
    <mergeCell ref="T181:T183"/>
    <mergeCell ref="Q187:Q189"/>
    <mergeCell ref="R187:R189"/>
    <mergeCell ref="S187:S189"/>
    <mergeCell ref="T187:T189"/>
    <mergeCell ref="G175:P175"/>
    <mergeCell ref="G179:P179"/>
    <mergeCell ref="B180:P180"/>
    <mergeCell ref="G185:P185"/>
    <mergeCell ref="B186:P186"/>
    <mergeCell ref="G190:P190"/>
    <mergeCell ref="B191:P191"/>
    <mergeCell ref="G193:P193"/>
    <mergeCell ref="B194:P194"/>
    <mergeCell ref="G167:P167"/>
    <mergeCell ref="B168:P168"/>
    <mergeCell ref="G174:P174"/>
    <mergeCell ref="G129:O129"/>
    <mergeCell ref="G136:P136"/>
    <mergeCell ref="G145:P145"/>
    <mergeCell ref="B146:P146"/>
    <mergeCell ref="Q147:Q148"/>
    <mergeCell ref="R147:R148"/>
    <mergeCell ref="S147:S148"/>
    <mergeCell ref="T147:T148"/>
    <mergeCell ref="Q151:Q152"/>
    <mergeCell ref="R151:R152"/>
    <mergeCell ref="S151:S152"/>
    <mergeCell ref="T151:T152"/>
    <mergeCell ref="G147:G149"/>
    <mergeCell ref="H147:H148"/>
    <mergeCell ref="I147:I148"/>
    <mergeCell ref="H151:H152"/>
    <mergeCell ref="K130:K134"/>
    <mergeCell ref="L130:L134"/>
    <mergeCell ref="M130:M134"/>
    <mergeCell ref="N130:N134"/>
    <mergeCell ref="K137:K142"/>
    <mergeCell ref="L137:L142"/>
    <mergeCell ref="M137:M142"/>
    <mergeCell ref="P147:P148"/>
    <mergeCell ref="T156:T158"/>
    <mergeCell ref="Q161:Q162"/>
    <mergeCell ref="R161:R162"/>
    <mergeCell ref="S161:S162"/>
    <mergeCell ref="T161:T162"/>
    <mergeCell ref="G121:P121"/>
    <mergeCell ref="Q122:Q127"/>
    <mergeCell ref="R122:R127"/>
    <mergeCell ref="S122:S127"/>
    <mergeCell ref="T122:T127"/>
    <mergeCell ref="G94:P94"/>
    <mergeCell ref="B95:P95"/>
    <mergeCell ref="Q104:Q114"/>
    <mergeCell ref="R104:R114"/>
    <mergeCell ref="S104:S114"/>
    <mergeCell ref="T104:T114"/>
    <mergeCell ref="G100:O100"/>
    <mergeCell ref="G102:O102"/>
    <mergeCell ref="B103:O103"/>
    <mergeCell ref="L104:L114"/>
    <mergeCell ref="M104:M114"/>
    <mergeCell ref="N104:N114"/>
    <mergeCell ref="O104:O114"/>
    <mergeCell ref="J122:J127"/>
    <mergeCell ref="K122:K127"/>
    <mergeCell ref="L122:L127"/>
    <mergeCell ref="M122:M127"/>
    <mergeCell ref="N122:N127"/>
    <mergeCell ref="O122:O127"/>
    <mergeCell ref="P122:P127"/>
    <mergeCell ref="G64:Q64"/>
    <mergeCell ref="Q65:Q66"/>
    <mergeCell ref="R65:R66"/>
    <mergeCell ref="S65:S66"/>
    <mergeCell ref="T65:T66"/>
    <mergeCell ref="G67:P67"/>
    <mergeCell ref="B71:P71"/>
    <mergeCell ref="B70:P70"/>
    <mergeCell ref="L65:L66"/>
    <mergeCell ref="M65:M66"/>
    <mergeCell ref="N65:N66"/>
    <mergeCell ref="O65:O66"/>
    <mergeCell ref="Q117:Q119"/>
    <mergeCell ref="R117:R119"/>
    <mergeCell ref="S117:S119"/>
    <mergeCell ref="T117:T119"/>
    <mergeCell ref="H120:P120"/>
    <mergeCell ref="G55:P55"/>
    <mergeCell ref="Q59:Q62"/>
    <mergeCell ref="R59:R62"/>
    <mergeCell ref="S59:S62"/>
    <mergeCell ref="T59:T62"/>
    <mergeCell ref="Q57:Q58"/>
    <mergeCell ref="R57:R58"/>
    <mergeCell ref="S57:S58"/>
    <mergeCell ref="T57:T58"/>
    <mergeCell ref="G32:O32"/>
    <mergeCell ref="B33:O33"/>
    <mergeCell ref="G45:O45"/>
    <mergeCell ref="B46:O46"/>
    <mergeCell ref="Q48:Q49"/>
    <mergeCell ref="R48:R49"/>
    <mergeCell ref="S48:S49"/>
    <mergeCell ref="T48:T49"/>
    <mergeCell ref="Q50:Q53"/>
    <mergeCell ref="R50:R53"/>
    <mergeCell ref="S50:S53"/>
    <mergeCell ref="T50:T53"/>
    <mergeCell ref="O59:O62"/>
    <mergeCell ref="AX141:AX142"/>
    <mergeCell ref="AX169:AX173"/>
    <mergeCell ref="AX176:AX178"/>
    <mergeCell ref="AX181:AX184"/>
    <mergeCell ref="AX187:AX189"/>
    <mergeCell ref="P50:P53"/>
    <mergeCell ref="P57:P58"/>
    <mergeCell ref="P59:P62"/>
    <mergeCell ref="W3:W16"/>
    <mergeCell ref="AF3:AF16"/>
    <mergeCell ref="AG3:AG16"/>
    <mergeCell ref="P4:P5"/>
    <mergeCell ref="P18:P19"/>
    <mergeCell ref="U18:U23"/>
    <mergeCell ref="V18:V23"/>
    <mergeCell ref="W18:W23"/>
    <mergeCell ref="AF18:AF23"/>
    <mergeCell ref="P20:P21"/>
    <mergeCell ref="AO3:AO16"/>
    <mergeCell ref="AP3:AP16"/>
    <mergeCell ref="Q25:Q27"/>
    <mergeCell ref="R25:R27"/>
    <mergeCell ref="S25:S27"/>
    <mergeCell ref="T25:T27"/>
    <mergeCell ref="Q28:Q29"/>
    <mergeCell ref="R28:R29"/>
    <mergeCell ref="S28:S29"/>
    <mergeCell ref="T28:T29"/>
    <mergeCell ref="Q30:Q31"/>
    <mergeCell ref="R30:R31"/>
    <mergeCell ref="S30:S31"/>
    <mergeCell ref="T30:T31"/>
    <mergeCell ref="AX195:AX197"/>
    <mergeCell ref="F187:F189"/>
    <mergeCell ref="O187:O189"/>
    <mergeCell ref="P187:P189"/>
    <mergeCell ref="F195:F197"/>
    <mergeCell ref="O195:O197"/>
    <mergeCell ref="P195:P197"/>
    <mergeCell ref="AV176:AV178"/>
    <mergeCell ref="AV181:AV184"/>
    <mergeCell ref="AV187:AV189"/>
    <mergeCell ref="AV195:AV197"/>
    <mergeCell ref="H176:H178"/>
    <mergeCell ref="I176:I178"/>
    <mergeCell ref="J176:J178"/>
    <mergeCell ref="K176:K178"/>
    <mergeCell ref="L176:L178"/>
    <mergeCell ref="M176:M178"/>
    <mergeCell ref="AK176:AK178"/>
    <mergeCell ref="AN176:AN178"/>
    <mergeCell ref="AO176:AO178"/>
    <mergeCell ref="AP176:AP178"/>
    <mergeCell ref="AL176:AL178"/>
    <mergeCell ref="AM176:AM178"/>
    <mergeCell ref="Q176:Q178"/>
    <mergeCell ref="R176:R178"/>
    <mergeCell ref="S176:S178"/>
    <mergeCell ref="T176:T178"/>
    <mergeCell ref="O181:O183"/>
    <mergeCell ref="P181:P183"/>
    <mergeCell ref="AI3:AI16"/>
    <mergeCell ref="AJ3:AJ16"/>
    <mergeCell ref="AK3:AK16"/>
    <mergeCell ref="AL3:AL16"/>
    <mergeCell ref="AN3:AN16"/>
    <mergeCell ref="AO18:AO23"/>
    <mergeCell ref="J18:J19"/>
    <mergeCell ref="K6:K8"/>
    <mergeCell ref="L6:L8"/>
    <mergeCell ref="M6:M8"/>
    <mergeCell ref="K12:K13"/>
    <mergeCell ref="L12:L13"/>
    <mergeCell ref="M12:M13"/>
    <mergeCell ref="H9:H10"/>
    <mergeCell ref="I9:I10"/>
    <mergeCell ref="J9:J10"/>
    <mergeCell ref="K9:K10"/>
    <mergeCell ref="L9:L10"/>
    <mergeCell ref="M9:M10"/>
    <mergeCell ref="H6:H8"/>
    <mergeCell ref="I6:I8"/>
    <mergeCell ref="J6:J8"/>
    <mergeCell ref="Q12:Q13"/>
    <mergeCell ref="R12:R13"/>
    <mergeCell ref="S12:S13"/>
    <mergeCell ref="T12:T13"/>
    <mergeCell ref="Q9:Q10"/>
    <mergeCell ref="R9:R10"/>
    <mergeCell ref="S9:S10"/>
    <mergeCell ref="I4:I5"/>
    <mergeCell ref="J4:J5"/>
    <mergeCell ref="K4:K5"/>
    <mergeCell ref="L4:L5"/>
    <mergeCell ref="M4:M5"/>
    <mergeCell ref="N4:N5"/>
    <mergeCell ref="O4:O5"/>
    <mergeCell ref="AH3:AH16"/>
    <mergeCell ref="U3:U16"/>
    <mergeCell ref="V3:V16"/>
    <mergeCell ref="N9:N10"/>
    <mergeCell ref="O9:O10"/>
    <mergeCell ref="P9:P10"/>
    <mergeCell ref="I12:I13"/>
    <mergeCell ref="J12:J13"/>
    <mergeCell ref="N6:N8"/>
    <mergeCell ref="O6:O8"/>
    <mergeCell ref="P6:P8"/>
    <mergeCell ref="N12:N13"/>
    <mergeCell ref="O12:O13"/>
    <mergeCell ref="P12:P13"/>
    <mergeCell ref="T9:T10"/>
    <mergeCell ref="Q6:Q8"/>
    <mergeCell ref="R6:R8"/>
    <mergeCell ref="S6:S8"/>
    <mergeCell ref="T6:T8"/>
    <mergeCell ref="Q4:Q5"/>
    <mergeCell ref="R4:R5"/>
    <mergeCell ref="S4:S5"/>
    <mergeCell ref="T4:T5"/>
    <mergeCell ref="G24:P24"/>
    <mergeCell ref="R18:R19"/>
    <mergeCell ref="Q18:Q19"/>
    <mergeCell ref="K18:K19"/>
    <mergeCell ref="L18:L19"/>
    <mergeCell ref="M18:M19"/>
    <mergeCell ref="N18:N19"/>
    <mergeCell ref="A18:A23"/>
    <mergeCell ref="B18:B23"/>
    <mergeCell ref="C18:C23"/>
    <mergeCell ref="D18:D23"/>
    <mergeCell ref="E18:E23"/>
    <mergeCell ref="F18:F23"/>
    <mergeCell ref="G18:G23"/>
    <mergeCell ref="H18:H19"/>
    <mergeCell ref="G3:G16"/>
    <mergeCell ref="A3:A16"/>
    <mergeCell ref="B3:B16"/>
    <mergeCell ref="C3:C16"/>
    <mergeCell ref="D3:D16"/>
    <mergeCell ref="E3:E16"/>
    <mergeCell ref="F3:F16"/>
    <mergeCell ref="H4:H5"/>
    <mergeCell ref="H12:H13"/>
    <mergeCell ref="G17:P17"/>
    <mergeCell ref="J22:J23"/>
    <mergeCell ref="K22:K23"/>
    <mergeCell ref="L22:L23"/>
    <mergeCell ref="M22:M23"/>
    <mergeCell ref="I18:I19"/>
    <mergeCell ref="H22:H23"/>
    <mergeCell ref="I22:I23"/>
    <mergeCell ref="AP18:AP23"/>
    <mergeCell ref="H20:H21"/>
    <mergeCell ref="I20:I21"/>
    <mergeCell ref="J20:J21"/>
    <mergeCell ref="K20:K21"/>
    <mergeCell ref="L20:L21"/>
    <mergeCell ref="M20:M21"/>
    <mergeCell ref="N20:N21"/>
    <mergeCell ref="O20:O21"/>
    <mergeCell ref="AG18:AG23"/>
    <mergeCell ref="AH18:AH23"/>
    <mergeCell ref="AI18:AI23"/>
    <mergeCell ref="AJ18:AJ23"/>
    <mergeCell ref="AK18:AK23"/>
    <mergeCell ref="AN18:AN23"/>
    <mergeCell ref="O18:O19"/>
    <mergeCell ref="N22:N23"/>
    <mergeCell ref="O22:O23"/>
    <mergeCell ref="P22:P23"/>
    <mergeCell ref="S18:S19"/>
    <mergeCell ref="T18:T19"/>
    <mergeCell ref="Q20:Q21"/>
    <mergeCell ref="R20:R21"/>
    <mergeCell ref="S20:S21"/>
    <mergeCell ref="T20:T21"/>
    <mergeCell ref="Q22:Q23"/>
    <mergeCell ref="R22:R23"/>
    <mergeCell ref="S22:S23"/>
    <mergeCell ref="T22:T23"/>
    <mergeCell ref="AN25:AN31"/>
    <mergeCell ref="AO25:AO31"/>
    <mergeCell ref="AP25:AP31"/>
    <mergeCell ref="H28:H29"/>
    <mergeCell ref="I28:I29"/>
    <mergeCell ref="J28:J29"/>
    <mergeCell ref="K28:K29"/>
    <mergeCell ref="L28:L29"/>
    <mergeCell ref="M28:M29"/>
    <mergeCell ref="N28:N29"/>
    <mergeCell ref="AF25:AF31"/>
    <mergeCell ref="AG25:AG31"/>
    <mergeCell ref="AH25:AH31"/>
    <mergeCell ref="AI25:AI31"/>
    <mergeCell ref="AJ25:AJ31"/>
    <mergeCell ref="AK25:AK31"/>
    <mergeCell ref="N25:N27"/>
    <mergeCell ref="O25:O27"/>
    <mergeCell ref="P25:P27"/>
    <mergeCell ref="U25:U31"/>
    <mergeCell ref="V25:V31"/>
    <mergeCell ref="W25:W31"/>
    <mergeCell ref="O28:O29"/>
    <mergeCell ref="P28:P29"/>
    <mergeCell ref="P30:P31"/>
    <mergeCell ref="H25:H27"/>
    <mergeCell ref="I25:I27"/>
    <mergeCell ref="J25:J27"/>
    <mergeCell ref="K25:K27"/>
    <mergeCell ref="L25:L27"/>
    <mergeCell ref="M25:M27"/>
    <mergeCell ref="A34:A44"/>
    <mergeCell ref="B34:B44"/>
    <mergeCell ref="C34:C43"/>
    <mergeCell ref="D34:D38"/>
    <mergeCell ref="G34:G44"/>
    <mergeCell ref="H34:H41"/>
    <mergeCell ref="I34:I38"/>
    <mergeCell ref="E35:E36"/>
    <mergeCell ref="F35:F36"/>
    <mergeCell ref="H30:H31"/>
    <mergeCell ref="I30:I31"/>
    <mergeCell ref="J30:J31"/>
    <mergeCell ref="K30:K31"/>
    <mergeCell ref="L30:L31"/>
    <mergeCell ref="M30:M31"/>
    <mergeCell ref="N30:N31"/>
    <mergeCell ref="O30:O31"/>
    <mergeCell ref="A25:A31"/>
    <mergeCell ref="B25:B31"/>
    <mergeCell ref="C25:C31"/>
    <mergeCell ref="D25:D31"/>
    <mergeCell ref="E25:E31"/>
    <mergeCell ref="F25:F31"/>
    <mergeCell ref="G25:G31"/>
    <mergeCell ref="AK34:AK44"/>
    <mergeCell ref="AN34:AN44"/>
    <mergeCell ref="AO34:AO44"/>
    <mergeCell ref="AP34:AP44"/>
    <mergeCell ref="U34:U44"/>
    <mergeCell ref="V34:V44"/>
    <mergeCell ref="W34:W44"/>
    <mergeCell ref="AF34:AF44"/>
    <mergeCell ref="AG34:AG44"/>
    <mergeCell ref="AH34:AH44"/>
    <mergeCell ref="D39:D40"/>
    <mergeCell ref="E39:E40"/>
    <mergeCell ref="F39:F40"/>
    <mergeCell ref="I40:I41"/>
    <mergeCell ref="D41:D43"/>
    <mergeCell ref="E41:E43"/>
    <mergeCell ref="F41:F43"/>
    <mergeCell ref="AI34:AI44"/>
    <mergeCell ref="AJ34:AJ44"/>
    <mergeCell ref="AP47:AP54"/>
    <mergeCell ref="H48:H49"/>
    <mergeCell ref="I48:I49"/>
    <mergeCell ref="J48:J49"/>
    <mergeCell ref="K48:K49"/>
    <mergeCell ref="L48:L49"/>
    <mergeCell ref="M48:M49"/>
    <mergeCell ref="N48:N49"/>
    <mergeCell ref="O48:O49"/>
    <mergeCell ref="P48:P49"/>
    <mergeCell ref="AH47:AH54"/>
    <mergeCell ref="AI47:AI54"/>
    <mergeCell ref="AJ47:AJ54"/>
    <mergeCell ref="AK47:AK54"/>
    <mergeCell ref="AN47:AN54"/>
    <mergeCell ref="AO47:AO54"/>
    <mergeCell ref="U47:U49"/>
    <mergeCell ref="V47:V49"/>
    <mergeCell ref="W47:W49"/>
    <mergeCell ref="AF47:AF54"/>
    <mergeCell ref="AG47:AG54"/>
    <mergeCell ref="H50:H53"/>
    <mergeCell ref="I50:I53"/>
    <mergeCell ref="J50:J53"/>
    <mergeCell ref="W50:W53"/>
    <mergeCell ref="G56:G63"/>
    <mergeCell ref="U56:U63"/>
    <mergeCell ref="V56:V63"/>
    <mergeCell ref="L50:L53"/>
    <mergeCell ref="M50:M53"/>
    <mergeCell ref="N50:N53"/>
    <mergeCell ref="O50:O53"/>
    <mergeCell ref="U50:U53"/>
    <mergeCell ref="V50:V53"/>
    <mergeCell ref="G47:G54"/>
    <mergeCell ref="K50:K53"/>
    <mergeCell ref="A47:A54"/>
    <mergeCell ref="B47:B54"/>
    <mergeCell ref="C47:C54"/>
    <mergeCell ref="D47:D54"/>
    <mergeCell ref="E47:E54"/>
    <mergeCell ref="F47:F54"/>
    <mergeCell ref="N57:N58"/>
    <mergeCell ref="O57:O58"/>
    <mergeCell ref="H59:H62"/>
    <mergeCell ref="I59:I62"/>
    <mergeCell ref="J59:J62"/>
    <mergeCell ref="K59:K62"/>
    <mergeCell ref="L59:L62"/>
    <mergeCell ref="M59:M62"/>
    <mergeCell ref="N59:N62"/>
    <mergeCell ref="H57:H58"/>
    <mergeCell ref="I57:I58"/>
    <mergeCell ref="J57:J58"/>
    <mergeCell ref="K57:K58"/>
    <mergeCell ref="L57:L58"/>
    <mergeCell ref="M57:M58"/>
    <mergeCell ref="AT59:AT62"/>
    <mergeCell ref="A65:A66"/>
    <mergeCell ref="B65:B66"/>
    <mergeCell ref="C65:C66"/>
    <mergeCell ref="D65:D66"/>
    <mergeCell ref="E65:E66"/>
    <mergeCell ref="F65:F66"/>
    <mergeCell ref="G65:G66"/>
    <mergeCell ref="H65:H66"/>
    <mergeCell ref="I65:I66"/>
    <mergeCell ref="AK56:AK63"/>
    <mergeCell ref="AN56:AN63"/>
    <mergeCell ref="AO56:AO63"/>
    <mergeCell ref="AP56:AP63"/>
    <mergeCell ref="W56:W63"/>
    <mergeCell ref="AF56:AF63"/>
    <mergeCell ref="AG56:AG63"/>
    <mergeCell ref="AH56:AH63"/>
    <mergeCell ref="AI56:AI63"/>
    <mergeCell ref="AJ56:AJ63"/>
    <mergeCell ref="AP65:AP66"/>
    <mergeCell ref="AL56:AL63"/>
    <mergeCell ref="AM56:AM63"/>
    <mergeCell ref="AQ65:AQ66"/>
    <mergeCell ref="AR65:AR66"/>
    <mergeCell ref="AS65:AS66"/>
    <mergeCell ref="A56:A63"/>
    <mergeCell ref="B56:B63"/>
    <mergeCell ref="C56:C63"/>
    <mergeCell ref="D56:D63"/>
    <mergeCell ref="E56:E63"/>
    <mergeCell ref="F56:F63"/>
    <mergeCell ref="U68:U69"/>
    <mergeCell ref="V68:V69"/>
    <mergeCell ref="AH65:AH66"/>
    <mergeCell ref="AI65:AI66"/>
    <mergeCell ref="AJ65:AJ66"/>
    <mergeCell ref="AK65:AK66"/>
    <mergeCell ref="AN65:AN66"/>
    <mergeCell ref="AO65:AO66"/>
    <mergeCell ref="P65:P66"/>
    <mergeCell ref="U65:U66"/>
    <mergeCell ref="V65:V66"/>
    <mergeCell ref="W65:W66"/>
    <mergeCell ref="AF65:AF66"/>
    <mergeCell ref="AG65:AG66"/>
    <mergeCell ref="J65:J66"/>
    <mergeCell ref="K65:K66"/>
    <mergeCell ref="AK68:AK69"/>
    <mergeCell ref="AN68:AN69"/>
    <mergeCell ref="AO68:AO69"/>
    <mergeCell ref="AL65:AL66"/>
    <mergeCell ref="AM65:AM66"/>
    <mergeCell ref="G77:P77"/>
    <mergeCell ref="AP68:AP69"/>
    <mergeCell ref="A72:A76"/>
    <mergeCell ref="B72:B76"/>
    <mergeCell ref="C72:C76"/>
    <mergeCell ref="D72:D76"/>
    <mergeCell ref="E72:E76"/>
    <mergeCell ref="F72:F76"/>
    <mergeCell ref="W68:W69"/>
    <mergeCell ref="AF68:AF69"/>
    <mergeCell ref="AG68:AG69"/>
    <mergeCell ref="AH68:AH69"/>
    <mergeCell ref="AI68:AI69"/>
    <mergeCell ref="AJ68:AJ69"/>
    <mergeCell ref="M72:M75"/>
    <mergeCell ref="N72:N75"/>
    <mergeCell ref="O72:O75"/>
    <mergeCell ref="P72:P75"/>
    <mergeCell ref="U72:U76"/>
    <mergeCell ref="V72:V76"/>
    <mergeCell ref="AK72:AK76"/>
    <mergeCell ref="AN72:AN76"/>
    <mergeCell ref="AO72:AO76"/>
    <mergeCell ref="AL68:AL69"/>
    <mergeCell ref="AM68:AM69"/>
    <mergeCell ref="A68:A69"/>
    <mergeCell ref="B68:B69"/>
    <mergeCell ref="C68:C69"/>
    <mergeCell ref="D68:D69"/>
    <mergeCell ref="E68:E69"/>
    <mergeCell ref="F68:F69"/>
    <mergeCell ref="G68:G69"/>
    <mergeCell ref="F84:F88"/>
    <mergeCell ref="G83:P83"/>
    <mergeCell ref="Q86:Q87"/>
    <mergeCell ref="R86:R87"/>
    <mergeCell ref="S86:S87"/>
    <mergeCell ref="T86:T87"/>
    <mergeCell ref="AN78:AN82"/>
    <mergeCell ref="AO78:AO82"/>
    <mergeCell ref="AU72:AU75"/>
    <mergeCell ref="W72:W76"/>
    <mergeCell ref="AF72:AF76"/>
    <mergeCell ref="AG72:AG76"/>
    <mergeCell ref="AH72:AH76"/>
    <mergeCell ref="AI72:AI76"/>
    <mergeCell ref="AJ72:AJ76"/>
    <mergeCell ref="AP72:AP76"/>
    <mergeCell ref="AT72:AT75"/>
    <mergeCell ref="AH78:AH82"/>
    <mergeCell ref="AI78:AI82"/>
    <mergeCell ref="AJ78:AJ82"/>
    <mergeCell ref="AK78:AK82"/>
    <mergeCell ref="AP78:AP82"/>
    <mergeCell ref="G72:G76"/>
    <mergeCell ref="H72:H75"/>
    <mergeCell ref="I72:I75"/>
    <mergeCell ref="J72:J75"/>
    <mergeCell ref="K72:K75"/>
    <mergeCell ref="L72:L75"/>
    <mergeCell ref="Q72:Q75"/>
    <mergeCell ref="R72:R75"/>
    <mergeCell ref="S72:S75"/>
    <mergeCell ref="T72:T75"/>
    <mergeCell ref="U84:U88"/>
    <mergeCell ref="V84:V88"/>
    <mergeCell ref="W84:W88"/>
    <mergeCell ref="AF84:AF88"/>
    <mergeCell ref="P86:P87"/>
    <mergeCell ref="AK84:AK88"/>
    <mergeCell ref="G89:P89"/>
    <mergeCell ref="AK90:AK93"/>
    <mergeCell ref="AN90:AN93"/>
    <mergeCell ref="AO90:AO93"/>
    <mergeCell ref="AP90:AP93"/>
    <mergeCell ref="A84:A88"/>
    <mergeCell ref="B84:B88"/>
    <mergeCell ref="C84:C88"/>
    <mergeCell ref="D84:D88"/>
    <mergeCell ref="E84:E88"/>
    <mergeCell ref="G78:G82"/>
    <mergeCell ref="U78:U82"/>
    <mergeCell ref="V78:V82"/>
    <mergeCell ref="W78:W82"/>
    <mergeCell ref="AF78:AF82"/>
    <mergeCell ref="AG78:AG82"/>
    <mergeCell ref="A78:A82"/>
    <mergeCell ref="B78:B82"/>
    <mergeCell ref="C78:C79"/>
    <mergeCell ref="D78:D79"/>
    <mergeCell ref="E78:E79"/>
    <mergeCell ref="F78:F79"/>
    <mergeCell ref="C80:C82"/>
    <mergeCell ref="D80:D82"/>
    <mergeCell ref="E80:E82"/>
    <mergeCell ref="F80:F82"/>
    <mergeCell ref="W90:W93"/>
    <mergeCell ref="AF90:AF93"/>
    <mergeCell ref="AG90:AG93"/>
    <mergeCell ref="AH90:AH93"/>
    <mergeCell ref="AI90:AI93"/>
    <mergeCell ref="AJ90:AJ93"/>
    <mergeCell ref="A90:A93"/>
    <mergeCell ref="B90:B93"/>
    <mergeCell ref="C90:C93"/>
    <mergeCell ref="D90:D93"/>
    <mergeCell ref="E90:E93"/>
    <mergeCell ref="F90:F93"/>
    <mergeCell ref="AT86:AT87"/>
    <mergeCell ref="AO84:AO88"/>
    <mergeCell ref="AP84:AP88"/>
    <mergeCell ref="H86:H87"/>
    <mergeCell ref="I86:I87"/>
    <mergeCell ref="J86:J87"/>
    <mergeCell ref="K86:K87"/>
    <mergeCell ref="L86:L87"/>
    <mergeCell ref="M86:M87"/>
    <mergeCell ref="N86:N87"/>
    <mergeCell ref="O86:O87"/>
    <mergeCell ref="AG84:AG88"/>
    <mergeCell ref="AH84:AH88"/>
    <mergeCell ref="AI84:AI88"/>
    <mergeCell ref="AJ84:AJ88"/>
    <mergeCell ref="G90:G93"/>
    <mergeCell ref="U90:U93"/>
    <mergeCell ref="V90:V93"/>
    <mergeCell ref="AN84:AN88"/>
    <mergeCell ref="G84:G88"/>
    <mergeCell ref="AP96:AP99"/>
    <mergeCell ref="A104:A119"/>
    <mergeCell ref="B104:B119"/>
    <mergeCell ref="C104:C119"/>
    <mergeCell ref="D104:D119"/>
    <mergeCell ref="E104:E119"/>
    <mergeCell ref="F104:F119"/>
    <mergeCell ref="G104:G119"/>
    <mergeCell ref="H104:H114"/>
    <mergeCell ref="I104:I114"/>
    <mergeCell ref="AH96:AH99"/>
    <mergeCell ref="AI96:AI99"/>
    <mergeCell ref="AJ96:AJ99"/>
    <mergeCell ref="AK96:AK99"/>
    <mergeCell ref="AN96:AN99"/>
    <mergeCell ref="AO96:AO99"/>
    <mergeCell ref="G96:G99"/>
    <mergeCell ref="U96:U99"/>
    <mergeCell ref="V96:V99"/>
    <mergeCell ref="W96:W99"/>
    <mergeCell ref="AF96:AF99"/>
    <mergeCell ref="AG96:AG99"/>
    <mergeCell ref="AP117:AP119"/>
    <mergeCell ref="A96:A101"/>
    <mergeCell ref="B96:B101"/>
    <mergeCell ref="C96:C101"/>
    <mergeCell ref="D96:D101"/>
    <mergeCell ref="E96:E101"/>
    <mergeCell ref="F96:F101"/>
    <mergeCell ref="AO122:AO128"/>
    <mergeCell ref="AP122:AP128"/>
    <mergeCell ref="AP105:AP116"/>
    <mergeCell ref="H117:H119"/>
    <mergeCell ref="I117:I119"/>
    <mergeCell ref="J117:J119"/>
    <mergeCell ref="K117:K119"/>
    <mergeCell ref="L117:L119"/>
    <mergeCell ref="M117:M119"/>
    <mergeCell ref="N117:N119"/>
    <mergeCell ref="O117:O119"/>
    <mergeCell ref="P117:P119"/>
    <mergeCell ref="AH105:AH116"/>
    <mergeCell ref="AI105:AI116"/>
    <mergeCell ref="AJ105:AJ116"/>
    <mergeCell ref="AK105:AK116"/>
    <mergeCell ref="AN105:AN116"/>
    <mergeCell ref="AO105:AO116"/>
    <mergeCell ref="P104:P114"/>
    <mergeCell ref="AF104:AF119"/>
    <mergeCell ref="AG104:AG119"/>
    <mergeCell ref="U105:U119"/>
    <mergeCell ref="V105:V119"/>
    <mergeCell ref="W105:W119"/>
    <mergeCell ref="J104:J114"/>
    <mergeCell ref="K104:K114"/>
    <mergeCell ref="AG122:AG128"/>
    <mergeCell ref="AH122:AH128"/>
    <mergeCell ref="AI122:AI128"/>
    <mergeCell ref="AJ122:AJ128"/>
    <mergeCell ref="AK122:AK128"/>
    <mergeCell ref="AN122:AN128"/>
    <mergeCell ref="U122:U128"/>
    <mergeCell ref="V122:V128"/>
    <mergeCell ref="Q130:Q134"/>
    <mergeCell ref="R130:R134"/>
    <mergeCell ref="S130:S134"/>
    <mergeCell ref="T130:T134"/>
    <mergeCell ref="AT117:AT119"/>
    <mergeCell ref="A122:A128"/>
    <mergeCell ref="B122:B128"/>
    <mergeCell ref="C122:C128"/>
    <mergeCell ref="D122:D128"/>
    <mergeCell ref="E122:E128"/>
    <mergeCell ref="F122:F128"/>
    <mergeCell ref="G122:G128"/>
    <mergeCell ref="H122:H127"/>
    <mergeCell ref="AH117:AH119"/>
    <mergeCell ref="AI117:AI119"/>
    <mergeCell ref="AJ117:AJ119"/>
    <mergeCell ref="AK117:AK119"/>
    <mergeCell ref="AN117:AN119"/>
    <mergeCell ref="AO117:AO119"/>
    <mergeCell ref="W122:W128"/>
    <mergeCell ref="AF122:AF128"/>
    <mergeCell ref="I122:I127"/>
    <mergeCell ref="O130:O134"/>
    <mergeCell ref="P130:P134"/>
    <mergeCell ref="U130:U135"/>
    <mergeCell ref="V130:V135"/>
    <mergeCell ref="W130:W133"/>
    <mergeCell ref="AF130:AF135"/>
    <mergeCell ref="I130:I134"/>
    <mergeCell ref="J130:J134"/>
    <mergeCell ref="A130:A135"/>
    <mergeCell ref="B130:B135"/>
    <mergeCell ref="C130:C135"/>
    <mergeCell ref="D130:D135"/>
    <mergeCell ref="E130:E135"/>
    <mergeCell ref="F130:F135"/>
    <mergeCell ref="G130:G135"/>
    <mergeCell ref="H130:H134"/>
    <mergeCell ref="AO130:AO135"/>
    <mergeCell ref="AP130:AP135"/>
    <mergeCell ref="AH130:AH135"/>
    <mergeCell ref="AI130:AI135"/>
    <mergeCell ref="AJ130:AJ135"/>
    <mergeCell ref="AK130:AK135"/>
    <mergeCell ref="AN130:AN135"/>
    <mergeCell ref="AO137:AO144"/>
    <mergeCell ref="AP137:AP144"/>
    <mergeCell ref="W141:W142"/>
    <mergeCell ref="W143:W144"/>
    <mergeCell ref="AJ137:AJ144"/>
    <mergeCell ref="AK137:AK144"/>
    <mergeCell ref="AN137:AN144"/>
    <mergeCell ref="Q137:Q142"/>
    <mergeCell ref="R137:R142"/>
    <mergeCell ref="S137:S142"/>
    <mergeCell ref="T137:T142"/>
    <mergeCell ref="AG130:AG135"/>
    <mergeCell ref="A147:A149"/>
    <mergeCell ref="B147:B149"/>
    <mergeCell ref="C147:C149"/>
    <mergeCell ref="D147:D149"/>
    <mergeCell ref="E147:E149"/>
    <mergeCell ref="F147:F149"/>
    <mergeCell ref="AG137:AG144"/>
    <mergeCell ref="AH137:AH144"/>
    <mergeCell ref="AI137:AI144"/>
    <mergeCell ref="O137:O142"/>
    <mergeCell ref="P137:P142"/>
    <mergeCell ref="U137:U144"/>
    <mergeCell ref="V137:V144"/>
    <mergeCell ref="W137:W140"/>
    <mergeCell ref="AF137:AF144"/>
    <mergeCell ref="I137:I142"/>
    <mergeCell ref="J137:J142"/>
    <mergeCell ref="M147:M148"/>
    <mergeCell ref="N147:N148"/>
    <mergeCell ref="O147:O148"/>
    <mergeCell ref="U147:U149"/>
    <mergeCell ref="V147:V149"/>
    <mergeCell ref="W147:W148"/>
    <mergeCell ref="N137:N142"/>
    <mergeCell ref="A137:A144"/>
    <mergeCell ref="B137:B144"/>
    <mergeCell ref="C137:C144"/>
    <mergeCell ref="D137:D144"/>
    <mergeCell ref="E137:E144"/>
    <mergeCell ref="F137:F144"/>
    <mergeCell ref="G137:G144"/>
    <mergeCell ref="H137:H142"/>
    <mergeCell ref="AP151:AP158"/>
    <mergeCell ref="H153:H155"/>
    <mergeCell ref="J147:J148"/>
    <mergeCell ref="K147:K148"/>
    <mergeCell ref="L147:L148"/>
    <mergeCell ref="AN147:AN149"/>
    <mergeCell ref="AO147:AO149"/>
    <mergeCell ref="AP147:AP149"/>
    <mergeCell ref="AF147:AF149"/>
    <mergeCell ref="AG147:AG149"/>
    <mergeCell ref="AH147:AH149"/>
    <mergeCell ref="AI147:AI149"/>
    <mergeCell ref="AJ147:AJ149"/>
    <mergeCell ref="AK147:AK149"/>
    <mergeCell ref="I153:I155"/>
    <mergeCell ref="J153:J155"/>
    <mergeCell ref="K153:K155"/>
    <mergeCell ref="L153:L155"/>
    <mergeCell ref="M153:M155"/>
    <mergeCell ref="N153:N155"/>
    <mergeCell ref="O153:O155"/>
    <mergeCell ref="AG151:AG158"/>
    <mergeCell ref="AH151:AH158"/>
    <mergeCell ref="I151:I152"/>
    <mergeCell ref="J151:J152"/>
    <mergeCell ref="K151:K152"/>
    <mergeCell ref="L151:L152"/>
    <mergeCell ref="M151:M152"/>
    <mergeCell ref="AI151:AI158"/>
    <mergeCell ref="AJ151:AJ158"/>
    <mergeCell ref="AK151:AK158"/>
    <mergeCell ref="G150:P150"/>
    <mergeCell ref="A161:A166"/>
    <mergeCell ref="B161:B166"/>
    <mergeCell ref="C161:C166"/>
    <mergeCell ref="D161:D166"/>
    <mergeCell ref="E161:E166"/>
    <mergeCell ref="F161:F166"/>
    <mergeCell ref="G161:G166"/>
    <mergeCell ref="H161:H162"/>
    <mergeCell ref="H156:H158"/>
    <mergeCell ref="A151:A158"/>
    <mergeCell ref="B151:B158"/>
    <mergeCell ref="C151:C158"/>
    <mergeCell ref="D151:D158"/>
    <mergeCell ref="E151:E158"/>
    <mergeCell ref="F151:F158"/>
    <mergeCell ref="G151:G158"/>
    <mergeCell ref="AO151:AO158"/>
    <mergeCell ref="R164:R166"/>
    <mergeCell ref="S164:S166"/>
    <mergeCell ref="T164:T166"/>
    <mergeCell ref="G159:P159"/>
    <mergeCell ref="B160:P160"/>
    <mergeCell ref="P156:P158"/>
    <mergeCell ref="W156:W158"/>
    <mergeCell ref="I156:I158"/>
    <mergeCell ref="J156:J158"/>
    <mergeCell ref="K156:K158"/>
    <mergeCell ref="L156:L158"/>
    <mergeCell ref="M156:M158"/>
    <mergeCell ref="N156:N158"/>
    <mergeCell ref="O156:O158"/>
    <mergeCell ref="S156:S158"/>
    <mergeCell ref="Q164:Q166"/>
    <mergeCell ref="AN151:AN158"/>
    <mergeCell ref="N151:N152"/>
    <mergeCell ref="O151:O152"/>
    <mergeCell ref="U151:U158"/>
    <mergeCell ref="V151:V158"/>
    <mergeCell ref="W151:W152"/>
    <mergeCell ref="AF151:AF158"/>
    <mergeCell ref="P153:P155"/>
    <mergeCell ref="W153:W155"/>
    <mergeCell ref="P151:P152"/>
    <mergeCell ref="Q153:Q155"/>
    <mergeCell ref="R153:R155"/>
    <mergeCell ref="S153:S155"/>
    <mergeCell ref="T153:T155"/>
    <mergeCell ref="Q156:Q158"/>
    <mergeCell ref="R156:R158"/>
    <mergeCell ref="AO161:AO166"/>
    <mergeCell ref="AP161:AP166"/>
    <mergeCell ref="H164:H166"/>
    <mergeCell ref="I164:I166"/>
    <mergeCell ref="J164:J166"/>
    <mergeCell ref="K164:K166"/>
    <mergeCell ref="L164:L166"/>
    <mergeCell ref="M164:M166"/>
    <mergeCell ref="N164:N166"/>
    <mergeCell ref="O164:O166"/>
    <mergeCell ref="AG161:AG166"/>
    <mergeCell ref="AH161:AH166"/>
    <mergeCell ref="AI161:AI166"/>
    <mergeCell ref="AJ161:AJ166"/>
    <mergeCell ref="AK161:AK166"/>
    <mergeCell ref="AN161:AN166"/>
    <mergeCell ref="O161:O162"/>
    <mergeCell ref="P161:P162"/>
    <mergeCell ref="U161:U163"/>
    <mergeCell ref="V161:V163"/>
    <mergeCell ref="W161:W163"/>
    <mergeCell ref="AF161:AF166"/>
    <mergeCell ref="P164:P166"/>
    <mergeCell ref="U164:U166"/>
    <mergeCell ref="V164:V166"/>
    <mergeCell ref="W164:W166"/>
    <mergeCell ref="I161:I162"/>
    <mergeCell ref="J161:J162"/>
    <mergeCell ref="K161:K162"/>
    <mergeCell ref="L161:L162"/>
    <mergeCell ref="M161:M162"/>
    <mergeCell ref="N161:N162"/>
    <mergeCell ref="U170:U173"/>
    <mergeCell ref="V170:V173"/>
    <mergeCell ref="W170:W173"/>
    <mergeCell ref="AH170:AH173"/>
    <mergeCell ref="AO170:AO173"/>
    <mergeCell ref="A169:A173"/>
    <mergeCell ref="B169:B173"/>
    <mergeCell ref="C169:C173"/>
    <mergeCell ref="D169:D173"/>
    <mergeCell ref="E169:E173"/>
    <mergeCell ref="G169:G173"/>
    <mergeCell ref="F169:F173"/>
    <mergeCell ref="AL169:AL173"/>
    <mergeCell ref="AM169:AM173"/>
    <mergeCell ref="AN169:AN173"/>
    <mergeCell ref="A176:A178"/>
    <mergeCell ref="B176:B178"/>
    <mergeCell ref="C176:C178"/>
    <mergeCell ref="D176:D178"/>
    <mergeCell ref="E176:E178"/>
    <mergeCell ref="G176:G178"/>
    <mergeCell ref="F176:F178"/>
    <mergeCell ref="AI176:AI178"/>
    <mergeCell ref="AJ176:AJ178"/>
    <mergeCell ref="N176:N178"/>
    <mergeCell ref="U176:U178"/>
    <mergeCell ref="V176:V178"/>
    <mergeCell ref="W176:W178"/>
    <mergeCell ref="AH176:AH178"/>
    <mergeCell ref="O176:O178"/>
    <mergeCell ref="P176:P178"/>
    <mergeCell ref="A181:A184"/>
    <mergeCell ref="B181:B184"/>
    <mergeCell ref="C181:C184"/>
    <mergeCell ref="D181:D184"/>
    <mergeCell ref="E181:E184"/>
    <mergeCell ref="G181:G184"/>
    <mergeCell ref="H181:H183"/>
    <mergeCell ref="I181:I183"/>
    <mergeCell ref="J181:J183"/>
    <mergeCell ref="F181:F184"/>
    <mergeCell ref="E187:E189"/>
    <mergeCell ref="G187:G189"/>
    <mergeCell ref="AP181:AP184"/>
    <mergeCell ref="AT181:AT184"/>
    <mergeCell ref="AI182:AI184"/>
    <mergeCell ref="AJ182:AJ184"/>
    <mergeCell ref="AK182:AK184"/>
    <mergeCell ref="AN182:AN184"/>
    <mergeCell ref="W181:W184"/>
    <mergeCell ref="AF181:AF184"/>
    <mergeCell ref="AG181:AG184"/>
    <mergeCell ref="AH181:AH184"/>
    <mergeCell ref="AO181:AO184"/>
    <mergeCell ref="K181:K183"/>
    <mergeCell ref="L181:L183"/>
    <mergeCell ref="M181:M183"/>
    <mergeCell ref="N181:N183"/>
    <mergeCell ref="U181:U184"/>
    <mergeCell ref="V181:V184"/>
    <mergeCell ref="AT187:AT189"/>
    <mergeCell ref="AI187:AI189"/>
    <mergeCell ref="AJ187:AJ189"/>
    <mergeCell ref="A195:A197"/>
    <mergeCell ref="B195:B197"/>
    <mergeCell ref="C195:C197"/>
    <mergeCell ref="D195:D197"/>
    <mergeCell ref="E195:E197"/>
    <mergeCell ref="G195:G197"/>
    <mergeCell ref="H195:H197"/>
    <mergeCell ref="AG187:AG189"/>
    <mergeCell ref="AH187:AH189"/>
    <mergeCell ref="N187:N189"/>
    <mergeCell ref="U187:U189"/>
    <mergeCell ref="V187:V189"/>
    <mergeCell ref="W187:W189"/>
    <mergeCell ref="AF187:AF189"/>
    <mergeCell ref="H187:H189"/>
    <mergeCell ref="I187:I189"/>
    <mergeCell ref="J187:J189"/>
    <mergeCell ref="K187:K189"/>
    <mergeCell ref="L187:L189"/>
    <mergeCell ref="M187:M189"/>
    <mergeCell ref="A187:A189"/>
    <mergeCell ref="B187:B189"/>
    <mergeCell ref="C187:C189"/>
    <mergeCell ref="D187:D189"/>
    <mergeCell ref="AV72:AV75"/>
    <mergeCell ref="I195:I197"/>
    <mergeCell ref="K195:K197"/>
    <mergeCell ref="L195:L197"/>
    <mergeCell ref="M195:M197"/>
    <mergeCell ref="N195:N197"/>
    <mergeCell ref="U195:U197"/>
    <mergeCell ref="AO187:AO189"/>
    <mergeCell ref="AP187:AP189"/>
    <mergeCell ref="V195:V197"/>
    <mergeCell ref="W195:W197"/>
    <mergeCell ref="AG195:AG197"/>
    <mergeCell ref="AH195:AH197"/>
    <mergeCell ref="AK187:AK189"/>
    <mergeCell ref="AN187:AN189"/>
    <mergeCell ref="AJ195:AJ197"/>
    <mergeCell ref="AK195:AK197"/>
    <mergeCell ref="AN195:AN197"/>
    <mergeCell ref="AO195:AO197"/>
    <mergeCell ref="AP195:AP197"/>
    <mergeCell ref="AT195:AT197"/>
    <mergeCell ref="AI195:AI197"/>
    <mergeCell ref="AT176:AT178"/>
    <mergeCell ref="AL161:AL166"/>
    <mergeCell ref="AL72:AL76"/>
    <mergeCell ref="AM72:AM76"/>
    <mergeCell ref="AQ104:AQ119"/>
    <mergeCell ref="AR104:AR119"/>
    <mergeCell ref="AS104:AS119"/>
    <mergeCell ref="AQ122:AQ128"/>
    <mergeCell ref="AR122:AR128"/>
    <mergeCell ref="AS122:AS128"/>
    <mergeCell ref="AM3:AM16"/>
    <mergeCell ref="AM18:AM23"/>
    <mergeCell ref="AL18:AL23"/>
    <mergeCell ref="AM25:AM31"/>
    <mergeCell ref="AM34:AM44"/>
    <mergeCell ref="AL34:AL44"/>
    <mergeCell ref="AM47:AM54"/>
    <mergeCell ref="AL47:AL54"/>
    <mergeCell ref="AL25:AL31"/>
    <mergeCell ref="AM161:AM166"/>
    <mergeCell ref="AL78:AL82"/>
    <mergeCell ref="AL84:AL88"/>
    <mergeCell ref="AL90:AL93"/>
    <mergeCell ref="AL96:AL99"/>
    <mergeCell ref="AL105:AL116"/>
    <mergeCell ref="AM105:AM116"/>
    <mergeCell ref="AL117:AL119"/>
    <mergeCell ref="AM117:AM119"/>
    <mergeCell ref="AL122:AL128"/>
    <mergeCell ref="AM122:AM128"/>
    <mergeCell ref="AL130:AL135"/>
    <mergeCell ref="AM130:AM135"/>
    <mergeCell ref="AL137:AL144"/>
    <mergeCell ref="AM137:AM144"/>
    <mergeCell ref="AL147:AL149"/>
    <mergeCell ref="AM147:AM149"/>
    <mergeCell ref="AL151:AL158"/>
    <mergeCell ref="AM151:AM158"/>
    <mergeCell ref="AM78:AM82"/>
    <mergeCell ref="AM84:AM88"/>
    <mergeCell ref="AM90:AM93"/>
    <mergeCell ref="AM96:AM99"/>
    <mergeCell ref="AQ3:AQ16"/>
    <mergeCell ref="AR3:AR16"/>
    <mergeCell ref="AS3:AS16"/>
    <mergeCell ref="AQ18:AQ23"/>
    <mergeCell ref="AR18:AR23"/>
    <mergeCell ref="AS18:AS23"/>
    <mergeCell ref="AQ25:AQ31"/>
    <mergeCell ref="AR25:AR31"/>
    <mergeCell ref="AS25:AS31"/>
    <mergeCell ref="AQ34:AQ44"/>
    <mergeCell ref="AR34:AR44"/>
    <mergeCell ref="AS34:AS44"/>
    <mergeCell ref="AQ47:AQ54"/>
    <mergeCell ref="AR47:AR54"/>
    <mergeCell ref="AS47:AS54"/>
    <mergeCell ref="AQ56:AQ63"/>
    <mergeCell ref="AR56:AR63"/>
    <mergeCell ref="AS56:AS63"/>
    <mergeCell ref="AQ130:AQ135"/>
    <mergeCell ref="AR130:AR135"/>
    <mergeCell ref="AS130:AS135"/>
    <mergeCell ref="AQ137:AQ144"/>
    <mergeCell ref="AR137:AR144"/>
    <mergeCell ref="AS137:AS144"/>
    <mergeCell ref="AQ147:AQ149"/>
    <mergeCell ref="AR147:AR149"/>
    <mergeCell ref="AS147:AS149"/>
    <mergeCell ref="AQ151:AQ158"/>
    <mergeCell ref="AR151:AR158"/>
    <mergeCell ref="AS151:AS158"/>
    <mergeCell ref="AQ161:AQ166"/>
    <mergeCell ref="AR161:AR166"/>
    <mergeCell ref="AS161:AS166"/>
    <mergeCell ref="AQ68:AQ69"/>
    <mergeCell ref="AR68:AR69"/>
    <mergeCell ref="AS68:AS69"/>
    <mergeCell ref="AQ72:AQ76"/>
    <mergeCell ref="AR72:AR76"/>
    <mergeCell ref="AS72:AS76"/>
    <mergeCell ref="AQ79:AQ82"/>
    <mergeCell ref="AR79:AR82"/>
    <mergeCell ref="AS79:AS82"/>
    <mergeCell ref="AQ84:AQ88"/>
    <mergeCell ref="AR84:AR88"/>
    <mergeCell ref="AS84:AS88"/>
    <mergeCell ref="AQ90:AQ93"/>
    <mergeCell ref="AR90:AR93"/>
    <mergeCell ref="AQ96:AQ99"/>
    <mergeCell ref="AR96:AR99"/>
    <mergeCell ref="AS96:AS99"/>
    <mergeCell ref="AQ169:AQ173"/>
    <mergeCell ref="AR169:AR173"/>
    <mergeCell ref="AS169:AS173"/>
    <mergeCell ref="AS176:AS178"/>
    <mergeCell ref="AR176:AR178"/>
    <mergeCell ref="AQ176:AQ178"/>
    <mergeCell ref="AS181:AS184"/>
    <mergeCell ref="AR181:AR184"/>
    <mergeCell ref="AQ181:AQ184"/>
    <mergeCell ref="AQ187:AQ189"/>
    <mergeCell ref="AR187:AR189"/>
    <mergeCell ref="AS187:AS189"/>
    <mergeCell ref="AN199:AR201"/>
    <mergeCell ref="AN202:AR204"/>
    <mergeCell ref="AN205:AR207"/>
    <mergeCell ref="AS199:AT201"/>
    <mergeCell ref="AS202:AT204"/>
    <mergeCell ref="AS205:AT207"/>
    <mergeCell ref="AP169:AP173"/>
  </mergeCells>
  <phoneticPr fontId="9" type="noConversion"/>
  <hyperlinks>
    <hyperlink ref="AX5" r:id="rId1" xr:uid="{00000000-0004-0000-0000-000000000000}"/>
    <hyperlink ref="AX4" r:id="rId2" xr:uid="{00000000-0004-0000-0000-000001000000}"/>
    <hyperlink ref="AX6" r:id="rId3" xr:uid="{00000000-0004-0000-0000-000002000000}"/>
    <hyperlink ref="AX7" r:id="rId4" xr:uid="{00000000-0004-0000-0000-000003000000}"/>
    <hyperlink ref="AX8" r:id="rId5" xr:uid="{00000000-0004-0000-0000-000004000000}"/>
    <hyperlink ref="AX9" r:id="rId6" xr:uid="{00000000-0004-0000-0000-000005000000}"/>
    <hyperlink ref="AX13" r:id="rId7" xr:uid="{00000000-0004-0000-0000-000006000000}"/>
    <hyperlink ref="AX15" r:id="rId8" xr:uid="{00000000-0004-0000-0000-000007000000}"/>
    <hyperlink ref="AX16" r:id="rId9" xr:uid="{00000000-0004-0000-0000-000008000000}"/>
    <hyperlink ref="AX35" r:id="rId10" xr:uid="{00000000-0004-0000-0000-000009000000}"/>
    <hyperlink ref="AX34" r:id="rId11" xr:uid="{00000000-0004-0000-0000-00000A000000}"/>
    <hyperlink ref="AX37" r:id="rId12" xr:uid="{00000000-0004-0000-0000-00000B000000}"/>
    <hyperlink ref="AX38" r:id="rId13" xr:uid="{00000000-0004-0000-0000-00000C000000}"/>
    <hyperlink ref="AX39" r:id="rId14" xr:uid="{00000000-0004-0000-0000-00000D000000}"/>
    <hyperlink ref="AX44" r:id="rId15" xr:uid="{00000000-0004-0000-0000-00000E000000}"/>
    <hyperlink ref="AX18" r:id="rId16" xr:uid="{00000000-0004-0000-0000-00000F000000}"/>
    <hyperlink ref="AX19" r:id="rId17" xr:uid="{00000000-0004-0000-0000-000010000000}"/>
    <hyperlink ref="AX47" r:id="rId18" xr:uid="{00000000-0004-0000-0000-000011000000}"/>
    <hyperlink ref="AX48" r:id="rId19" xr:uid="{00000000-0004-0000-0000-000012000000}"/>
    <hyperlink ref="AX50" r:id="rId20" xr:uid="{00000000-0004-0000-0000-000013000000}"/>
    <hyperlink ref="AX56" r:id="rId21" xr:uid="{00000000-0004-0000-0000-000014000000}"/>
    <hyperlink ref="AX57" r:id="rId22" xr:uid="{00000000-0004-0000-0000-000015000000}"/>
    <hyperlink ref="AX63" r:id="rId23" xr:uid="{00000000-0004-0000-0000-000016000000}"/>
    <hyperlink ref="AX65" r:id="rId24" xr:uid="{00000000-0004-0000-0000-000017000000}"/>
    <hyperlink ref="AX66" r:id="rId25" xr:uid="{00000000-0004-0000-0000-000018000000}"/>
    <hyperlink ref="AX68" r:id="rId26" xr:uid="{00000000-0004-0000-0000-000019000000}"/>
    <hyperlink ref="AX69" r:id="rId27" xr:uid="{00000000-0004-0000-0000-00001A000000}"/>
    <hyperlink ref="AX72" r:id="rId28" xr:uid="{00000000-0004-0000-0000-00001B000000}"/>
    <hyperlink ref="AX73" r:id="rId29" xr:uid="{00000000-0004-0000-0000-00001C000000}"/>
    <hyperlink ref="AX78" r:id="rId30" xr:uid="{00000000-0004-0000-0000-00001D000000}"/>
    <hyperlink ref="AX79" r:id="rId31" xr:uid="{00000000-0004-0000-0000-00001E000000}"/>
    <hyperlink ref="AX80" r:id="rId32" display="https://drive.google.com/drive/folders/10xQtpcs4HuQ0mben1PvxC1gw1qNnTCtZ?usp=sharing" xr:uid="{00000000-0004-0000-0000-00001F000000}"/>
    <hyperlink ref="AX81" r:id="rId33" xr:uid="{00000000-0004-0000-0000-000020000000}"/>
    <hyperlink ref="AX82" r:id="rId34" xr:uid="{00000000-0004-0000-0000-000021000000}"/>
    <hyperlink ref="AX84" r:id="rId35" xr:uid="{00000000-0004-0000-0000-000022000000}"/>
    <hyperlink ref="AX85" r:id="rId36" xr:uid="{00000000-0004-0000-0000-000023000000}"/>
    <hyperlink ref="AX86" r:id="rId37" xr:uid="{00000000-0004-0000-0000-000024000000}"/>
    <hyperlink ref="AX87" r:id="rId38" xr:uid="{00000000-0004-0000-0000-000025000000}"/>
    <hyperlink ref="AX88" r:id="rId39" xr:uid="{00000000-0004-0000-0000-000026000000}"/>
    <hyperlink ref="AX90" r:id="rId40" xr:uid="{00000000-0004-0000-0000-000027000000}"/>
    <hyperlink ref="AX92" r:id="rId41" xr:uid="{00000000-0004-0000-0000-000028000000}"/>
    <hyperlink ref="AX93" r:id="rId42" xr:uid="{00000000-0004-0000-0000-000029000000}"/>
    <hyperlink ref="AX25" r:id="rId43" xr:uid="{00000000-0004-0000-0000-00002A000000}"/>
    <hyperlink ref="AX28" r:id="rId44" xr:uid="{00000000-0004-0000-0000-00002B000000}"/>
    <hyperlink ref="AX30" r:id="rId45" xr:uid="{00000000-0004-0000-0000-00002C000000}"/>
    <hyperlink ref="AX31" r:id="rId46" xr:uid="{00000000-0004-0000-0000-00002D000000}"/>
    <hyperlink ref="AX96" r:id="rId47" xr:uid="{00000000-0004-0000-0000-00002E000000}"/>
    <hyperlink ref="AX97" r:id="rId48" xr:uid="{00000000-0004-0000-0000-00002F000000}"/>
    <hyperlink ref="AX98" r:id="rId49" xr:uid="{00000000-0004-0000-0000-000030000000}"/>
    <hyperlink ref="AX99" r:id="rId50" xr:uid="{00000000-0004-0000-0000-000031000000}"/>
    <hyperlink ref="AX104" r:id="rId51" xr:uid="{00000000-0004-0000-0000-000032000000}"/>
    <hyperlink ref="AX105" r:id="rId52" xr:uid="{00000000-0004-0000-0000-000033000000}"/>
    <hyperlink ref="AX106" r:id="rId53" xr:uid="{00000000-0004-0000-0000-000034000000}"/>
    <hyperlink ref="AX107" r:id="rId54" xr:uid="{00000000-0004-0000-0000-000035000000}"/>
    <hyperlink ref="AX108" r:id="rId55" xr:uid="{00000000-0004-0000-0000-000036000000}"/>
    <hyperlink ref="AX109" r:id="rId56" xr:uid="{00000000-0004-0000-0000-000037000000}"/>
    <hyperlink ref="AX110" r:id="rId57" xr:uid="{00000000-0004-0000-0000-000038000000}"/>
    <hyperlink ref="AX111" r:id="rId58" xr:uid="{00000000-0004-0000-0000-000039000000}"/>
    <hyperlink ref="AX113" r:id="rId59" xr:uid="{00000000-0004-0000-0000-00003A000000}"/>
    <hyperlink ref="AX115" r:id="rId60" xr:uid="{00000000-0004-0000-0000-00003B000000}"/>
    <hyperlink ref="AX116" r:id="rId61" xr:uid="{00000000-0004-0000-0000-00003C000000}"/>
    <hyperlink ref="AX117" r:id="rId62" xr:uid="{00000000-0004-0000-0000-00003D000000}"/>
    <hyperlink ref="AX118" r:id="rId63" xr:uid="{00000000-0004-0000-0000-00003E000000}"/>
    <hyperlink ref="AX119" r:id="rId64" xr:uid="{00000000-0004-0000-0000-00003F000000}"/>
    <hyperlink ref="AX122" r:id="rId65" xr:uid="{00000000-0004-0000-0000-000040000000}"/>
    <hyperlink ref="AX123" r:id="rId66" xr:uid="{00000000-0004-0000-0000-000041000000}"/>
    <hyperlink ref="AX127" r:id="rId67" xr:uid="{00000000-0004-0000-0000-000042000000}"/>
    <hyperlink ref="AX132" r:id="rId68" xr:uid="{00000000-0004-0000-0000-000043000000}"/>
    <hyperlink ref="AX133" r:id="rId69" xr:uid="{00000000-0004-0000-0000-000044000000}"/>
    <hyperlink ref="AX135" r:id="rId70" xr:uid="{00000000-0004-0000-0000-000045000000}"/>
    <hyperlink ref="AX137" r:id="rId71" xr:uid="{00000000-0004-0000-0000-000046000000}"/>
    <hyperlink ref="AX138" r:id="rId72" xr:uid="{00000000-0004-0000-0000-000047000000}"/>
    <hyperlink ref="AX141" r:id="rId73" xr:uid="{00000000-0004-0000-0000-000048000000}"/>
    <hyperlink ref="AX143" r:id="rId74" xr:uid="{00000000-0004-0000-0000-000049000000}"/>
    <hyperlink ref="AX147" r:id="rId75" xr:uid="{00000000-0004-0000-0000-00004A000000}"/>
    <hyperlink ref="AX148" r:id="rId76" xr:uid="{00000000-0004-0000-0000-00004B000000}"/>
    <hyperlink ref="AX149" r:id="rId77" xr:uid="{00000000-0004-0000-0000-00004C000000}"/>
    <hyperlink ref="AX151" r:id="rId78" xr:uid="{00000000-0004-0000-0000-00004D000000}"/>
    <hyperlink ref="AX152" r:id="rId79" xr:uid="{00000000-0004-0000-0000-00004E000000}"/>
    <hyperlink ref="AX153" r:id="rId80" xr:uid="{00000000-0004-0000-0000-00004F000000}"/>
    <hyperlink ref="AX154" r:id="rId81" xr:uid="{00000000-0004-0000-0000-000050000000}"/>
    <hyperlink ref="AX161" r:id="rId82" xr:uid="{00000000-0004-0000-0000-000051000000}"/>
    <hyperlink ref="AX163" r:id="rId83" xr:uid="{00000000-0004-0000-0000-000052000000}"/>
    <hyperlink ref="AX164" r:id="rId84" display="https://drive.google.com/drive/folders/1XEMBz9uZ5o1qbKMJ8ufmNpaSwO2P-P6G?usp=sharing" xr:uid="{00000000-0004-0000-0000-000053000000}"/>
    <hyperlink ref="AX43" r:id="rId85" xr:uid="{00000000-0004-0000-0000-000054000000}"/>
    <hyperlink ref="AX74" r:id="rId86" xr:uid="{00000000-0004-0000-0000-000055000000}"/>
    <hyperlink ref="AX91" r:id="rId87" xr:uid="{00000000-0004-0000-0000-000056000000}"/>
    <hyperlink ref="AX76" r:id="rId88" xr:uid="{00000000-0004-0000-0000-000057000000}"/>
    <hyperlink ref="AX156" r:id="rId89" xr:uid="{00000000-0004-0000-0000-000058000000}"/>
    <hyperlink ref="AX21" r:id="rId90" xr:uid="{00000000-0004-0000-0000-000059000000}"/>
    <hyperlink ref="AX22" r:id="rId91" xr:uid="{00000000-0004-0000-0000-00005A000000}"/>
    <hyperlink ref="AX49" r:id="rId92" xr:uid="{00000000-0004-0000-0000-00005B000000}"/>
    <hyperlink ref="AX58" r:id="rId93" xr:uid="{00000000-0004-0000-0000-00005C000000}"/>
    <hyperlink ref="AX60" r:id="rId94" xr:uid="{00000000-0004-0000-0000-00005D000000}"/>
    <hyperlink ref="AX169" r:id="rId95" xr:uid="{00000000-0004-0000-0000-00005E000000}"/>
    <hyperlink ref="AX176" r:id="rId96" xr:uid="{00000000-0004-0000-0000-00005F000000}"/>
    <hyperlink ref="AX181" r:id="rId97" xr:uid="{00000000-0004-0000-0000-000060000000}"/>
    <hyperlink ref="AX187" r:id="rId98" xr:uid="{00000000-0004-0000-0000-000061000000}"/>
    <hyperlink ref="AX192" r:id="rId99" xr:uid="{00000000-0004-0000-0000-000062000000}"/>
    <hyperlink ref="AX195" r:id="rId100" xr:uid="{00000000-0004-0000-0000-000063000000}"/>
    <hyperlink ref="AX27" r:id="rId101" xr:uid="{00000000-0004-0000-0000-000064000000}"/>
    <hyperlink ref="AX61" r:id="rId102" xr:uid="{00000000-0004-0000-0000-000065000000}"/>
    <hyperlink ref="AX62" r:id="rId103" xr:uid="{00000000-0004-0000-0000-000066000000}"/>
    <hyperlink ref="AX29" r:id="rId104" xr:uid="{00000000-0004-0000-0000-000067000000}"/>
    <hyperlink ref="AX114" r:id="rId105" xr:uid="{00000000-0004-0000-0000-000068000000}"/>
    <hyperlink ref="AX125" r:id="rId106" xr:uid="{00000000-0004-0000-0000-000069000000}"/>
    <hyperlink ref="AX131" r:id="rId107" xr:uid="{00000000-0004-0000-0000-00006A000000}"/>
  </hyperlinks>
  <pageMargins left="0.7" right="0.7" top="0.75" bottom="0.75" header="0.3" footer="0.3"/>
  <pageSetup paperSize="9" orientation="portrait" r:id="rId108"/>
  <legacyDrawing r:id="rId10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Des y de Acción 31-12-2021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LUZ  MARINA SEVERICHE MONROY</cp:lastModifiedBy>
  <dcterms:created xsi:type="dcterms:W3CDTF">2020-07-31T15:55:26Z</dcterms:created>
  <dcterms:modified xsi:type="dcterms:W3CDTF">2022-01-24T19:07:09Z</dcterms:modified>
</cp:coreProperties>
</file>